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defaultThemeVersion="202300"/>
  <mc:AlternateContent xmlns:mc="http://schemas.openxmlformats.org/markup-compatibility/2006">
    <mc:Choice Requires="x15">
      <x15ac:absPath xmlns:x15ac="http://schemas.microsoft.com/office/spreadsheetml/2010/11/ac" url="C:\Users\alatimer\Desktop\"/>
    </mc:Choice>
  </mc:AlternateContent>
  <xr:revisionPtr revIDLastSave="0" documentId="8_{50676558-7B68-4784-B417-1FAB970A790A}" xr6:coauthVersionLast="47" xr6:coauthVersionMax="47" xr10:uidLastSave="{00000000-0000-0000-0000-000000000000}"/>
  <bookViews>
    <workbookView xWindow="-110" yWindow="-110" windowWidth="19420" windowHeight="11500" firstSheet="6" activeTab="10" xr2:uid="{55B732CF-5C20-4DC7-BF8E-919B37B490E9}"/>
  </bookViews>
  <sheets>
    <sheet name="Read me" sheetId="10" r:id="rId1"/>
    <sheet name="1. Dashboard" sheetId="11" r:id="rId2"/>
    <sheet name="Backpage" sheetId="12" state="hidden" r:id="rId3"/>
    <sheet name="2. RI info" sheetId="9" r:id="rId4"/>
    <sheet name="3. Vaccine demand" sheetId="1" r:id="rId5"/>
    <sheet name="4. Injection supplies" sheetId="2" r:id="rId6"/>
    <sheet name="5. Cold chain" sheetId="7" r:id="rId7"/>
    <sheet name="6. Personnel" sheetId="3" r:id="rId8"/>
    <sheet name="7. Transportation" sheetId="6" r:id="rId9"/>
    <sheet name="8. Outreach" sheetId="4" r:id="rId10"/>
    <sheet name="9. Training &amp; mobilization" sheetId="5" r:id="rId11"/>
    <sheet name="10. Microplanning" sheetId="13" r:id="rId12"/>
    <sheet name="11. Quality assurance" sheetId="14" r:id="rId13"/>
  </sheets>
  <definedNames>
    <definedName name="buffer">'2. RI info'!$D$13</definedName>
    <definedName name="coverage1">'2. RI info'!$H$72</definedName>
    <definedName name="coverage10">'2. RI info'!$H$81</definedName>
    <definedName name="coverage11">'2. RI info'!$H$82</definedName>
    <definedName name="coverage12">'2. RI info'!$H$83</definedName>
    <definedName name="coverage13">'2. RI info'!$H$84</definedName>
    <definedName name="coverage14">'2. RI info'!$H$85</definedName>
    <definedName name="coverage15">'2. RI info'!$H$86</definedName>
    <definedName name="coverage16">'2. RI info'!$H$87</definedName>
    <definedName name="coverage17">'2. RI info'!$H$88</definedName>
    <definedName name="coverage18">'2. RI info'!$H$89</definedName>
    <definedName name="coverage19">'2. RI info'!$H$90</definedName>
    <definedName name="coverage2">'2. RI info'!$H$73</definedName>
    <definedName name="coverage20">'2. RI info'!$H$91</definedName>
    <definedName name="coverage3">'2. RI info'!$H$74</definedName>
    <definedName name="coverage4">'2. RI info'!$H$75</definedName>
    <definedName name="coverage5">'2. RI info'!$H$76</definedName>
    <definedName name="coverage6">'2. RI info'!$H$77</definedName>
    <definedName name="coverage7">'2. RI info'!$H$78</definedName>
    <definedName name="coverage8">'2. RI info'!$H$79</definedName>
    <definedName name="coverage9">'2. RI info'!$H$80</definedName>
    <definedName name="diesel">'8. Outreach'!$D$25</definedName>
    <definedName name="gas">'8. Outreach'!$D$24</definedName>
    <definedName name="months">'2. RI info'!$D$11</definedName>
    <definedName name="name">'2. RI info'!$D$9</definedName>
    <definedName name="source">'2. RI info'!$D$31:$D$45</definedName>
    <definedName name="wastage">'2. RI info'!$D$12</definedName>
    <definedName name="wastage1">'2. RI info'!$G$72</definedName>
    <definedName name="wastage10">'2. RI info'!$G$81</definedName>
    <definedName name="wastage11">'2. RI info'!$G$82</definedName>
    <definedName name="wastage12">'2. RI info'!$G$83</definedName>
    <definedName name="wastage13">'2. RI info'!$G$84</definedName>
    <definedName name="wastage14">'2. RI info'!$G$85</definedName>
    <definedName name="wastage15">'2. RI info'!$G$86</definedName>
    <definedName name="wastage16">'2. RI info'!$G$87</definedName>
    <definedName name="wastage17">'2. RI info'!$G$88</definedName>
    <definedName name="wastage18">'2. RI info'!$G$89</definedName>
    <definedName name="wastage19">'2. RI info'!$G$90</definedName>
    <definedName name="wastage2">'2. RI info'!$G$73</definedName>
    <definedName name="wastage20">'2. RI info'!$G$91</definedName>
    <definedName name="wastage3">'2. RI info'!$G$74</definedName>
    <definedName name="wastage4">'2. RI info'!$G$75</definedName>
    <definedName name="wastage5">'2. RI info'!$G$76</definedName>
    <definedName name="wastage6">'2. RI info'!$G$77</definedName>
    <definedName name="wastage7">'2. RI info'!$G$78</definedName>
    <definedName name="wastage8">'2. RI info'!$G$79</definedName>
    <definedName name="wastage9">'2. RI info'!$G$80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4" l="1"/>
  <c r="G59" i="4"/>
  <c r="G60" i="4"/>
  <c r="G61" i="4"/>
  <c r="G62" i="4"/>
  <c r="G63" i="4"/>
  <c r="G64" i="4"/>
  <c r="G65" i="4"/>
  <c r="G66" i="4"/>
  <c r="G67" i="4"/>
  <c r="G68" i="4"/>
  <c r="G69" i="4"/>
  <c r="G70" i="4"/>
  <c r="G71" i="4"/>
  <c r="G57" i="4"/>
  <c r="D96" i="4" s="1"/>
  <c r="F72" i="4" l="1"/>
  <c r="C36" i="1" l="1"/>
  <c r="C37" i="1"/>
  <c r="C38" i="1"/>
  <c r="C39" i="1"/>
  <c r="C40" i="1"/>
  <c r="C41" i="1"/>
  <c r="C42" i="1"/>
  <c r="C43" i="1"/>
  <c r="C44" i="1"/>
  <c r="C45" i="1"/>
  <c r="C46" i="1"/>
  <c r="C47" i="1"/>
  <c r="C48" i="1"/>
  <c r="C49" i="1"/>
  <c r="C50" i="1"/>
  <c r="C51" i="1"/>
  <c r="C52" i="1"/>
  <c r="C53" i="1"/>
  <c r="C54" i="1"/>
  <c r="C35" i="1"/>
  <c r="G10" i="12"/>
  <c r="G11" i="12"/>
  <c r="G12" i="12"/>
  <c r="G13" i="12"/>
  <c r="G14" i="12"/>
  <c r="G15" i="12"/>
  <c r="G16" i="12"/>
  <c r="G17" i="12"/>
  <c r="G18" i="12"/>
  <c r="G19" i="12"/>
  <c r="G20" i="12"/>
  <c r="G21" i="12"/>
  <c r="G22" i="12"/>
  <c r="G4" i="12"/>
  <c r="G5" i="12"/>
  <c r="G6" i="12"/>
  <c r="G7" i="12"/>
  <c r="G8" i="12"/>
  <c r="G9" i="12"/>
  <c r="G3" i="1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D59" i="13" l="1"/>
  <c r="H30" i="14"/>
  <c r="H31" i="14"/>
  <c r="H28" i="14"/>
  <c r="H29" i="14"/>
  <c r="H32" i="13"/>
  <c r="H33" i="13"/>
  <c r="H34" i="13"/>
  <c r="H35" i="13"/>
  <c r="H36" i="13"/>
  <c r="H37" i="13"/>
  <c r="H38" i="13"/>
  <c r="H39" i="13"/>
  <c r="J39" i="13" s="1"/>
  <c r="H40" i="13"/>
  <c r="H41" i="13"/>
  <c r="H42" i="13"/>
  <c r="H43" i="13"/>
  <c r="H44" i="13"/>
  <c r="H45" i="13"/>
  <c r="H46" i="13"/>
  <c r="H47" i="13"/>
  <c r="H48" i="13"/>
  <c r="H49" i="13"/>
  <c r="H50" i="13"/>
  <c r="H31" i="13"/>
  <c r="H21" i="13"/>
  <c r="H22" i="13"/>
  <c r="H23" i="13"/>
  <c r="H24" i="13"/>
  <c r="J24" i="13" s="1"/>
  <c r="H25" i="13"/>
  <c r="J25" i="13" s="1"/>
  <c r="H26" i="13"/>
  <c r="H27" i="13"/>
  <c r="H28" i="13"/>
  <c r="H29" i="13"/>
  <c r="H20" i="13"/>
  <c r="H22" i="7"/>
  <c r="H23" i="7"/>
  <c r="H24" i="7"/>
  <c r="H25" i="7"/>
  <c r="H26" i="7"/>
  <c r="H27" i="7"/>
  <c r="H28" i="7"/>
  <c r="H29" i="7"/>
  <c r="H30" i="7"/>
  <c r="H31" i="7"/>
  <c r="J31" i="7" s="1"/>
  <c r="H32" i="7"/>
  <c r="H33" i="7"/>
  <c r="H34" i="7"/>
  <c r="H35" i="7"/>
  <c r="H36" i="7"/>
  <c r="H37" i="7"/>
  <c r="H38" i="7"/>
  <c r="H39" i="7"/>
  <c r="H40" i="7"/>
  <c r="H21" i="7"/>
  <c r="H11" i="7"/>
  <c r="H12" i="7"/>
  <c r="H13" i="7"/>
  <c r="H14" i="7"/>
  <c r="H15" i="7"/>
  <c r="J15" i="7" s="1"/>
  <c r="H16" i="7"/>
  <c r="J16" i="7" s="1"/>
  <c r="H17" i="7"/>
  <c r="H18" i="7"/>
  <c r="H19" i="7"/>
  <c r="H10" i="7"/>
  <c r="G21" i="11"/>
  <c r="E21" i="11"/>
  <c r="H13" i="11"/>
  <c r="H14" i="11"/>
  <c r="H15" i="11"/>
  <c r="H16" i="11"/>
  <c r="H17" i="11"/>
  <c r="H18" i="11"/>
  <c r="H19" i="11"/>
  <c r="H20" i="11"/>
  <c r="H12" i="11"/>
  <c r="G78" i="4"/>
  <c r="G79" i="4"/>
  <c r="G80" i="4"/>
  <c r="G81" i="4"/>
  <c r="G82" i="4"/>
  <c r="G52" i="4"/>
  <c r="G53" i="4"/>
  <c r="G51" i="4"/>
  <c r="G54" i="4"/>
  <c r="H43" i="4"/>
  <c r="J43" i="4" s="1"/>
  <c r="H44" i="4"/>
  <c r="J44" i="4" s="1"/>
  <c r="F33" i="4"/>
  <c r="F34" i="4"/>
  <c r="F35" i="4"/>
  <c r="G11" i="3"/>
  <c r="G12" i="3"/>
  <c r="G13" i="3"/>
  <c r="G14" i="3"/>
  <c r="G15" i="3"/>
  <c r="G16" i="3"/>
  <c r="G17" i="3"/>
  <c r="G18" i="3"/>
  <c r="G19" i="3"/>
  <c r="G31" i="5"/>
  <c r="G32" i="5"/>
  <c r="G33" i="5"/>
  <c r="L19" i="12"/>
  <c r="K19" i="12"/>
  <c r="J19" i="12"/>
  <c r="I19" i="12"/>
  <c r="H43" i="2"/>
  <c r="H44" i="2"/>
  <c r="H45" i="2"/>
  <c r="H46" i="2"/>
  <c r="H47" i="2"/>
  <c r="H48" i="2"/>
  <c r="H49" i="2"/>
  <c r="H50" i="2"/>
  <c r="H51" i="2"/>
  <c r="H52" i="2"/>
  <c r="H53" i="2"/>
  <c r="H54" i="2"/>
  <c r="H57" i="2"/>
  <c r="H14" i="14"/>
  <c r="H15" i="14"/>
  <c r="H16" i="14"/>
  <c r="H17" i="14"/>
  <c r="H18" i="14"/>
  <c r="J38" i="13"/>
  <c r="J41" i="13"/>
  <c r="J42" i="13"/>
  <c r="J36" i="13"/>
  <c r="J37" i="13"/>
  <c r="J40" i="13"/>
  <c r="J23" i="13"/>
  <c r="G86" i="4"/>
  <c r="G87" i="4"/>
  <c r="H42" i="4"/>
  <c r="J42" i="4" s="1"/>
  <c r="H45" i="4"/>
  <c r="J45" i="4" s="1"/>
  <c r="H46" i="4"/>
  <c r="J46" i="4" s="1"/>
  <c r="F36" i="4"/>
  <c r="F37" i="4"/>
  <c r="F18" i="6"/>
  <c r="F19" i="6"/>
  <c r="F20" i="6"/>
  <c r="E55" i="7"/>
  <c r="E56" i="7"/>
  <c r="J32" i="7"/>
  <c r="J33" i="7"/>
  <c r="J13" i="7"/>
  <c r="J14" i="7"/>
  <c r="H64" i="2"/>
  <c r="H65" i="2"/>
  <c r="H55" i="2"/>
  <c r="H56" i="2"/>
  <c r="E49" i="7"/>
  <c r="E50" i="7"/>
  <c r="E51" i="7"/>
  <c r="E52" i="7"/>
  <c r="J34" i="7"/>
  <c r="J35" i="7"/>
  <c r="J36" i="7"/>
  <c r="J17" i="7"/>
  <c r="H58" i="2"/>
  <c r="H59" i="2"/>
  <c r="H60" i="2"/>
  <c r="H41" i="2"/>
  <c r="H42" i="2"/>
  <c r="H61" i="2"/>
  <c r="H62" i="2"/>
  <c r="H63" i="2"/>
  <c r="H66" i="2"/>
  <c r="G83" i="4"/>
  <c r="G84" i="4"/>
  <c r="G85" i="4"/>
  <c r="F31" i="4"/>
  <c r="F32" i="4"/>
  <c r="F38" i="4"/>
  <c r="F21" i="6"/>
  <c r="F22" i="6"/>
  <c r="H19" i="14"/>
  <c r="H20" i="14"/>
  <c r="G34" i="5"/>
  <c r="G35" i="5"/>
  <c r="G36" i="5"/>
  <c r="J43" i="13"/>
  <c r="J44" i="13"/>
  <c r="J45" i="13"/>
  <c r="J26" i="13"/>
  <c r="J27" i="13"/>
  <c r="D16" i="13"/>
  <c r="H13" i="14"/>
  <c r="H21" i="14"/>
  <c r="H22" i="14"/>
  <c r="H23" i="14"/>
  <c r="H12" i="14"/>
  <c r="F24" i="6"/>
  <c r="F23" i="6"/>
  <c r="F17" i="6"/>
  <c r="D13" i="6"/>
  <c r="G55" i="4"/>
  <c r="G27" i="5"/>
  <c r="G28" i="5"/>
  <c r="G29" i="5"/>
  <c r="G30" i="5"/>
  <c r="G37" i="5"/>
  <c r="G38" i="5"/>
  <c r="G39" i="5"/>
  <c r="G40" i="5"/>
  <c r="G26" i="5"/>
  <c r="D22" i="5"/>
  <c r="G77" i="4"/>
  <c r="G88" i="4"/>
  <c r="G89" i="4"/>
  <c r="G90" i="4"/>
  <c r="G76" i="4"/>
  <c r="E50" i="4"/>
  <c r="G50" i="4" s="1"/>
  <c r="F25" i="6" l="1"/>
  <c r="D16" i="5"/>
  <c r="D12" i="5"/>
  <c r="F11" i="1"/>
  <c r="H11" i="1" s="1"/>
  <c r="F13" i="1"/>
  <c r="H13" i="1" s="1"/>
  <c r="F15" i="1"/>
  <c r="H15" i="1" s="1"/>
  <c r="F17" i="1"/>
  <c r="H17" i="1" s="1"/>
  <c r="F18" i="1"/>
  <c r="H18" i="1" s="1"/>
  <c r="F20" i="1"/>
  <c r="H20" i="1" s="1"/>
  <c r="F21" i="1"/>
  <c r="H21" i="1" s="1"/>
  <c r="F10" i="1"/>
  <c r="H10" i="1" s="1"/>
  <c r="D17" i="5" l="1"/>
  <c r="J46" i="13"/>
  <c r="J47" i="13"/>
  <c r="J48" i="13"/>
  <c r="J49" i="13"/>
  <c r="J50" i="13"/>
  <c r="G21" i="3"/>
  <c r="J37" i="7"/>
  <c r="J38" i="7"/>
  <c r="J39" i="7"/>
  <c r="J23" i="7"/>
  <c r="J31" i="14"/>
  <c r="J30" i="14"/>
  <c r="J29" i="14"/>
  <c r="J28" i="14"/>
  <c r="J21" i="13"/>
  <c r="J22" i="13"/>
  <c r="J28" i="13"/>
  <c r="J29" i="13"/>
  <c r="J33" i="13"/>
  <c r="J34" i="13"/>
  <c r="J35" i="13"/>
  <c r="J32" i="13"/>
  <c r="J31" i="13"/>
  <c r="J20" i="13"/>
  <c r="J51" i="13" l="1"/>
  <c r="J32" i="14"/>
  <c r="F39" i="4"/>
  <c r="F30" i="4"/>
  <c r="H47" i="4"/>
  <c r="J47" i="4" s="1"/>
  <c r="H41" i="4"/>
  <c r="J41" i="4" s="1"/>
  <c r="D21" i="4"/>
  <c r="D95" i="4" s="1"/>
  <c r="J30" i="7"/>
  <c r="J29" i="7"/>
  <c r="J28" i="7"/>
  <c r="J27" i="7"/>
  <c r="J11" i="7"/>
  <c r="J12" i="7"/>
  <c r="J18" i="7"/>
  <c r="J19" i="7"/>
  <c r="J10" i="7"/>
  <c r="C6" i="12"/>
  <c r="D6" i="12" s="1"/>
  <c r="E4" i="12"/>
  <c r="F4" i="12" s="1"/>
  <c r="E5" i="12"/>
  <c r="F5" i="12" s="1"/>
  <c r="E6" i="12"/>
  <c r="F6" i="12" s="1"/>
  <c r="E7" i="12"/>
  <c r="F7" i="12" s="1"/>
  <c r="E8" i="12"/>
  <c r="E9" i="12"/>
  <c r="E10" i="12"/>
  <c r="F10" i="12" s="1"/>
  <c r="E11" i="12"/>
  <c r="E12" i="12"/>
  <c r="F12" i="12" s="1"/>
  <c r="E13" i="12"/>
  <c r="F13" i="12" s="1"/>
  <c r="E14" i="12"/>
  <c r="F14" i="12" s="1"/>
  <c r="E15" i="12"/>
  <c r="F15" i="12" s="1"/>
  <c r="E16" i="12"/>
  <c r="F16" i="12" s="1"/>
  <c r="E17" i="12"/>
  <c r="F17" i="12" s="1"/>
  <c r="E18" i="12"/>
  <c r="F18" i="12" s="1"/>
  <c r="E19" i="12"/>
  <c r="F19" i="12" s="1"/>
  <c r="E20" i="12"/>
  <c r="F20" i="12" s="1"/>
  <c r="E21" i="12"/>
  <c r="F21" i="12" s="1"/>
  <c r="E22" i="12"/>
  <c r="F22" i="12" s="1"/>
  <c r="E3" i="12"/>
  <c r="C10" i="2"/>
  <c r="C11" i="2"/>
  <c r="C12" i="2"/>
  <c r="C13" i="2"/>
  <c r="C14" i="2"/>
  <c r="C15" i="2"/>
  <c r="C16" i="2"/>
  <c r="C17" i="2"/>
  <c r="C18" i="2"/>
  <c r="C19" i="2"/>
  <c r="C20" i="2"/>
  <c r="C21" i="2"/>
  <c r="C22" i="2"/>
  <c r="C23" i="2"/>
  <c r="C24" i="2"/>
  <c r="C4" i="12"/>
  <c r="C5" i="12"/>
  <c r="C7" i="12"/>
  <c r="C8" i="12"/>
  <c r="C9" i="12"/>
  <c r="C10" i="12"/>
  <c r="C11" i="12"/>
  <c r="C12" i="12"/>
  <c r="C13" i="12"/>
  <c r="C14" i="12"/>
  <c r="C15" i="12"/>
  <c r="D15" i="12" s="1"/>
  <c r="C16" i="12"/>
  <c r="D16" i="12" s="1"/>
  <c r="C17" i="12"/>
  <c r="D17" i="12" s="1"/>
  <c r="C18" i="12"/>
  <c r="D18" i="12" s="1"/>
  <c r="C19" i="12"/>
  <c r="D19" i="12" s="1"/>
  <c r="C20" i="12"/>
  <c r="D20" i="12" s="1"/>
  <c r="C21" i="12"/>
  <c r="D21" i="12" s="1"/>
  <c r="C22" i="12"/>
  <c r="D22" i="12" s="1"/>
  <c r="C3" i="12"/>
  <c r="B5" i="12"/>
  <c r="B6" i="12"/>
  <c r="B7" i="12"/>
  <c r="B8" i="12"/>
  <c r="B9" i="12"/>
  <c r="B10" i="12"/>
  <c r="B11" i="12"/>
  <c r="B12" i="12"/>
  <c r="B13" i="12"/>
  <c r="B14" i="12"/>
  <c r="B15" i="12"/>
  <c r="B16" i="12"/>
  <c r="B17" i="12"/>
  <c r="B18" i="12"/>
  <c r="B20" i="12"/>
  <c r="B21" i="12"/>
  <c r="B22" i="12"/>
  <c r="B3" i="12"/>
  <c r="B4" i="12"/>
  <c r="C10" i="1"/>
  <c r="C11" i="1"/>
  <c r="C12" i="1"/>
  <c r="C13" i="1"/>
  <c r="C14" i="1"/>
  <c r="C15" i="1"/>
  <c r="C16" i="1"/>
  <c r="C17" i="1"/>
  <c r="C18" i="1"/>
  <c r="C19" i="1"/>
  <c r="C20" i="1"/>
  <c r="C21" i="1"/>
  <c r="C23" i="1"/>
  <c r="C24" i="1"/>
  <c r="C25" i="1"/>
  <c r="C26" i="1"/>
  <c r="C27" i="1"/>
  <c r="C28" i="1"/>
  <c r="C29" i="1"/>
  <c r="C22" i="1"/>
  <c r="D36" i="1"/>
  <c r="D38" i="1"/>
  <c r="D39" i="1"/>
  <c r="D42" i="1"/>
  <c r="D43" i="1"/>
  <c r="D44" i="1"/>
  <c r="D45" i="1"/>
  <c r="D46" i="1"/>
  <c r="D47" i="1"/>
  <c r="D48" i="1"/>
  <c r="D49" i="1"/>
  <c r="D51" i="1"/>
  <c r="F51" i="1" s="1"/>
  <c r="D52" i="1"/>
  <c r="D53" i="1"/>
  <c r="D54" i="1"/>
  <c r="L18" i="12" l="1"/>
  <c r="J18" i="12"/>
  <c r="K18" i="12"/>
  <c r="I18" i="12"/>
  <c r="L10" i="12"/>
  <c r="J10" i="12"/>
  <c r="K10" i="12"/>
  <c r="I10" i="12"/>
  <c r="L16" i="12"/>
  <c r="J16" i="12"/>
  <c r="K16" i="12"/>
  <c r="I16" i="12"/>
  <c r="L8" i="12"/>
  <c r="J8" i="12"/>
  <c r="K8" i="12"/>
  <c r="I8" i="12"/>
  <c r="K21" i="12"/>
  <c r="I21" i="12"/>
  <c r="L21" i="12"/>
  <c r="J21" i="12"/>
  <c r="I12" i="12"/>
  <c r="L12" i="12"/>
  <c r="J12" i="12"/>
  <c r="K12" i="12"/>
  <c r="I4" i="12"/>
  <c r="L4" i="12"/>
  <c r="J4" i="12"/>
  <c r="K4" i="12"/>
  <c r="K15" i="12"/>
  <c r="I15" i="12"/>
  <c r="L15" i="12"/>
  <c r="J15" i="12"/>
  <c r="K7" i="12"/>
  <c r="I7" i="12"/>
  <c r="L7" i="12"/>
  <c r="J7" i="12"/>
  <c r="L17" i="12"/>
  <c r="J17" i="12"/>
  <c r="K17" i="12"/>
  <c r="I17" i="12"/>
  <c r="L9" i="12"/>
  <c r="J9" i="12"/>
  <c r="K9" i="12"/>
  <c r="I9" i="12"/>
  <c r="L3" i="12"/>
  <c r="K3" i="12"/>
  <c r="I3" i="12"/>
  <c r="J3" i="12"/>
  <c r="K14" i="12"/>
  <c r="I14" i="12"/>
  <c r="L14" i="12"/>
  <c r="J14" i="12"/>
  <c r="K6" i="12"/>
  <c r="I6" i="12"/>
  <c r="L6" i="12"/>
  <c r="J6" i="12"/>
  <c r="K22" i="12"/>
  <c r="I22" i="12"/>
  <c r="L22" i="12"/>
  <c r="J22" i="12"/>
  <c r="K13" i="12"/>
  <c r="I13" i="12"/>
  <c r="L13" i="12"/>
  <c r="J13" i="12"/>
  <c r="K5" i="12"/>
  <c r="I5" i="12"/>
  <c r="L5" i="12"/>
  <c r="J5" i="12"/>
  <c r="I20" i="12"/>
  <c r="L20" i="12"/>
  <c r="J20" i="12"/>
  <c r="K20" i="12"/>
  <c r="L11" i="12"/>
  <c r="J11" i="12"/>
  <c r="K11" i="12"/>
  <c r="I11" i="12"/>
  <c r="D17" i="2"/>
  <c r="E10" i="3"/>
  <c r="G10" i="3" s="1"/>
  <c r="E46" i="7"/>
  <c r="I18" i="1"/>
  <c r="F39" i="1"/>
  <c r="F42" i="1"/>
  <c r="F43" i="1"/>
  <c r="F44" i="1"/>
  <c r="F45" i="1"/>
  <c r="F46" i="1"/>
  <c r="F47" i="1"/>
  <c r="F48" i="1"/>
  <c r="F49" i="1"/>
  <c r="F52" i="1"/>
  <c r="F53" i="1"/>
  <c r="F54" i="1"/>
  <c r="H34" i="2"/>
  <c r="C37" i="14"/>
  <c r="C36" i="14"/>
  <c r="D55" i="13"/>
  <c r="D46" i="5"/>
  <c r="C24" i="12"/>
  <c r="C25" i="12" s="1"/>
  <c r="E47" i="7"/>
  <c r="E48" i="7"/>
  <c r="E53" i="7"/>
  <c r="E54" i="7"/>
  <c r="E57" i="7"/>
  <c r="E58" i="7"/>
  <c r="E59" i="7"/>
  <c r="E45" i="7"/>
  <c r="D30" i="6"/>
  <c r="B8" i="11"/>
  <c r="H35" i="2"/>
  <c r="H36" i="2"/>
  <c r="H37" i="2"/>
  <c r="H38" i="2"/>
  <c r="D31" i="6"/>
  <c r="G20" i="3"/>
  <c r="G22" i="3"/>
  <c r="G23" i="3"/>
  <c r="G24" i="3"/>
  <c r="G25" i="3"/>
  <c r="G26" i="3"/>
  <c r="G27" i="3"/>
  <c r="G28" i="3"/>
  <c r="G29" i="3"/>
  <c r="G30" i="3"/>
  <c r="G31" i="3"/>
  <c r="G32" i="3"/>
  <c r="G33" i="3"/>
  <c r="G34" i="3"/>
  <c r="G35" i="3"/>
  <c r="G36" i="3"/>
  <c r="G37" i="3"/>
  <c r="G38" i="3"/>
  <c r="G39" i="3"/>
  <c r="J40" i="7"/>
  <c r="J24" i="7"/>
  <c r="J26" i="7"/>
  <c r="J25" i="7"/>
  <c r="J22" i="7"/>
  <c r="J21" i="7"/>
  <c r="H30" i="2"/>
  <c r="H31" i="2"/>
  <c r="H32" i="2"/>
  <c r="H33" i="2"/>
  <c r="H39" i="2"/>
  <c r="H40" i="2"/>
  <c r="H67" i="2"/>
  <c r="H68" i="2"/>
  <c r="D11" i="1" l="1"/>
  <c r="D17" i="1"/>
  <c r="D10" i="1"/>
  <c r="D18" i="1"/>
  <c r="D19" i="1"/>
  <c r="F19" i="1" s="1"/>
  <c r="H19" i="1" s="1"/>
  <c r="I19" i="1" s="1"/>
  <c r="J19" i="1" s="1"/>
  <c r="D24" i="1"/>
  <c r="F24" i="1" s="1"/>
  <c r="H24" i="1" s="1"/>
  <c r="I24" i="1" s="1"/>
  <c r="J24" i="1" s="1"/>
  <c r="H17" i="12" s="1"/>
  <c r="D20" i="1"/>
  <c r="D13" i="1"/>
  <c r="D15" i="1"/>
  <c r="D29" i="1"/>
  <c r="F29" i="1" s="1"/>
  <c r="H29" i="1" s="1"/>
  <c r="I29" i="1" s="1"/>
  <c r="J29" i="1" s="1"/>
  <c r="H22" i="12" s="1"/>
  <c r="D25" i="1"/>
  <c r="F25" i="1" s="1"/>
  <c r="H25" i="1" s="1"/>
  <c r="I25" i="1" s="1"/>
  <c r="D27" i="1"/>
  <c r="F27" i="1" s="1"/>
  <c r="H27" i="1" s="1"/>
  <c r="I27" i="1" s="1"/>
  <c r="J27" i="1" s="1"/>
  <c r="H20" i="12" s="1"/>
  <c r="D26" i="1"/>
  <c r="F26" i="1" s="1"/>
  <c r="H26" i="1" s="1"/>
  <c r="I26" i="1" s="1"/>
  <c r="D14" i="1"/>
  <c r="F14" i="1" s="1"/>
  <c r="H14" i="1" s="1"/>
  <c r="I14" i="1" s="1"/>
  <c r="J14" i="1" s="1"/>
  <c r="D28" i="1"/>
  <c r="F28" i="1" s="1"/>
  <c r="H28" i="1" s="1"/>
  <c r="I28" i="1" s="1"/>
  <c r="J28" i="1" s="1"/>
  <c r="H21" i="12" s="1"/>
  <c r="D21" i="1"/>
  <c r="D12" i="1"/>
  <c r="F12" i="1" s="1"/>
  <c r="H12" i="1" s="1"/>
  <c r="I12" i="1" s="1"/>
  <c r="J12" i="1" s="1"/>
  <c r="D16" i="1"/>
  <c r="F16" i="1" s="1"/>
  <c r="H16" i="1" s="1"/>
  <c r="I16" i="1" s="1"/>
  <c r="J16" i="1" s="1"/>
  <c r="H9" i="12" s="1"/>
  <c r="D45" i="5"/>
  <c r="D23" i="1"/>
  <c r="F23" i="1" s="1"/>
  <c r="H23" i="1" s="1"/>
  <c r="I23" i="1" s="1"/>
  <c r="J23" i="1" s="1"/>
  <c r="H16" i="12" s="1"/>
  <c r="D22" i="1"/>
  <c r="F22" i="1" s="1"/>
  <c r="H22" i="1" s="1"/>
  <c r="I22" i="1" s="1"/>
  <c r="J22" i="1" s="1"/>
  <c r="H15" i="12" s="1"/>
  <c r="J41" i="7"/>
  <c r="I15" i="1"/>
  <c r="J15" i="1" s="1"/>
  <c r="H8" i="12" s="1"/>
  <c r="I17" i="1"/>
  <c r="J17" i="1" s="1"/>
  <c r="I10" i="1"/>
  <c r="J10" i="1" s="1"/>
  <c r="H3" i="12" s="1"/>
  <c r="J18" i="1"/>
  <c r="H11" i="12" s="1"/>
  <c r="I11" i="1"/>
  <c r="J11" i="1" s="1"/>
  <c r="I13" i="1"/>
  <c r="J13" i="1" s="1"/>
  <c r="H6" i="12" s="1"/>
  <c r="G41" i="5"/>
  <c r="D97" i="4"/>
  <c r="D15" i="2"/>
  <c r="F15" i="2" s="1"/>
  <c r="H15" i="2" s="1"/>
  <c r="H24" i="14"/>
  <c r="D36" i="14" s="1"/>
  <c r="D56" i="13"/>
  <c r="D47" i="5"/>
  <c r="D34" i="6"/>
  <c r="C16" i="11" s="1"/>
  <c r="I16" i="11" s="1"/>
  <c r="I21" i="1"/>
  <c r="J21" i="1" s="1"/>
  <c r="I20" i="1"/>
  <c r="J20" i="1" s="1"/>
  <c r="D37" i="14"/>
  <c r="E60" i="7"/>
  <c r="D8" i="11"/>
  <c r="G91" i="4"/>
  <c r="F38" i="1"/>
  <c r="G40" i="3"/>
  <c r="C15" i="11" s="1"/>
  <c r="I15" i="11" s="1"/>
  <c r="D16" i="2"/>
  <c r="F16" i="2" s="1"/>
  <c r="H16" i="2" s="1"/>
  <c r="D7" i="12" l="1"/>
  <c r="H7" i="12"/>
  <c r="D13" i="12"/>
  <c r="H13" i="12"/>
  <c r="D12" i="12"/>
  <c r="H12" i="12"/>
  <c r="D10" i="12"/>
  <c r="H10" i="12"/>
  <c r="D14" i="12"/>
  <c r="H14" i="12"/>
  <c r="D4" i="12"/>
  <c r="H4" i="12"/>
  <c r="D5" i="12"/>
  <c r="H5" i="12"/>
  <c r="E62" i="7"/>
  <c r="C14" i="11" s="1"/>
  <c r="I14" i="11" s="1"/>
  <c r="J26" i="1"/>
  <c r="J25" i="1"/>
  <c r="D41" i="1"/>
  <c r="F41" i="1" s="1"/>
  <c r="D9" i="12"/>
  <c r="F9" i="12"/>
  <c r="D11" i="12"/>
  <c r="F11" i="12"/>
  <c r="D3" i="12"/>
  <c r="F3" i="12"/>
  <c r="D8" i="12"/>
  <c r="F8" i="12"/>
  <c r="L18" i="1"/>
  <c r="D37" i="1"/>
  <c r="F37" i="1" s="1"/>
  <c r="L12" i="1"/>
  <c r="L17" i="1"/>
  <c r="L24" i="1"/>
  <c r="L11" i="1"/>
  <c r="L29" i="1"/>
  <c r="L16" i="1"/>
  <c r="F17" i="2"/>
  <c r="H17" i="2" s="1"/>
  <c r="D23" i="2"/>
  <c r="F23" i="2" s="1"/>
  <c r="H23" i="2" s="1"/>
  <c r="L13" i="1"/>
  <c r="D41" i="14"/>
  <c r="C20" i="11" s="1"/>
  <c r="I20" i="11" s="1"/>
  <c r="D49" i="5"/>
  <c r="C18" i="11" s="1"/>
  <c r="I18" i="11" s="1"/>
  <c r="D99" i="4"/>
  <c r="C17" i="11" s="1"/>
  <c r="I17" i="11" s="1"/>
  <c r="H21" i="11"/>
  <c r="D12" i="2"/>
  <c r="L21" i="1"/>
  <c r="C19" i="11"/>
  <c r="I19" i="11" s="1"/>
  <c r="L27" i="1"/>
  <c r="L28" i="1"/>
  <c r="D21" i="2"/>
  <c r="F21" i="2" s="1"/>
  <c r="H21" i="2" s="1"/>
  <c r="L20" i="1"/>
  <c r="D22" i="2"/>
  <c r="F22" i="2" s="1"/>
  <c r="H22" i="2" s="1"/>
  <c r="L19" i="1"/>
  <c r="D18" i="2"/>
  <c r="F18" i="2" s="1"/>
  <c r="H18" i="2" s="1"/>
  <c r="D24" i="2"/>
  <c r="F24" i="2" s="1"/>
  <c r="H24" i="2" s="1"/>
  <c r="L15" i="1"/>
  <c r="L23" i="1"/>
  <c r="D19" i="2"/>
  <c r="F19" i="2" s="1"/>
  <c r="H19" i="2" s="1"/>
  <c r="L14" i="1"/>
  <c r="D20" i="2"/>
  <c r="F20" i="2" s="1"/>
  <c r="H20" i="2" s="1"/>
  <c r="L22" i="1"/>
  <c r="D35" i="1"/>
  <c r="L10" i="1"/>
  <c r="L26" i="1" l="1"/>
  <c r="H19" i="12"/>
  <c r="L25" i="1"/>
  <c r="H18" i="12"/>
  <c r="D14" i="2"/>
  <c r="F14" i="2" s="1"/>
  <c r="H14" i="2" s="1"/>
  <c r="D50" i="1"/>
  <c r="F50" i="1" s="1"/>
  <c r="D10" i="2"/>
  <c r="F10" i="2" s="1"/>
  <c r="H10" i="2" s="1"/>
  <c r="D11" i="2"/>
  <c r="F11" i="2" s="1"/>
  <c r="H11" i="2" s="1"/>
  <c r="D13" i="2"/>
  <c r="F13" i="2" s="1"/>
  <c r="H13" i="2" s="1"/>
  <c r="F12" i="2"/>
  <c r="H12" i="2" s="1"/>
  <c r="D40" i="1"/>
  <c r="F40" i="1" s="1"/>
  <c r="F35" i="1"/>
  <c r="F36" i="1"/>
  <c r="L31" i="1" l="1"/>
  <c r="D29" i="2"/>
  <c r="H25" i="2"/>
  <c r="F56" i="1"/>
  <c r="F29" i="2" l="1"/>
  <c r="H29" i="2" s="1"/>
  <c r="H69" i="2" s="1"/>
  <c r="H71" i="2" s="1"/>
  <c r="C12" i="11"/>
  <c r="I12" i="11" s="1"/>
  <c r="C13" i="11" l="1"/>
  <c r="I13" i="11" s="1"/>
  <c r="I21" i="11" s="1"/>
  <c r="C2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Le Thanh, An</author>
  </authors>
  <commentList>
    <comment ref="C29" authorId="0" shapeId="0" xr:uid="{AEF0343C-1464-4967-8179-16BD71E07742}">
      <text>
        <r>
          <rPr>
            <sz val="9"/>
            <color indexed="81"/>
            <rFont val="Tahoma"/>
            <family val="2"/>
          </rPr>
          <t>Need to update formula if other type of safety box is used</t>
        </r>
      </text>
    </comment>
  </commentList>
</comments>
</file>

<file path=xl/sharedStrings.xml><?xml version="1.0" encoding="utf-8"?>
<sst xmlns="http://schemas.openxmlformats.org/spreadsheetml/2006/main" count="493" uniqueCount="286">
  <si>
    <t>BCG</t>
  </si>
  <si>
    <t>DPT-VGB-Hib (SII)</t>
  </si>
  <si>
    <t>OPV</t>
  </si>
  <si>
    <t>IPV</t>
  </si>
  <si>
    <t>DPT</t>
  </si>
  <si>
    <t>Td</t>
  </si>
  <si>
    <t>Quantity</t>
  </si>
  <si>
    <t>Syringe type 1</t>
  </si>
  <si>
    <t>Syringe type 2</t>
  </si>
  <si>
    <t>Start date</t>
  </si>
  <si>
    <t>End date</t>
  </si>
  <si>
    <t>Dung dịch pha tiêm</t>
  </si>
  <si>
    <t>Diluent demand</t>
  </si>
  <si>
    <t>Dose 1</t>
  </si>
  <si>
    <t>Dose 2</t>
  </si>
  <si>
    <t>Dose 3</t>
  </si>
  <si>
    <t>Dose 4</t>
  </si>
  <si>
    <t>For questions or support, contact PATH's Health Economics &amp; Outcomes Research team: HEOR@path.org</t>
  </si>
  <si>
    <r>
      <t xml:space="preserve">10. </t>
    </r>
    <r>
      <rPr>
        <b/>
        <sz val="11"/>
        <color theme="1"/>
        <rFont val="Aptos Narrow"/>
        <family val="2"/>
        <scheme val="minor"/>
      </rPr>
      <t>Microplanning</t>
    </r>
    <r>
      <rPr>
        <sz val="11"/>
        <color theme="1"/>
        <rFont val="Aptos Narrow"/>
        <family val="2"/>
        <scheme val="minor"/>
      </rPr>
      <t xml:space="preserve"> worksheet allows the facility to plan for resources needed to conduct microplanning for routine immunization.</t>
    </r>
  </si>
  <si>
    <r>
      <rPr>
        <b/>
        <i/>
        <sz val="11"/>
        <color theme="1"/>
        <rFont val="Aptos Narrow"/>
        <family val="2"/>
        <scheme val="minor"/>
      </rPr>
      <t xml:space="preserve">Note: </t>
    </r>
    <r>
      <rPr>
        <i/>
        <sz val="11"/>
        <color theme="1"/>
        <rFont val="Aptos Narrow"/>
        <family val="2"/>
        <scheme val="minor"/>
      </rPr>
      <t xml:space="preserve">Please fill in data for blue cells               </t>
    </r>
  </si>
  <si>
    <r>
      <rPr>
        <b/>
        <i/>
        <sz val="11"/>
        <color theme="1"/>
        <rFont val="Aptos Narrow"/>
        <family val="2"/>
        <scheme val="minor"/>
      </rPr>
      <t>Note: Users fill in general information about the vaccination program of the facility</t>
    </r>
    <r>
      <rPr>
        <i/>
        <sz val="11"/>
        <color theme="1"/>
        <rFont val="Aptos Narrow"/>
        <family val="2"/>
        <scheme val="minor"/>
      </rPr>
      <t>.</t>
    </r>
  </si>
  <si>
    <t>XX primary health center</t>
  </si>
  <si>
    <t>Summary of results</t>
  </si>
  <si>
    <t>Items</t>
  </si>
  <si>
    <t>Budget need</t>
  </si>
  <si>
    <t>Expected covered amount</t>
  </si>
  <si>
    <t>Unfunded amount</t>
  </si>
  <si>
    <t>Funding source 1</t>
  </si>
  <si>
    <t>Funding source 2</t>
  </si>
  <si>
    <t>Expected amount</t>
  </si>
  <si>
    <t>Vaccines and diluents</t>
  </si>
  <si>
    <t>Injection supplies</t>
  </si>
  <si>
    <t>Cold chain system</t>
  </si>
  <si>
    <t>Personnel</t>
  </si>
  <si>
    <t>Transportation</t>
  </si>
  <si>
    <t>Outreach activities</t>
  </si>
  <si>
    <t>Training &amp; social mobilization</t>
  </si>
  <si>
    <t>Microplanning</t>
  </si>
  <si>
    <t>Quality assurance</t>
  </si>
  <si>
    <t>General information</t>
  </si>
  <si>
    <t>Name of facility</t>
  </si>
  <si>
    <t>Planning period starting month and year (mm/yyyy)</t>
  </si>
  <si>
    <t>Wastage factor of injection supplies</t>
  </si>
  <si>
    <t>Wastage rate or factor, depending on each country</t>
  </si>
  <si>
    <t>Buffer rate for vaccines and injection supplies</t>
  </si>
  <si>
    <t>Syringe types used</t>
  </si>
  <si>
    <t>Sources of funding for immunization at the facility?</t>
  </si>
  <si>
    <t>National EPI</t>
  </si>
  <si>
    <t>Provincial EPI fund</t>
  </si>
  <si>
    <t>Provincial health fund</t>
  </si>
  <si>
    <t>District health fund</t>
  </si>
  <si>
    <t>Facility revenues</t>
  </si>
  <si>
    <t>Target population</t>
  </si>
  <si>
    <r>
      <t xml:space="preserve">Projected </t>
    </r>
    <r>
      <rPr>
        <b/>
        <u/>
        <sz val="11"/>
        <color theme="1"/>
        <rFont val="Aptos Narrow"/>
        <family val="2"/>
        <scheme val="minor"/>
      </rPr>
      <t>annual</t>
    </r>
    <r>
      <rPr>
        <b/>
        <sz val="11"/>
        <color theme="1"/>
        <rFont val="Aptos Narrow"/>
        <family val="2"/>
        <scheme val="minor"/>
      </rPr>
      <t xml:space="preserve"> quantity </t>
    </r>
  </si>
  <si>
    <t>Under 12 months</t>
  </si>
  <si>
    <t>12 months</t>
  </si>
  <si>
    <t>18 months</t>
  </si>
  <si>
    <t>24 months</t>
  </si>
  <si>
    <t>7 years old</t>
  </si>
  <si>
    <t>Pregnant women</t>
  </si>
  <si>
    <t>Under 12 months for catch-up</t>
  </si>
  <si>
    <t>Above 12 months for catch-up</t>
  </si>
  <si>
    <t>Catch-up for measles 1-14 years old</t>
  </si>
  <si>
    <t>Vaccines provided at the facility</t>
  </si>
  <si>
    <t>Select syringe type 1</t>
  </si>
  <si>
    <t>Select syringe type 2 if needed</t>
  </si>
  <si>
    <t>Diluent need (if not included in the vaccine pack)</t>
  </si>
  <si>
    <t>Yes</t>
  </si>
  <si>
    <t>Hep B</t>
  </si>
  <si>
    <t>Measles</t>
  </si>
  <si>
    <t>Measles-Rubella</t>
  </si>
  <si>
    <t>JE</t>
  </si>
  <si>
    <t>Tetanus</t>
  </si>
  <si>
    <t>9 months</t>
  </si>
  <si>
    <t>12mo, 12mo+ 2 weeks, 24 mo</t>
  </si>
  <si>
    <t>Vaccine wastage factor</t>
  </si>
  <si>
    <t>Coverage rate</t>
  </si>
  <si>
    <t>Number of doses per vial</t>
  </si>
  <si>
    <t>Catch-up dose</t>
  </si>
  <si>
    <t>Note</t>
  </si>
  <si>
    <r>
      <t xml:space="preserve">Budget for vaccines
</t>
    </r>
    <r>
      <rPr>
        <i/>
        <sz val="11"/>
        <color theme="1"/>
        <rFont val="Aptos Narrow"/>
        <family val="2"/>
        <scheme val="minor"/>
      </rPr>
      <t>(Based on vaccine demand in the planned period)</t>
    </r>
  </si>
  <si>
    <t>Vaccine</t>
  </si>
  <si>
    <t>Auto-calculated target population</t>
  </si>
  <si>
    <t>User-input target population</t>
  </si>
  <si>
    <t>Target population for calculation</t>
  </si>
  <si>
    <t>Quantity in stock
(dose)</t>
  </si>
  <si>
    <t>Total doses
(dose)</t>
  </si>
  <si>
    <t>Number of doses for buffer
(dose)</t>
  </si>
  <si>
    <t>Total doses needed
(dose)</t>
  </si>
  <si>
    <t>Cost per dose</t>
  </si>
  <si>
    <t>Total budget need for vaccine</t>
  </si>
  <si>
    <t>Total</t>
  </si>
  <si>
    <t>TOTAL</t>
  </si>
  <si>
    <t>Budget for diluents</t>
  </si>
  <si>
    <t>Diluent</t>
  </si>
  <si>
    <t>Demand</t>
  </si>
  <si>
    <t>Unit cost</t>
  </si>
  <si>
    <t>Budget for syringes</t>
  </si>
  <si>
    <t>Syringes</t>
  </si>
  <si>
    <t>Quantity in stock</t>
  </si>
  <si>
    <t>Total quantity in need</t>
  </si>
  <si>
    <r>
      <t xml:space="preserve">Demand 
</t>
    </r>
    <r>
      <rPr>
        <sz val="11"/>
        <color theme="1"/>
        <rFont val="Aptos Narrow"/>
        <family val="2"/>
        <scheme val="minor"/>
      </rPr>
      <t>(with wastage &amp; buffer)</t>
    </r>
  </si>
  <si>
    <t xml:space="preserve">Demand </t>
  </si>
  <si>
    <r>
      <t xml:space="preserve">Total quantity in need </t>
    </r>
    <r>
      <rPr>
        <sz val="11"/>
        <color theme="1"/>
        <rFont val="Aptos Narrow"/>
        <family val="2"/>
        <scheme val="minor"/>
      </rPr>
      <t>(with wastage)</t>
    </r>
  </si>
  <si>
    <t>Safety box 5L</t>
  </si>
  <si>
    <t>Anti-shock medicine/kit</t>
  </si>
  <si>
    <t>Cotton ball</t>
  </si>
  <si>
    <t>Bandage</t>
  </si>
  <si>
    <t>Hand sanitizer</t>
  </si>
  <si>
    <t>Mask</t>
  </si>
  <si>
    <t>Gloves</t>
  </si>
  <si>
    <t>Green trash bin</t>
  </si>
  <si>
    <t>Yellow trash bin</t>
  </si>
  <si>
    <t>Green plastic bag</t>
  </si>
  <si>
    <t>Yellow plastic bag</t>
  </si>
  <si>
    <t>Waste management</t>
  </si>
  <si>
    <t>Vaccination book</t>
  </si>
  <si>
    <t>Budget for cold chain equipment and consumables</t>
  </si>
  <si>
    <t>Cold chain equipment</t>
  </si>
  <si>
    <t>Demand quantity</t>
  </si>
  <si>
    <t>Year of purchase</t>
  </si>
  <si>
    <t>Expected lifespan</t>
  </si>
  <si>
    <t>Consumables</t>
  </si>
  <si>
    <t>Fridge</t>
  </si>
  <si>
    <t>Power generator</t>
  </si>
  <si>
    <t>Voltage stabilizer</t>
  </si>
  <si>
    <t>Cold box</t>
  </si>
  <si>
    <t>Vaccine carrier type 1</t>
  </si>
  <si>
    <t>Vaccine carrier type 2</t>
  </si>
  <si>
    <t>Thermometer</t>
  </si>
  <si>
    <t>Fridge tag</t>
  </si>
  <si>
    <t>Freeze tag</t>
  </si>
  <si>
    <t>Vaccine temperature monitoring and alarm system/RTMS</t>
  </si>
  <si>
    <t>Budget for cold chain system operation</t>
  </si>
  <si>
    <t>Operation cost</t>
  </si>
  <si>
    <t>Monthly cost</t>
  </si>
  <si>
    <t>Electricity</t>
  </si>
  <si>
    <t>Equipment maintenance</t>
  </si>
  <si>
    <t>Power generator operation costs (fuel,…)</t>
  </si>
  <si>
    <t>Temperature monitoring sheets printouts</t>
  </si>
  <si>
    <t>Position</t>
  </si>
  <si>
    <t>Existing or need new?</t>
  </si>
  <si>
    <t>Gross monthly wage/allowances</t>
  </si>
  <si>
    <t>Other monthly benefits</t>
  </si>
  <si>
    <t>Cost for shipping and handling per delivery</t>
  </si>
  <si>
    <t>Number of times for each planning period</t>
  </si>
  <si>
    <t>Cost for each time</t>
  </si>
  <si>
    <t>Total cost</t>
  </si>
  <si>
    <t>Budget for transportation</t>
  </si>
  <si>
    <t>Type</t>
  </si>
  <si>
    <t>Vaccine transport</t>
  </si>
  <si>
    <t>Other transport</t>
  </si>
  <si>
    <r>
      <t xml:space="preserve">Average number of days </t>
    </r>
    <r>
      <rPr>
        <b/>
        <u/>
        <sz val="11"/>
        <color theme="1"/>
        <rFont val="Aptos Narrow"/>
        <family val="2"/>
        <scheme val="minor"/>
      </rPr>
      <t>per outreach</t>
    </r>
  </si>
  <si>
    <t>Staff participating in outeach activities</t>
  </si>
  <si>
    <t>Number of staff</t>
  </si>
  <si>
    <t>Manager</t>
  </si>
  <si>
    <t>Staff</t>
  </si>
  <si>
    <t>Fuel price per liter</t>
  </si>
  <si>
    <t>Gasoline</t>
  </si>
  <si>
    <t xml:space="preserve">Diesel </t>
  </si>
  <si>
    <t>Transportation for outeach</t>
  </si>
  <si>
    <t>Means of transportation</t>
  </si>
  <si>
    <t>Renting vehicle</t>
  </si>
  <si>
    <t>Rent cost per day per vehicle</t>
  </si>
  <si>
    <t>Total cost for planning period</t>
  </si>
  <si>
    <t>Motorbike</t>
  </si>
  <si>
    <t>Car</t>
  </si>
  <si>
    <t>Boat</t>
  </si>
  <si>
    <t>Vehicle owned by the facility</t>
  </si>
  <si>
    <t>Operation costs</t>
  </si>
  <si>
    <t>Maintenance/Repair</t>
  </si>
  <si>
    <t>Monthly cost per vehicle</t>
  </si>
  <si>
    <t>Fuel costs</t>
  </si>
  <si>
    <t>Car (Gasoline)</t>
  </si>
  <si>
    <t>Car (Diesel)</t>
  </si>
  <si>
    <r>
      <t xml:space="preserve">Average distance per day of outreach per vehicle </t>
    </r>
    <r>
      <rPr>
        <sz val="11"/>
        <color theme="1"/>
        <rFont val="Aptos Narrow"/>
        <family val="2"/>
        <scheme val="minor"/>
      </rPr>
      <t>(in km)</t>
    </r>
  </si>
  <si>
    <t>Materials and supplies for outreach activities</t>
  </si>
  <si>
    <t>Quantity for each outreach</t>
  </si>
  <si>
    <t xml:space="preserve">Unit </t>
  </si>
  <si>
    <t>List of target population</t>
  </si>
  <si>
    <t>Screening sheets</t>
  </si>
  <si>
    <t>sheet</t>
  </si>
  <si>
    <t>Budget for outreach activities</t>
  </si>
  <si>
    <t>Allowance</t>
  </si>
  <si>
    <t>Transport</t>
  </si>
  <si>
    <t>Materials and supplies</t>
  </si>
  <si>
    <t>Training for CHW and vaccinators</t>
  </si>
  <si>
    <t>Number of staff for each training</t>
  </si>
  <si>
    <t>Cost per pax</t>
  </si>
  <si>
    <t>Material printouts: 20,000/pax. Refreshment: 40,000/pax. Instructor: 500,000.</t>
  </si>
  <si>
    <t>Training for social mobilizers</t>
  </si>
  <si>
    <t>Number of communication or community engagement events for each planning period</t>
  </si>
  <si>
    <t>Cost to organize each event</t>
  </si>
  <si>
    <t>Quantity for planning period</t>
  </si>
  <si>
    <t>Unit</t>
  </si>
  <si>
    <t>Loudspeaker</t>
  </si>
  <si>
    <t>IEC materials development</t>
  </si>
  <si>
    <t>IEC materials printing</t>
  </si>
  <si>
    <t>IEC materials shipping</t>
  </si>
  <si>
    <t>Budget for training &amp; social mobilization</t>
  </si>
  <si>
    <t>Trainings</t>
  </si>
  <si>
    <t>Social mobilization event organization</t>
  </si>
  <si>
    <t>House-to-house survey, target population validation</t>
  </si>
  <si>
    <t>Number of times conduct survey/validation during planning period</t>
  </si>
  <si>
    <t>Number of surveyors each time</t>
  </si>
  <si>
    <t>Number of days each time</t>
  </si>
  <si>
    <t>Travel allowance per staff per day</t>
  </si>
  <si>
    <t>Per diem per staff per day</t>
  </si>
  <si>
    <t>Equipment, device</t>
  </si>
  <si>
    <t xml:space="preserve">Supplies, materials </t>
  </si>
  <si>
    <t>Computer</t>
  </si>
  <si>
    <t>Printer</t>
  </si>
  <si>
    <t>Desks</t>
  </si>
  <si>
    <t>Printer cartridge</t>
  </si>
  <si>
    <t>Printer paper</t>
  </si>
  <si>
    <t>for reports</t>
  </si>
  <si>
    <t>Log book</t>
  </si>
  <si>
    <t>Budget for microplanning</t>
  </si>
  <si>
    <t>House-to-house survey</t>
  </si>
  <si>
    <t>Costs for organizing/attending review and monitoring activities</t>
  </si>
  <si>
    <t>Number of times</t>
  </si>
  <si>
    <t>Number of staff each time</t>
  </si>
  <si>
    <t>Cost per staff per day</t>
  </si>
  <si>
    <t>Review meeting</t>
  </si>
  <si>
    <t>Disease surveillance</t>
  </si>
  <si>
    <t xml:space="preserve">Materials and supplies for quality assurance </t>
  </si>
  <si>
    <t>Budget for quality assurance</t>
  </si>
  <si>
    <t xml:space="preserve">Budget tool for routine immunization at the community level </t>
  </si>
  <si>
    <r>
      <t xml:space="preserve">The </t>
    </r>
    <r>
      <rPr>
        <b/>
        <sz val="11"/>
        <color theme="1"/>
        <rFont val="Aptos Narrow"/>
        <family val="2"/>
        <scheme val="minor"/>
      </rPr>
      <t>budget tool for routine immunization</t>
    </r>
    <r>
      <rPr>
        <sz val="11"/>
        <color theme="1"/>
        <rFont val="Aptos Narrow"/>
        <family val="2"/>
        <scheme val="minor"/>
      </rPr>
      <t xml:space="preserve"> is a simple tool for estimating costs and planning the budget needed to implement the immunization program. The tool can be used by community health facilities to develop their budget plan for financing their immunization activities. This is a product of PATH and partners under grant support from Gavi, the Vaccine Alliance. </t>
    </r>
  </si>
  <si>
    <r>
      <t xml:space="preserve">3. </t>
    </r>
    <r>
      <rPr>
        <b/>
        <sz val="11"/>
        <color theme="1"/>
        <rFont val="Aptos Narrow"/>
        <family val="2"/>
        <scheme val="minor"/>
      </rPr>
      <t>Vaccine demand</t>
    </r>
    <r>
      <rPr>
        <sz val="11"/>
        <color theme="1"/>
        <rFont val="Aptos Narrow"/>
        <family val="2"/>
        <scheme val="minor"/>
      </rPr>
      <t xml:space="preserve"> worksheet requires projected vaccine needs for the planning period. Users can copy data from current forms and paste the data into corresponding columns.</t>
    </r>
  </si>
  <si>
    <r>
      <t xml:space="preserve">4. </t>
    </r>
    <r>
      <rPr>
        <b/>
        <sz val="11"/>
        <color theme="1"/>
        <rFont val="Aptos Narrow"/>
        <family val="2"/>
        <scheme val="minor"/>
      </rPr>
      <t>Injection supplies</t>
    </r>
    <r>
      <rPr>
        <sz val="11"/>
        <color theme="1"/>
        <rFont val="Aptos Narrow"/>
        <family val="2"/>
        <scheme val="minor"/>
      </rPr>
      <t xml:space="preserve"> worksheet is where users enter injection supplies and costs. Demand for syringes will be auto-calculated, but the quantity in stock needs to be entered.</t>
    </r>
  </si>
  <si>
    <r>
      <t xml:space="preserve">5. </t>
    </r>
    <r>
      <rPr>
        <b/>
        <sz val="11"/>
        <color theme="1"/>
        <rFont val="Aptos Narrow"/>
        <family val="2"/>
        <scheme val="minor"/>
      </rPr>
      <t xml:space="preserve">Cold chain </t>
    </r>
    <r>
      <rPr>
        <sz val="11"/>
        <color theme="1"/>
        <rFont val="Aptos Narrow"/>
        <family val="2"/>
        <scheme val="minor"/>
      </rPr>
      <t xml:space="preserve">worksheet plans for cold chain equipment and consumables, as well as operational costs of the system. </t>
    </r>
  </si>
  <si>
    <r>
      <t xml:space="preserve">6. </t>
    </r>
    <r>
      <rPr>
        <b/>
        <sz val="11"/>
        <color theme="1"/>
        <rFont val="Aptos Narrow"/>
        <family val="2"/>
        <scheme val="minor"/>
      </rPr>
      <t>Personnel</t>
    </r>
    <r>
      <rPr>
        <sz val="11"/>
        <color theme="1"/>
        <rFont val="Aptos Narrow"/>
        <family val="2"/>
        <scheme val="minor"/>
      </rPr>
      <t xml:space="preserve"> worksheet lists all the facility staff, including the need for new hires for the planning period.</t>
    </r>
  </si>
  <si>
    <r>
      <t xml:space="preserve">11. </t>
    </r>
    <r>
      <rPr>
        <b/>
        <sz val="11"/>
        <color theme="1"/>
        <rFont val="Aptos Narrow"/>
        <family val="2"/>
        <scheme val="minor"/>
      </rPr>
      <t>Quality assurance</t>
    </r>
    <r>
      <rPr>
        <sz val="11"/>
        <color theme="1"/>
        <rFont val="Aptos Narrow"/>
        <family val="2"/>
        <scheme val="minor"/>
      </rPr>
      <t xml:space="preserve"> worksheet is where users can enter costs for supervision, monitoring, review meetings, surveillance, adverse events following immunization (AEFI), and monitoring, etc.</t>
    </r>
  </si>
  <si>
    <t xml:space="preserve">In each worksheet, please fill in information or select options for the blue or green cells. Do not work in gray cells because they are auto-calculated. For worksheets containing multiple tables, users should follow the numbering to fill in data. The prefilled information presents examples, and users can add, remove, or leave blank, depending on the facility situation. </t>
  </si>
  <si>
    <t>Do not fill in gray cells; they are automatically updated.</t>
  </si>
  <si>
    <r>
      <rPr>
        <b/>
        <i/>
        <sz val="11"/>
        <color theme="1"/>
        <rFont val="Aptos Narrow"/>
        <family val="2"/>
        <scheme val="minor"/>
      </rPr>
      <t xml:space="preserve">Note: </t>
    </r>
    <r>
      <rPr>
        <i/>
        <sz val="11"/>
        <color theme="1"/>
        <rFont val="Aptos Narrow"/>
        <family val="2"/>
        <scheme val="minor"/>
      </rPr>
      <t xml:space="preserve">Please fill in data for blue cells.               </t>
    </r>
  </si>
  <si>
    <t>Please select an option for green cells.</t>
  </si>
  <si>
    <t xml:space="preserve">Please fill in data for blue cells.              </t>
  </si>
  <si>
    <t>Months of planning (1, 3, 6, 12, …)</t>
  </si>
  <si>
    <t xml:space="preserve">Number of months of buffering for vaccines </t>
  </si>
  <si>
    <t>Syringe 0.1 mL</t>
  </si>
  <si>
    <t>Syringe AD 0.5 mL</t>
  </si>
  <si>
    <t>Syringe 1 mL</t>
  </si>
  <si>
    <t>Syringe 2 mL</t>
  </si>
  <si>
    <t>Syringe 5 mL</t>
  </si>
  <si>
    <t>JE vaccine 1 mL for 3 years old</t>
  </si>
  <si>
    <r>
      <t xml:space="preserve">Vaccines, syringes, wastage, coverage 
</t>
    </r>
    <r>
      <rPr>
        <b/>
        <i/>
        <sz val="11"/>
        <color rgb="FFFF0000"/>
        <rFont val="Aptos Narrow"/>
        <family val="2"/>
        <scheme val="minor"/>
      </rPr>
      <t>Note</t>
    </r>
    <r>
      <rPr>
        <i/>
        <sz val="11"/>
        <color rgb="FFFF0000"/>
        <rFont val="Aptos Narrow"/>
        <family val="2"/>
        <scheme val="minor"/>
      </rPr>
      <t xml:space="preserve">: Can delete or move </t>
    </r>
    <r>
      <rPr>
        <b/>
        <i/>
        <u/>
        <sz val="11"/>
        <color rgb="FFFF0000"/>
        <rFont val="Aptos Narrow"/>
        <family val="2"/>
        <scheme val="minor"/>
      </rPr>
      <t>contents</t>
    </r>
    <r>
      <rPr>
        <i/>
        <sz val="11"/>
        <color rgb="FFFF0000"/>
        <rFont val="Aptos Narrow"/>
        <family val="2"/>
        <scheme val="minor"/>
      </rPr>
      <t xml:space="preserve"> in the cells, but </t>
    </r>
    <r>
      <rPr>
        <b/>
        <i/>
        <u/>
        <sz val="11"/>
        <color rgb="FFFF0000"/>
        <rFont val="Aptos Narrow"/>
        <family val="2"/>
        <scheme val="minor"/>
      </rPr>
      <t>do not delete the whole row</t>
    </r>
    <r>
      <rPr>
        <i/>
        <sz val="11"/>
        <color rgb="FFFF0000"/>
        <rFont val="Aptos Narrow"/>
        <family val="2"/>
        <scheme val="minor"/>
      </rPr>
      <t xml:space="preserve"> in this table. </t>
    </r>
  </si>
  <si>
    <t>JE 1 mL for 3 yo</t>
  </si>
  <si>
    <t>2, 3, 4 months</t>
  </si>
  <si>
    <t>5, 9 months</t>
  </si>
  <si>
    <t>Alcohol</t>
  </si>
  <si>
    <t>For vaccination at the facility and outreach (number of vaccinators*number of sessions per day*number of vaccination days per month*3 masks/vaccinator/session).</t>
  </si>
  <si>
    <t>Ice pack 300 mL</t>
  </si>
  <si>
    <t>Ice pack 400 mL</t>
  </si>
  <si>
    <t>Ice pack 600 mL</t>
  </si>
  <si>
    <r>
      <t xml:space="preserve">Budget for personnel 
</t>
    </r>
    <r>
      <rPr>
        <b/>
        <i/>
        <sz val="11"/>
        <color theme="1"/>
        <rFont val="Aptos Narrow"/>
        <family val="2"/>
        <scheme val="minor"/>
      </rPr>
      <t xml:space="preserve">Note: </t>
    </r>
    <r>
      <rPr>
        <i/>
        <sz val="11"/>
        <color theme="1"/>
        <rFont val="Aptos Narrow"/>
        <family val="2"/>
        <scheme val="minor"/>
      </rPr>
      <t>Please include here personnel supporting the immunization program whose salaries are not paid by the facility's regular operation budget. This may include personnel outside the facility, health volunteers, staff of civil society organizations (CSOs), etc.</t>
    </r>
  </si>
  <si>
    <r>
      <t xml:space="preserve">In this worksheet, please list costs for transportation of vaccines and injection supplies from other locations to this facility (if the facility needs to pay) and all other required transportation costs, such as waste transport, supplies shipping, and travel not included in other worksheets. 
</t>
    </r>
    <r>
      <rPr>
        <b/>
        <u/>
        <sz val="11"/>
        <color theme="1"/>
        <rFont val="Aptos Narrow"/>
        <family val="2"/>
        <scheme val="minor"/>
      </rPr>
      <t>Note</t>
    </r>
    <r>
      <rPr>
        <sz val="11"/>
        <color theme="1"/>
        <rFont val="Aptos Narrow"/>
        <family val="2"/>
        <scheme val="minor"/>
      </rPr>
      <t xml:space="preserve"> that vaccine transport costs may need to account for costs of shipping and handling in a way to maintain the required temperature.</t>
    </r>
  </si>
  <si>
    <t>Cost for vaccine transportation from upper-level storage to this facility</t>
  </si>
  <si>
    <t>Number of deliveries for each planning period</t>
  </si>
  <si>
    <t xml:space="preserve">Other transport costs </t>
  </si>
  <si>
    <r>
      <t>*Note: Cost for outreach transportation is listed in</t>
    </r>
    <r>
      <rPr>
        <b/>
        <sz val="11"/>
        <color theme="1"/>
        <rFont val="Aptos Narrow"/>
        <family val="2"/>
        <scheme val="minor"/>
      </rPr>
      <t xml:space="preserve"> 8. Outreach</t>
    </r>
    <r>
      <rPr>
        <sz val="11"/>
        <color theme="1"/>
        <rFont val="Aptos Narrow"/>
        <family val="2"/>
        <scheme val="minor"/>
      </rPr>
      <t xml:space="preserve"> tab.</t>
    </r>
  </si>
  <si>
    <r>
      <t xml:space="preserve">Outreach activities planning
 </t>
    </r>
    <r>
      <rPr>
        <i/>
        <sz val="11"/>
        <color theme="1"/>
        <rFont val="Aptos Narrow"/>
        <family val="2"/>
        <scheme val="minor"/>
      </rPr>
      <t>(Outreach events may vary in number of days and staff involved; please fill in the average across all events.)</t>
    </r>
  </si>
  <si>
    <r>
      <t xml:space="preserve">Number of outreach activities </t>
    </r>
    <r>
      <rPr>
        <b/>
        <u/>
        <sz val="11"/>
        <color theme="1"/>
        <rFont val="Aptos Narrow"/>
        <family val="2"/>
        <scheme val="minor"/>
      </rPr>
      <t>per month</t>
    </r>
  </si>
  <si>
    <r>
      <t xml:space="preserve">Per diem/allowance </t>
    </r>
    <r>
      <rPr>
        <b/>
        <u/>
        <sz val="11"/>
        <color theme="1"/>
        <rFont val="Aptos Narrow"/>
        <family val="2"/>
        <scheme val="minor"/>
      </rPr>
      <t>per person per day</t>
    </r>
    <r>
      <rPr>
        <sz val="11"/>
        <color theme="1"/>
        <rFont val="Aptos Narrow"/>
        <family val="2"/>
        <scheme val="minor"/>
      </rPr>
      <t xml:space="preserve"> </t>
    </r>
  </si>
  <si>
    <t xml:space="preserve">Fuel consumption (# liters per 100 km) </t>
  </si>
  <si>
    <r>
      <t xml:space="preserve">Trainings
</t>
    </r>
    <r>
      <rPr>
        <i/>
        <sz val="11"/>
        <color theme="1"/>
        <rFont val="Aptos Narrow"/>
        <family val="2"/>
        <scheme val="minor"/>
      </rPr>
      <t>This should cover all costs associated with organizing trainings, such as costs for trainers, venue hire, refreshments, etc., or costs for staff to attend trainings, such as per diem and travel allowance.</t>
    </r>
  </si>
  <si>
    <t xml:space="preserve">Number of trainings for each planning period </t>
  </si>
  <si>
    <r>
      <t xml:space="preserve">Social mobilization event organization
</t>
    </r>
    <r>
      <rPr>
        <i/>
        <sz val="11"/>
        <color theme="1"/>
        <rFont val="Aptos Narrow"/>
        <family val="2"/>
        <scheme val="minor"/>
      </rPr>
      <t>This may include community events, child health days, vaccination weeks, or other specific events where vaccines will be messaged and/or provided.</t>
    </r>
    <r>
      <rPr>
        <b/>
        <sz val="11"/>
        <color theme="1"/>
        <rFont val="Aptos Narrow"/>
        <family val="2"/>
        <scheme val="minor"/>
      </rPr>
      <t xml:space="preserve">
</t>
    </r>
  </si>
  <si>
    <r>
      <t xml:space="preserve">Note
</t>
    </r>
    <r>
      <rPr>
        <i/>
        <sz val="11"/>
        <color theme="1"/>
        <rFont val="Aptos Narrow"/>
        <family val="2"/>
        <scheme val="minor"/>
      </rPr>
      <t>This should cover all costs to organize the event, such as media, venue hire, refreshments, etc.</t>
    </r>
  </si>
  <si>
    <t>Equipment; supplies; information, education, communication (IEC) materials; and others for training and social mobilization</t>
  </si>
  <si>
    <t>Equipment, supplies, IEC materials, and others</t>
  </si>
  <si>
    <r>
      <rPr>
        <b/>
        <sz val="11"/>
        <color theme="1"/>
        <rFont val="Aptos Narrow"/>
        <family val="2"/>
        <scheme val="minor"/>
      </rPr>
      <t>Routine immunization microplanning</t>
    </r>
    <r>
      <rPr>
        <sz val="11"/>
        <color theme="1"/>
        <rFont val="Aptos Narrow"/>
        <family val="2"/>
        <scheme val="minor"/>
      </rPr>
      <t xml:space="preserve"> includes a set of activities to: 
- Enlist and map all villages/hamlets/hard-to-reach areas under your community health center administrative area.
- Identify all beneficiaries (pregnant women, infants, children) for RI services via house-to-house survey.
- Estimate and plan the vaccine and logistic requirements, including modes of delivery.
- Prepare plans for a strong RI service delivery.
</t>
    </r>
    <r>
      <rPr>
        <b/>
        <sz val="11"/>
        <color theme="1"/>
        <rFont val="Aptos Narrow"/>
        <family val="2"/>
        <scheme val="minor"/>
      </rPr>
      <t>Microplanning</t>
    </r>
    <r>
      <rPr>
        <sz val="11"/>
        <color theme="1"/>
        <rFont val="Aptos Narrow"/>
        <family val="2"/>
        <scheme val="minor"/>
      </rPr>
      <t xml:space="preserve"> is key to having a strong, effective RI program that can reach every community. The process can only be conducted if budget is allocated for it.</t>
    </r>
  </si>
  <si>
    <t>Equipment, supplies, and materials for microplanning</t>
  </si>
  <si>
    <t>Equipment, supplies, and materials</t>
  </si>
  <si>
    <t>Quality assurance may include, but is not limited to, supervision and monitoring activities, organizing and/or attending review meetings to ensure the quality of vaccines and vaccine delivery, surveillance, and adverse events following immunization (AEFI) monitoring.</t>
  </si>
  <si>
    <t>The tool consists of 12 worksheets, which should be read from left to right. To navigate the worksheets, use the red buttons at the top of the worksheets. The name of the current worksheet is indicated by underlining.</t>
  </si>
  <si>
    <r>
      <t xml:space="preserve">1. </t>
    </r>
    <r>
      <rPr>
        <b/>
        <sz val="11"/>
        <color theme="1"/>
        <rFont val="Aptos Narrow"/>
        <family val="2"/>
        <scheme val="minor"/>
      </rPr>
      <t>Dashboard</t>
    </r>
    <r>
      <rPr>
        <sz val="11"/>
        <color theme="1"/>
        <rFont val="Aptos Narrow"/>
        <family val="2"/>
        <scheme val="minor"/>
      </rPr>
      <t xml:space="preserve"> worksheet is the summary sheet, which is auto-calculated after all sheets are filled. Users select the sources of funding for the facility immunization activities. The results in</t>
    </r>
    <r>
      <rPr>
        <b/>
        <sz val="11"/>
        <color theme="1"/>
        <rFont val="Aptos Narrow"/>
        <family val="2"/>
        <scheme val="minor"/>
      </rPr>
      <t xml:space="preserve"> Dashboard </t>
    </r>
    <r>
      <rPr>
        <sz val="11"/>
        <color theme="1"/>
        <rFont val="Aptos Narrow"/>
        <family val="2"/>
        <scheme val="minor"/>
      </rPr>
      <t>can be used to aggregate to the district-level information.</t>
    </r>
  </si>
  <si>
    <r>
      <t xml:space="preserve">2. </t>
    </r>
    <r>
      <rPr>
        <b/>
        <sz val="11"/>
        <color theme="1"/>
        <rFont val="Aptos Narrow"/>
        <family val="2"/>
        <scheme val="minor"/>
      </rPr>
      <t>RI info</t>
    </r>
    <r>
      <rPr>
        <sz val="11"/>
        <color theme="1"/>
        <rFont val="Aptos Narrow"/>
        <family val="2"/>
        <scheme val="minor"/>
      </rPr>
      <t xml:space="preserve"> worksheet is where users start to input data into the tool. General information about the immunization program, including the planning period, vaccines provided at the facility, types of syringes, wastage, and buffer rate need to be filled in first to structure further worksheets.</t>
    </r>
  </si>
  <si>
    <r>
      <t xml:space="preserve">7. </t>
    </r>
    <r>
      <rPr>
        <b/>
        <sz val="11"/>
        <color theme="1"/>
        <rFont val="Aptos Narrow"/>
        <family val="2"/>
        <scheme val="minor"/>
      </rPr>
      <t>Transportation</t>
    </r>
    <r>
      <rPr>
        <sz val="11"/>
        <color theme="1"/>
        <rFont val="Aptos Narrow"/>
        <family val="2"/>
        <scheme val="minor"/>
      </rPr>
      <t xml:space="preserve"> worksheet includes the costs for transporting vaccines and injection supplies from other locations to this facility (if the facility bears this cost) and all other required transportation costs, such as waste transport, supplies shipping, and travel not included in </t>
    </r>
    <r>
      <rPr>
        <b/>
        <sz val="11"/>
        <color theme="1"/>
        <rFont val="Aptos Narrow"/>
        <family val="2"/>
        <scheme val="minor"/>
      </rPr>
      <t>Training &amp; social mobilization</t>
    </r>
    <r>
      <rPr>
        <sz val="11"/>
        <color theme="1"/>
        <rFont val="Aptos Narrow"/>
        <family val="2"/>
        <scheme val="minor"/>
      </rPr>
      <t xml:space="preserve"> worksheet. Transportation for outreach activities is not listed here, but in the </t>
    </r>
    <r>
      <rPr>
        <b/>
        <sz val="11"/>
        <color theme="1"/>
        <rFont val="Aptos Narrow"/>
        <family val="2"/>
        <scheme val="minor"/>
      </rPr>
      <t xml:space="preserve">Outreach activities </t>
    </r>
    <r>
      <rPr>
        <sz val="11"/>
        <color theme="1"/>
        <rFont val="Aptos Narrow"/>
        <family val="2"/>
        <scheme val="minor"/>
      </rPr>
      <t>worksheet.</t>
    </r>
  </si>
  <si>
    <r>
      <t xml:space="preserve">9. </t>
    </r>
    <r>
      <rPr>
        <b/>
        <sz val="11"/>
        <color theme="1"/>
        <rFont val="Aptos Narrow"/>
        <family val="2"/>
        <scheme val="minor"/>
      </rPr>
      <t>Training &amp; social mobilization</t>
    </r>
    <r>
      <rPr>
        <sz val="11"/>
        <color theme="1"/>
        <rFont val="Aptos Narrow"/>
        <family val="2"/>
        <scheme val="minor"/>
      </rPr>
      <t xml:space="preserve"> worksheet covers costs for training, communications, and social mobilization.</t>
    </r>
  </si>
  <si>
    <r>
      <t xml:space="preserve">8. </t>
    </r>
    <r>
      <rPr>
        <b/>
        <sz val="11"/>
        <color theme="1"/>
        <rFont val="Aptos Narrow"/>
        <family val="2"/>
        <scheme val="minor"/>
      </rPr>
      <t>Outreach activities</t>
    </r>
    <r>
      <rPr>
        <sz val="11"/>
        <color theme="1"/>
        <rFont val="Aptos Narrow"/>
        <family val="2"/>
        <scheme val="minor"/>
      </rPr>
      <t xml:space="preserve"> worksheet is where to plan for vaccination outside the facility, such as to hard-to-reach areas. Cold chain supplies needed for outreach activities, if not yet listed in the </t>
    </r>
    <r>
      <rPr>
        <b/>
        <sz val="11"/>
        <color theme="1"/>
        <rFont val="Aptos Narrow"/>
        <family val="2"/>
        <scheme val="minor"/>
      </rPr>
      <t xml:space="preserve">Cold chain </t>
    </r>
    <r>
      <rPr>
        <sz val="11"/>
        <color theme="1"/>
        <rFont val="Aptos Narrow"/>
        <family val="2"/>
        <scheme val="minor"/>
      </rPr>
      <t>worksheet, can be included here, but avoid duplication.</t>
    </r>
  </si>
  <si>
    <t xml:space="preserve">Please fill in data for blue cells. </t>
  </si>
  <si>
    <t>Please do not make changes in gray cells.</t>
  </si>
  <si>
    <t>Public address system (audio system)</t>
  </si>
  <si>
    <t>Budget for injection supplies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</si>
</sst>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yyyy"/>
    <numFmt numFmtId="165" formatCode="0.0"/>
    <numFmt numFmtId="166" formatCode="#,##0.0"/>
  </numFmts>
  <fonts count="15" x14ac:knownFonts="1">
    <font>
      <sz val="11"/>
      <color theme="1"/>
      <name val="Aptos Narrow"/>
      <family val="2"/>
      <scheme val="minor"/>
    </font>
    <font>
      <b/>
      <sz val="11"/>
      <color theme="1"/>
      <name val="Aptos Narrow"/>
      <family val="2"/>
      <scheme val="minor"/>
    </font>
    <font>
      <sz val="11"/>
      <color theme="1"/>
      <name val="Aptos Narrow"/>
      <family val="2"/>
      <scheme val="minor"/>
    </font>
    <font>
      <sz val="9"/>
      <color indexed="81"/>
      <name val="Tahoma"/>
      <family val="2"/>
    </font>
    <font>
      <b/>
      <sz val="22"/>
      <color theme="1"/>
      <name val="Aptos Display"/>
      <family val="2"/>
      <scheme val="major"/>
    </font>
    <font>
      <i/>
      <sz val="9"/>
      <color theme="1"/>
      <name val="Aptos Narrow"/>
      <family val="2"/>
      <scheme val="minor"/>
    </font>
    <font>
      <sz val="11"/>
      <color rgb="FFFF0000"/>
      <name val="Aptos Narrow"/>
      <family val="2"/>
      <scheme val="minor"/>
    </font>
    <font>
      <i/>
      <sz val="11"/>
      <color theme="1"/>
      <name val="Aptos Narrow"/>
      <family val="2"/>
      <scheme val="minor"/>
    </font>
    <font>
      <b/>
      <i/>
      <sz val="11"/>
      <color theme="1"/>
      <name val="Aptos Narrow"/>
      <family val="2"/>
      <scheme val="minor"/>
    </font>
    <font>
      <b/>
      <u/>
      <sz val="11"/>
      <color theme="1"/>
      <name val="Aptos Narrow"/>
      <family val="2"/>
      <scheme val="minor"/>
    </font>
    <font>
      <b/>
      <sz val="11"/>
      <name val="Aptos Narrow"/>
      <family val="2"/>
      <scheme val="minor"/>
    </font>
    <font>
      <i/>
      <sz val="11"/>
      <color rgb="FFFF0000"/>
      <name val="Aptos Narrow"/>
      <family val="2"/>
      <scheme val="minor"/>
    </font>
    <font>
      <b/>
      <i/>
      <u/>
      <sz val="11"/>
      <color rgb="FFFF0000"/>
      <name val="Aptos Narrow"/>
      <family val="2"/>
      <scheme val="minor"/>
    </font>
    <font>
      <sz val="11"/>
      <name val="Aptos Narrow"/>
      <family val="2"/>
      <scheme val="minor"/>
    </font>
    <font>
      <b/>
      <i/>
      <sz val="11"/>
      <color rgb="FFFF0000"/>
      <name val="Aptos Narrow"/>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4"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321">
    <xf numFmtId="0" fontId="0" fillId="0" borderId="0" xfId="0"/>
    <xf numFmtId="0" fontId="0" fillId="0" borderId="0" xfId="0"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0" fillId="0" borderId="0" xfId="0" applyAlignment="1">
      <alignment vertical="top"/>
    </xf>
    <xf numFmtId="0" fontId="0" fillId="2" borderId="1" xfId="0" applyFill="1" applyBorder="1" applyAlignment="1">
      <alignment vertical="top"/>
    </xf>
    <xf numFmtId="0" fontId="1" fillId="0" borderId="0" xfId="0" applyFont="1" applyAlignment="1">
      <alignment vertical="top"/>
    </xf>
    <xf numFmtId="9" fontId="0" fillId="0" borderId="0" xfId="1" applyFont="1" applyAlignment="1">
      <alignment vertical="top"/>
    </xf>
    <xf numFmtId="0" fontId="0" fillId="2" borderId="5" xfId="0" applyFill="1" applyBorder="1" applyAlignment="1">
      <alignment vertical="top"/>
    </xf>
    <xf numFmtId="0" fontId="0" fillId="2" borderId="7" xfId="0" applyFill="1" applyBorder="1" applyAlignment="1">
      <alignment vertical="top"/>
    </xf>
    <xf numFmtId="0" fontId="0" fillId="2" borderId="8" xfId="0" applyFill="1" applyBorder="1" applyAlignment="1">
      <alignment vertical="top"/>
    </xf>
    <xf numFmtId="0" fontId="4" fillId="0" borderId="0" xfId="0" applyFont="1"/>
    <xf numFmtId="0" fontId="0" fillId="2" borderId="29" xfId="0" applyFill="1" applyBorder="1" applyAlignment="1">
      <alignment vertical="top"/>
    </xf>
    <xf numFmtId="0" fontId="0" fillId="2" borderId="30" xfId="0" applyFill="1" applyBorder="1" applyAlignment="1">
      <alignment vertical="top"/>
    </xf>
    <xf numFmtId="0" fontId="0" fillId="2" borderId="31" xfId="0" applyFill="1" applyBorder="1" applyAlignment="1">
      <alignment vertical="top"/>
    </xf>
    <xf numFmtId="0" fontId="0" fillId="0" borderId="32"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4" borderId="1" xfId="0" applyFill="1" applyBorder="1" applyAlignment="1">
      <alignment vertical="top"/>
    </xf>
    <xf numFmtId="0" fontId="0" fillId="4" borderId="8" xfId="0" applyFill="1" applyBorder="1" applyAlignment="1">
      <alignment vertical="top"/>
    </xf>
    <xf numFmtId="0" fontId="0" fillId="0" borderId="42" xfId="0" applyBorder="1" applyAlignment="1">
      <alignment vertical="top" wrapText="1"/>
    </xf>
    <xf numFmtId="0" fontId="0" fillId="0" borderId="0" xfId="0" applyAlignment="1">
      <alignment horizontal="left" vertical="top" wrapText="1"/>
    </xf>
    <xf numFmtId="0" fontId="4" fillId="0" borderId="0" xfId="0" applyFont="1" applyAlignment="1">
      <alignment vertical="top"/>
    </xf>
    <xf numFmtId="165" fontId="0" fillId="2" borderId="30" xfId="1" applyNumberFormat="1" applyFont="1" applyFill="1" applyBorder="1" applyAlignment="1">
      <alignment vertical="top"/>
    </xf>
    <xf numFmtId="1" fontId="0" fillId="2" borderId="31" xfId="1" applyNumberFormat="1" applyFont="1" applyFill="1" applyBorder="1" applyAlignment="1">
      <alignment vertical="top"/>
    </xf>
    <xf numFmtId="0" fontId="1" fillId="0" borderId="39" xfId="0" applyFont="1" applyBorder="1" applyAlignment="1">
      <alignment vertical="top" wrapText="1"/>
    </xf>
    <xf numFmtId="0" fontId="1" fillId="0" borderId="20" xfId="0" applyFont="1" applyBorder="1" applyAlignment="1">
      <alignment vertical="top"/>
    </xf>
    <xf numFmtId="0" fontId="1" fillId="0" borderId="12" xfId="0" applyFont="1" applyBorder="1" applyAlignment="1">
      <alignment vertical="top" wrapText="1"/>
    </xf>
    <xf numFmtId="0" fontId="4" fillId="0" borderId="0" xfId="0" applyFont="1" applyProtection="1">
      <protection locked="0"/>
    </xf>
    <xf numFmtId="0" fontId="0" fillId="0" borderId="0" xfId="0" applyProtection="1">
      <protection locked="0"/>
    </xf>
    <xf numFmtId="0" fontId="1" fillId="0" borderId="2"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0" fillId="0" borderId="5" xfId="0" applyBorder="1" applyProtection="1">
      <protection locked="0"/>
    </xf>
    <xf numFmtId="0" fontId="0" fillId="0" borderId="25" xfId="0" applyBorder="1" applyProtection="1">
      <protection locked="0"/>
    </xf>
    <xf numFmtId="0" fontId="0" fillId="0" borderId="20" xfId="0" applyBorder="1" applyAlignment="1" applyProtection="1">
      <alignment horizontal="center" vertical="top" wrapText="1"/>
      <protection locked="0"/>
    </xf>
    <xf numFmtId="0" fontId="1" fillId="0" borderId="0" xfId="0" applyFont="1" applyProtection="1">
      <protection locked="0"/>
    </xf>
    <xf numFmtId="3" fontId="0" fillId="2" borderId="1" xfId="0" applyNumberFormat="1" applyFill="1" applyBorder="1" applyProtection="1">
      <protection locked="0"/>
    </xf>
    <xf numFmtId="3" fontId="0" fillId="4" borderId="1" xfId="0" applyNumberFormat="1" applyFill="1" applyBorder="1" applyProtection="1">
      <protection locked="0"/>
    </xf>
    <xf numFmtId="3" fontId="0" fillId="2" borderId="8" xfId="0" applyNumberFormat="1" applyFill="1" applyBorder="1" applyProtection="1">
      <protection locked="0"/>
    </xf>
    <xf numFmtId="3" fontId="0" fillId="0" borderId="0" xfId="0" applyNumberFormat="1" applyProtection="1">
      <protection locked="0"/>
    </xf>
    <xf numFmtId="3" fontId="1" fillId="0" borderId="0" xfId="0" applyNumberFormat="1" applyFont="1" applyProtection="1">
      <protection locked="0"/>
    </xf>
    <xf numFmtId="0" fontId="0" fillId="2" borderId="5" xfId="0" applyFill="1" applyBorder="1" applyProtection="1">
      <protection locked="0"/>
    </xf>
    <xf numFmtId="0" fontId="0" fillId="2" borderId="7" xfId="0" applyFill="1" applyBorder="1" applyProtection="1">
      <protection locked="0"/>
    </xf>
    <xf numFmtId="0" fontId="1" fillId="0" borderId="20" xfId="0" applyFont="1" applyBorder="1" applyProtection="1">
      <protection locked="0"/>
    </xf>
    <xf numFmtId="0" fontId="0" fillId="2" borderId="25" xfId="0" applyFill="1" applyBorder="1" applyProtection="1">
      <protection locked="0"/>
    </xf>
    <xf numFmtId="3" fontId="0" fillId="2" borderId="24" xfId="0" applyNumberFormat="1" applyFill="1" applyBorder="1" applyProtection="1">
      <protection locked="0"/>
    </xf>
    <xf numFmtId="3" fontId="0" fillId="2" borderId="5" xfId="0" applyNumberFormat="1" applyFill="1" applyBorder="1" applyProtection="1">
      <protection locked="0"/>
    </xf>
    <xf numFmtId="3" fontId="0" fillId="2" borderId="7" xfId="0" applyNumberFormat="1" applyFill="1" applyBorder="1" applyProtection="1">
      <protection locked="0"/>
    </xf>
    <xf numFmtId="0" fontId="0" fillId="4" borderId="1" xfId="0" applyFill="1" applyBorder="1" applyProtection="1">
      <protection locked="0"/>
    </xf>
    <xf numFmtId="0" fontId="0" fillId="4" borderId="8" xfId="0" applyFill="1" applyBorder="1" applyProtection="1">
      <protection locked="0"/>
    </xf>
    <xf numFmtId="0" fontId="0" fillId="0" borderId="0" xfId="0" applyAlignment="1" applyProtection="1">
      <alignment vertical="top" wrapText="1"/>
      <protection locked="0"/>
    </xf>
    <xf numFmtId="0" fontId="1" fillId="0" borderId="13" xfId="0" applyFont="1" applyBorder="1" applyAlignment="1" applyProtection="1">
      <alignment vertical="top"/>
      <protection locked="0"/>
    </xf>
    <xf numFmtId="0" fontId="0" fillId="0" borderId="15"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7" xfId="0" applyBorder="1" applyAlignment="1" applyProtection="1">
      <alignment vertical="top" wrapText="1"/>
      <protection locked="0"/>
    </xf>
    <xf numFmtId="3" fontId="0" fillId="2" borderId="9" xfId="0" applyNumberFormat="1" applyFill="1" applyBorder="1" applyAlignment="1" applyProtection="1">
      <alignment vertical="top" wrapText="1"/>
      <protection locked="0"/>
    </xf>
    <xf numFmtId="0" fontId="1" fillId="0" borderId="0" xfId="0" applyFont="1" applyAlignment="1" applyProtection="1">
      <alignment vertical="top" wrapText="1"/>
      <protection locked="0"/>
    </xf>
    <xf numFmtId="0" fontId="0" fillId="0" borderId="14"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 xfId="0" applyBorder="1" applyAlignment="1" applyProtection="1">
      <alignment vertical="top" wrapText="1"/>
      <protection locked="0"/>
    </xf>
    <xf numFmtId="0" fontId="0" fillId="2" borderId="5" xfId="0" applyFill="1" applyBorder="1" applyAlignment="1" applyProtection="1">
      <alignment vertical="top" wrapText="1"/>
      <protection locked="0"/>
    </xf>
    <xf numFmtId="3" fontId="0" fillId="2" borderId="1" xfId="0" applyNumberFormat="1" applyFill="1" applyBorder="1" applyAlignment="1" applyProtection="1">
      <alignment vertical="top" wrapText="1"/>
      <protection locked="0"/>
    </xf>
    <xf numFmtId="0" fontId="0" fillId="2" borderId="7" xfId="0" applyFill="1" applyBorder="1" applyAlignment="1" applyProtection="1">
      <alignment vertical="top" wrapText="1"/>
      <protection locked="0"/>
    </xf>
    <xf numFmtId="3" fontId="0" fillId="2" borderId="8" xfId="0" applyNumberFormat="1" applyFill="1" applyBorder="1" applyAlignment="1" applyProtection="1">
      <alignment vertical="top" wrapText="1"/>
      <protection locked="0"/>
    </xf>
    <xf numFmtId="0" fontId="0" fillId="0" borderId="0" xfId="0" applyAlignment="1" applyProtection="1">
      <alignment vertical="top"/>
      <protection locked="0"/>
    </xf>
    <xf numFmtId="0" fontId="0" fillId="0" borderId="15" xfId="0" applyBorder="1" applyAlignment="1" applyProtection="1">
      <alignment vertical="top"/>
      <protection locked="0"/>
    </xf>
    <xf numFmtId="0" fontId="0" fillId="0" borderId="5" xfId="0" applyBorder="1" applyAlignment="1" applyProtection="1">
      <alignment vertical="top"/>
      <protection locked="0"/>
    </xf>
    <xf numFmtId="0" fontId="0" fillId="0" borderId="26" xfId="0" applyBorder="1" applyAlignment="1" applyProtection="1">
      <alignment vertical="top"/>
      <protection locked="0"/>
    </xf>
    <xf numFmtId="3" fontId="0" fillId="2" borderId="1" xfId="0" applyNumberFormat="1" applyFill="1" applyBorder="1" applyAlignment="1" applyProtection="1">
      <alignment vertical="top"/>
      <protection locked="0"/>
    </xf>
    <xf numFmtId="0" fontId="0" fillId="0" borderId="26" xfId="0" applyBorder="1" applyAlignment="1" applyProtection="1">
      <alignment vertical="top" wrapText="1"/>
      <protection locked="0"/>
    </xf>
    <xf numFmtId="0" fontId="0" fillId="0" borderId="27" xfId="0" applyBorder="1" applyAlignment="1" applyProtection="1">
      <alignment vertical="top" wrapText="1"/>
      <protection locked="0"/>
    </xf>
    <xf numFmtId="3" fontId="0" fillId="2" borderId="8" xfId="0" applyNumberFormat="1" applyFill="1" applyBorder="1" applyAlignment="1" applyProtection="1">
      <alignment vertical="top"/>
      <protection locked="0"/>
    </xf>
    <xf numFmtId="3" fontId="0" fillId="2" borderId="6" xfId="0" applyNumberFormat="1" applyFill="1" applyBorder="1" applyAlignment="1" applyProtection="1">
      <alignment vertical="top"/>
      <protection locked="0"/>
    </xf>
    <xf numFmtId="3" fontId="0" fillId="2" borderId="9" xfId="0" applyNumberFormat="1" applyFill="1" applyBorder="1" applyAlignment="1" applyProtection="1">
      <alignment vertical="top"/>
      <protection locked="0"/>
    </xf>
    <xf numFmtId="0" fontId="1" fillId="0" borderId="2" xfId="0" applyFont="1" applyBorder="1" applyAlignment="1" applyProtection="1">
      <alignment vertical="top"/>
      <protection locked="0"/>
    </xf>
    <xf numFmtId="0" fontId="1" fillId="0" borderId="4" xfId="0" applyFont="1" applyBorder="1" applyAlignment="1" applyProtection="1">
      <alignment vertical="top"/>
      <protection locked="0"/>
    </xf>
    <xf numFmtId="0" fontId="0" fillId="0" borderId="7" xfId="0" applyBorder="1" applyAlignment="1" applyProtection="1">
      <alignment vertical="top"/>
      <protection locked="0"/>
    </xf>
    <xf numFmtId="0" fontId="0" fillId="0" borderId="5" xfId="0" applyBorder="1" applyAlignment="1" applyProtection="1">
      <alignment horizontal="left" vertical="top" wrapText="1"/>
      <protection locked="0"/>
    </xf>
    <xf numFmtId="3" fontId="0" fillId="2" borderId="24" xfId="0" applyNumberFormat="1" applyFill="1" applyBorder="1" applyAlignment="1" applyProtection="1">
      <alignment vertical="top"/>
      <protection locked="0"/>
    </xf>
    <xf numFmtId="0" fontId="0" fillId="0" borderId="7" xfId="0" applyBorder="1" applyAlignment="1" applyProtection="1">
      <alignment horizontal="left" vertical="top" wrapText="1"/>
      <protection locked="0"/>
    </xf>
    <xf numFmtId="0" fontId="1" fillId="0" borderId="13" xfId="0" applyFont="1" applyBorder="1" applyAlignment="1" applyProtection="1">
      <alignment horizontal="left" vertical="top"/>
      <protection locked="0"/>
    </xf>
    <xf numFmtId="0" fontId="0" fillId="2" borderId="5" xfId="0" applyFill="1" applyBorder="1" applyAlignment="1" applyProtection="1">
      <alignment vertical="top"/>
      <protection locked="0"/>
    </xf>
    <xf numFmtId="0" fontId="0" fillId="2" borderId="1" xfId="0" applyFill="1" applyBorder="1" applyAlignment="1" applyProtection="1">
      <alignment vertical="top"/>
      <protection locked="0"/>
    </xf>
    <xf numFmtId="0" fontId="0" fillId="2" borderId="7" xfId="0" applyFill="1" applyBorder="1" applyAlignment="1" applyProtection="1">
      <alignment vertical="top"/>
      <protection locked="0"/>
    </xf>
    <xf numFmtId="0" fontId="0" fillId="2" borderId="8" xfId="0" applyFill="1" applyBorder="1" applyAlignment="1" applyProtection="1">
      <alignment vertical="top"/>
      <protection locked="0"/>
    </xf>
    <xf numFmtId="0" fontId="0" fillId="0" borderId="16" xfId="0" applyBorder="1" applyAlignment="1" applyProtection="1">
      <alignment vertical="top"/>
      <protection locked="0"/>
    </xf>
    <xf numFmtId="0" fontId="0" fillId="0" borderId="16" xfId="0" applyBorder="1" applyAlignment="1" applyProtection="1">
      <alignment vertical="top" wrapText="1"/>
      <protection locked="0"/>
    </xf>
    <xf numFmtId="0" fontId="1" fillId="0" borderId="18" xfId="0" applyFont="1" applyBorder="1" applyAlignment="1" applyProtection="1">
      <alignment vertical="top" wrapText="1"/>
      <protection locked="0"/>
    </xf>
    <xf numFmtId="0" fontId="1" fillId="0" borderId="16" xfId="0" applyFont="1" applyBorder="1" applyAlignment="1" applyProtection="1">
      <alignment vertical="top"/>
      <protection locked="0"/>
    </xf>
    <xf numFmtId="0" fontId="0" fillId="0" borderId="17" xfId="0" applyBorder="1" applyAlignment="1" applyProtection="1">
      <alignment vertical="top"/>
      <protection locked="0"/>
    </xf>
    <xf numFmtId="0" fontId="6" fillId="0" borderId="0" xfId="0" applyFont="1" applyAlignment="1" applyProtection="1">
      <alignment vertical="top"/>
      <protection locked="0"/>
    </xf>
    <xf numFmtId="0" fontId="1" fillId="0" borderId="32" xfId="0" applyFont="1" applyBorder="1" applyAlignment="1" applyProtection="1">
      <alignment horizontal="center" vertical="top" wrapText="1"/>
      <protection locked="0"/>
    </xf>
    <xf numFmtId="0" fontId="0" fillId="0" borderId="20" xfId="0" applyBorder="1" applyProtection="1">
      <protection locked="0"/>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1" fillId="0" borderId="20" xfId="0" applyFont="1" applyBorder="1" applyAlignment="1" applyProtection="1">
      <alignment vertical="top"/>
      <protection locked="0"/>
    </xf>
    <xf numFmtId="0" fontId="7" fillId="0" borderId="0" xfId="0" applyFont="1" applyProtection="1">
      <protection locked="0"/>
    </xf>
    <xf numFmtId="0" fontId="7" fillId="0" borderId="0" xfId="0" applyFont="1" applyAlignment="1">
      <alignment horizontal="left" vertical="top"/>
    </xf>
    <xf numFmtId="0" fontId="7" fillId="0" borderId="0" xfId="0" applyFont="1" applyAlignment="1" applyProtection="1">
      <alignment horizontal="left" vertical="top"/>
      <protection locked="0"/>
    </xf>
    <xf numFmtId="0" fontId="6" fillId="0" borderId="0" xfId="0" applyFont="1" applyProtection="1">
      <protection locked="0"/>
    </xf>
    <xf numFmtId="0" fontId="1" fillId="0" borderId="12" xfId="0" applyFont="1" applyBorder="1" applyAlignment="1">
      <alignment vertical="top"/>
    </xf>
    <xf numFmtId="1" fontId="0" fillId="2" borderId="44" xfId="1" applyNumberFormat="1" applyFont="1" applyFill="1" applyBorder="1" applyAlignment="1">
      <alignment vertical="top"/>
    </xf>
    <xf numFmtId="1" fontId="0" fillId="2" borderId="45" xfId="1" applyNumberFormat="1" applyFont="1" applyFill="1" applyBorder="1" applyAlignment="1">
      <alignment vertical="top"/>
    </xf>
    <xf numFmtId="166" fontId="0" fillId="0" borderId="0" xfId="0" applyNumberFormat="1" applyProtection="1">
      <protection locked="0"/>
    </xf>
    <xf numFmtId="165" fontId="0" fillId="3" borderId="1" xfId="2" applyNumberFormat="1" applyFont="1" applyFill="1" applyBorder="1" applyProtection="1"/>
    <xf numFmtId="165" fontId="0" fillId="3" borderId="8" xfId="2" applyNumberFormat="1" applyFont="1" applyFill="1" applyBorder="1" applyProtection="1"/>
    <xf numFmtId="0" fontId="0" fillId="0" borderId="49" xfId="0" applyBorder="1" applyProtection="1">
      <protection locked="0"/>
    </xf>
    <xf numFmtId="0" fontId="1" fillId="0" borderId="20" xfId="0" applyFont="1" applyBorder="1" applyAlignment="1" applyProtection="1">
      <alignment vertical="top" wrapText="1"/>
      <protection locked="0"/>
    </xf>
    <xf numFmtId="0" fontId="0" fillId="0" borderId="30" xfId="0" applyBorder="1" applyProtection="1">
      <protection locked="0"/>
    </xf>
    <xf numFmtId="0" fontId="0" fillId="0" borderId="31" xfId="0" applyBorder="1" applyProtection="1">
      <protection locked="0"/>
    </xf>
    <xf numFmtId="0" fontId="0" fillId="0" borderId="43" xfId="0" applyBorder="1" applyProtection="1">
      <protection locked="0"/>
    </xf>
    <xf numFmtId="0" fontId="1" fillId="0" borderId="12" xfId="0" applyFont="1" applyBorder="1" applyAlignment="1" applyProtection="1">
      <alignment horizontal="center" vertical="top" wrapText="1"/>
      <protection locked="0"/>
    </xf>
    <xf numFmtId="0" fontId="1" fillId="0" borderId="29" xfId="0" applyFont="1" applyBorder="1" applyAlignment="1" applyProtection="1">
      <alignment horizontal="center" vertical="center" wrapText="1"/>
      <protection locked="0"/>
    </xf>
    <xf numFmtId="0" fontId="1" fillId="0" borderId="0" xfId="0" applyFont="1" applyAlignment="1" applyProtection="1">
      <alignment vertical="top"/>
      <protection locked="0"/>
    </xf>
    <xf numFmtId="0" fontId="0" fillId="0" borderId="10" xfId="0" applyBorder="1" applyAlignment="1" applyProtection="1">
      <alignment vertical="top" wrapText="1"/>
      <protection locked="0"/>
    </xf>
    <xf numFmtId="0" fontId="0" fillId="0" borderId="25" xfId="0" applyBorder="1" applyAlignment="1" applyProtection="1">
      <alignment vertical="top" wrapText="1"/>
      <protection locked="0"/>
    </xf>
    <xf numFmtId="0" fontId="1" fillId="0" borderId="12" xfId="0" applyFont="1" applyBorder="1" applyAlignment="1" applyProtection="1">
      <alignment horizontal="center" vertical="center" wrapText="1"/>
      <protection locked="0"/>
    </xf>
    <xf numFmtId="1" fontId="0" fillId="2" borderId="1" xfId="0" applyNumberFormat="1" applyFill="1" applyBorder="1" applyAlignment="1" applyProtection="1">
      <alignment vertical="top"/>
      <protection locked="0"/>
    </xf>
    <xf numFmtId="3" fontId="0" fillId="2" borderId="35" xfId="0" applyNumberFormat="1" applyFill="1" applyBorder="1" applyAlignment="1" applyProtection="1">
      <alignment vertical="top"/>
      <protection locked="0"/>
    </xf>
    <xf numFmtId="3" fontId="0" fillId="2" borderId="47" xfId="0" applyNumberFormat="1" applyFill="1" applyBorder="1" applyAlignment="1" applyProtection="1">
      <alignment vertical="top"/>
      <protection locked="0"/>
    </xf>
    <xf numFmtId="1" fontId="0" fillId="2" borderId="8" xfId="0" applyNumberFormat="1" applyFill="1" applyBorder="1" applyAlignment="1" applyProtection="1">
      <alignment vertical="top"/>
      <protection locked="0"/>
    </xf>
    <xf numFmtId="0" fontId="0" fillId="0" borderId="25" xfId="0" applyBorder="1" applyAlignment="1" applyProtection="1">
      <alignment horizontal="left" vertical="top" wrapText="1"/>
      <protection locked="0"/>
    </xf>
    <xf numFmtId="3" fontId="0" fillId="2" borderId="48" xfId="0" applyNumberFormat="1" applyFill="1" applyBorder="1" applyAlignment="1" applyProtection="1">
      <alignment vertical="top"/>
      <protection locked="0"/>
    </xf>
    <xf numFmtId="0" fontId="0" fillId="0" borderId="44" xfId="0" applyBorder="1" applyProtection="1">
      <protection locked="0"/>
    </xf>
    <xf numFmtId="0" fontId="0" fillId="0" borderId="45" xfId="0" applyBorder="1" applyProtection="1">
      <protection locked="0"/>
    </xf>
    <xf numFmtId="0" fontId="0" fillId="5" borderId="0" xfId="0" applyFill="1" applyAlignment="1" applyProtection="1">
      <alignment vertical="top"/>
      <protection locked="0"/>
    </xf>
    <xf numFmtId="0" fontId="5" fillId="5" borderId="16" xfId="0" applyFont="1" applyFill="1" applyBorder="1" applyAlignment="1" applyProtection="1">
      <alignment vertical="center" wrapText="1"/>
      <protection locked="0"/>
    </xf>
    <xf numFmtId="0" fontId="0" fillId="5" borderId="14" xfId="0" applyFill="1" applyBorder="1" applyProtection="1">
      <protection locked="0"/>
    </xf>
    <xf numFmtId="0" fontId="0" fillId="5" borderId="19" xfId="0" applyFill="1" applyBorder="1" applyProtection="1">
      <protection locked="0"/>
    </xf>
    <xf numFmtId="0" fontId="0" fillId="5" borderId="19" xfId="0" applyFill="1" applyBorder="1" applyAlignment="1" applyProtection="1">
      <alignment vertical="top"/>
      <protection locked="0"/>
    </xf>
    <xf numFmtId="0" fontId="1" fillId="0" borderId="42" xfId="0" applyFont="1" applyBorder="1" applyAlignment="1" applyProtection="1">
      <alignment vertical="top"/>
      <protection locked="0"/>
    </xf>
    <xf numFmtId="0" fontId="0" fillId="0" borderId="50" xfId="0" applyBorder="1" applyAlignment="1" applyProtection="1">
      <alignment vertical="top"/>
      <protection locked="0"/>
    </xf>
    <xf numFmtId="0" fontId="0" fillId="0" borderId="45" xfId="0" applyBorder="1" applyAlignment="1" applyProtection="1">
      <alignment horizontal="left" vertical="top" wrapText="1"/>
      <protection locked="0"/>
    </xf>
    <xf numFmtId="0" fontId="1" fillId="0" borderId="12" xfId="0" applyFont="1" applyBorder="1" applyAlignment="1" applyProtection="1">
      <alignment vertical="top"/>
      <protection locked="0"/>
    </xf>
    <xf numFmtId="0" fontId="1" fillId="5" borderId="3" xfId="0" applyFont="1" applyFill="1" applyBorder="1" applyAlignment="1" applyProtection="1">
      <alignment horizontal="center" vertical="center" wrapText="1"/>
      <protection locked="0"/>
    </xf>
    <xf numFmtId="3" fontId="0" fillId="5" borderId="1" xfId="0" applyNumberFormat="1" applyFill="1" applyBorder="1" applyProtection="1">
      <protection locked="0"/>
    </xf>
    <xf numFmtId="3" fontId="0" fillId="5" borderId="8" xfId="0" applyNumberFormat="1" applyFill="1" applyBorder="1" applyProtection="1">
      <protection locked="0"/>
    </xf>
    <xf numFmtId="0" fontId="0" fillId="2" borderId="0" xfId="0" applyFill="1" applyAlignment="1" applyProtection="1">
      <alignment vertical="top"/>
      <protection locked="0"/>
    </xf>
    <xf numFmtId="0" fontId="0" fillId="4" borderId="0" xfId="0" applyFill="1" applyProtection="1">
      <protection locked="0"/>
    </xf>
    <xf numFmtId="0" fontId="0" fillId="3" borderId="0" xfId="0" applyFill="1" applyProtection="1">
      <protection locked="0"/>
    </xf>
    <xf numFmtId="0" fontId="1" fillId="0" borderId="12" xfId="0" applyFont="1" applyBorder="1" applyAlignment="1" applyProtection="1">
      <alignment horizontal="right" vertical="top"/>
      <protection locked="0"/>
    </xf>
    <xf numFmtId="0" fontId="1" fillId="0" borderId="12" xfId="0" applyFont="1" applyBorder="1" applyProtection="1">
      <protection locked="0"/>
    </xf>
    <xf numFmtId="0" fontId="0" fillId="4" borderId="0" xfId="0" applyFill="1" applyAlignment="1">
      <alignment vertical="top"/>
    </xf>
    <xf numFmtId="1" fontId="0" fillId="0" borderId="0" xfId="0" applyNumberFormat="1" applyAlignment="1">
      <alignment vertical="top"/>
    </xf>
    <xf numFmtId="0" fontId="1" fillId="0" borderId="22" xfId="0" applyFont="1" applyBorder="1" applyAlignment="1">
      <alignment vertical="top"/>
    </xf>
    <xf numFmtId="0" fontId="1" fillId="0" borderId="23" xfId="0" applyFont="1" applyBorder="1" applyAlignment="1">
      <alignment vertical="top"/>
    </xf>
    <xf numFmtId="0" fontId="0" fillId="4" borderId="5" xfId="0" applyFill="1" applyBorder="1" applyAlignment="1">
      <alignment vertical="top"/>
    </xf>
    <xf numFmtId="0" fontId="0" fillId="4" borderId="7" xfId="0" applyFill="1" applyBorder="1" applyAlignment="1">
      <alignment vertical="top"/>
    </xf>
    <xf numFmtId="0" fontId="0" fillId="4" borderId="10" xfId="0" applyFill="1" applyBorder="1" applyAlignment="1">
      <alignment vertical="top"/>
    </xf>
    <xf numFmtId="0" fontId="0" fillId="4" borderId="11" xfId="0" applyFill="1" applyBorder="1" applyAlignment="1">
      <alignment vertical="top"/>
    </xf>
    <xf numFmtId="0" fontId="1" fillId="0" borderId="27" xfId="0" applyFont="1" applyBorder="1" applyAlignment="1">
      <alignment horizontal="center" vertical="center"/>
    </xf>
    <xf numFmtId="0" fontId="1" fillId="0" borderId="37" xfId="0" applyFont="1" applyBorder="1" applyAlignment="1">
      <alignment horizontal="center" vertical="center"/>
    </xf>
    <xf numFmtId="0" fontId="0" fillId="4" borderId="51" xfId="0" applyFill="1" applyBorder="1" applyAlignment="1">
      <alignment vertical="top"/>
    </xf>
    <xf numFmtId="0" fontId="0" fillId="4" borderId="35" xfId="0" applyFill="1" applyBorder="1" applyAlignment="1">
      <alignment vertical="top"/>
    </xf>
    <xf numFmtId="0" fontId="0" fillId="4" borderId="36" xfId="0" applyFill="1" applyBorder="1" applyAlignment="1">
      <alignment vertical="top"/>
    </xf>
    <xf numFmtId="0" fontId="1" fillId="0" borderId="52" xfId="0" applyFont="1" applyBorder="1" applyAlignment="1">
      <alignment horizontal="center" vertical="center"/>
    </xf>
    <xf numFmtId="0" fontId="0" fillId="0" borderId="29" xfId="0" applyBorder="1" applyAlignment="1">
      <alignment vertical="top"/>
    </xf>
    <xf numFmtId="0" fontId="0" fillId="0" borderId="30" xfId="0" applyBorder="1" applyAlignment="1">
      <alignment vertical="top"/>
    </xf>
    <xf numFmtId="0" fontId="0" fillId="0" borderId="31" xfId="0" applyBorder="1" applyAlignment="1">
      <alignment vertical="top"/>
    </xf>
    <xf numFmtId="3" fontId="0" fillId="0" borderId="0" xfId="0" applyNumberFormat="1"/>
    <xf numFmtId="1" fontId="0" fillId="0" borderId="0" xfId="0" applyNumberFormat="1"/>
    <xf numFmtId="164" fontId="0" fillId="0" borderId="0" xfId="0" applyNumberFormat="1"/>
    <xf numFmtId="164" fontId="0" fillId="6" borderId="43" xfId="0" applyNumberFormat="1" applyFill="1" applyBorder="1" applyAlignment="1">
      <alignment vertical="top"/>
    </xf>
    <xf numFmtId="0" fontId="0" fillId="6" borderId="4" xfId="0" applyFill="1" applyBorder="1" applyAlignment="1">
      <alignment vertical="top"/>
    </xf>
    <xf numFmtId="0" fontId="0" fillId="6" borderId="6" xfId="0" applyFill="1" applyBorder="1" applyAlignment="1">
      <alignment vertical="top"/>
    </xf>
    <xf numFmtId="0" fontId="0" fillId="6" borderId="9" xfId="0" applyFill="1" applyBorder="1" applyAlignment="1">
      <alignment vertical="top"/>
    </xf>
    <xf numFmtId="3" fontId="0" fillId="6" borderId="1" xfId="0" applyNumberFormat="1" applyFill="1" applyBorder="1" applyProtection="1">
      <protection locked="0"/>
    </xf>
    <xf numFmtId="3" fontId="0" fillId="6" borderId="8" xfId="0" applyNumberFormat="1" applyFill="1" applyBorder="1" applyProtection="1">
      <protection locked="0"/>
    </xf>
    <xf numFmtId="3" fontId="0" fillId="6" borderId="24" xfId="0" applyNumberFormat="1" applyFill="1" applyBorder="1" applyProtection="1">
      <protection locked="0"/>
    </xf>
    <xf numFmtId="0" fontId="0" fillId="6" borderId="5" xfId="0" applyFill="1" applyBorder="1" applyProtection="1">
      <protection locked="0"/>
    </xf>
    <xf numFmtId="0" fontId="0" fillId="6" borderId="7" xfId="0" applyFill="1" applyBorder="1" applyProtection="1">
      <protection locked="0"/>
    </xf>
    <xf numFmtId="3" fontId="0" fillId="6" borderId="6" xfId="0" applyNumberFormat="1" applyFill="1" applyBorder="1" applyAlignment="1" applyProtection="1">
      <alignment vertical="top" wrapText="1"/>
      <protection locked="0"/>
    </xf>
    <xf numFmtId="3" fontId="0" fillId="6" borderId="1" xfId="0" applyNumberFormat="1" applyFill="1" applyBorder="1" applyAlignment="1" applyProtection="1">
      <alignment vertical="top" wrapText="1"/>
      <protection locked="0"/>
    </xf>
    <xf numFmtId="3" fontId="0" fillId="6" borderId="8" xfId="0" applyNumberFormat="1" applyFill="1" applyBorder="1" applyAlignment="1" applyProtection="1">
      <alignment vertical="top" wrapText="1"/>
      <protection locked="0"/>
    </xf>
    <xf numFmtId="3" fontId="0" fillId="6" borderId="41" xfId="0" applyNumberFormat="1" applyFill="1" applyBorder="1" applyAlignment="1" applyProtection="1">
      <alignment vertical="top"/>
      <protection locked="0"/>
    </xf>
    <xf numFmtId="3" fontId="0" fillId="6" borderId="40" xfId="0" applyNumberFormat="1" applyFill="1" applyBorder="1" applyAlignment="1" applyProtection="1">
      <alignment vertical="top"/>
      <protection locked="0"/>
    </xf>
    <xf numFmtId="3" fontId="0" fillId="6" borderId="1" xfId="0" applyNumberFormat="1" applyFill="1" applyBorder="1" applyAlignment="1" applyProtection="1">
      <alignment vertical="top"/>
      <protection locked="0"/>
    </xf>
    <xf numFmtId="3" fontId="0" fillId="6" borderId="8" xfId="0" applyNumberFormat="1" applyFill="1" applyBorder="1" applyAlignment="1" applyProtection="1">
      <alignment vertical="top"/>
      <protection locked="0"/>
    </xf>
    <xf numFmtId="3" fontId="0" fillId="6" borderId="24" xfId="0" applyNumberFormat="1" applyFill="1" applyBorder="1" applyAlignment="1" applyProtection="1">
      <alignment vertical="top"/>
      <protection locked="0"/>
    </xf>
    <xf numFmtId="3" fontId="0" fillId="6" borderId="6" xfId="0" applyNumberFormat="1" applyFill="1" applyBorder="1" applyAlignment="1" applyProtection="1">
      <alignment vertical="top"/>
      <protection locked="0"/>
    </xf>
    <xf numFmtId="0" fontId="0" fillId="6" borderId="1" xfId="0" applyFill="1" applyBorder="1" applyAlignment="1" applyProtection="1">
      <alignment vertical="top"/>
      <protection locked="0"/>
    </xf>
    <xf numFmtId="0" fontId="0" fillId="6" borderId="8" xfId="0" applyFill="1" applyBorder="1" applyAlignment="1" applyProtection="1">
      <alignment vertical="top"/>
      <protection locked="0"/>
    </xf>
    <xf numFmtId="0" fontId="1" fillId="0" borderId="15" xfId="0" applyFont="1" applyBorder="1" applyAlignment="1" applyProtection="1">
      <alignment horizontal="center" vertical="top" wrapText="1"/>
      <protection locked="0"/>
    </xf>
    <xf numFmtId="0" fontId="0" fillId="0" borderId="52" xfId="0" applyBorder="1" applyAlignment="1" applyProtection="1">
      <alignment vertical="top"/>
      <protection locked="0"/>
    </xf>
    <xf numFmtId="0" fontId="0" fillId="0" borderId="49" xfId="0" applyBorder="1" applyAlignment="1" applyProtection="1">
      <alignment vertical="top"/>
      <protection locked="0"/>
    </xf>
    <xf numFmtId="0" fontId="0" fillId="0" borderId="2" xfId="0" applyBorder="1" applyAlignment="1" applyProtection="1">
      <alignment vertical="top"/>
      <protection locked="0"/>
    </xf>
    <xf numFmtId="0" fontId="0" fillId="0" borderId="50" xfId="0" applyBorder="1" applyProtection="1">
      <protection locked="0"/>
    </xf>
    <xf numFmtId="0" fontId="0" fillId="0" borderId="54" xfId="0" applyBorder="1" applyProtection="1">
      <protection locked="0"/>
    </xf>
    <xf numFmtId="3" fontId="0" fillId="6" borderId="11" xfId="0" applyNumberFormat="1" applyFill="1" applyBorder="1" applyAlignment="1" applyProtection="1">
      <alignment vertical="top" wrapText="1"/>
      <protection locked="0"/>
    </xf>
    <xf numFmtId="1" fontId="0" fillId="2" borderId="1" xfId="2" applyNumberFormat="1" applyFont="1" applyFill="1" applyBorder="1" applyProtection="1">
      <protection locked="0"/>
    </xf>
    <xf numFmtId="1" fontId="0" fillId="2" borderId="8" xfId="2" applyNumberFormat="1" applyFont="1" applyFill="1" applyBorder="1" applyProtection="1">
      <protection locked="0"/>
    </xf>
    <xf numFmtId="0" fontId="0" fillId="0" borderId="17" xfId="0" applyBorder="1" applyProtection="1">
      <protection locked="0"/>
    </xf>
    <xf numFmtId="1" fontId="0" fillId="2" borderId="24" xfId="0" applyNumberFormat="1" applyFill="1" applyBorder="1" applyAlignment="1" applyProtection="1">
      <alignment vertical="top"/>
      <protection locked="0"/>
    </xf>
    <xf numFmtId="3" fontId="0" fillId="2" borderId="55" xfId="0" applyNumberFormat="1" applyFill="1" applyBorder="1" applyAlignment="1" applyProtection="1">
      <alignment vertical="top"/>
      <protection locked="0"/>
    </xf>
    <xf numFmtId="3" fontId="0" fillId="2" borderId="56" xfId="0" applyNumberFormat="1" applyFill="1" applyBorder="1" applyAlignment="1" applyProtection="1">
      <alignment vertical="top"/>
      <protection locked="0"/>
    </xf>
    <xf numFmtId="0" fontId="1" fillId="0" borderId="17" xfId="0" applyFont="1" applyBorder="1" applyAlignment="1" applyProtection="1">
      <alignment horizontal="center" vertical="center" wrapText="1"/>
      <protection locked="0"/>
    </xf>
    <xf numFmtId="0" fontId="10" fillId="0" borderId="20" xfId="0" applyFont="1" applyBorder="1" applyAlignment="1" applyProtection="1">
      <alignment vertical="top"/>
      <protection locked="0"/>
    </xf>
    <xf numFmtId="0" fontId="0" fillId="0" borderId="28" xfId="0" applyBorder="1" applyAlignment="1" applyProtection="1">
      <alignment vertical="top"/>
      <protection locked="0"/>
    </xf>
    <xf numFmtId="0" fontId="0" fillId="6" borderId="11" xfId="0" applyFill="1" applyBorder="1" applyAlignment="1" applyProtection="1">
      <alignment vertical="top"/>
      <protection locked="0"/>
    </xf>
    <xf numFmtId="0" fontId="0" fillId="0" borderId="57" xfId="0" applyBorder="1" applyProtection="1">
      <protection locked="0"/>
    </xf>
    <xf numFmtId="3" fontId="0" fillId="6" borderId="11" xfId="0" applyNumberFormat="1" applyFill="1" applyBorder="1" applyAlignment="1" applyProtection="1">
      <alignment vertical="top"/>
      <protection locked="0"/>
    </xf>
    <xf numFmtId="3" fontId="0" fillId="2" borderId="41" xfId="0" applyNumberFormat="1" applyFill="1" applyBorder="1" applyAlignment="1" applyProtection="1">
      <alignment vertical="top"/>
      <protection locked="0"/>
    </xf>
    <xf numFmtId="0" fontId="0" fillId="0" borderId="28" xfId="0" applyBorder="1" applyProtection="1">
      <protection locked="0"/>
    </xf>
    <xf numFmtId="0" fontId="0" fillId="2" borderId="25" xfId="0" applyFill="1" applyBorder="1" applyAlignment="1">
      <alignment vertical="top"/>
    </xf>
    <xf numFmtId="0" fontId="0" fillId="6" borderId="40" xfId="0" applyFill="1" applyBorder="1" applyAlignment="1">
      <alignment vertical="top"/>
    </xf>
    <xf numFmtId="0" fontId="0" fillId="2" borderId="57" xfId="0" applyFill="1" applyBorder="1" applyAlignment="1">
      <alignment vertical="top"/>
    </xf>
    <xf numFmtId="0" fontId="0" fillId="0" borderId="52" xfId="0" applyBorder="1" applyProtection="1">
      <protection locked="0"/>
    </xf>
    <xf numFmtId="3" fontId="0" fillId="2" borderId="3" xfId="0" applyNumberFormat="1" applyFill="1" applyBorder="1" applyAlignment="1" applyProtection="1">
      <alignment vertical="top"/>
      <protection locked="0"/>
    </xf>
    <xf numFmtId="0" fontId="1" fillId="0" borderId="38" xfId="0" applyFont="1" applyBorder="1" applyAlignment="1" applyProtection="1">
      <alignment vertical="top"/>
      <protection locked="0"/>
    </xf>
    <xf numFmtId="0" fontId="1" fillId="0" borderId="28" xfId="0" applyFont="1" applyBorder="1" applyAlignment="1" applyProtection="1">
      <alignment vertical="top"/>
      <protection locked="0"/>
    </xf>
    <xf numFmtId="0" fontId="1" fillId="0" borderId="38" xfId="0" applyFont="1" applyBorder="1" applyProtection="1">
      <protection locked="0"/>
    </xf>
    <xf numFmtId="0" fontId="1" fillId="0" borderId="28" xfId="0" applyFont="1" applyBorder="1" applyProtection="1">
      <protection locked="0"/>
    </xf>
    <xf numFmtId="0" fontId="0" fillId="0" borderId="13" xfId="0" applyBorder="1" applyAlignment="1" applyProtection="1">
      <alignment vertical="top"/>
      <protection locked="0"/>
    </xf>
    <xf numFmtId="3" fontId="0" fillId="3" borderId="22" xfId="0" applyNumberFormat="1" applyFill="1" applyBorder="1" applyProtection="1">
      <protection locked="0"/>
    </xf>
    <xf numFmtId="1" fontId="0" fillId="5" borderId="1" xfId="2" applyNumberFormat="1" applyFont="1" applyFill="1" applyBorder="1" applyProtection="1">
      <protection locked="0"/>
    </xf>
    <xf numFmtId="1" fontId="0" fillId="5" borderId="8" xfId="2" applyNumberFormat="1" applyFont="1" applyFill="1" applyBorder="1" applyProtection="1">
      <protection locked="0"/>
    </xf>
    <xf numFmtId="0" fontId="0" fillId="5" borderId="0" xfId="0" applyFill="1" applyProtection="1">
      <protection locked="0"/>
    </xf>
    <xf numFmtId="0" fontId="0" fillId="0" borderId="7" xfId="0" applyBorder="1" applyProtection="1">
      <protection locked="0"/>
    </xf>
    <xf numFmtId="0" fontId="1" fillId="0" borderId="58" xfId="0" applyFont="1" applyBorder="1" applyAlignment="1">
      <alignment vertical="top" wrapText="1"/>
    </xf>
    <xf numFmtId="0" fontId="0" fillId="2" borderId="47" xfId="0" applyFill="1" applyBorder="1" applyAlignment="1">
      <alignment vertical="top"/>
    </xf>
    <xf numFmtId="0" fontId="0" fillId="2" borderId="48" xfId="0" applyFill="1" applyBorder="1" applyAlignment="1">
      <alignment vertical="top"/>
    </xf>
    <xf numFmtId="0" fontId="1" fillId="0" borderId="46" xfId="0" applyFont="1" applyBorder="1" applyAlignment="1">
      <alignment horizontal="center" vertical="center" wrapText="1"/>
    </xf>
    <xf numFmtId="0" fontId="1" fillId="0" borderId="27" xfId="0" applyFont="1" applyBorder="1" applyProtection="1">
      <protection locked="0"/>
    </xf>
    <xf numFmtId="0" fontId="0" fillId="0" borderId="38" xfId="0" applyBorder="1" applyProtection="1">
      <protection locked="0"/>
    </xf>
    <xf numFmtId="0" fontId="1" fillId="0" borderId="38" xfId="0" applyFont="1" applyBorder="1" applyAlignment="1" applyProtection="1">
      <alignment vertical="top" wrapText="1"/>
      <protection locked="0"/>
    </xf>
    <xf numFmtId="0" fontId="1" fillId="0" borderId="21" xfId="0" applyFont="1" applyBorder="1" applyAlignment="1" applyProtection="1">
      <alignment vertical="top" wrapText="1"/>
      <protection locked="0"/>
    </xf>
    <xf numFmtId="0" fontId="1" fillId="0" borderId="21" xfId="0" applyFont="1" applyBorder="1" applyProtection="1">
      <protection locked="0"/>
    </xf>
    <xf numFmtId="0" fontId="1" fillId="0" borderId="10" xfId="0" applyFont="1" applyBorder="1" applyProtection="1">
      <protection locked="0"/>
    </xf>
    <xf numFmtId="0" fontId="1" fillId="0" borderId="11" xfId="0" applyFont="1" applyBorder="1" applyProtection="1">
      <protection locked="0"/>
    </xf>
    <xf numFmtId="0" fontId="1" fillId="0" borderId="12" xfId="0" applyFont="1" applyBorder="1" applyAlignment="1" applyProtection="1">
      <alignment vertical="top" wrapText="1"/>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1" fillId="0" borderId="52" xfId="0" applyFont="1" applyBorder="1" applyAlignment="1" applyProtection="1">
      <alignment vertical="top"/>
      <protection locked="0"/>
    </xf>
    <xf numFmtId="0" fontId="9" fillId="0" borderId="10" xfId="0" applyFont="1" applyBorder="1" applyAlignment="1" applyProtection="1">
      <alignment vertical="center" wrapText="1"/>
      <protection locked="0"/>
    </xf>
    <xf numFmtId="0" fontId="9" fillId="0" borderId="2" xfId="0" applyFont="1" applyBorder="1" applyAlignment="1" applyProtection="1">
      <alignment horizontal="left" vertical="center" wrapText="1"/>
      <protection locked="0"/>
    </xf>
    <xf numFmtId="0" fontId="1" fillId="0" borderId="53" xfId="0" applyFont="1" applyBorder="1" applyAlignment="1" applyProtection="1">
      <alignment vertical="center"/>
      <protection locked="0"/>
    </xf>
    <xf numFmtId="0" fontId="1" fillId="0" borderId="1"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5" borderId="14" xfId="0" applyFont="1" applyFill="1" applyBorder="1" applyAlignment="1" applyProtection="1">
      <alignment vertical="center"/>
      <protection locked="0"/>
    </xf>
    <xf numFmtId="0" fontId="1" fillId="0" borderId="2"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1" xfId="0" applyFont="1" applyBorder="1" applyAlignment="1" applyProtection="1">
      <alignment vertical="center"/>
      <protection locked="0"/>
    </xf>
    <xf numFmtId="0" fontId="1" fillId="0" borderId="6" xfId="0" applyFont="1" applyBorder="1" applyAlignment="1" applyProtection="1">
      <alignment vertical="center"/>
      <protection locked="0"/>
    </xf>
    <xf numFmtId="0" fontId="13" fillId="0" borderId="11" xfId="0" applyFont="1" applyBorder="1" applyAlignment="1" applyProtection="1">
      <alignment vertical="top" wrapText="1"/>
      <protection locked="0"/>
    </xf>
    <xf numFmtId="14" fontId="0" fillId="3" borderId="0" xfId="0" applyNumberFormat="1" applyFill="1" applyProtection="1">
      <protection locked="0"/>
    </xf>
    <xf numFmtId="3" fontId="0" fillId="3" borderId="1" xfId="0" applyNumberFormat="1" applyFill="1" applyBorder="1"/>
    <xf numFmtId="3" fontId="0" fillId="3" borderId="24" xfId="0" applyNumberFormat="1" applyFill="1" applyBorder="1"/>
    <xf numFmtId="3" fontId="0" fillId="3" borderId="22" xfId="0" applyNumberFormat="1" applyFill="1" applyBorder="1"/>
    <xf numFmtId="3" fontId="0" fillId="3" borderId="6" xfId="0" applyNumberFormat="1" applyFill="1" applyBorder="1"/>
    <xf numFmtId="3" fontId="0" fillId="3" borderId="23" xfId="0" applyNumberFormat="1" applyFill="1" applyBorder="1"/>
    <xf numFmtId="0" fontId="0" fillId="3" borderId="33" xfId="0" applyFill="1" applyBorder="1"/>
    <xf numFmtId="3" fontId="0" fillId="3" borderId="33" xfId="0" applyNumberFormat="1" applyFill="1" applyBorder="1"/>
    <xf numFmtId="0" fontId="0" fillId="3" borderId="34" xfId="0" applyFill="1" applyBorder="1"/>
    <xf numFmtId="3" fontId="0" fillId="3" borderId="34" xfId="0" applyNumberFormat="1" applyFill="1" applyBorder="1"/>
    <xf numFmtId="3" fontId="0" fillId="3" borderId="8" xfId="0" applyNumberFormat="1" applyFill="1" applyBorder="1"/>
    <xf numFmtId="166" fontId="0" fillId="3" borderId="1" xfId="0" applyNumberFormat="1" applyFill="1" applyBorder="1"/>
    <xf numFmtId="166" fontId="0" fillId="3" borderId="6" xfId="0" applyNumberFormat="1" applyFill="1" applyBorder="1"/>
    <xf numFmtId="166" fontId="0" fillId="3" borderId="8" xfId="0" applyNumberFormat="1" applyFill="1" applyBorder="1"/>
    <xf numFmtId="166" fontId="0" fillId="3" borderId="9" xfId="0" applyNumberFormat="1" applyFill="1" applyBorder="1"/>
    <xf numFmtId="0" fontId="0" fillId="3" borderId="2" xfId="0" applyFill="1" applyBorder="1" applyAlignment="1">
      <alignment vertical="top"/>
    </xf>
    <xf numFmtId="3" fontId="0" fillId="3" borderId="3" xfId="0" applyNumberFormat="1" applyFill="1" applyBorder="1" applyAlignment="1">
      <alignment vertical="top"/>
    </xf>
    <xf numFmtId="0" fontId="0" fillId="3" borderId="5" xfId="0" applyFill="1" applyBorder="1" applyAlignment="1">
      <alignment vertical="top"/>
    </xf>
    <xf numFmtId="3" fontId="0" fillId="3" borderId="1" xfId="0" applyNumberFormat="1" applyFill="1" applyBorder="1" applyAlignment="1">
      <alignment vertical="top"/>
    </xf>
    <xf numFmtId="0" fontId="0" fillId="3" borderId="7" xfId="0" applyFill="1" applyBorder="1" applyAlignment="1">
      <alignment vertical="top"/>
    </xf>
    <xf numFmtId="3" fontId="0" fillId="3" borderId="8" xfId="0" applyNumberFormat="1" applyFill="1" applyBorder="1" applyAlignment="1">
      <alignment vertical="top"/>
    </xf>
    <xf numFmtId="3" fontId="0" fillId="3" borderId="28" xfId="0" applyNumberFormat="1" applyFill="1" applyBorder="1" applyProtection="1">
      <protection locked="0"/>
    </xf>
    <xf numFmtId="0" fontId="0" fillId="3" borderId="10" xfId="0" applyFill="1" applyBorder="1" applyAlignment="1">
      <alignment vertical="top" wrapText="1"/>
    </xf>
    <xf numFmtId="3" fontId="0" fillId="3" borderId="11" xfId="0" applyNumberFormat="1" applyFill="1" applyBorder="1" applyAlignment="1">
      <alignment vertical="top" wrapText="1"/>
    </xf>
    <xf numFmtId="0" fontId="0" fillId="3" borderId="27" xfId="0" applyFill="1" applyBorder="1" applyAlignment="1">
      <alignment vertical="top" wrapText="1"/>
    </xf>
    <xf numFmtId="3" fontId="0" fillId="3" borderId="37" xfId="0" applyNumberFormat="1" applyFill="1" applyBorder="1" applyAlignment="1">
      <alignment vertical="top" wrapText="1"/>
    </xf>
    <xf numFmtId="3" fontId="0" fillId="3" borderId="11" xfId="0" applyNumberFormat="1" applyFill="1" applyBorder="1"/>
    <xf numFmtId="3" fontId="0" fillId="3" borderId="9" xfId="0" applyNumberFormat="1" applyFill="1" applyBorder="1"/>
    <xf numFmtId="0" fontId="0" fillId="3" borderId="1" xfId="0" applyFill="1" applyBorder="1"/>
    <xf numFmtId="0" fontId="0" fillId="3" borderId="8" xfId="0" applyFill="1" applyBorder="1"/>
    <xf numFmtId="3" fontId="0" fillId="3" borderId="28" xfId="0" applyNumberFormat="1" applyFill="1" applyBorder="1"/>
    <xf numFmtId="3" fontId="0" fillId="3" borderId="37" xfId="0" applyNumberFormat="1" applyFill="1" applyBorder="1"/>
    <xf numFmtId="3" fontId="0" fillId="3" borderId="0" xfId="0" applyNumberFormat="1" applyFill="1" applyAlignment="1">
      <alignment vertical="top" wrapText="1"/>
    </xf>
    <xf numFmtId="0" fontId="0" fillId="3" borderId="6" xfId="0" applyFill="1" applyBorder="1" applyAlignment="1">
      <alignment vertical="top" wrapText="1"/>
    </xf>
    <xf numFmtId="0" fontId="0" fillId="3" borderId="9" xfId="0" applyFill="1" applyBorder="1" applyAlignment="1">
      <alignment vertical="top" wrapText="1"/>
    </xf>
    <xf numFmtId="3" fontId="0" fillId="3" borderId="1" xfId="0" applyNumberFormat="1" applyFill="1" applyBorder="1" applyAlignment="1">
      <alignment vertical="top" wrapText="1"/>
    </xf>
    <xf numFmtId="3" fontId="0" fillId="3" borderId="8" xfId="0" applyNumberFormat="1" applyFill="1" applyBorder="1" applyAlignment="1">
      <alignment vertical="top" wrapText="1"/>
    </xf>
    <xf numFmtId="3" fontId="0" fillId="3" borderId="0" xfId="0" applyNumberFormat="1" applyFill="1" applyAlignment="1">
      <alignment vertical="top"/>
    </xf>
    <xf numFmtId="3" fontId="0" fillId="3" borderId="6" xfId="0" applyNumberFormat="1" applyFill="1" applyBorder="1" applyAlignment="1">
      <alignment vertical="top" wrapText="1"/>
    </xf>
    <xf numFmtId="3" fontId="0" fillId="3" borderId="9" xfId="0" applyNumberFormat="1" applyFill="1" applyBorder="1" applyAlignment="1">
      <alignment vertical="top" wrapText="1"/>
    </xf>
    <xf numFmtId="3" fontId="0" fillId="3" borderId="6" xfId="0" applyNumberFormat="1" applyFill="1" applyBorder="1" applyAlignment="1">
      <alignment vertical="top"/>
    </xf>
    <xf numFmtId="3" fontId="0" fillId="3" borderId="9" xfId="0" applyNumberFormat="1" applyFill="1" applyBorder="1" applyAlignment="1">
      <alignment vertical="top"/>
    </xf>
    <xf numFmtId="3" fontId="0" fillId="3" borderId="41" xfId="0" applyNumberFormat="1" applyFill="1" applyBorder="1" applyAlignment="1">
      <alignment vertical="top" wrapText="1"/>
    </xf>
    <xf numFmtId="3" fontId="0" fillId="3" borderId="40" xfId="0" applyNumberFormat="1" applyFill="1" applyBorder="1" applyAlignment="1">
      <alignment vertical="top" wrapText="1"/>
    </xf>
    <xf numFmtId="3" fontId="0" fillId="3" borderId="23" xfId="0" applyNumberFormat="1" applyFill="1" applyBorder="1" applyAlignment="1">
      <alignment vertical="top" wrapText="1"/>
    </xf>
    <xf numFmtId="3" fontId="0" fillId="3" borderId="28" xfId="0" applyNumberFormat="1" applyFill="1" applyBorder="1" applyAlignment="1">
      <alignment vertical="top"/>
    </xf>
    <xf numFmtId="0" fontId="1" fillId="0" borderId="59" xfId="0" applyFont="1" applyBorder="1" applyAlignment="1" applyProtection="1">
      <alignment vertical="top"/>
      <protection locked="0"/>
    </xf>
    <xf numFmtId="0" fontId="1" fillId="0" borderId="60" xfId="0" applyFont="1" applyBorder="1" applyAlignment="1" applyProtection="1">
      <alignment vertical="top"/>
      <protection locked="0"/>
    </xf>
    <xf numFmtId="0" fontId="1" fillId="0" borderId="60" xfId="0" applyFont="1" applyBorder="1" applyAlignment="1" applyProtection="1">
      <alignment vertical="top" wrapText="1"/>
      <protection locked="0"/>
    </xf>
    <xf numFmtId="3" fontId="0" fillId="3" borderId="4" xfId="0" applyNumberFormat="1" applyFill="1" applyBorder="1" applyAlignment="1">
      <alignment vertical="top"/>
    </xf>
    <xf numFmtId="0" fontId="1" fillId="0" borderId="4" xfId="0" applyFont="1" applyBorder="1" applyAlignment="1" applyProtection="1">
      <alignment vertical="center" wrapText="1"/>
      <protection locked="0"/>
    </xf>
    <xf numFmtId="0" fontId="7" fillId="3" borderId="0" xfId="0" applyFont="1" applyFill="1" applyProtection="1">
      <protection locked="0"/>
    </xf>
    <xf numFmtId="0" fontId="1" fillId="0" borderId="20" xfId="0" applyFont="1" applyBorder="1" applyAlignment="1">
      <alignment horizontal="left" vertical="top"/>
    </xf>
    <xf numFmtId="0" fontId="1" fillId="0" borderId="28" xfId="0" applyFont="1" applyBorder="1" applyAlignment="1">
      <alignment horizontal="left" vertical="top"/>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20" xfId="0" applyFont="1" applyBorder="1" applyAlignment="1">
      <alignment horizontal="center" vertical="center"/>
    </xf>
    <xf numFmtId="0" fontId="1" fillId="0" borderId="38" xfId="0" applyFont="1" applyBorder="1" applyAlignment="1">
      <alignment horizontal="center" vertical="center"/>
    </xf>
    <xf numFmtId="0" fontId="1" fillId="0" borderId="28" xfId="0" applyFont="1" applyBorder="1" applyAlignment="1">
      <alignment horizontal="center" vertical="center"/>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 fillId="0" borderId="20" xfId="0" applyFont="1" applyBorder="1" applyAlignment="1" applyProtection="1">
      <alignment horizontal="left" vertical="top"/>
      <protection locked="0"/>
    </xf>
    <xf numFmtId="0" fontId="1" fillId="0" borderId="38" xfId="0" applyFont="1" applyBorder="1" applyAlignment="1" applyProtection="1">
      <alignment horizontal="left" vertical="top"/>
      <protection locked="0"/>
    </xf>
    <xf numFmtId="0" fontId="1" fillId="0" borderId="28" xfId="0" applyFont="1" applyBorder="1" applyAlignment="1" applyProtection="1">
      <alignment horizontal="left" vertical="top"/>
      <protection locked="0"/>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F44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6. Personnel'!A1"/><Relationship Id="rId13" Type="http://schemas.openxmlformats.org/officeDocument/2006/relationships/hyperlink" Target="#'11. Quality assurance'!A1"/><Relationship Id="rId3" Type="http://schemas.openxmlformats.org/officeDocument/2006/relationships/hyperlink" Target="#'1. Dashboard'!A1"/><Relationship Id="rId7" Type="http://schemas.openxmlformats.org/officeDocument/2006/relationships/hyperlink" Target="#'5. Cold chain'!A1"/><Relationship Id="rId12" Type="http://schemas.openxmlformats.org/officeDocument/2006/relationships/hyperlink" Target="#'10. Microplanning'!A1"/><Relationship Id="rId2" Type="http://schemas.openxmlformats.org/officeDocument/2006/relationships/hyperlink" Target="#'Read me'!A1"/><Relationship Id="rId16" Type="http://schemas.openxmlformats.org/officeDocument/2006/relationships/image" Target="../media/image4.png"/><Relationship Id="rId1" Type="http://schemas.openxmlformats.org/officeDocument/2006/relationships/image" Target="../media/image1.png"/><Relationship Id="rId6" Type="http://schemas.openxmlformats.org/officeDocument/2006/relationships/hyperlink" Target="#'4. Injection supplies'!A1"/><Relationship Id="rId11" Type="http://schemas.openxmlformats.org/officeDocument/2006/relationships/hyperlink" Target="#'9. Training &amp; mobilization'!A1"/><Relationship Id="rId5" Type="http://schemas.openxmlformats.org/officeDocument/2006/relationships/hyperlink" Target="#'3. Vaccine demand'!A1"/><Relationship Id="rId15" Type="http://schemas.openxmlformats.org/officeDocument/2006/relationships/image" Target="../media/image3.png"/><Relationship Id="rId10" Type="http://schemas.openxmlformats.org/officeDocument/2006/relationships/hyperlink" Target="#'8. Outreach'!A1"/><Relationship Id="rId4" Type="http://schemas.openxmlformats.org/officeDocument/2006/relationships/hyperlink" Target="#'2. RI Info'!A1"/><Relationship Id="rId9" Type="http://schemas.openxmlformats.org/officeDocument/2006/relationships/hyperlink" Target="#'7. Transportation'!A1"/><Relationship Id="rId1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hyperlink" Target="#'7. Transportation'!A1"/><Relationship Id="rId3" Type="http://schemas.openxmlformats.org/officeDocument/2006/relationships/hyperlink" Target="#'2. RI Info'!A1"/><Relationship Id="rId7" Type="http://schemas.openxmlformats.org/officeDocument/2006/relationships/hyperlink" Target="#'6. Personnel'!A1"/><Relationship Id="rId12" Type="http://schemas.openxmlformats.org/officeDocument/2006/relationships/hyperlink" Target="#'11. Quality assurance'!A1"/><Relationship Id="rId2" Type="http://schemas.openxmlformats.org/officeDocument/2006/relationships/hyperlink" Target="#'1. Dashboard'!A1"/><Relationship Id="rId1" Type="http://schemas.openxmlformats.org/officeDocument/2006/relationships/hyperlink" Target="#'Read me'!A1"/><Relationship Id="rId6" Type="http://schemas.openxmlformats.org/officeDocument/2006/relationships/hyperlink" Target="#'5. Cold chain'!A1"/><Relationship Id="rId11" Type="http://schemas.openxmlformats.org/officeDocument/2006/relationships/hyperlink" Target="#'10. Microplanning'!A1"/><Relationship Id="rId5" Type="http://schemas.openxmlformats.org/officeDocument/2006/relationships/hyperlink" Target="#'4. Injection supplies'!A1"/><Relationship Id="rId10" Type="http://schemas.openxmlformats.org/officeDocument/2006/relationships/hyperlink" Target="#'9. Training &amp; mobilization'!A1"/><Relationship Id="rId4" Type="http://schemas.openxmlformats.org/officeDocument/2006/relationships/hyperlink" Target="#'3. Vaccine demand'!A1"/><Relationship Id="rId9" Type="http://schemas.openxmlformats.org/officeDocument/2006/relationships/hyperlink" Target="#'8. Outreach'!A1"/></Relationships>
</file>

<file path=xl/drawings/_rels/drawing11.xml.rels><?xml version="1.0" encoding="UTF-8" standalone="yes"?>
<Relationships xmlns="http://schemas.openxmlformats.org/package/2006/relationships"><Relationship Id="rId8" Type="http://schemas.openxmlformats.org/officeDocument/2006/relationships/hyperlink" Target="#'7. Transportation'!A1"/><Relationship Id="rId3" Type="http://schemas.openxmlformats.org/officeDocument/2006/relationships/hyperlink" Target="#'2. RI Info'!A1"/><Relationship Id="rId7" Type="http://schemas.openxmlformats.org/officeDocument/2006/relationships/hyperlink" Target="#'6. Personnel'!A1"/><Relationship Id="rId12" Type="http://schemas.openxmlformats.org/officeDocument/2006/relationships/hyperlink" Target="#'11. Quality assurance'!A1"/><Relationship Id="rId2" Type="http://schemas.openxmlformats.org/officeDocument/2006/relationships/hyperlink" Target="#'1. Dashboard'!A1"/><Relationship Id="rId1" Type="http://schemas.openxmlformats.org/officeDocument/2006/relationships/hyperlink" Target="#'Read me'!A1"/><Relationship Id="rId6" Type="http://schemas.openxmlformats.org/officeDocument/2006/relationships/hyperlink" Target="#'5. Cold chain'!A1"/><Relationship Id="rId11" Type="http://schemas.openxmlformats.org/officeDocument/2006/relationships/hyperlink" Target="#'10. Microplanning'!A1"/><Relationship Id="rId5" Type="http://schemas.openxmlformats.org/officeDocument/2006/relationships/hyperlink" Target="#'4. Injection supplies'!A1"/><Relationship Id="rId10" Type="http://schemas.openxmlformats.org/officeDocument/2006/relationships/hyperlink" Target="#'9. Training &amp; mobilization'!A1"/><Relationship Id="rId4" Type="http://schemas.openxmlformats.org/officeDocument/2006/relationships/hyperlink" Target="#'3. Vaccine demand'!A1"/><Relationship Id="rId9" Type="http://schemas.openxmlformats.org/officeDocument/2006/relationships/hyperlink" Target="#'8. Outreach'!A1"/></Relationships>
</file>

<file path=xl/drawings/_rels/drawing12.xml.rels><?xml version="1.0" encoding="UTF-8" standalone="yes"?>
<Relationships xmlns="http://schemas.openxmlformats.org/package/2006/relationships"><Relationship Id="rId8" Type="http://schemas.openxmlformats.org/officeDocument/2006/relationships/hyperlink" Target="#'7. Transportation'!A1"/><Relationship Id="rId3" Type="http://schemas.openxmlformats.org/officeDocument/2006/relationships/hyperlink" Target="#'2. RI Info'!A1"/><Relationship Id="rId7" Type="http://schemas.openxmlformats.org/officeDocument/2006/relationships/hyperlink" Target="#'6. Personnel'!A1"/><Relationship Id="rId12" Type="http://schemas.openxmlformats.org/officeDocument/2006/relationships/hyperlink" Target="#'11. Quality assurance'!A1"/><Relationship Id="rId2" Type="http://schemas.openxmlformats.org/officeDocument/2006/relationships/hyperlink" Target="#'1. Dashboard'!A1"/><Relationship Id="rId1" Type="http://schemas.openxmlformats.org/officeDocument/2006/relationships/hyperlink" Target="#'Read me'!A1"/><Relationship Id="rId6" Type="http://schemas.openxmlformats.org/officeDocument/2006/relationships/hyperlink" Target="#'5. Cold chain'!A1"/><Relationship Id="rId11" Type="http://schemas.openxmlformats.org/officeDocument/2006/relationships/hyperlink" Target="#'10. Microplanning'!A1"/><Relationship Id="rId5" Type="http://schemas.openxmlformats.org/officeDocument/2006/relationships/hyperlink" Target="#'4. Injection supplies'!A1"/><Relationship Id="rId10" Type="http://schemas.openxmlformats.org/officeDocument/2006/relationships/hyperlink" Target="#'9. Training &amp; mobilization'!A1"/><Relationship Id="rId4" Type="http://schemas.openxmlformats.org/officeDocument/2006/relationships/hyperlink" Target="#'3. Vaccine demand'!A1"/><Relationship Id="rId9" Type="http://schemas.openxmlformats.org/officeDocument/2006/relationships/hyperlink" Target="#'8. Outreach'!A1"/></Relationships>
</file>

<file path=xl/drawings/_rels/drawing2.xml.rels><?xml version="1.0" encoding="UTF-8" standalone="yes"?>
<Relationships xmlns="http://schemas.openxmlformats.org/package/2006/relationships"><Relationship Id="rId8" Type="http://schemas.openxmlformats.org/officeDocument/2006/relationships/hyperlink" Target="#'7. Transportation'!A1"/><Relationship Id="rId3" Type="http://schemas.openxmlformats.org/officeDocument/2006/relationships/hyperlink" Target="#'2. RI Info'!A1"/><Relationship Id="rId7" Type="http://schemas.openxmlformats.org/officeDocument/2006/relationships/hyperlink" Target="#'6. Personnel'!A1"/><Relationship Id="rId12" Type="http://schemas.openxmlformats.org/officeDocument/2006/relationships/hyperlink" Target="#'11. Quality assurance'!A1"/><Relationship Id="rId2" Type="http://schemas.openxmlformats.org/officeDocument/2006/relationships/hyperlink" Target="#'1. Dashboard'!A1"/><Relationship Id="rId1" Type="http://schemas.openxmlformats.org/officeDocument/2006/relationships/hyperlink" Target="#'Read me'!A1"/><Relationship Id="rId6" Type="http://schemas.openxmlformats.org/officeDocument/2006/relationships/hyperlink" Target="#'5. Cold chain'!A1"/><Relationship Id="rId11" Type="http://schemas.openxmlformats.org/officeDocument/2006/relationships/hyperlink" Target="#'10. Microplanning'!A1"/><Relationship Id="rId5" Type="http://schemas.openxmlformats.org/officeDocument/2006/relationships/hyperlink" Target="#'4. Injection supplies'!A1"/><Relationship Id="rId10" Type="http://schemas.openxmlformats.org/officeDocument/2006/relationships/hyperlink" Target="#'9. Training &amp; mobilization'!A1"/><Relationship Id="rId4" Type="http://schemas.openxmlformats.org/officeDocument/2006/relationships/hyperlink" Target="#'3. Vaccine demand'!A1"/><Relationship Id="rId9" Type="http://schemas.openxmlformats.org/officeDocument/2006/relationships/hyperlink" Target="#'8. Outreach'!A1"/></Relationships>
</file>

<file path=xl/drawings/_rels/drawing3.xml.rels><?xml version="1.0" encoding="UTF-8" standalone="yes"?>
<Relationships xmlns="http://schemas.openxmlformats.org/package/2006/relationships"><Relationship Id="rId8" Type="http://schemas.openxmlformats.org/officeDocument/2006/relationships/hyperlink" Target="#'7. Transportation'!A1"/><Relationship Id="rId3" Type="http://schemas.openxmlformats.org/officeDocument/2006/relationships/hyperlink" Target="#'2. RI Info'!A1"/><Relationship Id="rId7" Type="http://schemas.openxmlformats.org/officeDocument/2006/relationships/hyperlink" Target="#'6. Personnel'!A1"/><Relationship Id="rId12" Type="http://schemas.openxmlformats.org/officeDocument/2006/relationships/hyperlink" Target="#'11. Quality assurance'!A1"/><Relationship Id="rId2" Type="http://schemas.openxmlformats.org/officeDocument/2006/relationships/hyperlink" Target="#'1. Dashboard'!A1"/><Relationship Id="rId1" Type="http://schemas.openxmlformats.org/officeDocument/2006/relationships/hyperlink" Target="#'Read me'!A1"/><Relationship Id="rId6" Type="http://schemas.openxmlformats.org/officeDocument/2006/relationships/hyperlink" Target="#'5. Cold chain'!A1"/><Relationship Id="rId11" Type="http://schemas.openxmlformats.org/officeDocument/2006/relationships/hyperlink" Target="#'10. Microplanning'!A1"/><Relationship Id="rId5" Type="http://schemas.openxmlformats.org/officeDocument/2006/relationships/hyperlink" Target="#'4. Injection supplies'!A1"/><Relationship Id="rId10" Type="http://schemas.openxmlformats.org/officeDocument/2006/relationships/hyperlink" Target="#'9. Training &amp; mobilization'!A1"/><Relationship Id="rId4" Type="http://schemas.openxmlformats.org/officeDocument/2006/relationships/hyperlink" Target="#'3. Vaccine demand'!A1"/><Relationship Id="rId9" Type="http://schemas.openxmlformats.org/officeDocument/2006/relationships/hyperlink" Target="#'8. Outreach'!A1"/></Relationships>
</file>

<file path=xl/drawings/_rels/drawing4.xml.rels><?xml version="1.0" encoding="UTF-8" standalone="yes"?>
<Relationships xmlns="http://schemas.openxmlformats.org/package/2006/relationships"><Relationship Id="rId8" Type="http://schemas.openxmlformats.org/officeDocument/2006/relationships/hyperlink" Target="#'7. Transportation'!A1"/><Relationship Id="rId3" Type="http://schemas.openxmlformats.org/officeDocument/2006/relationships/hyperlink" Target="#'2. RI Info'!A1"/><Relationship Id="rId7" Type="http://schemas.openxmlformats.org/officeDocument/2006/relationships/hyperlink" Target="#'6. Personnel'!A1"/><Relationship Id="rId12" Type="http://schemas.openxmlformats.org/officeDocument/2006/relationships/hyperlink" Target="#'11. Quality assurance'!A1"/><Relationship Id="rId2" Type="http://schemas.openxmlformats.org/officeDocument/2006/relationships/hyperlink" Target="#'1. Dashboard'!A1"/><Relationship Id="rId1" Type="http://schemas.openxmlformats.org/officeDocument/2006/relationships/hyperlink" Target="#'Read me'!A1"/><Relationship Id="rId6" Type="http://schemas.openxmlformats.org/officeDocument/2006/relationships/hyperlink" Target="#'5. Cold chain'!A1"/><Relationship Id="rId11" Type="http://schemas.openxmlformats.org/officeDocument/2006/relationships/hyperlink" Target="#'10. Microplanning'!A1"/><Relationship Id="rId5" Type="http://schemas.openxmlformats.org/officeDocument/2006/relationships/hyperlink" Target="#'4. Injection supplies'!A1"/><Relationship Id="rId10" Type="http://schemas.openxmlformats.org/officeDocument/2006/relationships/hyperlink" Target="#'9. Training &amp; mobilization'!A1"/><Relationship Id="rId4" Type="http://schemas.openxmlformats.org/officeDocument/2006/relationships/hyperlink" Target="#'3. Vaccine demand'!A1"/><Relationship Id="rId9" Type="http://schemas.openxmlformats.org/officeDocument/2006/relationships/hyperlink" Target="#'8. Outreach'!A1"/></Relationships>
</file>

<file path=xl/drawings/_rels/drawing5.xml.rels><?xml version="1.0" encoding="UTF-8" standalone="yes"?>
<Relationships xmlns="http://schemas.openxmlformats.org/package/2006/relationships"><Relationship Id="rId8" Type="http://schemas.openxmlformats.org/officeDocument/2006/relationships/hyperlink" Target="#'7. Transportation'!A1"/><Relationship Id="rId3" Type="http://schemas.openxmlformats.org/officeDocument/2006/relationships/hyperlink" Target="#'2. RI Info'!A1"/><Relationship Id="rId7" Type="http://schemas.openxmlformats.org/officeDocument/2006/relationships/hyperlink" Target="#'6. Personnel'!A1"/><Relationship Id="rId12" Type="http://schemas.openxmlformats.org/officeDocument/2006/relationships/hyperlink" Target="#'11. Quality assurance'!A1"/><Relationship Id="rId2" Type="http://schemas.openxmlformats.org/officeDocument/2006/relationships/hyperlink" Target="#'1. Dashboard'!A1"/><Relationship Id="rId1" Type="http://schemas.openxmlformats.org/officeDocument/2006/relationships/hyperlink" Target="#'Read me'!A1"/><Relationship Id="rId6" Type="http://schemas.openxmlformats.org/officeDocument/2006/relationships/hyperlink" Target="#'5. Cold chain'!A1"/><Relationship Id="rId11" Type="http://schemas.openxmlformats.org/officeDocument/2006/relationships/hyperlink" Target="#'10. Microplanning'!A1"/><Relationship Id="rId5" Type="http://schemas.openxmlformats.org/officeDocument/2006/relationships/hyperlink" Target="#'4. Injection supplies'!A1"/><Relationship Id="rId10" Type="http://schemas.openxmlformats.org/officeDocument/2006/relationships/hyperlink" Target="#'9. Training &amp; mobilization'!A1"/><Relationship Id="rId4" Type="http://schemas.openxmlformats.org/officeDocument/2006/relationships/hyperlink" Target="#'3. Vaccine demand'!A1"/><Relationship Id="rId9" Type="http://schemas.openxmlformats.org/officeDocument/2006/relationships/hyperlink" Target="#'8. Outreach'!A1"/></Relationships>
</file>

<file path=xl/drawings/_rels/drawing6.xml.rels><?xml version="1.0" encoding="UTF-8" standalone="yes"?>
<Relationships xmlns="http://schemas.openxmlformats.org/package/2006/relationships"><Relationship Id="rId8" Type="http://schemas.openxmlformats.org/officeDocument/2006/relationships/hyperlink" Target="#'7. Transportation'!A1"/><Relationship Id="rId3" Type="http://schemas.openxmlformats.org/officeDocument/2006/relationships/hyperlink" Target="#'2. RI Info'!A1"/><Relationship Id="rId7" Type="http://schemas.openxmlformats.org/officeDocument/2006/relationships/hyperlink" Target="#'6. Personnel'!A1"/><Relationship Id="rId12" Type="http://schemas.openxmlformats.org/officeDocument/2006/relationships/hyperlink" Target="#'11. Quality assurance'!A1"/><Relationship Id="rId2" Type="http://schemas.openxmlformats.org/officeDocument/2006/relationships/hyperlink" Target="#'1. Dashboard'!A1"/><Relationship Id="rId1" Type="http://schemas.openxmlformats.org/officeDocument/2006/relationships/hyperlink" Target="#'Read me'!A1"/><Relationship Id="rId6" Type="http://schemas.openxmlformats.org/officeDocument/2006/relationships/hyperlink" Target="#'5. Cold chain'!A1"/><Relationship Id="rId11" Type="http://schemas.openxmlformats.org/officeDocument/2006/relationships/hyperlink" Target="#'10. Microplanning'!A1"/><Relationship Id="rId5" Type="http://schemas.openxmlformats.org/officeDocument/2006/relationships/hyperlink" Target="#'4. Injection supplies'!A1"/><Relationship Id="rId10" Type="http://schemas.openxmlformats.org/officeDocument/2006/relationships/hyperlink" Target="#'9. Training &amp; mobilization'!A1"/><Relationship Id="rId4" Type="http://schemas.openxmlformats.org/officeDocument/2006/relationships/hyperlink" Target="#'3. Vaccine demand'!A1"/><Relationship Id="rId9" Type="http://schemas.openxmlformats.org/officeDocument/2006/relationships/hyperlink" Target="#'8. Outreach'!A1"/></Relationships>
</file>

<file path=xl/drawings/_rels/drawing7.xml.rels><?xml version="1.0" encoding="UTF-8" standalone="yes"?>
<Relationships xmlns="http://schemas.openxmlformats.org/package/2006/relationships"><Relationship Id="rId8" Type="http://schemas.openxmlformats.org/officeDocument/2006/relationships/hyperlink" Target="#'7. Transportation'!A1"/><Relationship Id="rId3" Type="http://schemas.openxmlformats.org/officeDocument/2006/relationships/hyperlink" Target="#'2. RI Info'!A1"/><Relationship Id="rId7" Type="http://schemas.openxmlformats.org/officeDocument/2006/relationships/hyperlink" Target="#'6. Personnel'!A1"/><Relationship Id="rId12" Type="http://schemas.openxmlformats.org/officeDocument/2006/relationships/hyperlink" Target="#'11. Quality assurance'!A1"/><Relationship Id="rId2" Type="http://schemas.openxmlformats.org/officeDocument/2006/relationships/hyperlink" Target="#'1. Dashboard'!A1"/><Relationship Id="rId1" Type="http://schemas.openxmlformats.org/officeDocument/2006/relationships/hyperlink" Target="#'Read me'!A1"/><Relationship Id="rId6" Type="http://schemas.openxmlformats.org/officeDocument/2006/relationships/hyperlink" Target="#'5. Cold chain'!A1"/><Relationship Id="rId11" Type="http://schemas.openxmlformats.org/officeDocument/2006/relationships/hyperlink" Target="#'10. Microplanning'!A1"/><Relationship Id="rId5" Type="http://schemas.openxmlformats.org/officeDocument/2006/relationships/hyperlink" Target="#'4. Injection supplies'!A1"/><Relationship Id="rId10" Type="http://schemas.openxmlformats.org/officeDocument/2006/relationships/hyperlink" Target="#'9. Training &amp; mobilization'!A1"/><Relationship Id="rId4" Type="http://schemas.openxmlformats.org/officeDocument/2006/relationships/hyperlink" Target="#'3. Vaccine demand'!A1"/><Relationship Id="rId9" Type="http://schemas.openxmlformats.org/officeDocument/2006/relationships/hyperlink" Target="#'8. Outreach'!A1"/></Relationships>
</file>

<file path=xl/drawings/_rels/drawing8.xml.rels><?xml version="1.0" encoding="UTF-8" standalone="yes"?>
<Relationships xmlns="http://schemas.openxmlformats.org/package/2006/relationships"><Relationship Id="rId8" Type="http://schemas.openxmlformats.org/officeDocument/2006/relationships/hyperlink" Target="#'7. Transportation'!A1"/><Relationship Id="rId3" Type="http://schemas.openxmlformats.org/officeDocument/2006/relationships/hyperlink" Target="#'2. RI Info'!A1"/><Relationship Id="rId7" Type="http://schemas.openxmlformats.org/officeDocument/2006/relationships/hyperlink" Target="#'6. Personnel'!A1"/><Relationship Id="rId12" Type="http://schemas.openxmlformats.org/officeDocument/2006/relationships/hyperlink" Target="#'11. Quality assurance'!A1"/><Relationship Id="rId2" Type="http://schemas.openxmlformats.org/officeDocument/2006/relationships/hyperlink" Target="#'1. Dashboard'!A1"/><Relationship Id="rId1" Type="http://schemas.openxmlformats.org/officeDocument/2006/relationships/hyperlink" Target="#'Read me'!A1"/><Relationship Id="rId6" Type="http://schemas.openxmlformats.org/officeDocument/2006/relationships/hyperlink" Target="#'5. Cold chain'!A1"/><Relationship Id="rId11" Type="http://schemas.openxmlformats.org/officeDocument/2006/relationships/hyperlink" Target="#'10. Microplanning'!A1"/><Relationship Id="rId5" Type="http://schemas.openxmlformats.org/officeDocument/2006/relationships/hyperlink" Target="#'4. Injection supplies'!A1"/><Relationship Id="rId10" Type="http://schemas.openxmlformats.org/officeDocument/2006/relationships/hyperlink" Target="#'9. Training &amp; mobilization'!A1"/><Relationship Id="rId4" Type="http://schemas.openxmlformats.org/officeDocument/2006/relationships/hyperlink" Target="#'3. Vaccine demand'!A1"/><Relationship Id="rId9" Type="http://schemas.openxmlformats.org/officeDocument/2006/relationships/hyperlink" Target="#'8. Outreach'!A1"/></Relationships>
</file>

<file path=xl/drawings/_rels/drawing9.xml.rels><?xml version="1.0" encoding="UTF-8" standalone="yes"?>
<Relationships xmlns="http://schemas.openxmlformats.org/package/2006/relationships"><Relationship Id="rId8" Type="http://schemas.openxmlformats.org/officeDocument/2006/relationships/hyperlink" Target="#'7. Transportation'!A1"/><Relationship Id="rId3" Type="http://schemas.openxmlformats.org/officeDocument/2006/relationships/hyperlink" Target="#'2. RI Info'!A1"/><Relationship Id="rId7" Type="http://schemas.openxmlformats.org/officeDocument/2006/relationships/hyperlink" Target="#'6. Personnel'!A1"/><Relationship Id="rId12" Type="http://schemas.openxmlformats.org/officeDocument/2006/relationships/hyperlink" Target="#'11. Quality assurance'!A1"/><Relationship Id="rId2" Type="http://schemas.openxmlformats.org/officeDocument/2006/relationships/hyperlink" Target="#'1. Dashboard'!A1"/><Relationship Id="rId1" Type="http://schemas.openxmlformats.org/officeDocument/2006/relationships/hyperlink" Target="#'Read me'!A1"/><Relationship Id="rId6" Type="http://schemas.openxmlformats.org/officeDocument/2006/relationships/hyperlink" Target="#'5. Cold chain'!A1"/><Relationship Id="rId11" Type="http://schemas.openxmlformats.org/officeDocument/2006/relationships/hyperlink" Target="#'10. Microplanning'!A1"/><Relationship Id="rId5" Type="http://schemas.openxmlformats.org/officeDocument/2006/relationships/hyperlink" Target="#'4. Injection supplies'!A1"/><Relationship Id="rId10" Type="http://schemas.openxmlformats.org/officeDocument/2006/relationships/hyperlink" Target="#'9. Training &amp; mobilization'!A1"/><Relationship Id="rId4" Type="http://schemas.openxmlformats.org/officeDocument/2006/relationships/hyperlink" Target="#'3. Vaccine demand'!A1"/><Relationship Id="rId9" Type="http://schemas.openxmlformats.org/officeDocument/2006/relationships/hyperlink" Target="#'8. Outreach'!A1"/></Relationships>
</file>

<file path=xl/drawings/drawing1.xml><?xml version="1.0" encoding="utf-8"?>
<xdr:wsDr xmlns:xdr="http://schemas.openxmlformats.org/drawingml/2006/spreadsheetDrawing" xmlns:a="http://schemas.openxmlformats.org/drawingml/2006/main">
  <xdr:twoCellAnchor editAs="oneCell">
    <xdr:from>
      <xdr:col>1</xdr:col>
      <xdr:colOff>6972301</xdr:colOff>
      <xdr:row>3</xdr:row>
      <xdr:rowOff>114300</xdr:rowOff>
    </xdr:from>
    <xdr:to>
      <xdr:col>1</xdr:col>
      <xdr:colOff>8726315</xdr:colOff>
      <xdr:row>6</xdr:row>
      <xdr:rowOff>339725</xdr:rowOff>
    </xdr:to>
    <xdr:pic>
      <xdr:nvPicPr>
        <xdr:cNvPr id="23" name="Picture 22">
          <a:extLst>
            <a:ext uri="{FF2B5EF4-FFF2-40B4-BE49-F238E27FC236}">
              <a16:creationId xmlns:a16="http://schemas.microsoft.com/office/drawing/2014/main" id="{9F7A1280-7E1C-4C36-B701-31FEB0BF1068}"/>
            </a:ext>
          </a:extLst>
        </xdr:cNvPr>
        <xdr:cNvPicPr>
          <a:picLocks noChangeAspect="1"/>
        </xdr:cNvPicPr>
      </xdr:nvPicPr>
      <xdr:blipFill>
        <a:blip xmlns:r="http://schemas.openxmlformats.org/officeDocument/2006/relationships" r:embed="rId1"/>
        <a:stretch>
          <a:fillRect/>
        </a:stretch>
      </xdr:blipFill>
      <xdr:spPr>
        <a:xfrm>
          <a:off x="7191376" y="838200"/>
          <a:ext cx="1754014" cy="768350"/>
        </a:xfrm>
        <a:prstGeom prst="rect">
          <a:avLst/>
        </a:prstGeom>
      </xdr:spPr>
    </xdr:pic>
    <xdr:clientData/>
  </xdr:twoCellAnchor>
  <xdr:twoCellAnchor editAs="absolute">
    <xdr:from>
      <xdr:col>0</xdr:col>
      <xdr:colOff>0</xdr:colOff>
      <xdr:row>0</xdr:row>
      <xdr:rowOff>352424</xdr:rowOff>
    </xdr:from>
    <xdr:to>
      <xdr:col>3</xdr:col>
      <xdr:colOff>260349</xdr:colOff>
      <xdr:row>3</xdr:row>
      <xdr:rowOff>2997</xdr:rowOff>
    </xdr:to>
    <xdr:grpSp>
      <xdr:nvGrpSpPr>
        <xdr:cNvPr id="14" name="Group 13">
          <a:extLst>
            <a:ext uri="{FF2B5EF4-FFF2-40B4-BE49-F238E27FC236}">
              <a16:creationId xmlns:a16="http://schemas.microsoft.com/office/drawing/2014/main" id="{E94C4CCA-1D3F-4F13-A295-210B09ADD25F}"/>
            </a:ext>
          </a:extLst>
        </xdr:cNvPr>
        <xdr:cNvGrpSpPr>
          <a:grpSpLocks noChangeAspect="1"/>
        </xdr:cNvGrpSpPr>
      </xdr:nvGrpSpPr>
      <xdr:grpSpPr>
        <a:xfrm>
          <a:off x="0" y="352424"/>
          <a:ext cx="12319576" cy="383709"/>
          <a:chOff x="73025" y="416016"/>
          <a:chExt cx="13160768" cy="374559"/>
        </a:xfrm>
      </xdr:grpSpPr>
      <xdr:grpSp>
        <xdr:nvGrpSpPr>
          <xdr:cNvPr id="15" name="Group 14">
            <a:extLst>
              <a:ext uri="{FF2B5EF4-FFF2-40B4-BE49-F238E27FC236}">
                <a16:creationId xmlns:a16="http://schemas.microsoft.com/office/drawing/2014/main" id="{2E21FCD6-7AED-53BA-55C5-8BA7E2A415B1}"/>
              </a:ext>
            </a:extLst>
          </xdr:cNvPr>
          <xdr:cNvGrpSpPr/>
        </xdr:nvGrpSpPr>
        <xdr:grpSpPr>
          <a:xfrm>
            <a:off x="73025" y="425542"/>
            <a:ext cx="11800150" cy="365033"/>
            <a:chOff x="73025" y="428799"/>
            <a:chExt cx="8652178" cy="361776"/>
          </a:xfrm>
        </xdr:grpSpPr>
        <xdr:grpSp>
          <xdr:nvGrpSpPr>
            <xdr:cNvPr id="27" name="Group 26">
              <a:extLst>
                <a:ext uri="{FF2B5EF4-FFF2-40B4-BE49-F238E27FC236}">
                  <a16:creationId xmlns:a16="http://schemas.microsoft.com/office/drawing/2014/main" id="{EE1BFD4E-E78D-47E2-6F1E-51E5A0D561ED}"/>
                </a:ext>
              </a:extLst>
            </xdr:cNvPr>
            <xdr:cNvGrpSpPr>
              <a:grpSpLocks/>
            </xdr:cNvGrpSpPr>
          </xdr:nvGrpSpPr>
          <xdr:grpSpPr>
            <a:xfrm>
              <a:off x="73025" y="428799"/>
              <a:ext cx="8652178" cy="321034"/>
              <a:chOff x="3378200" y="3029328"/>
              <a:chExt cx="8647383" cy="314204"/>
            </a:xfrm>
          </xdr:grpSpPr>
          <xdr:sp macro="" textlink="">
            <xdr:nvSpPr>
              <xdr:cNvPr id="29" name="Rectangle: Rounded Corners 28">
                <a:hlinkClick xmlns:r="http://schemas.openxmlformats.org/officeDocument/2006/relationships" r:id="rId2"/>
                <a:extLst>
                  <a:ext uri="{FF2B5EF4-FFF2-40B4-BE49-F238E27FC236}">
                    <a16:creationId xmlns:a16="http://schemas.microsoft.com/office/drawing/2014/main" id="{9D618774-A51D-3211-2796-61FFC56875ED}"/>
                  </a:ext>
                </a:extLst>
              </xdr:cNvPr>
              <xdr:cNvSpPr/>
            </xdr:nvSpPr>
            <xdr:spPr>
              <a:xfrm>
                <a:off x="3378200" y="3038475"/>
                <a:ext cx="529315" cy="292100"/>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Read me</a:t>
                </a:r>
              </a:p>
            </xdr:txBody>
          </xdr:sp>
          <xdr:grpSp>
            <xdr:nvGrpSpPr>
              <xdr:cNvPr id="30" name="Group 29">
                <a:extLst>
                  <a:ext uri="{FF2B5EF4-FFF2-40B4-BE49-F238E27FC236}">
                    <a16:creationId xmlns:a16="http://schemas.microsoft.com/office/drawing/2014/main" id="{F1897C2A-6EF9-9D45-1F7F-B82B0A7E7D42}"/>
                  </a:ext>
                </a:extLst>
              </xdr:cNvPr>
              <xdr:cNvGrpSpPr/>
            </xdr:nvGrpSpPr>
            <xdr:grpSpPr>
              <a:xfrm>
                <a:off x="3880276" y="3029328"/>
                <a:ext cx="8145307" cy="314204"/>
                <a:chOff x="-224999" y="190878"/>
                <a:chExt cx="8145307" cy="314204"/>
              </a:xfrm>
            </xdr:grpSpPr>
            <xdr:sp macro="" textlink="">
              <xdr:nvSpPr>
                <xdr:cNvPr id="31" name="Rectangle: Rounded Corners 30">
                  <a:hlinkClick xmlns:r="http://schemas.openxmlformats.org/officeDocument/2006/relationships" r:id="rId3"/>
                  <a:extLst>
                    <a:ext uri="{FF2B5EF4-FFF2-40B4-BE49-F238E27FC236}">
                      <a16:creationId xmlns:a16="http://schemas.microsoft.com/office/drawing/2014/main" id="{E2F2EDE4-4CFF-5AEC-DDF8-A7182AF7E11B}"/>
                    </a:ext>
                  </a:extLst>
                </xdr:cNvPr>
                <xdr:cNvSpPr/>
              </xdr:nvSpPr>
              <xdr:spPr>
                <a:xfrm>
                  <a:off x="-224999" y="200025"/>
                  <a:ext cx="720248" cy="295275"/>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1.</a:t>
                  </a:r>
                  <a:r>
                    <a:rPr lang="en-US" sz="1000" b="1" baseline="0"/>
                    <a:t> </a:t>
                  </a:r>
                  <a:r>
                    <a:rPr lang="en-US" sz="1000" b="1"/>
                    <a:t>Dashboard</a:t>
                  </a:r>
                </a:p>
              </xdr:txBody>
            </xdr:sp>
            <xdr:sp macro="" textlink="">
              <xdr:nvSpPr>
                <xdr:cNvPr id="32" name="Rectangle: Rounded Corners 31">
                  <a:hlinkClick xmlns:r="http://schemas.openxmlformats.org/officeDocument/2006/relationships" r:id="rId4"/>
                  <a:extLst>
                    <a:ext uri="{FF2B5EF4-FFF2-40B4-BE49-F238E27FC236}">
                      <a16:creationId xmlns:a16="http://schemas.microsoft.com/office/drawing/2014/main" id="{39298FAE-BA7D-060C-0B9C-D735A89DA8AC}"/>
                    </a:ext>
                  </a:extLst>
                </xdr:cNvPr>
                <xdr:cNvSpPr/>
              </xdr:nvSpPr>
              <xdr:spPr>
                <a:xfrm>
                  <a:off x="466973" y="200025"/>
                  <a:ext cx="543004" cy="292100"/>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2. RI Info</a:t>
                  </a:r>
                </a:p>
              </xdr:txBody>
            </xdr:sp>
            <xdr:sp macro="" textlink="">
              <xdr:nvSpPr>
                <xdr:cNvPr id="33" name="Rectangle: Rounded Corners 32">
                  <a:hlinkClick xmlns:r="http://schemas.openxmlformats.org/officeDocument/2006/relationships" r:id="rId5"/>
                  <a:extLst>
                    <a:ext uri="{FF2B5EF4-FFF2-40B4-BE49-F238E27FC236}">
                      <a16:creationId xmlns:a16="http://schemas.microsoft.com/office/drawing/2014/main" id="{03111AB5-866E-FDEC-F84C-09F04210A47A}"/>
                    </a:ext>
                  </a:extLst>
                </xdr:cNvPr>
                <xdr:cNvSpPr/>
              </xdr:nvSpPr>
              <xdr:spPr>
                <a:xfrm>
                  <a:off x="925469" y="200025"/>
                  <a:ext cx="956085" cy="295275"/>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3. Vaccine demand</a:t>
                  </a:r>
                </a:p>
              </xdr:txBody>
            </xdr:sp>
            <xdr:sp macro="" textlink="">
              <xdr:nvSpPr>
                <xdr:cNvPr id="34" name="Rectangle: Rounded Corners 33">
                  <a:hlinkClick xmlns:r="http://schemas.openxmlformats.org/officeDocument/2006/relationships" r:id="rId6"/>
                  <a:extLst>
                    <a:ext uri="{FF2B5EF4-FFF2-40B4-BE49-F238E27FC236}">
                      <a16:creationId xmlns:a16="http://schemas.microsoft.com/office/drawing/2014/main" id="{AC8C4AE5-B8D4-2A4E-155F-B7BFD87B02C3}"/>
                    </a:ext>
                  </a:extLst>
                </xdr:cNvPr>
                <xdr:cNvSpPr/>
              </xdr:nvSpPr>
              <xdr:spPr>
                <a:xfrm>
                  <a:off x="1827574" y="200025"/>
                  <a:ext cx="1016368" cy="292100"/>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4. Injection supplies</a:t>
                  </a:r>
                </a:p>
              </xdr:txBody>
            </xdr:sp>
            <xdr:sp macro="" textlink="">
              <xdr:nvSpPr>
                <xdr:cNvPr id="35" name="Rectangle: Rounded Corners 34">
                  <a:hlinkClick xmlns:r="http://schemas.openxmlformats.org/officeDocument/2006/relationships" r:id="rId7"/>
                  <a:extLst>
                    <a:ext uri="{FF2B5EF4-FFF2-40B4-BE49-F238E27FC236}">
                      <a16:creationId xmlns:a16="http://schemas.microsoft.com/office/drawing/2014/main" id="{46FC7577-66F5-45E9-00A0-F34127DF5B8A}"/>
                    </a:ext>
                  </a:extLst>
                </xdr:cNvPr>
                <xdr:cNvSpPr/>
              </xdr:nvSpPr>
              <xdr:spPr>
                <a:xfrm>
                  <a:off x="2798726" y="200025"/>
                  <a:ext cx="744902" cy="295275"/>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5. Cold chain </a:t>
                  </a:r>
                </a:p>
              </xdr:txBody>
            </xdr:sp>
            <xdr:sp macro="" textlink="">
              <xdr:nvSpPr>
                <xdr:cNvPr id="36" name="Rectangle: Rounded Corners 35">
                  <a:hlinkClick xmlns:r="http://schemas.openxmlformats.org/officeDocument/2006/relationships" r:id="rId8"/>
                  <a:extLst>
                    <a:ext uri="{FF2B5EF4-FFF2-40B4-BE49-F238E27FC236}">
                      <a16:creationId xmlns:a16="http://schemas.microsoft.com/office/drawing/2014/main" id="{01D8C02F-2780-42F2-481D-CD73E2203ABC}"/>
                    </a:ext>
                  </a:extLst>
                </xdr:cNvPr>
                <xdr:cNvSpPr/>
              </xdr:nvSpPr>
              <xdr:spPr>
                <a:xfrm>
                  <a:off x="3469067" y="200119"/>
                  <a:ext cx="682034" cy="295275"/>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6. Personnel</a:t>
                  </a:r>
                </a:p>
              </xdr:txBody>
            </xdr:sp>
            <xdr:sp macro="" textlink="">
              <xdr:nvSpPr>
                <xdr:cNvPr id="37" name="Rectangle: Rounded Corners 36">
                  <a:hlinkClick xmlns:r="http://schemas.openxmlformats.org/officeDocument/2006/relationships" r:id="rId9"/>
                  <a:extLst>
                    <a:ext uri="{FF2B5EF4-FFF2-40B4-BE49-F238E27FC236}">
                      <a16:creationId xmlns:a16="http://schemas.microsoft.com/office/drawing/2014/main" id="{395EBA8B-87A3-017D-6904-3A5982AE0E55}"/>
                    </a:ext>
                  </a:extLst>
                </xdr:cNvPr>
                <xdr:cNvSpPr/>
              </xdr:nvSpPr>
              <xdr:spPr>
                <a:xfrm>
                  <a:off x="4117488" y="200211"/>
                  <a:ext cx="881152" cy="295275"/>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7. Transportation</a:t>
                  </a:r>
                </a:p>
              </xdr:txBody>
            </xdr:sp>
            <xdr:sp macro="" textlink="">
              <xdr:nvSpPr>
                <xdr:cNvPr id="38" name="Rectangle: Rounded Corners 37">
                  <a:hlinkClick xmlns:r="http://schemas.openxmlformats.org/officeDocument/2006/relationships" r:id="rId10"/>
                  <a:extLst>
                    <a:ext uri="{FF2B5EF4-FFF2-40B4-BE49-F238E27FC236}">
                      <a16:creationId xmlns:a16="http://schemas.microsoft.com/office/drawing/2014/main" id="{754827EC-258A-AD2E-C5CD-B6A1B379DDE7}"/>
                    </a:ext>
                  </a:extLst>
                </xdr:cNvPr>
                <xdr:cNvSpPr/>
              </xdr:nvSpPr>
              <xdr:spPr>
                <a:xfrm>
                  <a:off x="4959711" y="200119"/>
                  <a:ext cx="648635" cy="292100"/>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8. Outreach</a:t>
                  </a:r>
                </a:p>
              </xdr:txBody>
            </xdr:sp>
            <xdr:sp macro="" textlink="">
              <xdr:nvSpPr>
                <xdr:cNvPr id="39" name="Rectangle: Rounded Corners 38">
                  <a:hlinkClick xmlns:r="http://schemas.openxmlformats.org/officeDocument/2006/relationships" r:id="rId11"/>
                  <a:extLst>
                    <a:ext uri="{FF2B5EF4-FFF2-40B4-BE49-F238E27FC236}">
                      <a16:creationId xmlns:a16="http://schemas.microsoft.com/office/drawing/2014/main" id="{CC51F738-1787-A2AD-291B-B12E0BD6EC74}"/>
                    </a:ext>
                  </a:extLst>
                </xdr:cNvPr>
                <xdr:cNvSpPr/>
              </xdr:nvSpPr>
              <xdr:spPr>
                <a:xfrm>
                  <a:off x="5570875" y="190878"/>
                  <a:ext cx="1469271" cy="310651"/>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9. Training &amp; social mobilization</a:t>
                  </a:r>
                </a:p>
              </xdr:txBody>
            </xdr:sp>
            <xdr:sp macro="" textlink="">
              <xdr:nvSpPr>
                <xdr:cNvPr id="40" name="Rectangle: Rounded Corners 39">
                  <a:hlinkClick xmlns:r="http://schemas.openxmlformats.org/officeDocument/2006/relationships" r:id="rId12"/>
                  <a:extLst>
                    <a:ext uri="{FF2B5EF4-FFF2-40B4-BE49-F238E27FC236}">
                      <a16:creationId xmlns:a16="http://schemas.microsoft.com/office/drawing/2014/main" id="{FD0236CF-4F81-91FC-C4AE-39AC2542657B}"/>
                    </a:ext>
                  </a:extLst>
                </xdr:cNvPr>
                <xdr:cNvSpPr/>
              </xdr:nvSpPr>
              <xdr:spPr>
                <a:xfrm>
                  <a:off x="7001918" y="190880"/>
                  <a:ext cx="918390" cy="314202"/>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10. Microplanning</a:t>
                  </a:r>
                </a:p>
              </xdr:txBody>
            </xdr:sp>
          </xdr:grpSp>
        </xdr:grpSp>
        <xdr:cxnSp macro="">
          <xdr:nvCxnSpPr>
            <xdr:cNvPr id="28" name="Straight Connector 27">
              <a:extLst>
                <a:ext uri="{FF2B5EF4-FFF2-40B4-BE49-F238E27FC236}">
                  <a16:creationId xmlns:a16="http://schemas.microsoft.com/office/drawing/2014/main" id="{84C20491-2863-F1C4-B0EA-CFE1597AD374}"/>
                </a:ext>
              </a:extLst>
            </xdr:cNvPr>
            <xdr:cNvCxnSpPr/>
          </xdr:nvCxnSpPr>
          <xdr:spPr>
            <a:xfrm>
              <a:off x="85725" y="790575"/>
              <a:ext cx="499677" cy="0"/>
            </a:xfrm>
            <a:prstGeom prst="line">
              <a:avLst/>
            </a:prstGeom>
            <a:ln w="28575"/>
          </xdr:spPr>
          <xdr:style>
            <a:lnRef idx="2">
              <a:schemeClr val="dk1"/>
            </a:lnRef>
            <a:fillRef idx="0">
              <a:schemeClr val="dk1"/>
            </a:fillRef>
            <a:effectRef idx="1">
              <a:schemeClr val="dk1"/>
            </a:effectRef>
            <a:fontRef idx="minor">
              <a:schemeClr val="tx1"/>
            </a:fontRef>
          </xdr:style>
        </xdr:cxnSp>
      </xdr:grpSp>
      <xdr:sp macro="" textlink="">
        <xdr:nvSpPr>
          <xdr:cNvPr id="26" name="Rectangle: Rounded Corners 25">
            <a:hlinkClick xmlns:r="http://schemas.openxmlformats.org/officeDocument/2006/relationships" r:id="rId13"/>
            <a:extLst>
              <a:ext uri="{FF2B5EF4-FFF2-40B4-BE49-F238E27FC236}">
                <a16:creationId xmlns:a16="http://schemas.microsoft.com/office/drawing/2014/main" id="{1B954449-16B4-77C9-2EBD-E28FCED1DCAD}"/>
              </a:ext>
            </a:extLst>
          </xdr:cNvPr>
          <xdr:cNvSpPr/>
        </xdr:nvSpPr>
        <xdr:spPr>
          <a:xfrm>
            <a:off x="11782432" y="416016"/>
            <a:ext cx="1451361" cy="333452"/>
          </a:xfrm>
          <a:prstGeom prst="roundRect">
            <a:avLst/>
          </a:prstGeom>
          <a:solidFill>
            <a:srgbClr val="F4424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t>11. Quality</a:t>
            </a:r>
            <a:r>
              <a:rPr lang="en-US" sz="1000" b="1" baseline="0"/>
              <a:t> assurance</a:t>
            </a:r>
            <a:endParaRPr lang="en-US" sz="1000" b="1"/>
          </a:p>
        </xdr:txBody>
      </xdr:sp>
    </xdr:grpSp>
    <xdr:clientData/>
  </xdr:twoCellAnchor>
  <xdr:twoCellAnchor>
    <xdr:from>
      <xdr:col>1</xdr:col>
      <xdr:colOff>1920293</xdr:colOff>
      <xdr:row>23</xdr:row>
      <xdr:rowOff>357188</xdr:rowOff>
    </xdr:from>
    <xdr:to>
      <xdr:col>1</xdr:col>
      <xdr:colOff>3242684</xdr:colOff>
      <xdr:row>27</xdr:row>
      <xdr:rowOff>80354</xdr:rowOff>
    </xdr:to>
    <xdr:grpSp>
      <xdr:nvGrpSpPr>
        <xdr:cNvPr id="41" name="Group 40">
          <a:extLst>
            <a:ext uri="{FF2B5EF4-FFF2-40B4-BE49-F238E27FC236}">
              <a16:creationId xmlns:a16="http://schemas.microsoft.com/office/drawing/2014/main" id="{3A38DD0D-9B3A-4FF7-BCA1-04A17F3F728A}"/>
            </a:ext>
          </a:extLst>
        </xdr:cNvPr>
        <xdr:cNvGrpSpPr/>
      </xdr:nvGrpSpPr>
      <xdr:grpSpPr>
        <a:xfrm>
          <a:off x="2133884" y="6210733"/>
          <a:ext cx="1322391" cy="646803"/>
          <a:chOff x="2173284" y="5289552"/>
          <a:chExt cx="1322391" cy="643916"/>
        </a:xfrm>
      </xdr:grpSpPr>
      <xdr:pic>
        <xdr:nvPicPr>
          <xdr:cNvPr id="42" name="Picture 41">
            <a:extLst>
              <a:ext uri="{FF2B5EF4-FFF2-40B4-BE49-F238E27FC236}">
                <a16:creationId xmlns:a16="http://schemas.microsoft.com/office/drawing/2014/main" id="{25D94278-2924-225B-728D-7DEB317DDAA7}"/>
              </a:ext>
            </a:extLst>
          </xdr:cNvPr>
          <xdr:cNvPicPr>
            <a:picLocks noChangeAspect="1"/>
          </xdr:cNvPicPr>
        </xdr:nvPicPr>
        <xdr:blipFill>
          <a:blip xmlns:r="http://schemas.openxmlformats.org/officeDocument/2006/relationships" r:embed="rId14"/>
          <a:stretch>
            <a:fillRect/>
          </a:stretch>
        </xdr:blipFill>
        <xdr:spPr>
          <a:xfrm>
            <a:off x="2173284" y="5289552"/>
            <a:ext cx="361950" cy="228966"/>
          </a:xfrm>
          <a:prstGeom prst="rect">
            <a:avLst/>
          </a:prstGeom>
        </xdr:spPr>
      </xdr:pic>
      <xdr:pic>
        <xdr:nvPicPr>
          <xdr:cNvPr id="43" name="Picture 42">
            <a:extLst>
              <a:ext uri="{FF2B5EF4-FFF2-40B4-BE49-F238E27FC236}">
                <a16:creationId xmlns:a16="http://schemas.microsoft.com/office/drawing/2014/main" id="{DA4CE797-D1BC-C98D-BB06-B674A12E14FB}"/>
              </a:ext>
            </a:extLst>
          </xdr:cNvPr>
          <xdr:cNvPicPr>
            <a:picLocks noChangeAspect="1"/>
          </xdr:cNvPicPr>
        </xdr:nvPicPr>
        <xdr:blipFill>
          <a:blip xmlns:r="http://schemas.openxmlformats.org/officeDocument/2006/relationships" r:embed="rId15"/>
          <a:stretch>
            <a:fillRect/>
          </a:stretch>
        </xdr:blipFill>
        <xdr:spPr>
          <a:xfrm>
            <a:off x="2543175" y="5432426"/>
            <a:ext cx="430213" cy="263779"/>
          </a:xfrm>
          <a:prstGeom prst="rect">
            <a:avLst/>
          </a:prstGeom>
        </xdr:spPr>
      </xdr:pic>
      <xdr:pic>
        <xdr:nvPicPr>
          <xdr:cNvPr id="44" name="Picture 43">
            <a:extLst>
              <a:ext uri="{FF2B5EF4-FFF2-40B4-BE49-F238E27FC236}">
                <a16:creationId xmlns:a16="http://schemas.microsoft.com/office/drawing/2014/main" id="{65E73915-89AD-A473-82CA-CFAF1E339392}"/>
              </a:ext>
            </a:extLst>
          </xdr:cNvPr>
          <xdr:cNvPicPr>
            <a:picLocks noChangeAspect="1"/>
          </xdr:cNvPicPr>
        </xdr:nvPicPr>
        <xdr:blipFill>
          <a:blip xmlns:r="http://schemas.openxmlformats.org/officeDocument/2006/relationships" r:embed="rId16"/>
          <a:stretch>
            <a:fillRect/>
          </a:stretch>
        </xdr:blipFill>
        <xdr:spPr>
          <a:xfrm>
            <a:off x="2957514" y="5616576"/>
            <a:ext cx="538161" cy="316892"/>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399676</xdr:colOff>
      <xdr:row>3</xdr:row>
      <xdr:rowOff>11028</xdr:rowOff>
    </xdr:to>
    <xdr:grpSp>
      <xdr:nvGrpSpPr>
        <xdr:cNvPr id="19" name="Group 18">
          <a:extLst>
            <a:ext uri="{FF2B5EF4-FFF2-40B4-BE49-F238E27FC236}">
              <a16:creationId xmlns:a16="http://schemas.microsoft.com/office/drawing/2014/main" id="{92705CF3-526C-41B5-8BF4-B6A25E597B7B}"/>
            </a:ext>
          </a:extLst>
        </xdr:cNvPr>
        <xdr:cNvGrpSpPr>
          <a:grpSpLocks noChangeAspect="1"/>
        </xdr:cNvGrpSpPr>
      </xdr:nvGrpSpPr>
      <xdr:grpSpPr>
        <a:xfrm>
          <a:off x="0" y="361950"/>
          <a:ext cx="12832976" cy="379328"/>
          <a:chOff x="73025" y="416016"/>
          <a:chExt cx="13160768" cy="376418"/>
        </a:xfrm>
      </xdr:grpSpPr>
      <xdr:grpSp>
        <xdr:nvGrpSpPr>
          <xdr:cNvPr id="20" name="Group 19">
            <a:extLst>
              <a:ext uri="{FF2B5EF4-FFF2-40B4-BE49-F238E27FC236}">
                <a16:creationId xmlns:a16="http://schemas.microsoft.com/office/drawing/2014/main" id="{84276809-B916-8CCD-F86B-C9BD3A524AE1}"/>
              </a:ext>
            </a:extLst>
          </xdr:cNvPr>
          <xdr:cNvGrpSpPr/>
        </xdr:nvGrpSpPr>
        <xdr:grpSpPr>
          <a:xfrm>
            <a:off x="73025" y="425542"/>
            <a:ext cx="11800150" cy="366892"/>
            <a:chOff x="73025" y="428799"/>
            <a:chExt cx="8652178" cy="363619"/>
          </a:xfrm>
        </xdr:grpSpPr>
        <xdr:grpSp>
          <xdr:nvGrpSpPr>
            <xdr:cNvPr id="22" name="Group 21">
              <a:extLst>
                <a:ext uri="{FF2B5EF4-FFF2-40B4-BE49-F238E27FC236}">
                  <a16:creationId xmlns:a16="http://schemas.microsoft.com/office/drawing/2014/main" id="{198B895C-E03E-D216-2436-3EF994632BA3}"/>
                </a:ext>
              </a:extLst>
            </xdr:cNvPr>
            <xdr:cNvGrpSpPr>
              <a:grpSpLocks/>
            </xdr:cNvGrpSpPr>
          </xdr:nvGrpSpPr>
          <xdr:grpSpPr>
            <a:xfrm>
              <a:off x="73025" y="428799"/>
              <a:ext cx="8652178" cy="321034"/>
              <a:chOff x="3378200" y="3029328"/>
              <a:chExt cx="8647383" cy="314204"/>
            </a:xfrm>
          </xdr:grpSpPr>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51075050-EA20-3B12-7742-1F17C23334D6}"/>
                  </a:ext>
                </a:extLst>
              </xdr:cNvPr>
              <xdr:cNvSpPr/>
            </xdr:nvSpPr>
            <xdr:spPr>
              <a:xfrm>
                <a:off x="3378200" y="3038475"/>
                <a:ext cx="52931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Read me</a:t>
                </a:r>
              </a:p>
            </xdr:txBody>
          </xdr:sp>
          <xdr:grpSp>
            <xdr:nvGrpSpPr>
              <xdr:cNvPr id="25" name="Group 24">
                <a:extLst>
                  <a:ext uri="{FF2B5EF4-FFF2-40B4-BE49-F238E27FC236}">
                    <a16:creationId xmlns:a16="http://schemas.microsoft.com/office/drawing/2014/main" id="{C9159179-ED07-88D0-5B62-3F1CA6DEF0D0}"/>
                  </a:ext>
                </a:extLst>
              </xdr:cNvPr>
              <xdr:cNvGrpSpPr/>
            </xdr:nvGrpSpPr>
            <xdr:grpSpPr>
              <a:xfrm>
                <a:off x="3880276" y="3029328"/>
                <a:ext cx="8145307" cy="314204"/>
                <a:chOff x="-224999" y="190878"/>
                <a:chExt cx="8145307" cy="314204"/>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0C8C52EF-0159-BA70-F673-CD0C31A6E579}"/>
                    </a:ext>
                  </a:extLst>
                </xdr:cNvPr>
                <xdr:cNvSpPr/>
              </xdr:nvSpPr>
              <xdr:spPr>
                <a:xfrm>
                  <a:off x="-224999" y="200025"/>
                  <a:ext cx="720248"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 Dashboard</a:t>
                  </a:r>
                </a:p>
              </xdr:txBody>
            </xdr:sp>
            <xdr:sp macro="" textlink="">
              <xdr:nvSpPr>
                <xdr:cNvPr id="27" name="Rectangle: Rounded Corners 26">
                  <a:hlinkClick xmlns:r="http://schemas.openxmlformats.org/officeDocument/2006/relationships" r:id="rId3"/>
                  <a:extLst>
                    <a:ext uri="{FF2B5EF4-FFF2-40B4-BE49-F238E27FC236}">
                      <a16:creationId xmlns:a16="http://schemas.microsoft.com/office/drawing/2014/main" id="{28FDDB5A-798F-F72F-5030-6C55E826B2B6}"/>
                    </a:ext>
                  </a:extLst>
                </xdr:cNvPr>
                <xdr:cNvSpPr/>
              </xdr:nvSpPr>
              <xdr:spPr>
                <a:xfrm>
                  <a:off x="466973" y="200025"/>
                  <a:ext cx="543004"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2. RI Info</a:t>
                  </a:r>
                </a:p>
              </xdr:txBody>
            </xdr:sp>
            <xdr:sp macro="" textlink="">
              <xdr:nvSpPr>
                <xdr:cNvPr id="28" name="Rectangle: Rounded Corners 27">
                  <a:hlinkClick xmlns:r="http://schemas.openxmlformats.org/officeDocument/2006/relationships" r:id="rId4"/>
                  <a:extLst>
                    <a:ext uri="{FF2B5EF4-FFF2-40B4-BE49-F238E27FC236}">
                      <a16:creationId xmlns:a16="http://schemas.microsoft.com/office/drawing/2014/main" id="{91A26D70-C9B5-4068-C379-60E13DE3FCE1}"/>
                    </a:ext>
                  </a:extLst>
                </xdr:cNvPr>
                <xdr:cNvSpPr/>
              </xdr:nvSpPr>
              <xdr:spPr>
                <a:xfrm>
                  <a:off x="925469" y="200025"/>
                  <a:ext cx="956085"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3. Vaccine demand</a:t>
                  </a:r>
                </a:p>
              </xdr:txBody>
            </xdr:sp>
            <xdr:sp macro="" textlink="">
              <xdr:nvSpPr>
                <xdr:cNvPr id="29" name="Rectangle: Rounded Corners 28">
                  <a:hlinkClick xmlns:r="http://schemas.openxmlformats.org/officeDocument/2006/relationships" r:id="rId5"/>
                  <a:extLst>
                    <a:ext uri="{FF2B5EF4-FFF2-40B4-BE49-F238E27FC236}">
                      <a16:creationId xmlns:a16="http://schemas.microsoft.com/office/drawing/2014/main" id="{701D0CB6-A55E-AD74-4730-ECC4A6A13C7F}"/>
                    </a:ext>
                  </a:extLst>
                </xdr:cNvPr>
                <xdr:cNvSpPr/>
              </xdr:nvSpPr>
              <xdr:spPr>
                <a:xfrm>
                  <a:off x="1827574" y="200025"/>
                  <a:ext cx="1016368"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4. Injection supplies</a:t>
                  </a:r>
                </a:p>
              </xdr:txBody>
            </xdr:sp>
            <xdr:sp macro="" textlink="">
              <xdr:nvSpPr>
                <xdr:cNvPr id="30" name="Rectangle: Rounded Corners 29">
                  <a:hlinkClick xmlns:r="http://schemas.openxmlformats.org/officeDocument/2006/relationships" r:id="rId6"/>
                  <a:extLst>
                    <a:ext uri="{FF2B5EF4-FFF2-40B4-BE49-F238E27FC236}">
                      <a16:creationId xmlns:a16="http://schemas.microsoft.com/office/drawing/2014/main" id="{FB2B2DC8-9819-C364-DB83-AF1A9BE54706}"/>
                    </a:ext>
                  </a:extLst>
                </xdr:cNvPr>
                <xdr:cNvSpPr/>
              </xdr:nvSpPr>
              <xdr:spPr>
                <a:xfrm>
                  <a:off x="2798726" y="200025"/>
                  <a:ext cx="74490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5. Cold chain </a:t>
                  </a:r>
                </a:p>
              </xdr:txBody>
            </xdr:sp>
            <xdr:sp macro="" textlink="">
              <xdr:nvSpPr>
                <xdr:cNvPr id="31" name="Rectangle: Rounded Corners 30">
                  <a:hlinkClick xmlns:r="http://schemas.openxmlformats.org/officeDocument/2006/relationships" r:id="rId7"/>
                  <a:extLst>
                    <a:ext uri="{FF2B5EF4-FFF2-40B4-BE49-F238E27FC236}">
                      <a16:creationId xmlns:a16="http://schemas.microsoft.com/office/drawing/2014/main" id="{81115EEC-3A03-7EDC-BCAA-A4B8BED45ADC}"/>
                    </a:ext>
                  </a:extLst>
                </xdr:cNvPr>
                <xdr:cNvSpPr/>
              </xdr:nvSpPr>
              <xdr:spPr>
                <a:xfrm>
                  <a:off x="3469067" y="200119"/>
                  <a:ext cx="682034"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6. Personnel</a:t>
                  </a:r>
                </a:p>
              </xdr:txBody>
            </xdr:sp>
            <xdr:sp macro="" textlink="">
              <xdr:nvSpPr>
                <xdr:cNvPr id="32" name="Rectangle: Rounded Corners 31">
                  <a:hlinkClick xmlns:r="http://schemas.openxmlformats.org/officeDocument/2006/relationships" r:id="rId8"/>
                  <a:extLst>
                    <a:ext uri="{FF2B5EF4-FFF2-40B4-BE49-F238E27FC236}">
                      <a16:creationId xmlns:a16="http://schemas.microsoft.com/office/drawing/2014/main" id="{6826B146-7A4F-761B-6F6D-BFC06EBE8A34}"/>
                    </a:ext>
                  </a:extLst>
                </xdr:cNvPr>
                <xdr:cNvSpPr/>
              </xdr:nvSpPr>
              <xdr:spPr>
                <a:xfrm>
                  <a:off x="4117488" y="200211"/>
                  <a:ext cx="88115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7. Transportation</a:t>
                  </a:r>
                </a:p>
              </xdr:txBody>
            </xdr:sp>
            <xdr:sp macro="" textlink="">
              <xdr:nvSpPr>
                <xdr:cNvPr id="33" name="Rectangle: Rounded Corners 32">
                  <a:hlinkClick xmlns:r="http://schemas.openxmlformats.org/officeDocument/2006/relationships" r:id="rId9"/>
                  <a:extLst>
                    <a:ext uri="{FF2B5EF4-FFF2-40B4-BE49-F238E27FC236}">
                      <a16:creationId xmlns:a16="http://schemas.microsoft.com/office/drawing/2014/main" id="{8AB5D952-AA02-23FF-3871-1A9788F9369A}"/>
                    </a:ext>
                  </a:extLst>
                </xdr:cNvPr>
                <xdr:cNvSpPr/>
              </xdr:nvSpPr>
              <xdr:spPr>
                <a:xfrm>
                  <a:off x="4959711" y="200119"/>
                  <a:ext cx="64863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8. Outreach</a:t>
                  </a:r>
                </a:p>
              </xdr:txBody>
            </xdr:sp>
            <xdr:sp macro="" textlink="">
              <xdr:nvSpPr>
                <xdr:cNvPr id="34" name="Rectangle: Rounded Corners 33">
                  <a:hlinkClick xmlns:r="http://schemas.openxmlformats.org/officeDocument/2006/relationships" r:id="rId10"/>
                  <a:extLst>
                    <a:ext uri="{FF2B5EF4-FFF2-40B4-BE49-F238E27FC236}">
                      <a16:creationId xmlns:a16="http://schemas.microsoft.com/office/drawing/2014/main" id="{F4394E6D-08A0-A0D2-5971-1C6F7E37FDF0}"/>
                    </a:ext>
                  </a:extLst>
                </xdr:cNvPr>
                <xdr:cNvSpPr/>
              </xdr:nvSpPr>
              <xdr:spPr>
                <a:xfrm>
                  <a:off x="5570875" y="190878"/>
                  <a:ext cx="1469271" cy="310651"/>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9. Training &amp; social mobilization</a:t>
                  </a:r>
                </a:p>
              </xdr:txBody>
            </xdr:sp>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AB014009-B716-3F87-C913-EDBED8F9F963}"/>
                    </a:ext>
                  </a:extLst>
                </xdr:cNvPr>
                <xdr:cNvSpPr/>
              </xdr:nvSpPr>
              <xdr:spPr>
                <a:xfrm>
                  <a:off x="7001918" y="190880"/>
                  <a:ext cx="918390" cy="31420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10. Microplanning</a:t>
                  </a:r>
                </a:p>
              </xdr:txBody>
            </xdr:sp>
          </xdr:grpSp>
        </xdr:grpSp>
        <xdr:cxnSp macro="">
          <xdr:nvCxnSpPr>
            <xdr:cNvPr id="23" name="Straight Connector 22">
              <a:extLst>
                <a:ext uri="{FF2B5EF4-FFF2-40B4-BE49-F238E27FC236}">
                  <a16:creationId xmlns:a16="http://schemas.microsoft.com/office/drawing/2014/main" id="{A717215E-7961-078A-CF77-433798DF504C}"/>
                </a:ext>
              </a:extLst>
            </xdr:cNvPr>
            <xdr:cNvCxnSpPr/>
          </xdr:nvCxnSpPr>
          <xdr:spPr>
            <a:xfrm>
              <a:off x="6377489" y="792418"/>
              <a:ext cx="1432810" cy="0"/>
            </a:xfrm>
            <a:prstGeom prst="line">
              <a:avLst/>
            </a:prstGeom>
            <a:noFill/>
            <a:ln w="28575" cap="flat" cmpd="sng" algn="ctr">
              <a:solidFill>
                <a:sysClr val="windowText" lastClr="000000"/>
              </a:solidFill>
              <a:prstDash val="solid"/>
              <a:miter lim="800000"/>
            </a:ln>
            <a:effectLst/>
          </xdr:spPr>
        </xdr:cxnSp>
      </xdr:grpSp>
      <xdr:sp macro="" textlink="">
        <xdr:nvSpPr>
          <xdr:cNvPr id="21" name="Rectangle: Rounded Corners 20">
            <a:hlinkClick xmlns:r="http://schemas.openxmlformats.org/officeDocument/2006/relationships" r:id="rId12"/>
            <a:extLst>
              <a:ext uri="{FF2B5EF4-FFF2-40B4-BE49-F238E27FC236}">
                <a16:creationId xmlns:a16="http://schemas.microsoft.com/office/drawing/2014/main" id="{48E6B071-A15E-7498-52A6-EBBFA3A0EB06}"/>
              </a:ext>
            </a:extLst>
          </xdr:cNvPr>
          <xdr:cNvSpPr/>
        </xdr:nvSpPr>
        <xdr:spPr>
          <a:xfrm>
            <a:off x="11782432" y="416016"/>
            <a:ext cx="1451361" cy="33345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11. Quality assurance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19050</xdr:colOff>
      <xdr:row>1</xdr:row>
      <xdr:rowOff>0</xdr:rowOff>
    </xdr:from>
    <xdr:to>
      <xdr:col>12</xdr:col>
      <xdr:colOff>336176</xdr:colOff>
      <xdr:row>3</xdr:row>
      <xdr:rowOff>29020</xdr:rowOff>
    </xdr:to>
    <xdr:grpSp>
      <xdr:nvGrpSpPr>
        <xdr:cNvPr id="19" name="Group 18">
          <a:extLst>
            <a:ext uri="{FF2B5EF4-FFF2-40B4-BE49-F238E27FC236}">
              <a16:creationId xmlns:a16="http://schemas.microsoft.com/office/drawing/2014/main" id="{67BC7568-D4E7-4718-A530-9BE611DD6BD6}"/>
            </a:ext>
          </a:extLst>
        </xdr:cNvPr>
        <xdr:cNvGrpSpPr>
          <a:grpSpLocks noChangeAspect="1"/>
        </xdr:cNvGrpSpPr>
      </xdr:nvGrpSpPr>
      <xdr:grpSpPr>
        <a:xfrm>
          <a:off x="19050" y="311150"/>
          <a:ext cx="12807576" cy="397320"/>
          <a:chOff x="73025" y="416016"/>
          <a:chExt cx="13160768" cy="395698"/>
        </a:xfrm>
      </xdr:grpSpPr>
      <xdr:grpSp>
        <xdr:nvGrpSpPr>
          <xdr:cNvPr id="20" name="Group 19">
            <a:extLst>
              <a:ext uri="{FF2B5EF4-FFF2-40B4-BE49-F238E27FC236}">
                <a16:creationId xmlns:a16="http://schemas.microsoft.com/office/drawing/2014/main" id="{31A7E546-8A20-FC16-62D4-E5F209BD237B}"/>
              </a:ext>
            </a:extLst>
          </xdr:cNvPr>
          <xdr:cNvGrpSpPr/>
        </xdr:nvGrpSpPr>
        <xdr:grpSpPr>
          <a:xfrm>
            <a:off x="73025" y="425542"/>
            <a:ext cx="11800150" cy="386172"/>
            <a:chOff x="73025" y="428799"/>
            <a:chExt cx="8652178" cy="382727"/>
          </a:xfrm>
        </xdr:grpSpPr>
        <xdr:grpSp>
          <xdr:nvGrpSpPr>
            <xdr:cNvPr id="22" name="Group 21">
              <a:extLst>
                <a:ext uri="{FF2B5EF4-FFF2-40B4-BE49-F238E27FC236}">
                  <a16:creationId xmlns:a16="http://schemas.microsoft.com/office/drawing/2014/main" id="{DB991EA6-0202-3E6E-4ACA-C62AC842E37C}"/>
                </a:ext>
              </a:extLst>
            </xdr:cNvPr>
            <xdr:cNvGrpSpPr>
              <a:grpSpLocks/>
            </xdr:cNvGrpSpPr>
          </xdr:nvGrpSpPr>
          <xdr:grpSpPr>
            <a:xfrm>
              <a:off x="73025" y="428799"/>
              <a:ext cx="8652178" cy="321034"/>
              <a:chOff x="3378200" y="3029328"/>
              <a:chExt cx="8647383" cy="314204"/>
            </a:xfrm>
          </xdr:grpSpPr>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1963E8D7-F30F-A8AB-E7D1-150D7BEF0606}"/>
                  </a:ext>
                </a:extLst>
              </xdr:cNvPr>
              <xdr:cNvSpPr/>
            </xdr:nvSpPr>
            <xdr:spPr>
              <a:xfrm>
                <a:off x="3378200" y="3038475"/>
                <a:ext cx="52931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Read me</a:t>
                </a:r>
              </a:p>
            </xdr:txBody>
          </xdr:sp>
          <xdr:grpSp>
            <xdr:nvGrpSpPr>
              <xdr:cNvPr id="25" name="Group 24">
                <a:extLst>
                  <a:ext uri="{FF2B5EF4-FFF2-40B4-BE49-F238E27FC236}">
                    <a16:creationId xmlns:a16="http://schemas.microsoft.com/office/drawing/2014/main" id="{E698A5FD-114D-9EC8-BB01-56FC896FBDB7}"/>
                  </a:ext>
                </a:extLst>
              </xdr:cNvPr>
              <xdr:cNvGrpSpPr/>
            </xdr:nvGrpSpPr>
            <xdr:grpSpPr>
              <a:xfrm>
                <a:off x="3880276" y="3029328"/>
                <a:ext cx="8145307" cy="314204"/>
                <a:chOff x="-224999" y="190878"/>
                <a:chExt cx="8145307" cy="314204"/>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7FF32F0C-05A6-133D-487D-BAB61348A78F}"/>
                    </a:ext>
                  </a:extLst>
                </xdr:cNvPr>
                <xdr:cNvSpPr/>
              </xdr:nvSpPr>
              <xdr:spPr>
                <a:xfrm>
                  <a:off x="-224999" y="200025"/>
                  <a:ext cx="720248"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 Dashboard</a:t>
                  </a:r>
                </a:p>
              </xdr:txBody>
            </xdr:sp>
            <xdr:sp macro="" textlink="">
              <xdr:nvSpPr>
                <xdr:cNvPr id="27" name="Rectangle: Rounded Corners 26">
                  <a:hlinkClick xmlns:r="http://schemas.openxmlformats.org/officeDocument/2006/relationships" r:id="rId3"/>
                  <a:extLst>
                    <a:ext uri="{FF2B5EF4-FFF2-40B4-BE49-F238E27FC236}">
                      <a16:creationId xmlns:a16="http://schemas.microsoft.com/office/drawing/2014/main" id="{DE5AF848-3E9E-395B-3124-BCACB196E45B}"/>
                    </a:ext>
                  </a:extLst>
                </xdr:cNvPr>
                <xdr:cNvSpPr/>
              </xdr:nvSpPr>
              <xdr:spPr>
                <a:xfrm>
                  <a:off x="466973" y="200025"/>
                  <a:ext cx="543004"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2. RI Info</a:t>
                  </a:r>
                </a:p>
              </xdr:txBody>
            </xdr:sp>
            <xdr:sp macro="" textlink="">
              <xdr:nvSpPr>
                <xdr:cNvPr id="28" name="Rectangle: Rounded Corners 27">
                  <a:hlinkClick xmlns:r="http://schemas.openxmlformats.org/officeDocument/2006/relationships" r:id="rId4"/>
                  <a:extLst>
                    <a:ext uri="{FF2B5EF4-FFF2-40B4-BE49-F238E27FC236}">
                      <a16:creationId xmlns:a16="http://schemas.microsoft.com/office/drawing/2014/main" id="{3E1CA80F-592D-1590-B7D1-8DB99EE26572}"/>
                    </a:ext>
                  </a:extLst>
                </xdr:cNvPr>
                <xdr:cNvSpPr/>
              </xdr:nvSpPr>
              <xdr:spPr>
                <a:xfrm>
                  <a:off x="925469" y="200025"/>
                  <a:ext cx="956085"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3. Vaccine demand</a:t>
                  </a:r>
                </a:p>
              </xdr:txBody>
            </xdr:sp>
            <xdr:sp macro="" textlink="">
              <xdr:nvSpPr>
                <xdr:cNvPr id="29" name="Rectangle: Rounded Corners 28">
                  <a:hlinkClick xmlns:r="http://schemas.openxmlformats.org/officeDocument/2006/relationships" r:id="rId5"/>
                  <a:extLst>
                    <a:ext uri="{FF2B5EF4-FFF2-40B4-BE49-F238E27FC236}">
                      <a16:creationId xmlns:a16="http://schemas.microsoft.com/office/drawing/2014/main" id="{1DEA33C4-DE15-F843-FEE3-BB9BCFFD6798}"/>
                    </a:ext>
                  </a:extLst>
                </xdr:cNvPr>
                <xdr:cNvSpPr/>
              </xdr:nvSpPr>
              <xdr:spPr>
                <a:xfrm>
                  <a:off x="1827574" y="200025"/>
                  <a:ext cx="1016368"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4. Injection supplies</a:t>
                  </a:r>
                </a:p>
              </xdr:txBody>
            </xdr:sp>
            <xdr:sp macro="" textlink="">
              <xdr:nvSpPr>
                <xdr:cNvPr id="30" name="Rectangle: Rounded Corners 29">
                  <a:hlinkClick xmlns:r="http://schemas.openxmlformats.org/officeDocument/2006/relationships" r:id="rId6"/>
                  <a:extLst>
                    <a:ext uri="{FF2B5EF4-FFF2-40B4-BE49-F238E27FC236}">
                      <a16:creationId xmlns:a16="http://schemas.microsoft.com/office/drawing/2014/main" id="{7C197386-C7FB-C770-A1C2-836A4CDD765D}"/>
                    </a:ext>
                  </a:extLst>
                </xdr:cNvPr>
                <xdr:cNvSpPr/>
              </xdr:nvSpPr>
              <xdr:spPr>
                <a:xfrm>
                  <a:off x="2798726" y="200025"/>
                  <a:ext cx="74490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5. Cold chain </a:t>
                  </a:r>
                </a:p>
              </xdr:txBody>
            </xdr:sp>
            <xdr:sp macro="" textlink="">
              <xdr:nvSpPr>
                <xdr:cNvPr id="31" name="Rectangle: Rounded Corners 30">
                  <a:hlinkClick xmlns:r="http://schemas.openxmlformats.org/officeDocument/2006/relationships" r:id="rId7"/>
                  <a:extLst>
                    <a:ext uri="{FF2B5EF4-FFF2-40B4-BE49-F238E27FC236}">
                      <a16:creationId xmlns:a16="http://schemas.microsoft.com/office/drawing/2014/main" id="{1C762903-046D-82AC-72DE-FAB7794038E4}"/>
                    </a:ext>
                  </a:extLst>
                </xdr:cNvPr>
                <xdr:cNvSpPr/>
              </xdr:nvSpPr>
              <xdr:spPr>
                <a:xfrm>
                  <a:off x="3469067" y="200119"/>
                  <a:ext cx="682034"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6. Personnel</a:t>
                  </a:r>
                </a:p>
              </xdr:txBody>
            </xdr:sp>
            <xdr:sp macro="" textlink="">
              <xdr:nvSpPr>
                <xdr:cNvPr id="32" name="Rectangle: Rounded Corners 31">
                  <a:hlinkClick xmlns:r="http://schemas.openxmlformats.org/officeDocument/2006/relationships" r:id="rId8"/>
                  <a:extLst>
                    <a:ext uri="{FF2B5EF4-FFF2-40B4-BE49-F238E27FC236}">
                      <a16:creationId xmlns:a16="http://schemas.microsoft.com/office/drawing/2014/main" id="{79742A75-48D6-EFE1-FACE-8E44AC97142D}"/>
                    </a:ext>
                  </a:extLst>
                </xdr:cNvPr>
                <xdr:cNvSpPr/>
              </xdr:nvSpPr>
              <xdr:spPr>
                <a:xfrm>
                  <a:off x="4117488" y="200211"/>
                  <a:ext cx="88115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7. Transportation</a:t>
                  </a:r>
                </a:p>
              </xdr:txBody>
            </xdr:sp>
            <xdr:sp macro="" textlink="">
              <xdr:nvSpPr>
                <xdr:cNvPr id="33" name="Rectangle: Rounded Corners 32">
                  <a:hlinkClick xmlns:r="http://schemas.openxmlformats.org/officeDocument/2006/relationships" r:id="rId9"/>
                  <a:extLst>
                    <a:ext uri="{FF2B5EF4-FFF2-40B4-BE49-F238E27FC236}">
                      <a16:creationId xmlns:a16="http://schemas.microsoft.com/office/drawing/2014/main" id="{A8375E37-7113-327A-C7F8-1FD53F01A901}"/>
                    </a:ext>
                  </a:extLst>
                </xdr:cNvPr>
                <xdr:cNvSpPr/>
              </xdr:nvSpPr>
              <xdr:spPr>
                <a:xfrm>
                  <a:off x="4959711" y="200119"/>
                  <a:ext cx="64863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8. Outreach</a:t>
                  </a:r>
                </a:p>
              </xdr:txBody>
            </xdr:sp>
            <xdr:sp macro="" textlink="">
              <xdr:nvSpPr>
                <xdr:cNvPr id="34" name="Rectangle: Rounded Corners 33">
                  <a:hlinkClick xmlns:r="http://schemas.openxmlformats.org/officeDocument/2006/relationships" r:id="rId10"/>
                  <a:extLst>
                    <a:ext uri="{FF2B5EF4-FFF2-40B4-BE49-F238E27FC236}">
                      <a16:creationId xmlns:a16="http://schemas.microsoft.com/office/drawing/2014/main" id="{87E7B2F8-D259-D792-BAC5-F3619313554B}"/>
                    </a:ext>
                  </a:extLst>
                </xdr:cNvPr>
                <xdr:cNvSpPr/>
              </xdr:nvSpPr>
              <xdr:spPr>
                <a:xfrm>
                  <a:off x="5570875" y="190878"/>
                  <a:ext cx="1469271" cy="310651"/>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9. Training &amp; social mobilization</a:t>
                  </a:r>
                </a:p>
              </xdr:txBody>
            </xdr:sp>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EFB7AD83-C155-D07A-FF86-C11C46318897}"/>
                    </a:ext>
                  </a:extLst>
                </xdr:cNvPr>
                <xdr:cNvSpPr/>
              </xdr:nvSpPr>
              <xdr:spPr>
                <a:xfrm>
                  <a:off x="7001918" y="190880"/>
                  <a:ext cx="918390" cy="31420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10. Microplanning</a:t>
                  </a:r>
                </a:p>
              </xdr:txBody>
            </xdr:sp>
          </xdr:grpSp>
        </xdr:grpSp>
        <xdr:cxnSp macro="">
          <xdr:nvCxnSpPr>
            <xdr:cNvPr id="23" name="Straight Connector 22">
              <a:extLst>
                <a:ext uri="{FF2B5EF4-FFF2-40B4-BE49-F238E27FC236}">
                  <a16:creationId xmlns:a16="http://schemas.microsoft.com/office/drawing/2014/main" id="{6818770A-4532-96D0-9E3A-9A5945516A13}"/>
                </a:ext>
              </a:extLst>
            </xdr:cNvPr>
            <xdr:cNvCxnSpPr/>
          </xdr:nvCxnSpPr>
          <xdr:spPr>
            <a:xfrm>
              <a:off x="7811027" y="811526"/>
              <a:ext cx="851017" cy="0"/>
            </a:xfrm>
            <a:prstGeom prst="line">
              <a:avLst/>
            </a:prstGeom>
            <a:noFill/>
            <a:ln w="28575" cap="flat" cmpd="sng" algn="ctr">
              <a:solidFill>
                <a:sysClr val="windowText" lastClr="000000"/>
              </a:solidFill>
              <a:prstDash val="solid"/>
              <a:miter lim="800000"/>
            </a:ln>
            <a:effectLst/>
          </xdr:spPr>
        </xdr:cxnSp>
      </xdr:grpSp>
      <xdr:sp macro="" textlink="">
        <xdr:nvSpPr>
          <xdr:cNvPr id="21" name="Rectangle: Rounded Corners 20">
            <a:hlinkClick xmlns:r="http://schemas.openxmlformats.org/officeDocument/2006/relationships" r:id="rId12"/>
            <a:extLst>
              <a:ext uri="{FF2B5EF4-FFF2-40B4-BE49-F238E27FC236}">
                <a16:creationId xmlns:a16="http://schemas.microsoft.com/office/drawing/2014/main" id="{B8B10856-0FE3-990E-32DD-5BCF6C52F3AE}"/>
              </a:ext>
            </a:extLst>
          </xdr:cNvPr>
          <xdr:cNvSpPr/>
        </xdr:nvSpPr>
        <xdr:spPr>
          <a:xfrm>
            <a:off x="11782432" y="416016"/>
            <a:ext cx="1451361" cy="33345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11. Quality assurance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12</xdr:col>
      <xdr:colOff>164726</xdr:colOff>
      <xdr:row>3</xdr:row>
      <xdr:rowOff>9970</xdr:rowOff>
    </xdr:to>
    <xdr:grpSp>
      <xdr:nvGrpSpPr>
        <xdr:cNvPr id="19" name="Group 18">
          <a:extLst>
            <a:ext uri="{FF2B5EF4-FFF2-40B4-BE49-F238E27FC236}">
              <a16:creationId xmlns:a16="http://schemas.microsoft.com/office/drawing/2014/main" id="{83BB90BE-00D5-4118-B1A4-18A7B74264D0}"/>
            </a:ext>
          </a:extLst>
        </xdr:cNvPr>
        <xdr:cNvGrpSpPr>
          <a:grpSpLocks noChangeAspect="1"/>
        </xdr:cNvGrpSpPr>
      </xdr:nvGrpSpPr>
      <xdr:grpSpPr>
        <a:xfrm>
          <a:off x="0" y="361950"/>
          <a:ext cx="12813926" cy="378270"/>
          <a:chOff x="73025" y="416016"/>
          <a:chExt cx="13160768" cy="376260"/>
        </a:xfrm>
      </xdr:grpSpPr>
      <xdr:grpSp>
        <xdr:nvGrpSpPr>
          <xdr:cNvPr id="20" name="Group 19">
            <a:extLst>
              <a:ext uri="{FF2B5EF4-FFF2-40B4-BE49-F238E27FC236}">
                <a16:creationId xmlns:a16="http://schemas.microsoft.com/office/drawing/2014/main" id="{431F4E9C-B9D2-533C-3851-EB80AD7BEA93}"/>
              </a:ext>
            </a:extLst>
          </xdr:cNvPr>
          <xdr:cNvGrpSpPr/>
        </xdr:nvGrpSpPr>
        <xdr:grpSpPr>
          <a:xfrm>
            <a:off x="73025" y="425542"/>
            <a:ext cx="13157893" cy="366734"/>
            <a:chOff x="73025" y="428799"/>
            <a:chExt cx="9647711" cy="363462"/>
          </a:xfrm>
        </xdr:grpSpPr>
        <xdr:grpSp>
          <xdr:nvGrpSpPr>
            <xdr:cNvPr id="22" name="Group 21">
              <a:extLst>
                <a:ext uri="{FF2B5EF4-FFF2-40B4-BE49-F238E27FC236}">
                  <a16:creationId xmlns:a16="http://schemas.microsoft.com/office/drawing/2014/main" id="{C30CD2F3-AAE9-2F9D-2251-E4200DC9F201}"/>
                </a:ext>
              </a:extLst>
            </xdr:cNvPr>
            <xdr:cNvGrpSpPr>
              <a:grpSpLocks/>
            </xdr:cNvGrpSpPr>
          </xdr:nvGrpSpPr>
          <xdr:grpSpPr>
            <a:xfrm>
              <a:off x="73025" y="428799"/>
              <a:ext cx="8652178" cy="321034"/>
              <a:chOff x="3378200" y="3029328"/>
              <a:chExt cx="8647383" cy="314204"/>
            </a:xfrm>
          </xdr:grpSpPr>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BF973B56-5FCE-D76E-A223-3105A37C00DB}"/>
                  </a:ext>
                </a:extLst>
              </xdr:cNvPr>
              <xdr:cNvSpPr/>
            </xdr:nvSpPr>
            <xdr:spPr>
              <a:xfrm>
                <a:off x="3378200" y="3038475"/>
                <a:ext cx="52931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Read me</a:t>
                </a:r>
              </a:p>
            </xdr:txBody>
          </xdr:sp>
          <xdr:grpSp>
            <xdr:nvGrpSpPr>
              <xdr:cNvPr id="25" name="Group 24">
                <a:extLst>
                  <a:ext uri="{FF2B5EF4-FFF2-40B4-BE49-F238E27FC236}">
                    <a16:creationId xmlns:a16="http://schemas.microsoft.com/office/drawing/2014/main" id="{4F8C025F-2B8A-87FE-E6AB-3B15A59F0ED1}"/>
                  </a:ext>
                </a:extLst>
              </xdr:cNvPr>
              <xdr:cNvGrpSpPr/>
            </xdr:nvGrpSpPr>
            <xdr:grpSpPr>
              <a:xfrm>
                <a:off x="3880276" y="3029328"/>
                <a:ext cx="8145307" cy="314204"/>
                <a:chOff x="-224999" y="190878"/>
                <a:chExt cx="8145307" cy="314204"/>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FD781F7E-1908-824D-A15E-00963720B0C3}"/>
                    </a:ext>
                  </a:extLst>
                </xdr:cNvPr>
                <xdr:cNvSpPr/>
              </xdr:nvSpPr>
              <xdr:spPr>
                <a:xfrm>
                  <a:off x="-224999" y="200025"/>
                  <a:ext cx="720248"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 Dashboard</a:t>
                  </a:r>
                </a:p>
              </xdr:txBody>
            </xdr:sp>
            <xdr:sp macro="" textlink="">
              <xdr:nvSpPr>
                <xdr:cNvPr id="27" name="Rectangle: Rounded Corners 26">
                  <a:hlinkClick xmlns:r="http://schemas.openxmlformats.org/officeDocument/2006/relationships" r:id="rId3"/>
                  <a:extLst>
                    <a:ext uri="{FF2B5EF4-FFF2-40B4-BE49-F238E27FC236}">
                      <a16:creationId xmlns:a16="http://schemas.microsoft.com/office/drawing/2014/main" id="{00DE4963-27BE-A103-9616-15A9DA266FDC}"/>
                    </a:ext>
                  </a:extLst>
                </xdr:cNvPr>
                <xdr:cNvSpPr/>
              </xdr:nvSpPr>
              <xdr:spPr>
                <a:xfrm>
                  <a:off x="466973" y="200025"/>
                  <a:ext cx="543004"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2. RI Info</a:t>
                  </a:r>
                </a:p>
              </xdr:txBody>
            </xdr:sp>
            <xdr:sp macro="" textlink="">
              <xdr:nvSpPr>
                <xdr:cNvPr id="28" name="Rectangle: Rounded Corners 27">
                  <a:hlinkClick xmlns:r="http://schemas.openxmlformats.org/officeDocument/2006/relationships" r:id="rId4"/>
                  <a:extLst>
                    <a:ext uri="{FF2B5EF4-FFF2-40B4-BE49-F238E27FC236}">
                      <a16:creationId xmlns:a16="http://schemas.microsoft.com/office/drawing/2014/main" id="{27E90FE9-A8D1-08D8-850F-E8AE7DF4EFC9}"/>
                    </a:ext>
                  </a:extLst>
                </xdr:cNvPr>
                <xdr:cNvSpPr/>
              </xdr:nvSpPr>
              <xdr:spPr>
                <a:xfrm>
                  <a:off x="925469" y="200025"/>
                  <a:ext cx="956085"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3. Vaccine demand</a:t>
                  </a:r>
                </a:p>
              </xdr:txBody>
            </xdr:sp>
            <xdr:sp macro="" textlink="">
              <xdr:nvSpPr>
                <xdr:cNvPr id="29" name="Rectangle: Rounded Corners 28">
                  <a:hlinkClick xmlns:r="http://schemas.openxmlformats.org/officeDocument/2006/relationships" r:id="rId5"/>
                  <a:extLst>
                    <a:ext uri="{FF2B5EF4-FFF2-40B4-BE49-F238E27FC236}">
                      <a16:creationId xmlns:a16="http://schemas.microsoft.com/office/drawing/2014/main" id="{53C28EE2-36FA-C291-2888-4C143AE1137B}"/>
                    </a:ext>
                  </a:extLst>
                </xdr:cNvPr>
                <xdr:cNvSpPr/>
              </xdr:nvSpPr>
              <xdr:spPr>
                <a:xfrm>
                  <a:off x="1827574" y="200025"/>
                  <a:ext cx="1016368"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4. Injection supplies</a:t>
                  </a:r>
                </a:p>
              </xdr:txBody>
            </xdr:sp>
            <xdr:sp macro="" textlink="">
              <xdr:nvSpPr>
                <xdr:cNvPr id="30" name="Rectangle: Rounded Corners 29">
                  <a:hlinkClick xmlns:r="http://schemas.openxmlformats.org/officeDocument/2006/relationships" r:id="rId6"/>
                  <a:extLst>
                    <a:ext uri="{FF2B5EF4-FFF2-40B4-BE49-F238E27FC236}">
                      <a16:creationId xmlns:a16="http://schemas.microsoft.com/office/drawing/2014/main" id="{5CB2D768-E43E-592D-EEFA-C1A5FD773558}"/>
                    </a:ext>
                  </a:extLst>
                </xdr:cNvPr>
                <xdr:cNvSpPr/>
              </xdr:nvSpPr>
              <xdr:spPr>
                <a:xfrm>
                  <a:off x="2798726" y="200025"/>
                  <a:ext cx="74490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5. Cold chain </a:t>
                  </a:r>
                </a:p>
              </xdr:txBody>
            </xdr:sp>
            <xdr:sp macro="" textlink="">
              <xdr:nvSpPr>
                <xdr:cNvPr id="31" name="Rectangle: Rounded Corners 30">
                  <a:hlinkClick xmlns:r="http://schemas.openxmlformats.org/officeDocument/2006/relationships" r:id="rId7"/>
                  <a:extLst>
                    <a:ext uri="{FF2B5EF4-FFF2-40B4-BE49-F238E27FC236}">
                      <a16:creationId xmlns:a16="http://schemas.microsoft.com/office/drawing/2014/main" id="{2E8E0A09-EDB7-0020-86FA-843F8CD874C9}"/>
                    </a:ext>
                  </a:extLst>
                </xdr:cNvPr>
                <xdr:cNvSpPr/>
              </xdr:nvSpPr>
              <xdr:spPr>
                <a:xfrm>
                  <a:off x="3469067" y="200119"/>
                  <a:ext cx="682034"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6. Personnel</a:t>
                  </a:r>
                </a:p>
              </xdr:txBody>
            </xdr:sp>
            <xdr:sp macro="" textlink="">
              <xdr:nvSpPr>
                <xdr:cNvPr id="32" name="Rectangle: Rounded Corners 31">
                  <a:hlinkClick xmlns:r="http://schemas.openxmlformats.org/officeDocument/2006/relationships" r:id="rId8"/>
                  <a:extLst>
                    <a:ext uri="{FF2B5EF4-FFF2-40B4-BE49-F238E27FC236}">
                      <a16:creationId xmlns:a16="http://schemas.microsoft.com/office/drawing/2014/main" id="{1FA381ED-8024-1ED3-A95D-94D0894EEC37}"/>
                    </a:ext>
                  </a:extLst>
                </xdr:cNvPr>
                <xdr:cNvSpPr/>
              </xdr:nvSpPr>
              <xdr:spPr>
                <a:xfrm>
                  <a:off x="4117488" y="200211"/>
                  <a:ext cx="88115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7. Transportation</a:t>
                  </a:r>
                </a:p>
              </xdr:txBody>
            </xdr:sp>
            <xdr:sp macro="" textlink="">
              <xdr:nvSpPr>
                <xdr:cNvPr id="33" name="Rectangle: Rounded Corners 32">
                  <a:hlinkClick xmlns:r="http://schemas.openxmlformats.org/officeDocument/2006/relationships" r:id="rId9"/>
                  <a:extLst>
                    <a:ext uri="{FF2B5EF4-FFF2-40B4-BE49-F238E27FC236}">
                      <a16:creationId xmlns:a16="http://schemas.microsoft.com/office/drawing/2014/main" id="{E89DF00C-DEE2-B8F0-FC3F-3E27875E131E}"/>
                    </a:ext>
                  </a:extLst>
                </xdr:cNvPr>
                <xdr:cNvSpPr/>
              </xdr:nvSpPr>
              <xdr:spPr>
                <a:xfrm>
                  <a:off x="4959711" y="200119"/>
                  <a:ext cx="64863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8. Outreach</a:t>
                  </a:r>
                </a:p>
              </xdr:txBody>
            </xdr:sp>
            <xdr:sp macro="" textlink="">
              <xdr:nvSpPr>
                <xdr:cNvPr id="34" name="Rectangle: Rounded Corners 33">
                  <a:hlinkClick xmlns:r="http://schemas.openxmlformats.org/officeDocument/2006/relationships" r:id="rId10"/>
                  <a:extLst>
                    <a:ext uri="{FF2B5EF4-FFF2-40B4-BE49-F238E27FC236}">
                      <a16:creationId xmlns:a16="http://schemas.microsoft.com/office/drawing/2014/main" id="{DB8AC3AC-066E-F9B4-82DF-6B1845C9DD0E}"/>
                    </a:ext>
                  </a:extLst>
                </xdr:cNvPr>
                <xdr:cNvSpPr/>
              </xdr:nvSpPr>
              <xdr:spPr>
                <a:xfrm>
                  <a:off x="5570875" y="190878"/>
                  <a:ext cx="1469271" cy="310651"/>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9. Training &amp; social mobilization</a:t>
                  </a:r>
                </a:p>
              </xdr:txBody>
            </xdr:sp>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9C1EFCFA-7BD2-027A-AEEC-D8887D174156}"/>
                    </a:ext>
                  </a:extLst>
                </xdr:cNvPr>
                <xdr:cNvSpPr/>
              </xdr:nvSpPr>
              <xdr:spPr>
                <a:xfrm>
                  <a:off x="7001918" y="190880"/>
                  <a:ext cx="918390" cy="31420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10. Microplanning</a:t>
                  </a:r>
                </a:p>
              </xdr:txBody>
            </xdr:sp>
          </xdr:grpSp>
        </xdr:grpSp>
        <xdr:cxnSp macro="">
          <xdr:nvCxnSpPr>
            <xdr:cNvPr id="23" name="Straight Connector 22">
              <a:extLst>
                <a:ext uri="{FF2B5EF4-FFF2-40B4-BE49-F238E27FC236}">
                  <a16:creationId xmlns:a16="http://schemas.microsoft.com/office/drawing/2014/main" id="{8CD47881-8C85-51D9-16F8-02AD7F92C395}"/>
                </a:ext>
              </a:extLst>
            </xdr:cNvPr>
            <xdr:cNvCxnSpPr/>
          </xdr:nvCxnSpPr>
          <xdr:spPr>
            <a:xfrm>
              <a:off x="8657024" y="792261"/>
              <a:ext cx="1063712" cy="0"/>
            </a:xfrm>
            <a:prstGeom prst="line">
              <a:avLst/>
            </a:prstGeom>
            <a:noFill/>
            <a:ln w="28575" cap="flat" cmpd="sng" algn="ctr">
              <a:solidFill>
                <a:sysClr val="windowText" lastClr="000000"/>
              </a:solidFill>
              <a:prstDash val="solid"/>
              <a:miter lim="800000"/>
            </a:ln>
            <a:effectLst/>
          </xdr:spPr>
        </xdr:cxnSp>
      </xdr:grpSp>
      <xdr:sp macro="" textlink="">
        <xdr:nvSpPr>
          <xdr:cNvPr id="21" name="Rectangle: Rounded Corners 20">
            <a:hlinkClick xmlns:r="http://schemas.openxmlformats.org/officeDocument/2006/relationships" r:id="rId12"/>
            <a:extLst>
              <a:ext uri="{FF2B5EF4-FFF2-40B4-BE49-F238E27FC236}">
                <a16:creationId xmlns:a16="http://schemas.microsoft.com/office/drawing/2014/main" id="{78870FB6-210C-8645-ED5A-9DF2E510A985}"/>
              </a:ext>
            </a:extLst>
          </xdr:cNvPr>
          <xdr:cNvSpPr/>
        </xdr:nvSpPr>
        <xdr:spPr>
          <a:xfrm>
            <a:off x="11782432" y="416016"/>
            <a:ext cx="1451361" cy="33345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11. Quality assurance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13</xdr:col>
      <xdr:colOff>112058</xdr:colOff>
      <xdr:row>3</xdr:row>
      <xdr:rowOff>26717</xdr:rowOff>
    </xdr:to>
    <xdr:grpSp>
      <xdr:nvGrpSpPr>
        <xdr:cNvPr id="36" name="Group 35">
          <a:extLst>
            <a:ext uri="{FF2B5EF4-FFF2-40B4-BE49-F238E27FC236}">
              <a16:creationId xmlns:a16="http://schemas.microsoft.com/office/drawing/2014/main" id="{53724F4B-2AA8-4CF0-AEF0-066335FC2232}"/>
            </a:ext>
          </a:extLst>
        </xdr:cNvPr>
        <xdr:cNvGrpSpPr>
          <a:grpSpLocks noChangeAspect="1"/>
        </xdr:cNvGrpSpPr>
      </xdr:nvGrpSpPr>
      <xdr:grpSpPr>
        <a:xfrm>
          <a:off x="0" y="361950"/>
          <a:ext cx="12824758" cy="395017"/>
          <a:chOff x="73025" y="416016"/>
          <a:chExt cx="13160768" cy="385875"/>
        </a:xfrm>
      </xdr:grpSpPr>
      <xdr:grpSp>
        <xdr:nvGrpSpPr>
          <xdr:cNvPr id="37" name="Group 36">
            <a:extLst>
              <a:ext uri="{FF2B5EF4-FFF2-40B4-BE49-F238E27FC236}">
                <a16:creationId xmlns:a16="http://schemas.microsoft.com/office/drawing/2014/main" id="{0971DDCD-36EF-0085-C17C-3DD602D71234}"/>
              </a:ext>
            </a:extLst>
          </xdr:cNvPr>
          <xdr:cNvGrpSpPr/>
        </xdr:nvGrpSpPr>
        <xdr:grpSpPr>
          <a:xfrm>
            <a:off x="73025" y="425542"/>
            <a:ext cx="11800150" cy="376349"/>
            <a:chOff x="73025" y="428799"/>
            <a:chExt cx="8652178" cy="372991"/>
          </a:xfrm>
        </xdr:grpSpPr>
        <xdr:grpSp>
          <xdr:nvGrpSpPr>
            <xdr:cNvPr id="39" name="Group 38">
              <a:extLst>
                <a:ext uri="{FF2B5EF4-FFF2-40B4-BE49-F238E27FC236}">
                  <a16:creationId xmlns:a16="http://schemas.microsoft.com/office/drawing/2014/main" id="{E2FB22E3-22C4-2CD2-1F8C-7A78D585FF82}"/>
                </a:ext>
              </a:extLst>
            </xdr:cNvPr>
            <xdr:cNvGrpSpPr>
              <a:grpSpLocks/>
            </xdr:cNvGrpSpPr>
          </xdr:nvGrpSpPr>
          <xdr:grpSpPr>
            <a:xfrm>
              <a:off x="73025" y="428799"/>
              <a:ext cx="8652178" cy="321034"/>
              <a:chOff x="3378200" y="3029328"/>
              <a:chExt cx="8647383" cy="314204"/>
            </a:xfrm>
          </xdr:grpSpPr>
          <xdr:sp macro="" textlink="">
            <xdr:nvSpPr>
              <xdr:cNvPr id="41" name="Rectangle: Rounded Corners 40">
                <a:hlinkClick xmlns:r="http://schemas.openxmlformats.org/officeDocument/2006/relationships" r:id="rId1"/>
                <a:extLst>
                  <a:ext uri="{FF2B5EF4-FFF2-40B4-BE49-F238E27FC236}">
                    <a16:creationId xmlns:a16="http://schemas.microsoft.com/office/drawing/2014/main" id="{3F827276-17FF-2686-43F5-2A2C0E1467F6}"/>
                  </a:ext>
                </a:extLst>
              </xdr:cNvPr>
              <xdr:cNvSpPr/>
            </xdr:nvSpPr>
            <xdr:spPr>
              <a:xfrm>
                <a:off x="3378200" y="3038475"/>
                <a:ext cx="52931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Read me</a:t>
                </a:r>
              </a:p>
            </xdr:txBody>
          </xdr:sp>
          <xdr:grpSp>
            <xdr:nvGrpSpPr>
              <xdr:cNvPr id="42" name="Group 41">
                <a:extLst>
                  <a:ext uri="{FF2B5EF4-FFF2-40B4-BE49-F238E27FC236}">
                    <a16:creationId xmlns:a16="http://schemas.microsoft.com/office/drawing/2014/main" id="{FDF501DA-C7CA-02A7-D72D-EAC87821262B}"/>
                  </a:ext>
                </a:extLst>
              </xdr:cNvPr>
              <xdr:cNvGrpSpPr/>
            </xdr:nvGrpSpPr>
            <xdr:grpSpPr>
              <a:xfrm>
                <a:off x="3880276" y="3029328"/>
                <a:ext cx="8145307" cy="314204"/>
                <a:chOff x="-224999" y="190878"/>
                <a:chExt cx="8145307" cy="314204"/>
              </a:xfrm>
            </xdr:grpSpPr>
            <xdr:sp macro="" textlink="">
              <xdr:nvSpPr>
                <xdr:cNvPr id="43" name="Rectangle: Rounded Corners 42">
                  <a:hlinkClick xmlns:r="http://schemas.openxmlformats.org/officeDocument/2006/relationships" r:id="rId2"/>
                  <a:extLst>
                    <a:ext uri="{FF2B5EF4-FFF2-40B4-BE49-F238E27FC236}">
                      <a16:creationId xmlns:a16="http://schemas.microsoft.com/office/drawing/2014/main" id="{A60CA717-EB32-8699-EB00-7C8C72A1E1DE}"/>
                    </a:ext>
                  </a:extLst>
                </xdr:cNvPr>
                <xdr:cNvSpPr/>
              </xdr:nvSpPr>
              <xdr:spPr>
                <a:xfrm>
                  <a:off x="-224999" y="200025"/>
                  <a:ext cx="720248"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 Dashboard</a:t>
                  </a:r>
                </a:p>
              </xdr:txBody>
            </xdr:sp>
            <xdr:sp macro="" textlink="">
              <xdr:nvSpPr>
                <xdr:cNvPr id="44" name="Rectangle: Rounded Corners 43">
                  <a:hlinkClick xmlns:r="http://schemas.openxmlformats.org/officeDocument/2006/relationships" r:id="rId3"/>
                  <a:extLst>
                    <a:ext uri="{FF2B5EF4-FFF2-40B4-BE49-F238E27FC236}">
                      <a16:creationId xmlns:a16="http://schemas.microsoft.com/office/drawing/2014/main" id="{0CE4292B-873B-053C-0671-6F71364D54F6}"/>
                    </a:ext>
                  </a:extLst>
                </xdr:cNvPr>
                <xdr:cNvSpPr/>
              </xdr:nvSpPr>
              <xdr:spPr>
                <a:xfrm>
                  <a:off x="466973" y="200025"/>
                  <a:ext cx="543004"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2. RI Info</a:t>
                  </a:r>
                </a:p>
              </xdr:txBody>
            </xdr:sp>
            <xdr:sp macro="" textlink="">
              <xdr:nvSpPr>
                <xdr:cNvPr id="45" name="Rectangle: Rounded Corners 44">
                  <a:hlinkClick xmlns:r="http://schemas.openxmlformats.org/officeDocument/2006/relationships" r:id="rId4"/>
                  <a:extLst>
                    <a:ext uri="{FF2B5EF4-FFF2-40B4-BE49-F238E27FC236}">
                      <a16:creationId xmlns:a16="http://schemas.microsoft.com/office/drawing/2014/main" id="{7906BFF2-58F2-1719-5739-FBBE705FE812}"/>
                    </a:ext>
                  </a:extLst>
                </xdr:cNvPr>
                <xdr:cNvSpPr/>
              </xdr:nvSpPr>
              <xdr:spPr>
                <a:xfrm>
                  <a:off x="925469" y="200025"/>
                  <a:ext cx="956085"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3. Vaccine demand</a:t>
                  </a:r>
                </a:p>
              </xdr:txBody>
            </xdr:sp>
            <xdr:sp macro="" textlink="">
              <xdr:nvSpPr>
                <xdr:cNvPr id="46" name="Rectangle: Rounded Corners 45">
                  <a:hlinkClick xmlns:r="http://schemas.openxmlformats.org/officeDocument/2006/relationships" r:id="rId5"/>
                  <a:extLst>
                    <a:ext uri="{FF2B5EF4-FFF2-40B4-BE49-F238E27FC236}">
                      <a16:creationId xmlns:a16="http://schemas.microsoft.com/office/drawing/2014/main" id="{47AC684E-DC5F-5CCD-AEFC-8457EE7E5247}"/>
                    </a:ext>
                  </a:extLst>
                </xdr:cNvPr>
                <xdr:cNvSpPr/>
              </xdr:nvSpPr>
              <xdr:spPr>
                <a:xfrm>
                  <a:off x="1827574" y="200025"/>
                  <a:ext cx="1016368"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4. Injection supplies</a:t>
                  </a:r>
                </a:p>
              </xdr:txBody>
            </xdr:sp>
            <xdr:sp macro="" textlink="">
              <xdr:nvSpPr>
                <xdr:cNvPr id="47" name="Rectangle: Rounded Corners 46">
                  <a:hlinkClick xmlns:r="http://schemas.openxmlformats.org/officeDocument/2006/relationships" r:id="rId6"/>
                  <a:extLst>
                    <a:ext uri="{FF2B5EF4-FFF2-40B4-BE49-F238E27FC236}">
                      <a16:creationId xmlns:a16="http://schemas.microsoft.com/office/drawing/2014/main" id="{668B41B8-ADAC-D45F-3697-91C12C23074B}"/>
                    </a:ext>
                  </a:extLst>
                </xdr:cNvPr>
                <xdr:cNvSpPr/>
              </xdr:nvSpPr>
              <xdr:spPr>
                <a:xfrm>
                  <a:off x="2798726" y="200025"/>
                  <a:ext cx="74490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5. Cold chain </a:t>
                  </a:r>
                </a:p>
              </xdr:txBody>
            </xdr:sp>
            <xdr:sp macro="" textlink="">
              <xdr:nvSpPr>
                <xdr:cNvPr id="48" name="Rectangle: Rounded Corners 47">
                  <a:hlinkClick xmlns:r="http://schemas.openxmlformats.org/officeDocument/2006/relationships" r:id="rId7"/>
                  <a:extLst>
                    <a:ext uri="{FF2B5EF4-FFF2-40B4-BE49-F238E27FC236}">
                      <a16:creationId xmlns:a16="http://schemas.microsoft.com/office/drawing/2014/main" id="{2475394C-3C9F-6CA6-4918-DB6B6EC550D3}"/>
                    </a:ext>
                  </a:extLst>
                </xdr:cNvPr>
                <xdr:cNvSpPr/>
              </xdr:nvSpPr>
              <xdr:spPr>
                <a:xfrm>
                  <a:off x="3469067" y="200119"/>
                  <a:ext cx="682034"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6. Personnel</a:t>
                  </a:r>
                </a:p>
              </xdr:txBody>
            </xdr:sp>
            <xdr:sp macro="" textlink="">
              <xdr:nvSpPr>
                <xdr:cNvPr id="49" name="Rectangle: Rounded Corners 48">
                  <a:hlinkClick xmlns:r="http://schemas.openxmlformats.org/officeDocument/2006/relationships" r:id="rId8"/>
                  <a:extLst>
                    <a:ext uri="{FF2B5EF4-FFF2-40B4-BE49-F238E27FC236}">
                      <a16:creationId xmlns:a16="http://schemas.microsoft.com/office/drawing/2014/main" id="{A11A6992-7D79-3001-A44E-E44DA7265AAA}"/>
                    </a:ext>
                  </a:extLst>
                </xdr:cNvPr>
                <xdr:cNvSpPr/>
              </xdr:nvSpPr>
              <xdr:spPr>
                <a:xfrm>
                  <a:off x="4117488" y="200211"/>
                  <a:ext cx="88115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7. Transportation</a:t>
                  </a:r>
                </a:p>
              </xdr:txBody>
            </xdr:sp>
            <xdr:sp macro="" textlink="">
              <xdr:nvSpPr>
                <xdr:cNvPr id="50" name="Rectangle: Rounded Corners 49">
                  <a:hlinkClick xmlns:r="http://schemas.openxmlformats.org/officeDocument/2006/relationships" r:id="rId9"/>
                  <a:extLst>
                    <a:ext uri="{FF2B5EF4-FFF2-40B4-BE49-F238E27FC236}">
                      <a16:creationId xmlns:a16="http://schemas.microsoft.com/office/drawing/2014/main" id="{9610ADB1-A6DD-48BB-8E84-5111A1D13DAF}"/>
                    </a:ext>
                  </a:extLst>
                </xdr:cNvPr>
                <xdr:cNvSpPr/>
              </xdr:nvSpPr>
              <xdr:spPr>
                <a:xfrm>
                  <a:off x="4959711" y="200119"/>
                  <a:ext cx="64863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8. Outreach</a:t>
                  </a:r>
                </a:p>
              </xdr:txBody>
            </xdr:sp>
            <xdr:sp macro="" textlink="">
              <xdr:nvSpPr>
                <xdr:cNvPr id="51" name="Rectangle: Rounded Corners 50">
                  <a:hlinkClick xmlns:r="http://schemas.openxmlformats.org/officeDocument/2006/relationships" r:id="rId10"/>
                  <a:extLst>
                    <a:ext uri="{FF2B5EF4-FFF2-40B4-BE49-F238E27FC236}">
                      <a16:creationId xmlns:a16="http://schemas.microsoft.com/office/drawing/2014/main" id="{82DC1A8F-0121-6975-1CE4-435818D7E3E6}"/>
                    </a:ext>
                  </a:extLst>
                </xdr:cNvPr>
                <xdr:cNvSpPr/>
              </xdr:nvSpPr>
              <xdr:spPr>
                <a:xfrm>
                  <a:off x="5570875" y="190878"/>
                  <a:ext cx="1469271" cy="310651"/>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9. Training &amp; social mobilization</a:t>
                  </a:r>
                </a:p>
              </xdr:txBody>
            </xdr:sp>
            <xdr:sp macro="" textlink="">
              <xdr:nvSpPr>
                <xdr:cNvPr id="52" name="Rectangle: Rounded Corners 51">
                  <a:hlinkClick xmlns:r="http://schemas.openxmlformats.org/officeDocument/2006/relationships" r:id="rId11"/>
                  <a:extLst>
                    <a:ext uri="{FF2B5EF4-FFF2-40B4-BE49-F238E27FC236}">
                      <a16:creationId xmlns:a16="http://schemas.microsoft.com/office/drawing/2014/main" id="{A4C3EEB6-9D55-BD95-DADC-83868D068FC4}"/>
                    </a:ext>
                  </a:extLst>
                </xdr:cNvPr>
                <xdr:cNvSpPr/>
              </xdr:nvSpPr>
              <xdr:spPr>
                <a:xfrm>
                  <a:off x="7001918" y="190880"/>
                  <a:ext cx="918390" cy="31420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10. Microplanning</a:t>
                  </a:r>
                </a:p>
              </xdr:txBody>
            </xdr:sp>
          </xdr:grpSp>
        </xdr:grpSp>
        <xdr:cxnSp macro="">
          <xdr:nvCxnSpPr>
            <xdr:cNvPr id="40" name="Straight Connector 39">
              <a:extLst>
                <a:ext uri="{FF2B5EF4-FFF2-40B4-BE49-F238E27FC236}">
                  <a16:creationId xmlns:a16="http://schemas.microsoft.com/office/drawing/2014/main" id="{08A3A4A9-6E9E-A758-0E17-4BBEF94DD028}"/>
                </a:ext>
              </a:extLst>
            </xdr:cNvPr>
            <xdr:cNvCxnSpPr/>
          </xdr:nvCxnSpPr>
          <xdr:spPr>
            <a:xfrm>
              <a:off x="583399" y="801790"/>
              <a:ext cx="662113" cy="0"/>
            </a:xfrm>
            <a:prstGeom prst="line">
              <a:avLst/>
            </a:prstGeom>
            <a:noFill/>
            <a:ln w="28575" cap="flat" cmpd="sng" algn="ctr">
              <a:solidFill>
                <a:sysClr val="windowText" lastClr="000000"/>
              </a:solidFill>
              <a:prstDash val="solid"/>
              <a:miter lim="800000"/>
            </a:ln>
            <a:effectLst/>
          </xdr:spPr>
        </xdr:cxnSp>
      </xdr:grpSp>
      <xdr:sp macro="" textlink="">
        <xdr:nvSpPr>
          <xdr:cNvPr id="38" name="Rectangle: Rounded Corners 37">
            <a:hlinkClick xmlns:r="http://schemas.openxmlformats.org/officeDocument/2006/relationships" r:id="rId12"/>
            <a:extLst>
              <a:ext uri="{FF2B5EF4-FFF2-40B4-BE49-F238E27FC236}">
                <a16:creationId xmlns:a16="http://schemas.microsoft.com/office/drawing/2014/main" id="{2073B3AC-05BE-F6B1-585E-8D726A47666D}"/>
              </a:ext>
            </a:extLst>
          </xdr:cNvPr>
          <xdr:cNvSpPr/>
        </xdr:nvSpPr>
        <xdr:spPr>
          <a:xfrm>
            <a:off x="11782432" y="416016"/>
            <a:ext cx="1451361" cy="33345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11. Quality assurance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13</xdr:col>
      <xdr:colOff>645458</xdr:colOff>
      <xdr:row>3</xdr:row>
      <xdr:rowOff>7667</xdr:rowOff>
    </xdr:to>
    <xdr:grpSp>
      <xdr:nvGrpSpPr>
        <xdr:cNvPr id="19" name="Group 18">
          <a:extLst>
            <a:ext uri="{FF2B5EF4-FFF2-40B4-BE49-F238E27FC236}">
              <a16:creationId xmlns:a16="http://schemas.microsoft.com/office/drawing/2014/main" id="{580C4CF9-6876-460A-A61C-C2150B33A594}"/>
            </a:ext>
          </a:extLst>
        </xdr:cNvPr>
        <xdr:cNvGrpSpPr>
          <a:grpSpLocks noChangeAspect="1"/>
        </xdr:cNvGrpSpPr>
      </xdr:nvGrpSpPr>
      <xdr:grpSpPr>
        <a:xfrm>
          <a:off x="0" y="361950"/>
          <a:ext cx="12850158" cy="375967"/>
          <a:chOff x="73025" y="416016"/>
          <a:chExt cx="13160768" cy="366962"/>
        </a:xfrm>
      </xdr:grpSpPr>
      <xdr:grpSp>
        <xdr:nvGrpSpPr>
          <xdr:cNvPr id="20" name="Group 19">
            <a:extLst>
              <a:ext uri="{FF2B5EF4-FFF2-40B4-BE49-F238E27FC236}">
                <a16:creationId xmlns:a16="http://schemas.microsoft.com/office/drawing/2014/main" id="{042ACE74-2E40-4740-8A35-75872EF4CA18}"/>
              </a:ext>
            </a:extLst>
          </xdr:cNvPr>
          <xdr:cNvGrpSpPr/>
        </xdr:nvGrpSpPr>
        <xdr:grpSpPr>
          <a:xfrm>
            <a:off x="73025" y="425542"/>
            <a:ext cx="11800150" cy="357436"/>
            <a:chOff x="73025" y="428799"/>
            <a:chExt cx="8652178" cy="354247"/>
          </a:xfrm>
        </xdr:grpSpPr>
        <xdr:grpSp>
          <xdr:nvGrpSpPr>
            <xdr:cNvPr id="22" name="Group 21">
              <a:extLst>
                <a:ext uri="{FF2B5EF4-FFF2-40B4-BE49-F238E27FC236}">
                  <a16:creationId xmlns:a16="http://schemas.microsoft.com/office/drawing/2014/main" id="{BFE49981-6ACB-A21D-0B6C-62ABCF6C058B}"/>
                </a:ext>
              </a:extLst>
            </xdr:cNvPr>
            <xdr:cNvGrpSpPr>
              <a:grpSpLocks/>
            </xdr:cNvGrpSpPr>
          </xdr:nvGrpSpPr>
          <xdr:grpSpPr>
            <a:xfrm>
              <a:off x="73025" y="428799"/>
              <a:ext cx="8652178" cy="321034"/>
              <a:chOff x="3378200" y="3029328"/>
              <a:chExt cx="8647383" cy="314204"/>
            </a:xfrm>
          </xdr:grpSpPr>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02F86089-F009-162A-DDED-4400AEE622C5}"/>
                  </a:ext>
                </a:extLst>
              </xdr:cNvPr>
              <xdr:cNvSpPr/>
            </xdr:nvSpPr>
            <xdr:spPr>
              <a:xfrm>
                <a:off x="3378200" y="3038475"/>
                <a:ext cx="52931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Read me</a:t>
                </a:r>
              </a:p>
            </xdr:txBody>
          </xdr:sp>
          <xdr:grpSp>
            <xdr:nvGrpSpPr>
              <xdr:cNvPr id="25" name="Group 24">
                <a:extLst>
                  <a:ext uri="{FF2B5EF4-FFF2-40B4-BE49-F238E27FC236}">
                    <a16:creationId xmlns:a16="http://schemas.microsoft.com/office/drawing/2014/main" id="{EC84C116-4607-E41F-6E11-D38ED0619712}"/>
                  </a:ext>
                </a:extLst>
              </xdr:cNvPr>
              <xdr:cNvGrpSpPr/>
            </xdr:nvGrpSpPr>
            <xdr:grpSpPr>
              <a:xfrm>
                <a:off x="3880276" y="3029328"/>
                <a:ext cx="8145307" cy="314204"/>
                <a:chOff x="-224999" y="190878"/>
                <a:chExt cx="8145307" cy="314204"/>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6FB486B1-8428-A080-3676-3680D7448B1C}"/>
                    </a:ext>
                  </a:extLst>
                </xdr:cNvPr>
                <xdr:cNvSpPr/>
              </xdr:nvSpPr>
              <xdr:spPr>
                <a:xfrm>
                  <a:off x="-224999" y="200025"/>
                  <a:ext cx="720248"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 Dashboard</a:t>
                  </a:r>
                </a:p>
              </xdr:txBody>
            </xdr:sp>
            <xdr:sp macro="" textlink="">
              <xdr:nvSpPr>
                <xdr:cNvPr id="27" name="Rectangle: Rounded Corners 26">
                  <a:hlinkClick xmlns:r="http://schemas.openxmlformats.org/officeDocument/2006/relationships" r:id="rId3"/>
                  <a:extLst>
                    <a:ext uri="{FF2B5EF4-FFF2-40B4-BE49-F238E27FC236}">
                      <a16:creationId xmlns:a16="http://schemas.microsoft.com/office/drawing/2014/main" id="{90A3BF26-A846-557B-C4FA-36051FC070E8}"/>
                    </a:ext>
                  </a:extLst>
                </xdr:cNvPr>
                <xdr:cNvSpPr/>
              </xdr:nvSpPr>
              <xdr:spPr>
                <a:xfrm>
                  <a:off x="466973" y="200025"/>
                  <a:ext cx="543004"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2. RI info</a:t>
                  </a:r>
                </a:p>
              </xdr:txBody>
            </xdr:sp>
            <xdr:sp macro="" textlink="">
              <xdr:nvSpPr>
                <xdr:cNvPr id="28" name="Rectangle: Rounded Corners 27">
                  <a:hlinkClick xmlns:r="http://schemas.openxmlformats.org/officeDocument/2006/relationships" r:id="rId4"/>
                  <a:extLst>
                    <a:ext uri="{FF2B5EF4-FFF2-40B4-BE49-F238E27FC236}">
                      <a16:creationId xmlns:a16="http://schemas.microsoft.com/office/drawing/2014/main" id="{9A7ACDF8-9B8F-74D6-A561-6C0F8D15865A}"/>
                    </a:ext>
                  </a:extLst>
                </xdr:cNvPr>
                <xdr:cNvSpPr/>
              </xdr:nvSpPr>
              <xdr:spPr>
                <a:xfrm>
                  <a:off x="925469" y="200025"/>
                  <a:ext cx="956085"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3. Vaccine demand</a:t>
                  </a:r>
                </a:p>
              </xdr:txBody>
            </xdr:sp>
            <xdr:sp macro="" textlink="">
              <xdr:nvSpPr>
                <xdr:cNvPr id="29" name="Rectangle: Rounded Corners 28">
                  <a:hlinkClick xmlns:r="http://schemas.openxmlformats.org/officeDocument/2006/relationships" r:id="rId5"/>
                  <a:extLst>
                    <a:ext uri="{FF2B5EF4-FFF2-40B4-BE49-F238E27FC236}">
                      <a16:creationId xmlns:a16="http://schemas.microsoft.com/office/drawing/2014/main" id="{DF6D7EF2-F99D-80DF-922D-2C73CB95D79D}"/>
                    </a:ext>
                  </a:extLst>
                </xdr:cNvPr>
                <xdr:cNvSpPr/>
              </xdr:nvSpPr>
              <xdr:spPr>
                <a:xfrm>
                  <a:off x="1827574" y="200025"/>
                  <a:ext cx="1016368"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4. Injection supplies</a:t>
                  </a:r>
                </a:p>
              </xdr:txBody>
            </xdr:sp>
            <xdr:sp macro="" textlink="">
              <xdr:nvSpPr>
                <xdr:cNvPr id="30" name="Rectangle: Rounded Corners 29">
                  <a:hlinkClick xmlns:r="http://schemas.openxmlformats.org/officeDocument/2006/relationships" r:id="rId6"/>
                  <a:extLst>
                    <a:ext uri="{FF2B5EF4-FFF2-40B4-BE49-F238E27FC236}">
                      <a16:creationId xmlns:a16="http://schemas.microsoft.com/office/drawing/2014/main" id="{A91EC7CF-1D0F-76AE-E351-D4832354A156}"/>
                    </a:ext>
                  </a:extLst>
                </xdr:cNvPr>
                <xdr:cNvSpPr/>
              </xdr:nvSpPr>
              <xdr:spPr>
                <a:xfrm>
                  <a:off x="2798726" y="200025"/>
                  <a:ext cx="74490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5. Cold chain </a:t>
                  </a:r>
                </a:p>
              </xdr:txBody>
            </xdr:sp>
            <xdr:sp macro="" textlink="">
              <xdr:nvSpPr>
                <xdr:cNvPr id="31" name="Rectangle: Rounded Corners 30">
                  <a:hlinkClick xmlns:r="http://schemas.openxmlformats.org/officeDocument/2006/relationships" r:id="rId7"/>
                  <a:extLst>
                    <a:ext uri="{FF2B5EF4-FFF2-40B4-BE49-F238E27FC236}">
                      <a16:creationId xmlns:a16="http://schemas.microsoft.com/office/drawing/2014/main" id="{879CA92C-3163-C7B2-BB67-90104900493A}"/>
                    </a:ext>
                  </a:extLst>
                </xdr:cNvPr>
                <xdr:cNvSpPr/>
              </xdr:nvSpPr>
              <xdr:spPr>
                <a:xfrm>
                  <a:off x="3469067" y="200119"/>
                  <a:ext cx="682034"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6. Personnel</a:t>
                  </a:r>
                </a:p>
              </xdr:txBody>
            </xdr:sp>
            <xdr:sp macro="" textlink="">
              <xdr:nvSpPr>
                <xdr:cNvPr id="32" name="Rectangle: Rounded Corners 31">
                  <a:hlinkClick xmlns:r="http://schemas.openxmlformats.org/officeDocument/2006/relationships" r:id="rId8"/>
                  <a:extLst>
                    <a:ext uri="{FF2B5EF4-FFF2-40B4-BE49-F238E27FC236}">
                      <a16:creationId xmlns:a16="http://schemas.microsoft.com/office/drawing/2014/main" id="{64B34D00-9BF9-05CE-78A0-8339FD2E25E0}"/>
                    </a:ext>
                  </a:extLst>
                </xdr:cNvPr>
                <xdr:cNvSpPr/>
              </xdr:nvSpPr>
              <xdr:spPr>
                <a:xfrm>
                  <a:off x="4117488" y="200211"/>
                  <a:ext cx="88115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7. Transportation</a:t>
                  </a:r>
                </a:p>
              </xdr:txBody>
            </xdr:sp>
            <xdr:sp macro="" textlink="">
              <xdr:nvSpPr>
                <xdr:cNvPr id="33" name="Rectangle: Rounded Corners 32">
                  <a:hlinkClick xmlns:r="http://schemas.openxmlformats.org/officeDocument/2006/relationships" r:id="rId9"/>
                  <a:extLst>
                    <a:ext uri="{FF2B5EF4-FFF2-40B4-BE49-F238E27FC236}">
                      <a16:creationId xmlns:a16="http://schemas.microsoft.com/office/drawing/2014/main" id="{E7DE2C02-2E6A-4F1E-BF7E-403273934D49}"/>
                    </a:ext>
                  </a:extLst>
                </xdr:cNvPr>
                <xdr:cNvSpPr/>
              </xdr:nvSpPr>
              <xdr:spPr>
                <a:xfrm>
                  <a:off x="4959711" y="200119"/>
                  <a:ext cx="64863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8. Outreach</a:t>
                  </a:r>
                </a:p>
              </xdr:txBody>
            </xdr:sp>
            <xdr:sp macro="" textlink="">
              <xdr:nvSpPr>
                <xdr:cNvPr id="34" name="Rectangle: Rounded Corners 33">
                  <a:hlinkClick xmlns:r="http://schemas.openxmlformats.org/officeDocument/2006/relationships" r:id="rId10"/>
                  <a:extLst>
                    <a:ext uri="{FF2B5EF4-FFF2-40B4-BE49-F238E27FC236}">
                      <a16:creationId xmlns:a16="http://schemas.microsoft.com/office/drawing/2014/main" id="{0DC5F61A-F2F6-EEEE-A994-CC8F01BB788A}"/>
                    </a:ext>
                  </a:extLst>
                </xdr:cNvPr>
                <xdr:cNvSpPr/>
              </xdr:nvSpPr>
              <xdr:spPr>
                <a:xfrm>
                  <a:off x="5570875" y="190878"/>
                  <a:ext cx="1469271" cy="310651"/>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9. Training &amp; social mobilization</a:t>
                  </a:r>
                </a:p>
              </xdr:txBody>
            </xdr:sp>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80348C1E-5D06-A178-8AB1-2C21B72C5438}"/>
                    </a:ext>
                  </a:extLst>
                </xdr:cNvPr>
                <xdr:cNvSpPr/>
              </xdr:nvSpPr>
              <xdr:spPr>
                <a:xfrm>
                  <a:off x="7001918" y="190880"/>
                  <a:ext cx="918390" cy="31420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10. Microplanning</a:t>
                  </a:r>
                </a:p>
              </xdr:txBody>
            </xdr:sp>
          </xdr:grpSp>
        </xdr:grpSp>
        <xdr:cxnSp macro="">
          <xdr:nvCxnSpPr>
            <xdr:cNvPr id="23" name="Straight Connector 22">
              <a:extLst>
                <a:ext uri="{FF2B5EF4-FFF2-40B4-BE49-F238E27FC236}">
                  <a16:creationId xmlns:a16="http://schemas.microsoft.com/office/drawing/2014/main" id="{B5367749-4FEB-D24D-836A-D66C942226C7}"/>
                </a:ext>
              </a:extLst>
            </xdr:cNvPr>
            <xdr:cNvCxnSpPr/>
          </xdr:nvCxnSpPr>
          <xdr:spPr>
            <a:xfrm>
              <a:off x="1277735" y="783046"/>
              <a:ext cx="456379" cy="0"/>
            </a:xfrm>
            <a:prstGeom prst="line">
              <a:avLst/>
            </a:prstGeom>
            <a:noFill/>
            <a:ln w="28575" cap="flat" cmpd="sng" algn="ctr">
              <a:solidFill>
                <a:sysClr val="windowText" lastClr="000000"/>
              </a:solidFill>
              <a:prstDash val="solid"/>
              <a:miter lim="800000"/>
            </a:ln>
            <a:effectLst/>
          </xdr:spPr>
        </xdr:cxnSp>
      </xdr:grpSp>
      <xdr:sp macro="" textlink="">
        <xdr:nvSpPr>
          <xdr:cNvPr id="21" name="Rectangle: Rounded Corners 20">
            <a:hlinkClick xmlns:r="http://schemas.openxmlformats.org/officeDocument/2006/relationships" r:id="rId12"/>
            <a:extLst>
              <a:ext uri="{FF2B5EF4-FFF2-40B4-BE49-F238E27FC236}">
                <a16:creationId xmlns:a16="http://schemas.microsoft.com/office/drawing/2014/main" id="{1A33FA1A-2D10-178E-8B86-0C2C7837E000}"/>
              </a:ext>
            </a:extLst>
          </xdr:cNvPr>
          <xdr:cNvSpPr/>
        </xdr:nvSpPr>
        <xdr:spPr>
          <a:xfrm>
            <a:off x="11782432" y="416016"/>
            <a:ext cx="1451361" cy="33345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11. Quality assurance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17</xdr:col>
      <xdr:colOff>599904</xdr:colOff>
      <xdr:row>3</xdr:row>
      <xdr:rowOff>17606</xdr:rowOff>
    </xdr:to>
    <xdr:grpSp>
      <xdr:nvGrpSpPr>
        <xdr:cNvPr id="19" name="Group 18">
          <a:extLst>
            <a:ext uri="{FF2B5EF4-FFF2-40B4-BE49-F238E27FC236}">
              <a16:creationId xmlns:a16="http://schemas.microsoft.com/office/drawing/2014/main" id="{64FCF79A-950E-4664-8972-273336083A7A}"/>
            </a:ext>
          </a:extLst>
        </xdr:cNvPr>
        <xdr:cNvGrpSpPr>
          <a:grpSpLocks noChangeAspect="1"/>
        </xdr:cNvGrpSpPr>
      </xdr:nvGrpSpPr>
      <xdr:grpSpPr>
        <a:xfrm>
          <a:off x="0" y="361950"/>
          <a:ext cx="12810954" cy="385906"/>
          <a:chOff x="73025" y="416016"/>
          <a:chExt cx="13160768" cy="366962"/>
        </a:xfrm>
      </xdr:grpSpPr>
      <xdr:grpSp>
        <xdr:nvGrpSpPr>
          <xdr:cNvPr id="20" name="Group 19">
            <a:extLst>
              <a:ext uri="{FF2B5EF4-FFF2-40B4-BE49-F238E27FC236}">
                <a16:creationId xmlns:a16="http://schemas.microsoft.com/office/drawing/2014/main" id="{6B5ECF20-D5BF-CE3A-E70A-0EB6EC5EB4FA}"/>
              </a:ext>
            </a:extLst>
          </xdr:cNvPr>
          <xdr:cNvGrpSpPr/>
        </xdr:nvGrpSpPr>
        <xdr:grpSpPr>
          <a:xfrm>
            <a:off x="73025" y="425542"/>
            <a:ext cx="11800150" cy="357436"/>
            <a:chOff x="73025" y="428799"/>
            <a:chExt cx="8652178" cy="354247"/>
          </a:xfrm>
        </xdr:grpSpPr>
        <xdr:grpSp>
          <xdr:nvGrpSpPr>
            <xdr:cNvPr id="22" name="Group 21">
              <a:extLst>
                <a:ext uri="{FF2B5EF4-FFF2-40B4-BE49-F238E27FC236}">
                  <a16:creationId xmlns:a16="http://schemas.microsoft.com/office/drawing/2014/main" id="{8841F909-83F8-4212-54AB-663EA018F8CA}"/>
                </a:ext>
              </a:extLst>
            </xdr:cNvPr>
            <xdr:cNvGrpSpPr>
              <a:grpSpLocks/>
            </xdr:cNvGrpSpPr>
          </xdr:nvGrpSpPr>
          <xdr:grpSpPr>
            <a:xfrm>
              <a:off x="73025" y="428799"/>
              <a:ext cx="8652178" cy="321034"/>
              <a:chOff x="3378200" y="3029328"/>
              <a:chExt cx="8647383" cy="314204"/>
            </a:xfrm>
          </xdr:grpSpPr>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3CD5E717-6EC8-0CE0-FA92-B2F4FD0D3BB7}"/>
                  </a:ext>
                </a:extLst>
              </xdr:cNvPr>
              <xdr:cNvSpPr/>
            </xdr:nvSpPr>
            <xdr:spPr>
              <a:xfrm>
                <a:off x="3378200" y="3038475"/>
                <a:ext cx="52931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Read me</a:t>
                </a:r>
              </a:p>
            </xdr:txBody>
          </xdr:sp>
          <xdr:grpSp>
            <xdr:nvGrpSpPr>
              <xdr:cNvPr id="25" name="Group 24">
                <a:extLst>
                  <a:ext uri="{FF2B5EF4-FFF2-40B4-BE49-F238E27FC236}">
                    <a16:creationId xmlns:a16="http://schemas.microsoft.com/office/drawing/2014/main" id="{FF604872-557C-6682-5652-CAE89E30D167}"/>
                  </a:ext>
                </a:extLst>
              </xdr:cNvPr>
              <xdr:cNvGrpSpPr/>
            </xdr:nvGrpSpPr>
            <xdr:grpSpPr>
              <a:xfrm>
                <a:off x="3880276" y="3029328"/>
                <a:ext cx="8145307" cy="314204"/>
                <a:chOff x="-224999" y="190878"/>
                <a:chExt cx="8145307" cy="314204"/>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66CD92EA-7878-6E80-7056-3448984376EC}"/>
                    </a:ext>
                  </a:extLst>
                </xdr:cNvPr>
                <xdr:cNvSpPr/>
              </xdr:nvSpPr>
              <xdr:spPr>
                <a:xfrm>
                  <a:off x="-224999" y="200025"/>
                  <a:ext cx="720248"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 Dashboard</a:t>
                  </a:r>
                </a:p>
              </xdr:txBody>
            </xdr:sp>
            <xdr:sp macro="" textlink="">
              <xdr:nvSpPr>
                <xdr:cNvPr id="27" name="Rectangle: Rounded Corners 26">
                  <a:hlinkClick xmlns:r="http://schemas.openxmlformats.org/officeDocument/2006/relationships" r:id="rId3"/>
                  <a:extLst>
                    <a:ext uri="{FF2B5EF4-FFF2-40B4-BE49-F238E27FC236}">
                      <a16:creationId xmlns:a16="http://schemas.microsoft.com/office/drawing/2014/main" id="{5BC677E1-22AB-44A2-4352-010DACDCBADC}"/>
                    </a:ext>
                  </a:extLst>
                </xdr:cNvPr>
                <xdr:cNvSpPr/>
              </xdr:nvSpPr>
              <xdr:spPr>
                <a:xfrm>
                  <a:off x="466973" y="200025"/>
                  <a:ext cx="543004"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2. RI Info</a:t>
                  </a:r>
                </a:p>
              </xdr:txBody>
            </xdr:sp>
            <xdr:sp macro="" textlink="">
              <xdr:nvSpPr>
                <xdr:cNvPr id="28" name="Rectangle: Rounded Corners 27">
                  <a:hlinkClick xmlns:r="http://schemas.openxmlformats.org/officeDocument/2006/relationships" r:id="rId4"/>
                  <a:extLst>
                    <a:ext uri="{FF2B5EF4-FFF2-40B4-BE49-F238E27FC236}">
                      <a16:creationId xmlns:a16="http://schemas.microsoft.com/office/drawing/2014/main" id="{C1C1E023-3FB4-E809-482D-EDEAB8B09E98}"/>
                    </a:ext>
                  </a:extLst>
                </xdr:cNvPr>
                <xdr:cNvSpPr/>
              </xdr:nvSpPr>
              <xdr:spPr>
                <a:xfrm>
                  <a:off x="925469" y="200025"/>
                  <a:ext cx="956085"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3. Vaccine demand</a:t>
                  </a:r>
                </a:p>
              </xdr:txBody>
            </xdr:sp>
            <xdr:sp macro="" textlink="">
              <xdr:nvSpPr>
                <xdr:cNvPr id="29" name="Rectangle: Rounded Corners 28">
                  <a:hlinkClick xmlns:r="http://schemas.openxmlformats.org/officeDocument/2006/relationships" r:id="rId5"/>
                  <a:extLst>
                    <a:ext uri="{FF2B5EF4-FFF2-40B4-BE49-F238E27FC236}">
                      <a16:creationId xmlns:a16="http://schemas.microsoft.com/office/drawing/2014/main" id="{9B278F98-6B8C-CCE0-DF9B-AC5E8E803C9A}"/>
                    </a:ext>
                  </a:extLst>
                </xdr:cNvPr>
                <xdr:cNvSpPr/>
              </xdr:nvSpPr>
              <xdr:spPr>
                <a:xfrm>
                  <a:off x="1827574" y="200025"/>
                  <a:ext cx="1016368"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4. Injection supplies</a:t>
                  </a:r>
                </a:p>
              </xdr:txBody>
            </xdr:sp>
            <xdr:sp macro="" textlink="">
              <xdr:nvSpPr>
                <xdr:cNvPr id="30" name="Rectangle: Rounded Corners 29">
                  <a:hlinkClick xmlns:r="http://schemas.openxmlformats.org/officeDocument/2006/relationships" r:id="rId6"/>
                  <a:extLst>
                    <a:ext uri="{FF2B5EF4-FFF2-40B4-BE49-F238E27FC236}">
                      <a16:creationId xmlns:a16="http://schemas.microsoft.com/office/drawing/2014/main" id="{C00C0C9F-7A0B-AA44-21CE-E9A03F21E701}"/>
                    </a:ext>
                  </a:extLst>
                </xdr:cNvPr>
                <xdr:cNvSpPr/>
              </xdr:nvSpPr>
              <xdr:spPr>
                <a:xfrm>
                  <a:off x="2798726" y="200025"/>
                  <a:ext cx="74490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5. Cold chain </a:t>
                  </a:r>
                </a:p>
              </xdr:txBody>
            </xdr:sp>
            <xdr:sp macro="" textlink="">
              <xdr:nvSpPr>
                <xdr:cNvPr id="31" name="Rectangle: Rounded Corners 30">
                  <a:hlinkClick xmlns:r="http://schemas.openxmlformats.org/officeDocument/2006/relationships" r:id="rId7"/>
                  <a:extLst>
                    <a:ext uri="{FF2B5EF4-FFF2-40B4-BE49-F238E27FC236}">
                      <a16:creationId xmlns:a16="http://schemas.microsoft.com/office/drawing/2014/main" id="{A9778172-A181-E907-A4A2-F014F0361817}"/>
                    </a:ext>
                  </a:extLst>
                </xdr:cNvPr>
                <xdr:cNvSpPr/>
              </xdr:nvSpPr>
              <xdr:spPr>
                <a:xfrm>
                  <a:off x="3469067" y="200119"/>
                  <a:ext cx="682034"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6. Personnel</a:t>
                  </a:r>
                </a:p>
              </xdr:txBody>
            </xdr:sp>
            <xdr:sp macro="" textlink="">
              <xdr:nvSpPr>
                <xdr:cNvPr id="32" name="Rectangle: Rounded Corners 31">
                  <a:hlinkClick xmlns:r="http://schemas.openxmlformats.org/officeDocument/2006/relationships" r:id="rId8"/>
                  <a:extLst>
                    <a:ext uri="{FF2B5EF4-FFF2-40B4-BE49-F238E27FC236}">
                      <a16:creationId xmlns:a16="http://schemas.microsoft.com/office/drawing/2014/main" id="{D7904297-C591-100C-20C0-166692B62D5A}"/>
                    </a:ext>
                  </a:extLst>
                </xdr:cNvPr>
                <xdr:cNvSpPr/>
              </xdr:nvSpPr>
              <xdr:spPr>
                <a:xfrm>
                  <a:off x="4117488" y="200211"/>
                  <a:ext cx="88115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7. Transportation</a:t>
                  </a:r>
                </a:p>
              </xdr:txBody>
            </xdr:sp>
            <xdr:sp macro="" textlink="">
              <xdr:nvSpPr>
                <xdr:cNvPr id="33" name="Rectangle: Rounded Corners 32">
                  <a:hlinkClick xmlns:r="http://schemas.openxmlformats.org/officeDocument/2006/relationships" r:id="rId9"/>
                  <a:extLst>
                    <a:ext uri="{FF2B5EF4-FFF2-40B4-BE49-F238E27FC236}">
                      <a16:creationId xmlns:a16="http://schemas.microsoft.com/office/drawing/2014/main" id="{EA32AE6C-A655-A30D-FB6A-731FD4355E8B}"/>
                    </a:ext>
                  </a:extLst>
                </xdr:cNvPr>
                <xdr:cNvSpPr/>
              </xdr:nvSpPr>
              <xdr:spPr>
                <a:xfrm>
                  <a:off x="4959711" y="200119"/>
                  <a:ext cx="64863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8. Outreach</a:t>
                  </a:r>
                </a:p>
              </xdr:txBody>
            </xdr:sp>
            <xdr:sp macro="" textlink="">
              <xdr:nvSpPr>
                <xdr:cNvPr id="34" name="Rectangle: Rounded Corners 33">
                  <a:hlinkClick xmlns:r="http://schemas.openxmlformats.org/officeDocument/2006/relationships" r:id="rId10"/>
                  <a:extLst>
                    <a:ext uri="{FF2B5EF4-FFF2-40B4-BE49-F238E27FC236}">
                      <a16:creationId xmlns:a16="http://schemas.microsoft.com/office/drawing/2014/main" id="{93FFFBEC-426F-6CCB-8612-81DAE265CBE6}"/>
                    </a:ext>
                  </a:extLst>
                </xdr:cNvPr>
                <xdr:cNvSpPr/>
              </xdr:nvSpPr>
              <xdr:spPr>
                <a:xfrm>
                  <a:off x="5570875" y="190878"/>
                  <a:ext cx="1469271" cy="310651"/>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9. Training &amp; social mobilization</a:t>
                  </a:r>
                </a:p>
              </xdr:txBody>
            </xdr:sp>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17DF2328-A5A5-6807-632C-B9E95FB77305}"/>
                    </a:ext>
                  </a:extLst>
                </xdr:cNvPr>
                <xdr:cNvSpPr/>
              </xdr:nvSpPr>
              <xdr:spPr>
                <a:xfrm>
                  <a:off x="7001918" y="190880"/>
                  <a:ext cx="918390" cy="31420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10. Microplanning</a:t>
                  </a:r>
                </a:p>
              </xdr:txBody>
            </xdr:sp>
          </xdr:grpSp>
        </xdr:grpSp>
        <xdr:cxnSp macro="">
          <xdr:nvCxnSpPr>
            <xdr:cNvPr id="23" name="Straight Connector 22">
              <a:extLst>
                <a:ext uri="{FF2B5EF4-FFF2-40B4-BE49-F238E27FC236}">
                  <a16:creationId xmlns:a16="http://schemas.microsoft.com/office/drawing/2014/main" id="{3E7A9F49-867C-F041-50A6-E22E5A40D9BF}"/>
                </a:ext>
              </a:extLst>
            </xdr:cNvPr>
            <xdr:cNvCxnSpPr/>
          </xdr:nvCxnSpPr>
          <xdr:spPr>
            <a:xfrm>
              <a:off x="1721336" y="783046"/>
              <a:ext cx="919268" cy="0"/>
            </a:xfrm>
            <a:prstGeom prst="line">
              <a:avLst/>
            </a:prstGeom>
            <a:noFill/>
            <a:ln w="28575" cap="flat" cmpd="sng" algn="ctr">
              <a:solidFill>
                <a:sysClr val="windowText" lastClr="000000"/>
              </a:solidFill>
              <a:prstDash val="solid"/>
              <a:miter lim="800000"/>
            </a:ln>
            <a:effectLst/>
          </xdr:spPr>
        </xdr:cxnSp>
      </xdr:grpSp>
      <xdr:sp macro="" textlink="">
        <xdr:nvSpPr>
          <xdr:cNvPr id="21" name="Rectangle: Rounded Corners 20">
            <a:hlinkClick xmlns:r="http://schemas.openxmlformats.org/officeDocument/2006/relationships" r:id="rId12"/>
            <a:extLst>
              <a:ext uri="{FF2B5EF4-FFF2-40B4-BE49-F238E27FC236}">
                <a16:creationId xmlns:a16="http://schemas.microsoft.com/office/drawing/2014/main" id="{27727D15-B9C3-EEC3-82B4-2CB6D74BE03F}"/>
              </a:ext>
            </a:extLst>
          </xdr:cNvPr>
          <xdr:cNvSpPr/>
        </xdr:nvSpPr>
        <xdr:spPr>
          <a:xfrm>
            <a:off x="11782432" y="416016"/>
            <a:ext cx="1451361" cy="33345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11. Quality assurance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19050</xdr:colOff>
      <xdr:row>1</xdr:row>
      <xdr:rowOff>19050</xdr:rowOff>
    </xdr:from>
    <xdr:to>
      <xdr:col>12</xdr:col>
      <xdr:colOff>102533</xdr:colOff>
      <xdr:row>3</xdr:row>
      <xdr:rowOff>36241</xdr:rowOff>
    </xdr:to>
    <xdr:grpSp>
      <xdr:nvGrpSpPr>
        <xdr:cNvPr id="19" name="Group 18">
          <a:extLst>
            <a:ext uri="{FF2B5EF4-FFF2-40B4-BE49-F238E27FC236}">
              <a16:creationId xmlns:a16="http://schemas.microsoft.com/office/drawing/2014/main" id="{067DF52A-989E-4A68-9983-A3B26D711AB4}"/>
            </a:ext>
          </a:extLst>
        </xdr:cNvPr>
        <xdr:cNvGrpSpPr>
          <a:grpSpLocks noChangeAspect="1"/>
        </xdr:cNvGrpSpPr>
      </xdr:nvGrpSpPr>
      <xdr:grpSpPr>
        <a:xfrm>
          <a:off x="19050" y="381000"/>
          <a:ext cx="12840633" cy="385491"/>
          <a:chOff x="73025" y="416016"/>
          <a:chExt cx="13160768" cy="376418"/>
        </a:xfrm>
      </xdr:grpSpPr>
      <xdr:grpSp>
        <xdr:nvGrpSpPr>
          <xdr:cNvPr id="20" name="Group 19">
            <a:extLst>
              <a:ext uri="{FF2B5EF4-FFF2-40B4-BE49-F238E27FC236}">
                <a16:creationId xmlns:a16="http://schemas.microsoft.com/office/drawing/2014/main" id="{C5E9AA19-5C49-882A-6CEF-5F728E046850}"/>
              </a:ext>
            </a:extLst>
          </xdr:cNvPr>
          <xdr:cNvGrpSpPr/>
        </xdr:nvGrpSpPr>
        <xdr:grpSpPr>
          <a:xfrm>
            <a:off x="73025" y="425542"/>
            <a:ext cx="11800150" cy="366892"/>
            <a:chOff x="73025" y="428799"/>
            <a:chExt cx="8652178" cy="363619"/>
          </a:xfrm>
        </xdr:grpSpPr>
        <xdr:grpSp>
          <xdr:nvGrpSpPr>
            <xdr:cNvPr id="22" name="Group 21">
              <a:extLst>
                <a:ext uri="{FF2B5EF4-FFF2-40B4-BE49-F238E27FC236}">
                  <a16:creationId xmlns:a16="http://schemas.microsoft.com/office/drawing/2014/main" id="{D8BA2ECD-FC77-BD1E-EFAB-945AC2B5C355}"/>
                </a:ext>
              </a:extLst>
            </xdr:cNvPr>
            <xdr:cNvGrpSpPr>
              <a:grpSpLocks/>
            </xdr:cNvGrpSpPr>
          </xdr:nvGrpSpPr>
          <xdr:grpSpPr>
            <a:xfrm>
              <a:off x="73025" y="428799"/>
              <a:ext cx="8652178" cy="321034"/>
              <a:chOff x="3378200" y="3029328"/>
              <a:chExt cx="8647383" cy="314204"/>
            </a:xfrm>
          </xdr:grpSpPr>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6021DF45-0639-E4FD-F5BD-56527253141B}"/>
                  </a:ext>
                </a:extLst>
              </xdr:cNvPr>
              <xdr:cNvSpPr/>
            </xdr:nvSpPr>
            <xdr:spPr>
              <a:xfrm>
                <a:off x="3378200" y="3038475"/>
                <a:ext cx="52931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Read me</a:t>
                </a:r>
              </a:p>
            </xdr:txBody>
          </xdr:sp>
          <xdr:grpSp>
            <xdr:nvGrpSpPr>
              <xdr:cNvPr id="25" name="Group 24">
                <a:extLst>
                  <a:ext uri="{FF2B5EF4-FFF2-40B4-BE49-F238E27FC236}">
                    <a16:creationId xmlns:a16="http://schemas.microsoft.com/office/drawing/2014/main" id="{5C39B024-DDC4-CC32-236F-2F9BC2CA937F}"/>
                  </a:ext>
                </a:extLst>
              </xdr:cNvPr>
              <xdr:cNvGrpSpPr/>
            </xdr:nvGrpSpPr>
            <xdr:grpSpPr>
              <a:xfrm>
                <a:off x="3880276" y="3029328"/>
                <a:ext cx="8145307" cy="314204"/>
                <a:chOff x="-224999" y="190878"/>
                <a:chExt cx="8145307" cy="314204"/>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508BE5C0-48C0-F7F2-C499-783692326552}"/>
                    </a:ext>
                  </a:extLst>
                </xdr:cNvPr>
                <xdr:cNvSpPr/>
              </xdr:nvSpPr>
              <xdr:spPr>
                <a:xfrm>
                  <a:off x="-224999" y="200025"/>
                  <a:ext cx="720248"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 Dashboard</a:t>
                  </a:r>
                </a:p>
              </xdr:txBody>
            </xdr:sp>
            <xdr:sp macro="" textlink="">
              <xdr:nvSpPr>
                <xdr:cNvPr id="27" name="Rectangle: Rounded Corners 26">
                  <a:hlinkClick xmlns:r="http://schemas.openxmlformats.org/officeDocument/2006/relationships" r:id="rId3"/>
                  <a:extLst>
                    <a:ext uri="{FF2B5EF4-FFF2-40B4-BE49-F238E27FC236}">
                      <a16:creationId xmlns:a16="http://schemas.microsoft.com/office/drawing/2014/main" id="{8B42E891-7F5B-975E-FA6A-81B732FCB837}"/>
                    </a:ext>
                  </a:extLst>
                </xdr:cNvPr>
                <xdr:cNvSpPr/>
              </xdr:nvSpPr>
              <xdr:spPr>
                <a:xfrm>
                  <a:off x="466973" y="200025"/>
                  <a:ext cx="543004"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2. RI Info</a:t>
                  </a:r>
                </a:p>
              </xdr:txBody>
            </xdr:sp>
            <xdr:sp macro="" textlink="">
              <xdr:nvSpPr>
                <xdr:cNvPr id="28" name="Rectangle: Rounded Corners 27">
                  <a:hlinkClick xmlns:r="http://schemas.openxmlformats.org/officeDocument/2006/relationships" r:id="rId4"/>
                  <a:extLst>
                    <a:ext uri="{FF2B5EF4-FFF2-40B4-BE49-F238E27FC236}">
                      <a16:creationId xmlns:a16="http://schemas.microsoft.com/office/drawing/2014/main" id="{6AE3732E-DB84-E893-A588-0C6AAE18BCAA}"/>
                    </a:ext>
                  </a:extLst>
                </xdr:cNvPr>
                <xdr:cNvSpPr/>
              </xdr:nvSpPr>
              <xdr:spPr>
                <a:xfrm>
                  <a:off x="925469" y="200025"/>
                  <a:ext cx="956085"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3. Vaccine demand</a:t>
                  </a:r>
                </a:p>
              </xdr:txBody>
            </xdr:sp>
            <xdr:sp macro="" textlink="">
              <xdr:nvSpPr>
                <xdr:cNvPr id="29" name="Rectangle: Rounded Corners 28">
                  <a:hlinkClick xmlns:r="http://schemas.openxmlformats.org/officeDocument/2006/relationships" r:id="rId5"/>
                  <a:extLst>
                    <a:ext uri="{FF2B5EF4-FFF2-40B4-BE49-F238E27FC236}">
                      <a16:creationId xmlns:a16="http://schemas.microsoft.com/office/drawing/2014/main" id="{96940496-BA8E-D89A-7D8B-5FA6F8CC7BF7}"/>
                    </a:ext>
                  </a:extLst>
                </xdr:cNvPr>
                <xdr:cNvSpPr/>
              </xdr:nvSpPr>
              <xdr:spPr>
                <a:xfrm>
                  <a:off x="1827574" y="200025"/>
                  <a:ext cx="1016368"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4. Injection supplies</a:t>
                  </a:r>
                </a:p>
              </xdr:txBody>
            </xdr:sp>
            <xdr:sp macro="" textlink="">
              <xdr:nvSpPr>
                <xdr:cNvPr id="30" name="Rectangle: Rounded Corners 29">
                  <a:hlinkClick xmlns:r="http://schemas.openxmlformats.org/officeDocument/2006/relationships" r:id="rId6"/>
                  <a:extLst>
                    <a:ext uri="{FF2B5EF4-FFF2-40B4-BE49-F238E27FC236}">
                      <a16:creationId xmlns:a16="http://schemas.microsoft.com/office/drawing/2014/main" id="{3E9163F5-1905-4422-1DC2-42244555E343}"/>
                    </a:ext>
                  </a:extLst>
                </xdr:cNvPr>
                <xdr:cNvSpPr/>
              </xdr:nvSpPr>
              <xdr:spPr>
                <a:xfrm>
                  <a:off x="2798726" y="200025"/>
                  <a:ext cx="74490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5. Cold chain </a:t>
                  </a:r>
                </a:p>
              </xdr:txBody>
            </xdr:sp>
            <xdr:sp macro="" textlink="">
              <xdr:nvSpPr>
                <xdr:cNvPr id="31" name="Rectangle: Rounded Corners 30">
                  <a:hlinkClick xmlns:r="http://schemas.openxmlformats.org/officeDocument/2006/relationships" r:id="rId7"/>
                  <a:extLst>
                    <a:ext uri="{FF2B5EF4-FFF2-40B4-BE49-F238E27FC236}">
                      <a16:creationId xmlns:a16="http://schemas.microsoft.com/office/drawing/2014/main" id="{ABEA6CB1-FD58-089D-B7C9-57B605EA2C0B}"/>
                    </a:ext>
                  </a:extLst>
                </xdr:cNvPr>
                <xdr:cNvSpPr/>
              </xdr:nvSpPr>
              <xdr:spPr>
                <a:xfrm>
                  <a:off x="3469067" y="200119"/>
                  <a:ext cx="682034"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6. Personnel</a:t>
                  </a:r>
                </a:p>
              </xdr:txBody>
            </xdr:sp>
            <xdr:sp macro="" textlink="">
              <xdr:nvSpPr>
                <xdr:cNvPr id="32" name="Rectangle: Rounded Corners 31">
                  <a:hlinkClick xmlns:r="http://schemas.openxmlformats.org/officeDocument/2006/relationships" r:id="rId8"/>
                  <a:extLst>
                    <a:ext uri="{FF2B5EF4-FFF2-40B4-BE49-F238E27FC236}">
                      <a16:creationId xmlns:a16="http://schemas.microsoft.com/office/drawing/2014/main" id="{FAD167D9-EBA6-7E71-7FE9-C42A42654E90}"/>
                    </a:ext>
                  </a:extLst>
                </xdr:cNvPr>
                <xdr:cNvSpPr/>
              </xdr:nvSpPr>
              <xdr:spPr>
                <a:xfrm>
                  <a:off x="4117488" y="200211"/>
                  <a:ext cx="88115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7. Transportation</a:t>
                  </a:r>
                </a:p>
              </xdr:txBody>
            </xdr:sp>
            <xdr:sp macro="" textlink="">
              <xdr:nvSpPr>
                <xdr:cNvPr id="33" name="Rectangle: Rounded Corners 32">
                  <a:hlinkClick xmlns:r="http://schemas.openxmlformats.org/officeDocument/2006/relationships" r:id="rId9"/>
                  <a:extLst>
                    <a:ext uri="{FF2B5EF4-FFF2-40B4-BE49-F238E27FC236}">
                      <a16:creationId xmlns:a16="http://schemas.microsoft.com/office/drawing/2014/main" id="{47ADD10C-F844-9BED-82B4-ED0D361EC98B}"/>
                    </a:ext>
                  </a:extLst>
                </xdr:cNvPr>
                <xdr:cNvSpPr/>
              </xdr:nvSpPr>
              <xdr:spPr>
                <a:xfrm>
                  <a:off x="4959711" y="200119"/>
                  <a:ext cx="64863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8. Outreach</a:t>
                  </a:r>
                </a:p>
              </xdr:txBody>
            </xdr:sp>
            <xdr:sp macro="" textlink="">
              <xdr:nvSpPr>
                <xdr:cNvPr id="34" name="Rectangle: Rounded Corners 33">
                  <a:hlinkClick xmlns:r="http://schemas.openxmlformats.org/officeDocument/2006/relationships" r:id="rId10"/>
                  <a:extLst>
                    <a:ext uri="{FF2B5EF4-FFF2-40B4-BE49-F238E27FC236}">
                      <a16:creationId xmlns:a16="http://schemas.microsoft.com/office/drawing/2014/main" id="{9755AE9B-F996-67D2-08C0-A7608553E876}"/>
                    </a:ext>
                  </a:extLst>
                </xdr:cNvPr>
                <xdr:cNvSpPr/>
              </xdr:nvSpPr>
              <xdr:spPr>
                <a:xfrm>
                  <a:off x="5570875" y="190878"/>
                  <a:ext cx="1469271" cy="310651"/>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9. Training &amp; social mobilization</a:t>
                  </a:r>
                </a:p>
              </xdr:txBody>
            </xdr:sp>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7D4DE10E-59C2-0D65-E4E1-DF946F3D8F73}"/>
                    </a:ext>
                  </a:extLst>
                </xdr:cNvPr>
                <xdr:cNvSpPr/>
              </xdr:nvSpPr>
              <xdr:spPr>
                <a:xfrm>
                  <a:off x="7001918" y="190880"/>
                  <a:ext cx="918390" cy="31420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10. Microplanning</a:t>
                  </a:r>
                </a:p>
              </xdr:txBody>
            </xdr:sp>
          </xdr:grpSp>
        </xdr:grpSp>
        <xdr:cxnSp macro="">
          <xdr:nvCxnSpPr>
            <xdr:cNvPr id="23" name="Straight Connector 22">
              <a:extLst>
                <a:ext uri="{FF2B5EF4-FFF2-40B4-BE49-F238E27FC236}">
                  <a16:creationId xmlns:a16="http://schemas.microsoft.com/office/drawing/2014/main" id="{28744F34-05BA-2D01-77D8-50E37FA523B5}"/>
                </a:ext>
              </a:extLst>
            </xdr:cNvPr>
            <xdr:cNvCxnSpPr/>
          </xdr:nvCxnSpPr>
          <xdr:spPr>
            <a:xfrm>
              <a:off x="2637799" y="792418"/>
              <a:ext cx="964169" cy="0"/>
            </a:xfrm>
            <a:prstGeom prst="line">
              <a:avLst/>
            </a:prstGeom>
            <a:noFill/>
            <a:ln w="28575" cap="flat" cmpd="sng" algn="ctr">
              <a:solidFill>
                <a:sysClr val="windowText" lastClr="000000"/>
              </a:solidFill>
              <a:prstDash val="solid"/>
              <a:miter lim="800000"/>
            </a:ln>
            <a:effectLst/>
          </xdr:spPr>
        </xdr:cxnSp>
      </xdr:grpSp>
      <xdr:sp macro="" textlink="">
        <xdr:nvSpPr>
          <xdr:cNvPr id="21" name="Rectangle: Rounded Corners 20">
            <a:hlinkClick xmlns:r="http://schemas.openxmlformats.org/officeDocument/2006/relationships" r:id="rId12"/>
            <a:extLst>
              <a:ext uri="{FF2B5EF4-FFF2-40B4-BE49-F238E27FC236}">
                <a16:creationId xmlns:a16="http://schemas.microsoft.com/office/drawing/2014/main" id="{43BA25F2-9E0F-0F35-7180-FE6500D1190E}"/>
              </a:ext>
            </a:extLst>
          </xdr:cNvPr>
          <xdr:cNvSpPr/>
        </xdr:nvSpPr>
        <xdr:spPr>
          <a:xfrm>
            <a:off x="11782432" y="416016"/>
            <a:ext cx="1451361" cy="33345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11. Quality assurance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25400</xdr:colOff>
      <xdr:row>1</xdr:row>
      <xdr:rowOff>12699</xdr:rowOff>
    </xdr:from>
    <xdr:to>
      <xdr:col>13</xdr:col>
      <xdr:colOff>685239</xdr:colOff>
      <xdr:row>3</xdr:row>
      <xdr:rowOff>17376</xdr:rowOff>
    </xdr:to>
    <xdr:grpSp>
      <xdr:nvGrpSpPr>
        <xdr:cNvPr id="19" name="Group 18">
          <a:extLst>
            <a:ext uri="{FF2B5EF4-FFF2-40B4-BE49-F238E27FC236}">
              <a16:creationId xmlns:a16="http://schemas.microsoft.com/office/drawing/2014/main" id="{7636C595-9025-4608-8377-88846226348B}"/>
            </a:ext>
          </a:extLst>
        </xdr:cNvPr>
        <xdr:cNvGrpSpPr>
          <a:grpSpLocks noChangeAspect="1"/>
        </xdr:cNvGrpSpPr>
      </xdr:nvGrpSpPr>
      <xdr:grpSpPr>
        <a:xfrm>
          <a:off x="25400" y="374649"/>
          <a:ext cx="12813739" cy="372977"/>
          <a:chOff x="73025" y="416016"/>
          <a:chExt cx="13160768" cy="367044"/>
        </a:xfrm>
      </xdr:grpSpPr>
      <xdr:grpSp>
        <xdr:nvGrpSpPr>
          <xdr:cNvPr id="20" name="Group 19">
            <a:extLst>
              <a:ext uri="{FF2B5EF4-FFF2-40B4-BE49-F238E27FC236}">
                <a16:creationId xmlns:a16="http://schemas.microsoft.com/office/drawing/2014/main" id="{60AF8820-046D-7D83-6324-AB00A2FD4CCA}"/>
              </a:ext>
            </a:extLst>
          </xdr:cNvPr>
          <xdr:cNvGrpSpPr/>
        </xdr:nvGrpSpPr>
        <xdr:grpSpPr>
          <a:xfrm>
            <a:off x="73025" y="425542"/>
            <a:ext cx="11800150" cy="357518"/>
            <a:chOff x="73025" y="428799"/>
            <a:chExt cx="8652178" cy="354329"/>
          </a:xfrm>
        </xdr:grpSpPr>
        <xdr:grpSp>
          <xdr:nvGrpSpPr>
            <xdr:cNvPr id="22" name="Group 21">
              <a:extLst>
                <a:ext uri="{FF2B5EF4-FFF2-40B4-BE49-F238E27FC236}">
                  <a16:creationId xmlns:a16="http://schemas.microsoft.com/office/drawing/2014/main" id="{6E5CA234-5B24-138D-DD90-D7ACEE11893C}"/>
                </a:ext>
              </a:extLst>
            </xdr:cNvPr>
            <xdr:cNvGrpSpPr>
              <a:grpSpLocks/>
            </xdr:cNvGrpSpPr>
          </xdr:nvGrpSpPr>
          <xdr:grpSpPr>
            <a:xfrm>
              <a:off x="73025" y="428799"/>
              <a:ext cx="8652178" cy="321034"/>
              <a:chOff x="3378200" y="3029328"/>
              <a:chExt cx="8647383" cy="314204"/>
            </a:xfrm>
          </xdr:grpSpPr>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44CAED1F-CF3E-D5F3-3040-54EC9B7BB0C7}"/>
                  </a:ext>
                </a:extLst>
              </xdr:cNvPr>
              <xdr:cNvSpPr/>
            </xdr:nvSpPr>
            <xdr:spPr>
              <a:xfrm>
                <a:off x="3378200" y="3038475"/>
                <a:ext cx="52931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Read me</a:t>
                </a:r>
              </a:p>
            </xdr:txBody>
          </xdr:sp>
          <xdr:grpSp>
            <xdr:nvGrpSpPr>
              <xdr:cNvPr id="25" name="Group 24">
                <a:extLst>
                  <a:ext uri="{FF2B5EF4-FFF2-40B4-BE49-F238E27FC236}">
                    <a16:creationId xmlns:a16="http://schemas.microsoft.com/office/drawing/2014/main" id="{A2443610-210A-7B52-8680-DEB47982B878}"/>
                  </a:ext>
                </a:extLst>
              </xdr:cNvPr>
              <xdr:cNvGrpSpPr/>
            </xdr:nvGrpSpPr>
            <xdr:grpSpPr>
              <a:xfrm>
                <a:off x="3880276" y="3029328"/>
                <a:ext cx="8145307" cy="314204"/>
                <a:chOff x="-224999" y="190878"/>
                <a:chExt cx="8145307" cy="314204"/>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4A4B46D0-8A1B-8C3F-5B6E-8B960AB1C371}"/>
                    </a:ext>
                  </a:extLst>
                </xdr:cNvPr>
                <xdr:cNvSpPr/>
              </xdr:nvSpPr>
              <xdr:spPr>
                <a:xfrm>
                  <a:off x="-224999" y="200025"/>
                  <a:ext cx="720248"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 Dashboard</a:t>
                  </a:r>
                </a:p>
              </xdr:txBody>
            </xdr:sp>
            <xdr:sp macro="" textlink="">
              <xdr:nvSpPr>
                <xdr:cNvPr id="27" name="Rectangle: Rounded Corners 26">
                  <a:hlinkClick xmlns:r="http://schemas.openxmlformats.org/officeDocument/2006/relationships" r:id="rId3"/>
                  <a:extLst>
                    <a:ext uri="{FF2B5EF4-FFF2-40B4-BE49-F238E27FC236}">
                      <a16:creationId xmlns:a16="http://schemas.microsoft.com/office/drawing/2014/main" id="{F1A3C2CB-8E40-1965-7D4B-A83F336F9EA7}"/>
                    </a:ext>
                  </a:extLst>
                </xdr:cNvPr>
                <xdr:cNvSpPr/>
              </xdr:nvSpPr>
              <xdr:spPr>
                <a:xfrm>
                  <a:off x="466973" y="200025"/>
                  <a:ext cx="543004"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2. RI Info</a:t>
                  </a:r>
                </a:p>
              </xdr:txBody>
            </xdr:sp>
            <xdr:sp macro="" textlink="">
              <xdr:nvSpPr>
                <xdr:cNvPr id="28" name="Rectangle: Rounded Corners 27">
                  <a:hlinkClick xmlns:r="http://schemas.openxmlformats.org/officeDocument/2006/relationships" r:id="rId4"/>
                  <a:extLst>
                    <a:ext uri="{FF2B5EF4-FFF2-40B4-BE49-F238E27FC236}">
                      <a16:creationId xmlns:a16="http://schemas.microsoft.com/office/drawing/2014/main" id="{108D0C8A-3CC7-B774-4C61-CA292D443AA4}"/>
                    </a:ext>
                  </a:extLst>
                </xdr:cNvPr>
                <xdr:cNvSpPr/>
              </xdr:nvSpPr>
              <xdr:spPr>
                <a:xfrm>
                  <a:off x="925469" y="200025"/>
                  <a:ext cx="956085"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3. Vaccine demand</a:t>
                  </a:r>
                </a:p>
              </xdr:txBody>
            </xdr:sp>
            <xdr:sp macro="" textlink="">
              <xdr:nvSpPr>
                <xdr:cNvPr id="29" name="Rectangle: Rounded Corners 28">
                  <a:hlinkClick xmlns:r="http://schemas.openxmlformats.org/officeDocument/2006/relationships" r:id="rId5"/>
                  <a:extLst>
                    <a:ext uri="{FF2B5EF4-FFF2-40B4-BE49-F238E27FC236}">
                      <a16:creationId xmlns:a16="http://schemas.microsoft.com/office/drawing/2014/main" id="{0514D76D-0EB9-8784-F09A-30EAD0B32308}"/>
                    </a:ext>
                  </a:extLst>
                </xdr:cNvPr>
                <xdr:cNvSpPr/>
              </xdr:nvSpPr>
              <xdr:spPr>
                <a:xfrm>
                  <a:off x="1827574" y="200025"/>
                  <a:ext cx="1016368"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4. Injection supplies</a:t>
                  </a:r>
                </a:p>
              </xdr:txBody>
            </xdr:sp>
            <xdr:sp macro="" textlink="">
              <xdr:nvSpPr>
                <xdr:cNvPr id="30" name="Rectangle: Rounded Corners 29">
                  <a:hlinkClick xmlns:r="http://schemas.openxmlformats.org/officeDocument/2006/relationships" r:id="rId6"/>
                  <a:extLst>
                    <a:ext uri="{FF2B5EF4-FFF2-40B4-BE49-F238E27FC236}">
                      <a16:creationId xmlns:a16="http://schemas.microsoft.com/office/drawing/2014/main" id="{8AF83C9B-3966-06A5-D94E-DA6FA42F41EE}"/>
                    </a:ext>
                  </a:extLst>
                </xdr:cNvPr>
                <xdr:cNvSpPr/>
              </xdr:nvSpPr>
              <xdr:spPr>
                <a:xfrm>
                  <a:off x="2798726" y="200025"/>
                  <a:ext cx="74490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5. Cold chain </a:t>
                  </a:r>
                </a:p>
              </xdr:txBody>
            </xdr:sp>
            <xdr:sp macro="" textlink="">
              <xdr:nvSpPr>
                <xdr:cNvPr id="31" name="Rectangle: Rounded Corners 30">
                  <a:hlinkClick xmlns:r="http://schemas.openxmlformats.org/officeDocument/2006/relationships" r:id="rId7"/>
                  <a:extLst>
                    <a:ext uri="{FF2B5EF4-FFF2-40B4-BE49-F238E27FC236}">
                      <a16:creationId xmlns:a16="http://schemas.microsoft.com/office/drawing/2014/main" id="{F9B65B7A-EA34-1283-DEA6-5DB6CD1260CA}"/>
                    </a:ext>
                  </a:extLst>
                </xdr:cNvPr>
                <xdr:cNvSpPr/>
              </xdr:nvSpPr>
              <xdr:spPr>
                <a:xfrm>
                  <a:off x="3469067" y="200119"/>
                  <a:ext cx="682034"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6. Personnel</a:t>
                  </a:r>
                </a:p>
              </xdr:txBody>
            </xdr:sp>
            <xdr:sp macro="" textlink="">
              <xdr:nvSpPr>
                <xdr:cNvPr id="32" name="Rectangle: Rounded Corners 31">
                  <a:hlinkClick xmlns:r="http://schemas.openxmlformats.org/officeDocument/2006/relationships" r:id="rId8"/>
                  <a:extLst>
                    <a:ext uri="{FF2B5EF4-FFF2-40B4-BE49-F238E27FC236}">
                      <a16:creationId xmlns:a16="http://schemas.microsoft.com/office/drawing/2014/main" id="{74BA43CF-86D2-1EBA-E54A-5E3E4DE1A893}"/>
                    </a:ext>
                  </a:extLst>
                </xdr:cNvPr>
                <xdr:cNvSpPr/>
              </xdr:nvSpPr>
              <xdr:spPr>
                <a:xfrm>
                  <a:off x="4117488" y="200211"/>
                  <a:ext cx="88115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7. Transportation</a:t>
                  </a:r>
                </a:p>
              </xdr:txBody>
            </xdr:sp>
            <xdr:sp macro="" textlink="">
              <xdr:nvSpPr>
                <xdr:cNvPr id="33" name="Rectangle: Rounded Corners 32">
                  <a:hlinkClick xmlns:r="http://schemas.openxmlformats.org/officeDocument/2006/relationships" r:id="rId9"/>
                  <a:extLst>
                    <a:ext uri="{FF2B5EF4-FFF2-40B4-BE49-F238E27FC236}">
                      <a16:creationId xmlns:a16="http://schemas.microsoft.com/office/drawing/2014/main" id="{A50B6E1B-0A89-69D5-C507-BBE1071E1F08}"/>
                    </a:ext>
                  </a:extLst>
                </xdr:cNvPr>
                <xdr:cNvSpPr/>
              </xdr:nvSpPr>
              <xdr:spPr>
                <a:xfrm>
                  <a:off x="4959711" y="200119"/>
                  <a:ext cx="64863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8. Outreach</a:t>
                  </a:r>
                </a:p>
              </xdr:txBody>
            </xdr:sp>
            <xdr:sp macro="" textlink="">
              <xdr:nvSpPr>
                <xdr:cNvPr id="34" name="Rectangle: Rounded Corners 33">
                  <a:hlinkClick xmlns:r="http://schemas.openxmlformats.org/officeDocument/2006/relationships" r:id="rId10"/>
                  <a:extLst>
                    <a:ext uri="{FF2B5EF4-FFF2-40B4-BE49-F238E27FC236}">
                      <a16:creationId xmlns:a16="http://schemas.microsoft.com/office/drawing/2014/main" id="{9C1DE412-2C64-1292-2D89-705BD081C060}"/>
                    </a:ext>
                  </a:extLst>
                </xdr:cNvPr>
                <xdr:cNvSpPr/>
              </xdr:nvSpPr>
              <xdr:spPr>
                <a:xfrm>
                  <a:off x="5570875" y="190878"/>
                  <a:ext cx="1469271" cy="310651"/>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9. Training &amp; social mobilization</a:t>
                  </a:r>
                </a:p>
              </xdr:txBody>
            </xdr:sp>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BCA0DAD5-6E9C-6093-4668-A7E8FA6F9FDB}"/>
                    </a:ext>
                  </a:extLst>
                </xdr:cNvPr>
                <xdr:cNvSpPr/>
              </xdr:nvSpPr>
              <xdr:spPr>
                <a:xfrm>
                  <a:off x="7001918" y="190880"/>
                  <a:ext cx="918390" cy="31420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10. Microplanning</a:t>
                  </a:r>
                </a:p>
              </xdr:txBody>
            </xdr:sp>
          </xdr:grpSp>
        </xdr:grpSp>
        <xdr:cxnSp macro="">
          <xdr:nvCxnSpPr>
            <xdr:cNvPr id="23" name="Straight Connector 22">
              <a:extLst>
                <a:ext uri="{FF2B5EF4-FFF2-40B4-BE49-F238E27FC236}">
                  <a16:creationId xmlns:a16="http://schemas.microsoft.com/office/drawing/2014/main" id="{59DF4958-E7B6-288D-85BD-C202ED5D2E74}"/>
                </a:ext>
              </a:extLst>
            </xdr:cNvPr>
            <xdr:cNvCxnSpPr/>
          </xdr:nvCxnSpPr>
          <xdr:spPr>
            <a:xfrm>
              <a:off x="3612619" y="783128"/>
              <a:ext cx="654604" cy="0"/>
            </a:xfrm>
            <a:prstGeom prst="line">
              <a:avLst/>
            </a:prstGeom>
            <a:noFill/>
            <a:ln w="28575" cap="flat" cmpd="sng" algn="ctr">
              <a:solidFill>
                <a:sysClr val="windowText" lastClr="000000"/>
              </a:solidFill>
              <a:prstDash val="solid"/>
              <a:miter lim="800000"/>
            </a:ln>
            <a:effectLst/>
          </xdr:spPr>
        </xdr:cxnSp>
      </xdr:grpSp>
      <xdr:sp macro="" textlink="">
        <xdr:nvSpPr>
          <xdr:cNvPr id="21" name="Rectangle: Rounded Corners 20">
            <a:hlinkClick xmlns:r="http://schemas.openxmlformats.org/officeDocument/2006/relationships" r:id="rId12"/>
            <a:extLst>
              <a:ext uri="{FF2B5EF4-FFF2-40B4-BE49-F238E27FC236}">
                <a16:creationId xmlns:a16="http://schemas.microsoft.com/office/drawing/2014/main" id="{D5852C25-F8A0-28AB-6F51-914D2D64BBC1}"/>
              </a:ext>
            </a:extLst>
          </xdr:cNvPr>
          <xdr:cNvSpPr/>
        </xdr:nvSpPr>
        <xdr:spPr>
          <a:xfrm>
            <a:off x="11782432" y="416016"/>
            <a:ext cx="1451361" cy="33345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11. Quality assurance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11</xdr:col>
      <xdr:colOff>561980</xdr:colOff>
      <xdr:row>3</xdr:row>
      <xdr:rowOff>8914</xdr:rowOff>
    </xdr:to>
    <xdr:grpSp>
      <xdr:nvGrpSpPr>
        <xdr:cNvPr id="19" name="Group 18">
          <a:extLst>
            <a:ext uri="{FF2B5EF4-FFF2-40B4-BE49-F238E27FC236}">
              <a16:creationId xmlns:a16="http://schemas.microsoft.com/office/drawing/2014/main" id="{C2F3920A-D725-4DC4-A12E-9DF11C02169F}"/>
            </a:ext>
          </a:extLst>
        </xdr:cNvPr>
        <xdr:cNvGrpSpPr>
          <a:grpSpLocks noChangeAspect="1"/>
        </xdr:cNvGrpSpPr>
      </xdr:nvGrpSpPr>
      <xdr:grpSpPr>
        <a:xfrm>
          <a:off x="0" y="363876"/>
          <a:ext cx="12826755" cy="379926"/>
          <a:chOff x="73025" y="416016"/>
          <a:chExt cx="13160768" cy="376418"/>
        </a:xfrm>
      </xdr:grpSpPr>
      <xdr:grpSp>
        <xdr:nvGrpSpPr>
          <xdr:cNvPr id="20" name="Group 19">
            <a:extLst>
              <a:ext uri="{FF2B5EF4-FFF2-40B4-BE49-F238E27FC236}">
                <a16:creationId xmlns:a16="http://schemas.microsoft.com/office/drawing/2014/main" id="{6DD0975B-B221-1A09-7FE8-32346FA7C407}"/>
              </a:ext>
            </a:extLst>
          </xdr:cNvPr>
          <xdr:cNvGrpSpPr/>
        </xdr:nvGrpSpPr>
        <xdr:grpSpPr>
          <a:xfrm>
            <a:off x="73025" y="425542"/>
            <a:ext cx="11800150" cy="366892"/>
            <a:chOff x="73025" y="428799"/>
            <a:chExt cx="8652178" cy="363619"/>
          </a:xfrm>
        </xdr:grpSpPr>
        <xdr:grpSp>
          <xdr:nvGrpSpPr>
            <xdr:cNvPr id="22" name="Group 21">
              <a:extLst>
                <a:ext uri="{FF2B5EF4-FFF2-40B4-BE49-F238E27FC236}">
                  <a16:creationId xmlns:a16="http://schemas.microsoft.com/office/drawing/2014/main" id="{01FD4B4E-8C11-1A5C-0EB6-FC625EA133B6}"/>
                </a:ext>
              </a:extLst>
            </xdr:cNvPr>
            <xdr:cNvGrpSpPr>
              <a:grpSpLocks/>
            </xdr:cNvGrpSpPr>
          </xdr:nvGrpSpPr>
          <xdr:grpSpPr>
            <a:xfrm>
              <a:off x="73025" y="428799"/>
              <a:ext cx="8652178" cy="321034"/>
              <a:chOff x="3378200" y="3029328"/>
              <a:chExt cx="8647383" cy="314204"/>
            </a:xfrm>
          </xdr:grpSpPr>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657B40F8-5B84-ED9C-9D83-4C8FCBC7AE80}"/>
                  </a:ext>
                </a:extLst>
              </xdr:cNvPr>
              <xdr:cNvSpPr/>
            </xdr:nvSpPr>
            <xdr:spPr>
              <a:xfrm>
                <a:off x="3378200" y="3038475"/>
                <a:ext cx="52931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Read me</a:t>
                </a:r>
              </a:p>
            </xdr:txBody>
          </xdr:sp>
          <xdr:grpSp>
            <xdr:nvGrpSpPr>
              <xdr:cNvPr id="25" name="Group 24">
                <a:extLst>
                  <a:ext uri="{FF2B5EF4-FFF2-40B4-BE49-F238E27FC236}">
                    <a16:creationId xmlns:a16="http://schemas.microsoft.com/office/drawing/2014/main" id="{435E0362-48E8-BB2D-4A8C-7B57A4C87E85}"/>
                  </a:ext>
                </a:extLst>
              </xdr:cNvPr>
              <xdr:cNvGrpSpPr/>
            </xdr:nvGrpSpPr>
            <xdr:grpSpPr>
              <a:xfrm>
                <a:off x="3880276" y="3029328"/>
                <a:ext cx="8145307" cy="314204"/>
                <a:chOff x="-224999" y="190878"/>
                <a:chExt cx="8145307" cy="314204"/>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194CEE43-A691-416E-8E9E-A730E2C8BECB}"/>
                    </a:ext>
                  </a:extLst>
                </xdr:cNvPr>
                <xdr:cNvSpPr/>
              </xdr:nvSpPr>
              <xdr:spPr>
                <a:xfrm>
                  <a:off x="-224999" y="200025"/>
                  <a:ext cx="720248"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 Dashboard</a:t>
                  </a:r>
                </a:p>
              </xdr:txBody>
            </xdr:sp>
            <xdr:sp macro="" textlink="">
              <xdr:nvSpPr>
                <xdr:cNvPr id="27" name="Rectangle: Rounded Corners 26">
                  <a:hlinkClick xmlns:r="http://schemas.openxmlformats.org/officeDocument/2006/relationships" r:id="rId3"/>
                  <a:extLst>
                    <a:ext uri="{FF2B5EF4-FFF2-40B4-BE49-F238E27FC236}">
                      <a16:creationId xmlns:a16="http://schemas.microsoft.com/office/drawing/2014/main" id="{608D1860-C0F8-F104-8E5A-FA23175907BE}"/>
                    </a:ext>
                  </a:extLst>
                </xdr:cNvPr>
                <xdr:cNvSpPr/>
              </xdr:nvSpPr>
              <xdr:spPr>
                <a:xfrm>
                  <a:off x="466973" y="200025"/>
                  <a:ext cx="543004"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2. RI Info</a:t>
                  </a:r>
                </a:p>
              </xdr:txBody>
            </xdr:sp>
            <xdr:sp macro="" textlink="">
              <xdr:nvSpPr>
                <xdr:cNvPr id="28" name="Rectangle: Rounded Corners 27">
                  <a:hlinkClick xmlns:r="http://schemas.openxmlformats.org/officeDocument/2006/relationships" r:id="rId4"/>
                  <a:extLst>
                    <a:ext uri="{FF2B5EF4-FFF2-40B4-BE49-F238E27FC236}">
                      <a16:creationId xmlns:a16="http://schemas.microsoft.com/office/drawing/2014/main" id="{4A5E4AB6-BF38-304C-A811-1AA8A66689E2}"/>
                    </a:ext>
                  </a:extLst>
                </xdr:cNvPr>
                <xdr:cNvSpPr/>
              </xdr:nvSpPr>
              <xdr:spPr>
                <a:xfrm>
                  <a:off x="925469" y="200025"/>
                  <a:ext cx="956085"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3. Vaccine demand</a:t>
                  </a:r>
                </a:p>
              </xdr:txBody>
            </xdr:sp>
            <xdr:sp macro="" textlink="">
              <xdr:nvSpPr>
                <xdr:cNvPr id="29" name="Rectangle: Rounded Corners 28">
                  <a:hlinkClick xmlns:r="http://schemas.openxmlformats.org/officeDocument/2006/relationships" r:id="rId5"/>
                  <a:extLst>
                    <a:ext uri="{FF2B5EF4-FFF2-40B4-BE49-F238E27FC236}">
                      <a16:creationId xmlns:a16="http://schemas.microsoft.com/office/drawing/2014/main" id="{9C38CBBC-60DB-90B2-1B78-ACB809675FD1}"/>
                    </a:ext>
                  </a:extLst>
                </xdr:cNvPr>
                <xdr:cNvSpPr/>
              </xdr:nvSpPr>
              <xdr:spPr>
                <a:xfrm>
                  <a:off x="1827574" y="200025"/>
                  <a:ext cx="1016368"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4. Injection supplies</a:t>
                  </a:r>
                </a:p>
              </xdr:txBody>
            </xdr:sp>
            <xdr:sp macro="" textlink="">
              <xdr:nvSpPr>
                <xdr:cNvPr id="30" name="Rectangle: Rounded Corners 29">
                  <a:hlinkClick xmlns:r="http://schemas.openxmlformats.org/officeDocument/2006/relationships" r:id="rId6"/>
                  <a:extLst>
                    <a:ext uri="{FF2B5EF4-FFF2-40B4-BE49-F238E27FC236}">
                      <a16:creationId xmlns:a16="http://schemas.microsoft.com/office/drawing/2014/main" id="{235780C0-D934-8377-927E-579281233CCB}"/>
                    </a:ext>
                  </a:extLst>
                </xdr:cNvPr>
                <xdr:cNvSpPr/>
              </xdr:nvSpPr>
              <xdr:spPr>
                <a:xfrm>
                  <a:off x="2798726" y="200025"/>
                  <a:ext cx="74490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5. Cold chain </a:t>
                  </a:r>
                </a:p>
              </xdr:txBody>
            </xdr:sp>
            <xdr:sp macro="" textlink="">
              <xdr:nvSpPr>
                <xdr:cNvPr id="31" name="Rectangle: Rounded Corners 30">
                  <a:hlinkClick xmlns:r="http://schemas.openxmlformats.org/officeDocument/2006/relationships" r:id="rId7"/>
                  <a:extLst>
                    <a:ext uri="{FF2B5EF4-FFF2-40B4-BE49-F238E27FC236}">
                      <a16:creationId xmlns:a16="http://schemas.microsoft.com/office/drawing/2014/main" id="{48BC7D37-AA46-FEB0-AF50-EE95BCD119B1}"/>
                    </a:ext>
                  </a:extLst>
                </xdr:cNvPr>
                <xdr:cNvSpPr/>
              </xdr:nvSpPr>
              <xdr:spPr>
                <a:xfrm>
                  <a:off x="3469067" y="200119"/>
                  <a:ext cx="682034"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6. Personnel</a:t>
                  </a:r>
                </a:p>
              </xdr:txBody>
            </xdr:sp>
            <xdr:sp macro="" textlink="">
              <xdr:nvSpPr>
                <xdr:cNvPr id="32" name="Rectangle: Rounded Corners 31">
                  <a:hlinkClick xmlns:r="http://schemas.openxmlformats.org/officeDocument/2006/relationships" r:id="rId8"/>
                  <a:extLst>
                    <a:ext uri="{FF2B5EF4-FFF2-40B4-BE49-F238E27FC236}">
                      <a16:creationId xmlns:a16="http://schemas.microsoft.com/office/drawing/2014/main" id="{C5FBD7A2-6A72-298F-064C-EBE6B5BC43CD}"/>
                    </a:ext>
                  </a:extLst>
                </xdr:cNvPr>
                <xdr:cNvSpPr/>
              </xdr:nvSpPr>
              <xdr:spPr>
                <a:xfrm>
                  <a:off x="4117488" y="200211"/>
                  <a:ext cx="88115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7. Transportation</a:t>
                  </a:r>
                </a:p>
              </xdr:txBody>
            </xdr:sp>
            <xdr:sp macro="" textlink="">
              <xdr:nvSpPr>
                <xdr:cNvPr id="33" name="Rectangle: Rounded Corners 32">
                  <a:hlinkClick xmlns:r="http://schemas.openxmlformats.org/officeDocument/2006/relationships" r:id="rId9"/>
                  <a:extLst>
                    <a:ext uri="{FF2B5EF4-FFF2-40B4-BE49-F238E27FC236}">
                      <a16:creationId xmlns:a16="http://schemas.microsoft.com/office/drawing/2014/main" id="{1FF9EFBF-1747-ED94-4485-C55CA0659A91}"/>
                    </a:ext>
                  </a:extLst>
                </xdr:cNvPr>
                <xdr:cNvSpPr/>
              </xdr:nvSpPr>
              <xdr:spPr>
                <a:xfrm>
                  <a:off x="4959711" y="200119"/>
                  <a:ext cx="64863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8. Outreach</a:t>
                  </a:r>
                </a:p>
              </xdr:txBody>
            </xdr:sp>
            <xdr:sp macro="" textlink="">
              <xdr:nvSpPr>
                <xdr:cNvPr id="34" name="Rectangle: Rounded Corners 33">
                  <a:hlinkClick xmlns:r="http://schemas.openxmlformats.org/officeDocument/2006/relationships" r:id="rId10"/>
                  <a:extLst>
                    <a:ext uri="{FF2B5EF4-FFF2-40B4-BE49-F238E27FC236}">
                      <a16:creationId xmlns:a16="http://schemas.microsoft.com/office/drawing/2014/main" id="{6B338158-17FB-83E5-CDB7-06E345D92080}"/>
                    </a:ext>
                  </a:extLst>
                </xdr:cNvPr>
                <xdr:cNvSpPr/>
              </xdr:nvSpPr>
              <xdr:spPr>
                <a:xfrm>
                  <a:off x="5570875" y="190878"/>
                  <a:ext cx="1469271" cy="310651"/>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9. Training &amp; social mobilization</a:t>
                  </a:r>
                </a:p>
              </xdr:txBody>
            </xdr:sp>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33C2DF81-48EF-533A-10DE-74D4977FDCF5}"/>
                    </a:ext>
                  </a:extLst>
                </xdr:cNvPr>
                <xdr:cNvSpPr/>
              </xdr:nvSpPr>
              <xdr:spPr>
                <a:xfrm>
                  <a:off x="7001918" y="190880"/>
                  <a:ext cx="918390" cy="31420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10. Microplanning</a:t>
                  </a:r>
                </a:p>
              </xdr:txBody>
            </xdr:sp>
          </xdr:grpSp>
        </xdr:grpSp>
        <xdr:cxnSp macro="">
          <xdr:nvCxnSpPr>
            <xdr:cNvPr id="23" name="Straight Connector 22">
              <a:extLst>
                <a:ext uri="{FF2B5EF4-FFF2-40B4-BE49-F238E27FC236}">
                  <a16:creationId xmlns:a16="http://schemas.microsoft.com/office/drawing/2014/main" id="{CF7F1947-E9F0-9919-E4DA-2D99038FC48C}"/>
                </a:ext>
              </a:extLst>
            </xdr:cNvPr>
            <xdr:cNvCxnSpPr/>
          </xdr:nvCxnSpPr>
          <xdr:spPr>
            <a:xfrm>
              <a:off x="4271298" y="792418"/>
              <a:ext cx="652740" cy="0"/>
            </a:xfrm>
            <a:prstGeom prst="line">
              <a:avLst/>
            </a:prstGeom>
            <a:noFill/>
            <a:ln w="28575" cap="flat" cmpd="sng" algn="ctr">
              <a:solidFill>
                <a:sysClr val="windowText" lastClr="000000"/>
              </a:solidFill>
              <a:prstDash val="solid"/>
              <a:miter lim="800000"/>
            </a:ln>
            <a:effectLst/>
          </xdr:spPr>
        </xdr:cxnSp>
      </xdr:grpSp>
      <xdr:sp macro="" textlink="">
        <xdr:nvSpPr>
          <xdr:cNvPr id="21" name="Rectangle: Rounded Corners 20">
            <a:hlinkClick xmlns:r="http://schemas.openxmlformats.org/officeDocument/2006/relationships" r:id="rId12"/>
            <a:extLst>
              <a:ext uri="{FF2B5EF4-FFF2-40B4-BE49-F238E27FC236}">
                <a16:creationId xmlns:a16="http://schemas.microsoft.com/office/drawing/2014/main" id="{238448DD-341C-ABB8-C2D4-05176F94845A}"/>
              </a:ext>
            </a:extLst>
          </xdr:cNvPr>
          <xdr:cNvSpPr/>
        </xdr:nvSpPr>
        <xdr:spPr>
          <a:xfrm>
            <a:off x="11782432" y="416016"/>
            <a:ext cx="1451361" cy="33345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11. Quality assurance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12</xdr:col>
      <xdr:colOff>353358</xdr:colOff>
      <xdr:row>3</xdr:row>
      <xdr:rowOff>10841</xdr:rowOff>
    </xdr:to>
    <xdr:grpSp>
      <xdr:nvGrpSpPr>
        <xdr:cNvPr id="19" name="Group 18">
          <a:extLst>
            <a:ext uri="{FF2B5EF4-FFF2-40B4-BE49-F238E27FC236}">
              <a16:creationId xmlns:a16="http://schemas.microsoft.com/office/drawing/2014/main" id="{187139CB-1BAC-4518-85C3-A1A8F3DA10A2}"/>
            </a:ext>
          </a:extLst>
        </xdr:cNvPr>
        <xdr:cNvGrpSpPr>
          <a:grpSpLocks noChangeAspect="1"/>
        </xdr:cNvGrpSpPr>
      </xdr:nvGrpSpPr>
      <xdr:grpSpPr>
        <a:xfrm>
          <a:off x="0" y="361950"/>
          <a:ext cx="12831108" cy="379141"/>
          <a:chOff x="73025" y="416016"/>
          <a:chExt cx="13160768" cy="376418"/>
        </a:xfrm>
      </xdr:grpSpPr>
      <xdr:grpSp>
        <xdr:nvGrpSpPr>
          <xdr:cNvPr id="20" name="Group 19">
            <a:extLst>
              <a:ext uri="{FF2B5EF4-FFF2-40B4-BE49-F238E27FC236}">
                <a16:creationId xmlns:a16="http://schemas.microsoft.com/office/drawing/2014/main" id="{5F82F9BF-EB61-530F-EF68-0FAD2BC648C9}"/>
              </a:ext>
            </a:extLst>
          </xdr:cNvPr>
          <xdr:cNvGrpSpPr/>
        </xdr:nvGrpSpPr>
        <xdr:grpSpPr>
          <a:xfrm>
            <a:off x="73025" y="425542"/>
            <a:ext cx="11800150" cy="366892"/>
            <a:chOff x="73025" y="428799"/>
            <a:chExt cx="8652178" cy="363619"/>
          </a:xfrm>
        </xdr:grpSpPr>
        <xdr:grpSp>
          <xdr:nvGrpSpPr>
            <xdr:cNvPr id="22" name="Group 21">
              <a:extLst>
                <a:ext uri="{FF2B5EF4-FFF2-40B4-BE49-F238E27FC236}">
                  <a16:creationId xmlns:a16="http://schemas.microsoft.com/office/drawing/2014/main" id="{1FD1F0AB-9E59-B17F-D6EF-0961CC9DA145}"/>
                </a:ext>
              </a:extLst>
            </xdr:cNvPr>
            <xdr:cNvGrpSpPr>
              <a:grpSpLocks/>
            </xdr:cNvGrpSpPr>
          </xdr:nvGrpSpPr>
          <xdr:grpSpPr>
            <a:xfrm>
              <a:off x="73025" y="428799"/>
              <a:ext cx="8652178" cy="321034"/>
              <a:chOff x="3378200" y="3029328"/>
              <a:chExt cx="8647383" cy="314204"/>
            </a:xfrm>
          </xdr:grpSpPr>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E0B26546-AE72-2D0E-D130-AC015A989A7E}"/>
                  </a:ext>
                </a:extLst>
              </xdr:cNvPr>
              <xdr:cNvSpPr/>
            </xdr:nvSpPr>
            <xdr:spPr>
              <a:xfrm>
                <a:off x="3378200" y="3038475"/>
                <a:ext cx="52931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Read me</a:t>
                </a:r>
              </a:p>
            </xdr:txBody>
          </xdr:sp>
          <xdr:grpSp>
            <xdr:nvGrpSpPr>
              <xdr:cNvPr id="25" name="Group 24">
                <a:extLst>
                  <a:ext uri="{FF2B5EF4-FFF2-40B4-BE49-F238E27FC236}">
                    <a16:creationId xmlns:a16="http://schemas.microsoft.com/office/drawing/2014/main" id="{72C1C842-A743-2AD8-B3B9-33C256B48EDB}"/>
                  </a:ext>
                </a:extLst>
              </xdr:cNvPr>
              <xdr:cNvGrpSpPr/>
            </xdr:nvGrpSpPr>
            <xdr:grpSpPr>
              <a:xfrm>
                <a:off x="3880276" y="3029328"/>
                <a:ext cx="8145307" cy="314204"/>
                <a:chOff x="-224999" y="190878"/>
                <a:chExt cx="8145307" cy="314204"/>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241F4103-7649-FC0F-4C83-88F6AA410588}"/>
                    </a:ext>
                  </a:extLst>
                </xdr:cNvPr>
                <xdr:cNvSpPr/>
              </xdr:nvSpPr>
              <xdr:spPr>
                <a:xfrm>
                  <a:off x="-224999" y="200025"/>
                  <a:ext cx="720248"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 Dashboard</a:t>
                  </a:r>
                </a:p>
              </xdr:txBody>
            </xdr:sp>
            <xdr:sp macro="" textlink="">
              <xdr:nvSpPr>
                <xdr:cNvPr id="27" name="Rectangle: Rounded Corners 26">
                  <a:hlinkClick xmlns:r="http://schemas.openxmlformats.org/officeDocument/2006/relationships" r:id="rId3"/>
                  <a:extLst>
                    <a:ext uri="{FF2B5EF4-FFF2-40B4-BE49-F238E27FC236}">
                      <a16:creationId xmlns:a16="http://schemas.microsoft.com/office/drawing/2014/main" id="{A8D84C81-2DAB-76C8-A88F-8D2DE140DA07}"/>
                    </a:ext>
                  </a:extLst>
                </xdr:cNvPr>
                <xdr:cNvSpPr/>
              </xdr:nvSpPr>
              <xdr:spPr>
                <a:xfrm>
                  <a:off x="466973" y="200025"/>
                  <a:ext cx="543004"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2. RI Info</a:t>
                  </a:r>
                </a:p>
              </xdr:txBody>
            </xdr:sp>
            <xdr:sp macro="" textlink="">
              <xdr:nvSpPr>
                <xdr:cNvPr id="28" name="Rectangle: Rounded Corners 27">
                  <a:hlinkClick xmlns:r="http://schemas.openxmlformats.org/officeDocument/2006/relationships" r:id="rId4"/>
                  <a:extLst>
                    <a:ext uri="{FF2B5EF4-FFF2-40B4-BE49-F238E27FC236}">
                      <a16:creationId xmlns:a16="http://schemas.microsoft.com/office/drawing/2014/main" id="{4A61E249-79E5-B195-3E0B-4F1F7B1087DD}"/>
                    </a:ext>
                  </a:extLst>
                </xdr:cNvPr>
                <xdr:cNvSpPr/>
              </xdr:nvSpPr>
              <xdr:spPr>
                <a:xfrm>
                  <a:off x="925469" y="200025"/>
                  <a:ext cx="956085"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3. Vaccine demand</a:t>
                  </a:r>
                </a:p>
              </xdr:txBody>
            </xdr:sp>
            <xdr:sp macro="" textlink="">
              <xdr:nvSpPr>
                <xdr:cNvPr id="29" name="Rectangle: Rounded Corners 28">
                  <a:hlinkClick xmlns:r="http://schemas.openxmlformats.org/officeDocument/2006/relationships" r:id="rId5"/>
                  <a:extLst>
                    <a:ext uri="{FF2B5EF4-FFF2-40B4-BE49-F238E27FC236}">
                      <a16:creationId xmlns:a16="http://schemas.microsoft.com/office/drawing/2014/main" id="{D8AB5840-5E87-3E59-56E7-D45BB6C824DC}"/>
                    </a:ext>
                  </a:extLst>
                </xdr:cNvPr>
                <xdr:cNvSpPr/>
              </xdr:nvSpPr>
              <xdr:spPr>
                <a:xfrm>
                  <a:off x="1827574" y="200025"/>
                  <a:ext cx="1016368"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4. Injection supplies</a:t>
                  </a:r>
                </a:p>
              </xdr:txBody>
            </xdr:sp>
            <xdr:sp macro="" textlink="">
              <xdr:nvSpPr>
                <xdr:cNvPr id="30" name="Rectangle: Rounded Corners 29">
                  <a:hlinkClick xmlns:r="http://schemas.openxmlformats.org/officeDocument/2006/relationships" r:id="rId6"/>
                  <a:extLst>
                    <a:ext uri="{FF2B5EF4-FFF2-40B4-BE49-F238E27FC236}">
                      <a16:creationId xmlns:a16="http://schemas.microsoft.com/office/drawing/2014/main" id="{63930845-E7F9-8946-6365-908E9EE9B47A}"/>
                    </a:ext>
                  </a:extLst>
                </xdr:cNvPr>
                <xdr:cNvSpPr/>
              </xdr:nvSpPr>
              <xdr:spPr>
                <a:xfrm>
                  <a:off x="2798726" y="200025"/>
                  <a:ext cx="74490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5. Cold chain </a:t>
                  </a:r>
                </a:p>
              </xdr:txBody>
            </xdr:sp>
            <xdr:sp macro="" textlink="">
              <xdr:nvSpPr>
                <xdr:cNvPr id="31" name="Rectangle: Rounded Corners 30">
                  <a:hlinkClick xmlns:r="http://schemas.openxmlformats.org/officeDocument/2006/relationships" r:id="rId7"/>
                  <a:extLst>
                    <a:ext uri="{FF2B5EF4-FFF2-40B4-BE49-F238E27FC236}">
                      <a16:creationId xmlns:a16="http://schemas.microsoft.com/office/drawing/2014/main" id="{70C511A4-C932-B000-25DA-D712DDA5887F}"/>
                    </a:ext>
                  </a:extLst>
                </xdr:cNvPr>
                <xdr:cNvSpPr/>
              </xdr:nvSpPr>
              <xdr:spPr>
                <a:xfrm>
                  <a:off x="3469067" y="200119"/>
                  <a:ext cx="682034"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6. Personnel</a:t>
                  </a:r>
                </a:p>
              </xdr:txBody>
            </xdr:sp>
            <xdr:sp macro="" textlink="">
              <xdr:nvSpPr>
                <xdr:cNvPr id="32" name="Rectangle: Rounded Corners 31">
                  <a:hlinkClick xmlns:r="http://schemas.openxmlformats.org/officeDocument/2006/relationships" r:id="rId8"/>
                  <a:extLst>
                    <a:ext uri="{FF2B5EF4-FFF2-40B4-BE49-F238E27FC236}">
                      <a16:creationId xmlns:a16="http://schemas.microsoft.com/office/drawing/2014/main" id="{437EC813-19DC-03C7-E724-EC54DD392BD7}"/>
                    </a:ext>
                  </a:extLst>
                </xdr:cNvPr>
                <xdr:cNvSpPr/>
              </xdr:nvSpPr>
              <xdr:spPr>
                <a:xfrm>
                  <a:off x="4117488" y="200211"/>
                  <a:ext cx="88115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7. Transportation</a:t>
                  </a:r>
                </a:p>
              </xdr:txBody>
            </xdr:sp>
            <xdr:sp macro="" textlink="">
              <xdr:nvSpPr>
                <xdr:cNvPr id="33" name="Rectangle: Rounded Corners 32">
                  <a:hlinkClick xmlns:r="http://schemas.openxmlformats.org/officeDocument/2006/relationships" r:id="rId9"/>
                  <a:extLst>
                    <a:ext uri="{FF2B5EF4-FFF2-40B4-BE49-F238E27FC236}">
                      <a16:creationId xmlns:a16="http://schemas.microsoft.com/office/drawing/2014/main" id="{1485F2D5-ADCE-766E-03D0-186F93A33C50}"/>
                    </a:ext>
                  </a:extLst>
                </xdr:cNvPr>
                <xdr:cNvSpPr/>
              </xdr:nvSpPr>
              <xdr:spPr>
                <a:xfrm>
                  <a:off x="4959711" y="200119"/>
                  <a:ext cx="64863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8. Outreach</a:t>
                  </a:r>
                </a:p>
              </xdr:txBody>
            </xdr:sp>
            <xdr:sp macro="" textlink="">
              <xdr:nvSpPr>
                <xdr:cNvPr id="34" name="Rectangle: Rounded Corners 33">
                  <a:hlinkClick xmlns:r="http://schemas.openxmlformats.org/officeDocument/2006/relationships" r:id="rId10"/>
                  <a:extLst>
                    <a:ext uri="{FF2B5EF4-FFF2-40B4-BE49-F238E27FC236}">
                      <a16:creationId xmlns:a16="http://schemas.microsoft.com/office/drawing/2014/main" id="{9F020A90-F61D-4708-B50F-C52AF58C0815}"/>
                    </a:ext>
                  </a:extLst>
                </xdr:cNvPr>
                <xdr:cNvSpPr/>
              </xdr:nvSpPr>
              <xdr:spPr>
                <a:xfrm>
                  <a:off x="5570875" y="190878"/>
                  <a:ext cx="1469271" cy="310651"/>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9. Training &amp; social mobilization</a:t>
                  </a:r>
                </a:p>
              </xdr:txBody>
            </xdr:sp>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4B9916BA-B680-9A1F-02A9-8830CF98810B}"/>
                    </a:ext>
                  </a:extLst>
                </xdr:cNvPr>
                <xdr:cNvSpPr/>
              </xdr:nvSpPr>
              <xdr:spPr>
                <a:xfrm>
                  <a:off x="7001918" y="190880"/>
                  <a:ext cx="918390" cy="31420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10. Microplanning</a:t>
                  </a:r>
                </a:p>
              </xdr:txBody>
            </xdr:sp>
          </xdr:grpSp>
        </xdr:grpSp>
        <xdr:cxnSp macro="">
          <xdr:nvCxnSpPr>
            <xdr:cNvPr id="23" name="Straight Connector 22">
              <a:extLst>
                <a:ext uri="{FF2B5EF4-FFF2-40B4-BE49-F238E27FC236}">
                  <a16:creationId xmlns:a16="http://schemas.microsoft.com/office/drawing/2014/main" id="{2BBC2B42-60E3-B58C-134C-D93925F1CB48}"/>
                </a:ext>
              </a:extLst>
            </xdr:cNvPr>
            <xdr:cNvCxnSpPr/>
          </xdr:nvCxnSpPr>
          <xdr:spPr>
            <a:xfrm>
              <a:off x="4923168" y="792418"/>
              <a:ext cx="839014" cy="0"/>
            </a:xfrm>
            <a:prstGeom prst="line">
              <a:avLst/>
            </a:prstGeom>
            <a:noFill/>
            <a:ln w="28575" cap="flat" cmpd="sng" algn="ctr">
              <a:solidFill>
                <a:sysClr val="windowText" lastClr="000000"/>
              </a:solidFill>
              <a:prstDash val="solid"/>
              <a:miter lim="800000"/>
            </a:ln>
            <a:effectLst/>
          </xdr:spPr>
        </xdr:cxnSp>
      </xdr:grpSp>
      <xdr:sp macro="" textlink="">
        <xdr:nvSpPr>
          <xdr:cNvPr id="21" name="Rectangle: Rounded Corners 20">
            <a:hlinkClick xmlns:r="http://schemas.openxmlformats.org/officeDocument/2006/relationships" r:id="rId12"/>
            <a:extLst>
              <a:ext uri="{FF2B5EF4-FFF2-40B4-BE49-F238E27FC236}">
                <a16:creationId xmlns:a16="http://schemas.microsoft.com/office/drawing/2014/main" id="{75FBC5AB-AA25-D6CE-40CF-DDE85FC66CEE}"/>
              </a:ext>
            </a:extLst>
          </xdr:cNvPr>
          <xdr:cNvSpPr/>
        </xdr:nvSpPr>
        <xdr:spPr>
          <a:xfrm>
            <a:off x="11782432" y="416016"/>
            <a:ext cx="1451361" cy="33345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11. Quality assurance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1060076</xdr:colOff>
      <xdr:row>3</xdr:row>
      <xdr:rowOff>20553</xdr:rowOff>
    </xdr:to>
    <xdr:grpSp>
      <xdr:nvGrpSpPr>
        <xdr:cNvPr id="19" name="Group 18">
          <a:extLst>
            <a:ext uri="{FF2B5EF4-FFF2-40B4-BE49-F238E27FC236}">
              <a16:creationId xmlns:a16="http://schemas.microsoft.com/office/drawing/2014/main" id="{DD472FB0-4645-4252-8DCB-A136B61F782A}"/>
            </a:ext>
          </a:extLst>
        </xdr:cNvPr>
        <xdr:cNvGrpSpPr>
          <a:grpSpLocks noChangeAspect="1"/>
        </xdr:cNvGrpSpPr>
      </xdr:nvGrpSpPr>
      <xdr:grpSpPr>
        <a:xfrm>
          <a:off x="0" y="361950"/>
          <a:ext cx="12839326" cy="388853"/>
          <a:chOff x="73025" y="416016"/>
          <a:chExt cx="13160768" cy="386031"/>
        </a:xfrm>
      </xdr:grpSpPr>
      <xdr:grpSp>
        <xdr:nvGrpSpPr>
          <xdr:cNvPr id="20" name="Group 19">
            <a:extLst>
              <a:ext uri="{FF2B5EF4-FFF2-40B4-BE49-F238E27FC236}">
                <a16:creationId xmlns:a16="http://schemas.microsoft.com/office/drawing/2014/main" id="{A7FF5B0C-5A61-8108-3035-2C1C1445C413}"/>
              </a:ext>
            </a:extLst>
          </xdr:cNvPr>
          <xdr:cNvGrpSpPr/>
        </xdr:nvGrpSpPr>
        <xdr:grpSpPr>
          <a:xfrm>
            <a:off x="73025" y="425542"/>
            <a:ext cx="11800150" cy="376505"/>
            <a:chOff x="73025" y="428799"/>
            <a:chExt cx="8652178" cy="373146"/>
          </a:xfrm>
        </xdr:grpSpPr>
        <xdr:grpSp>
          <xdr:nvGrpSpPr>
            <xdr:cNvPr id="22" name="Group 21">
              <a:extLst>
                <a:ext uri="{FF2B5EF4-FFF2-40B4-BE49-F238E27FC236}">
                  <a16:creationId xmlns:a16="http://schemas.microsoft.com/office/drawing/2014/main" id="{3B8CCBBB-C0DA-29E2-062A-F2E71361DD2A}"/>
                </a:ext>
              </a:extLst>
            </xdr:cNvPr>
            <xdr:cNvGrpSpPr>
              <a:grpSpLocks/>
            </xdr:cNvGrpSpPr>
          </xdr:nvGrpSpPr>
          <xdr:grpSpPr>
            <a:xfrm>
              <a:off x="73025" y="428799"/>
              <a:ext cx="8652178" cy="321034"/>
              <a:chOff x="3378200" y="3029328"/>
              <a:chExt cx="8647383" cy="314204"/>
            </a:xfrm>
          </xdr:grpSpPr>
          <xdr:sp macro="" textlink="">
            <xdr:nvSpPr>
              <xdr:cNvPr id="24" name="Rectangle: Rounded Corners 23">
                <a:hlinkClick xmlns:r="http://schemas.openxmlformats.org/officeDocument/2006/relationships" r:id="rId1"/>
                <a:extLst>
                  <a:ext uri="{FF2B5EF4-FFF2-40B4-BE49-F238E27FC236}">
                    <a16:creationId xmlns:a16="http://schemas.microsoft.com/office/drawing/2014/main" id="{3BC5FD31-9ECC-07A3-D709-AB9E8EC3C408}"/>
                  </a:ext>
                </a:extLst>
              </xdr:cNvPr>
              <xdr:cNvSpPr/>
            </xdr:nvSpPr>
            <xdr:spPr>
              <a:xfrm>
                <a:off x="3378200" y="3038475"/>
                <a:ext cx="52931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Read me</a:t>
                </a:r>
              </a:p>
            </xdr:txBody>
          </xdr:sp>
          <xdr:grpSp>
            <xdr:nvGrpSpPr>
              <xdr:cNvPr id="25" name="Group 24">
                <a:extLst>
                  <a:ext uri="{FF2B5EF4-FFF2-40B4-BE49-F238E27FC236}">
                    <a16:creationId xmlns:a16="http://schemas.microsoft.com/office/drawing/2014/main" id="{8A0F2ECC-0190-AE99-FC6B-108AD39ABF2A}"/>
                  </a:ext>
                </a:extLst>
              </xdr:cNvPr>
              <xdr:cNvGrpSpPr/>
            </xdr:nvGrpSpPr>
            <xdr:grpSpPr>
              <a:xfrm>
                <a:off x="3880276" y="3029328"/>
                <a:ext cx="8145307" cy="314204"/>
                <a:chOff x="-224999" y="190878"/>
                <a:chExt cx="8145307" cy="314204"/>
              </a:xfrm>
            </xdr:grpSpPr>
            <xdr:sp macro="" textlink="">
              <xdr:nvSpPr>
                <xdr:cNvPr id="26" name="Rectangle: Rounded Corners 25">
                  <a:hlinkClick xmlns:r="http://schemas.openxmlformats.org/officeDocument/2006/relationships" r:id="rId2"/>
                  <a:extLst>
                    <a:ext uri="{FF2B5EF4-FFF2-40B4-BE49-F238E27FC236}">
                      <a16:creationId xmlns:a16="http://schemas.microsoft.com/office/drawing/2014/main" id="{C575EEA0-5677-BC13-ACA0-346945E0AAF5}"/>
                    </a:ext>
                  </a:extLst>
                </xdr:cNvPr>
                <xdr:cNvSpPr/>
              </xdr:nvSpPr>
              <xdr:spPr>
                <a:xfrm>
                  <a:off x="-224999" y="200025"/>
                  <a:ext cx="720248"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 Dashboard</a:t>
                  </a:r>
                </a:p>
              </xdr:txBody>
            </xdr:sp>
            <xdr:sp macro="" textlink="">
              <xdr:nvSpPr>
                <xdr:cNvPr id="27" name="Rectangle: Rounded Corners 26">
                  <a:hlinkClick xmlns:r="http://schemas.openxmlformats.org/officeDocument/2006/relationships" r:id="rId3"/>
                  <a:extLst>
                    <a:ext uri="{FF2B5EF4-FFF2-40B4-BE49-F238E27FC236}">
                      <a16:creationId xmlns:a16="http://schemas.microsoft.com/office/drawing/2014/main" id="{A4B078F4-A7E1-1776-B319-0FC1CCAEF44B}"/>
                    </a:ext>
                  </a:extLst>
                </xdr:cNvPr>
                <xdr:cNvSpPr/>
              </xdr:nvSpPr>
              <xdr:spPr>
                <a:xfrm>
                  <a:off x="466973" y="200025"/>
                  <a:ext cx="543004"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2. RI Info</a:t>
                  </a:r>
                </a:p>
              </xdr:txBody>
            </xdr:sp>
            <xdr:sp macro="" textlink="">
              <xdr:nvSpPr>
                <xdr:cNvPr id="28" name="Rectangle: Rounded Corners 27">
                  <a:hlinkClick xmlns:r="http://schemas.openxmlformats.org/officeDocument/2006/relationships" r:id="rId4"/>
                  <a:extLst>
                    <a:ext uri="{FF2B5EF4-FFF2-40B4-BE49-F238E27FC236}">
                      <a16:creationId xmlns:a16="http://schemas.microsoft.com/office/drawing/2014/main" id="{EBE8A03D-2833-D41F-3507-04D3C29EE4D2}"/>
                    </a:ext>
                  </a:extLst>
                </xdr:cNvPr>
                <xdr:cNvSpPr/>
              </xdr:nvSpPr>
              <xdr:spPr>
                <a:xfrm>
                  <a:off x="925469" y="200025"/>
                  <a:ext cx="956085"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3. Vaccine demand</a:t>
                  </a:r>
                </a:p>
              </xdr:txBody>
            </xdr:sp>
            <xdr:sp macro="" textlink="">
              <xdr:nvSpPr>
                <xdr:cNvPr id="29" name="Rectangle: Rounded Corners 28">
                  <a:hlinkClick xmlns:r="http://schemas.openxmlformats.org/officeDocument/2006/relationships" r:id="rId5"/>
                  <a:extLst>
                    <a:ext uri="{FF2B5EF4-FFF2-40B4-BE49-F238E27FC236}">
                      <a16:creationId xmlns:a16="http://schemas.microsoft.com/office/drawing/2014/main" id="{656C24CF-F023-F5C3-2C2F-FDF6C2F41D37}"/>
                    </a:ext>
                  </a:extLst>
                </xdr:cNvPr>
                <xdr:cNvSpPr/>
              </xdr:nvSpPr>
              <xdr:spPr>
                <a:xfrm>
                  <a:off x="1827574" y="200025"/>
                  <a:ext cx="1016368"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4. Injection supplies</a:t>
                  </a:r>
                </a:p>
              </xdr:txBody>
            </xdr:sp>
            <xdr:sp macro="" textlink="">
              <xdr:nvSpPr>
                <xdr:cNvPr id="30" name="Rectangle: Rounded Corners 29">
                  <a:hlinkClick xmlns:r="http://schemas.openxmlformats.org/officeDocument/2006/relationships" r:id="rId6"/>
                  <a:extLst>
                    <a:ext uri="{FF2B5EF4-FFF2-40B4-BE49-F238E27FC236}">
                      <a16:creationId xmlns:a16="http://schemas.microsoft.com/office/drawing/2014/main" id="{AFCCED9A-066C-F1F4-BABE-D2773C9D5F28}"/>
                    </a:ext>
                  </a:extLst>
                </xdr:cNvPr>
                <xdr:cNvSpPr/>
              </xdr:nvSpPr>
              <xdr:spPr>
                <a:xfrm>
                  <a:off x="2798726" y="200025"/>
                  <a:ext cx="74490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5. Cold chain </a:t>
                  </a:r>
                </a:p>
              </xdr:txBody>
            </xdr:sp>
            <xdr:sp macro="" textlink="">
              <xdr:nvSpPr>
                <xdr:cNvPr id="31" name="Rectangle: Rounded Corners 30">
                  <a:hlinkClick xmlns:r="http://schemas.openxmlformats.org/officeDocument/2006/relationships" r:id="rId7"/>
                  <a:extLst>
                    <a:ext uri="{FF2B5EF4-FFF2-40B4-BE49-F238E27FC236}">
                      <a16:creationId xmlns:a16="http://schemas.microsoft.com/office/drawing/2014/main" id="{E0D4EAC9-2757-855D-2198-6A399926963A}"/>
                    </a:ext>
                  </a:extLst>
                </xdr:cNvPr>
                <xdr:cNvSpPr/>
              </xdr:nvSpPr>
              <xdr:spPr>
                <a:xfrm>
                  <a:off x="3469067" y="200119"/>
                  <a:ext cx="682034"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6. Personnel</a:t>
                  </a:r>
                </a:p>
              </xdr:txBody>
            </xdr:sp>
            <xdr:sp macro="" textlink="">
              <xdr:nvSpPr>
                <xdr:cNvPr id="32" name="Rectangle: Rounded Corners 31">
                  <a:hlinkClick xmlns:r="http://schemas.openxmlformats.org/officeDocument/2006/relationships" r:id="rId8"/>
                  <a:extLst>
                    <a:ext uri="{FF2B5EF4-FFF2-40B4-BE49-F238E27FC236}">
                      <a16:creationId xmlns:a16="http://schemas.microsoft.com/office/drawing/2014/main" id="{C4B511E6-BBEF-AE87-8563-6F7AE2397E8F}"/>
                    </a:ext>
                  </a:extLst>
                </xdr:cNvPr>
                <xdr:cNvSpPr/>
              </xdr:nvSpPr>
              <xdr:spPr>
                <a:xfrm>
                  <a:off x="4117488" y="200211"/>
                  <a:ext cx="881152" cy="295275"/>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7. Transportation</a:t>
                  </a:r>
                </a:p>
              </xdr:txBody>
            </xdr:sp>
            <xdr:sp macro="" textlink="">
              <xdr:nvSpPr>
                <xdr:cNvPr id="33" name="Rectangle: Rounded Corners 32">
                  <a:hlinkClick xmlns:r="http://schemas.openxmlformats.org/officeDocument/2006/relationships" r:id="rId9"/>
                  <a:extLst>
                    <a:ext uri="{FF2B5EF4-FFF2-40B4-BE49-F238E27FC236}">
                      <a16:creationId xmlns:a16="http://schemas.microsoft.com/office/drawing/2014/main" id="{A7C135C4-05E6-D303-B98C-2341679E2757}"/>
                    </a:ext>
                  </a:extLst>
                </xdr:cNvPr>
                <xdr:cNvSpPr/>
              </xdr:nvSpPr>
              <xdr:spPr>
                <a:xfrm>
                  <a:off x="4959711" y="200119"/>
                  <a:ext cx="648635" cy="292100"/>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8. Outreach</a:t>
                  </a:r>
                </a:p>
              </xdr:txBody>
            </xdr:sp>
            <xdr:sp macro="" textlink="">
              <xdr:nvSpPr>
                <xdr:cNvPr id="34" name="Rectangle: Rounded Corners 33">
                  <a:hlinkClick xmlns:r="http://schemas.openxmlformats.org/officeDocument/2006/relationships" r:id="rId10"/>
                  <a:extLst>
                    <a:ext uri="{FF2B5EF4-FFF2-40B4-BE49-F238E27FC236}">
                      <a16:creationId xmlns:a16="http://schemas.microsoft.com/office/drawing/2014/main" id="{E34B36BA-387F-061D-F4EE-2855B58A8439}"/>
                    </a:ext>
                  </a:extLst>
                </xdr:cNvPr>
                <xdr:cNvSpPr/>
              </xdr:nvSpPr>
              <xdr:spPr>
                <a:xfrm>
                  <a:off x="5570875" y="190878"/>
                  <a:ext cx="1469271" cy="310651"/>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9. Training &amp; social mobilization</a:t>
                  </a:r>
                </a:p>
              </xdr:txBody>
            </xdr:sp>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6D98EE4B-CFB3-8182-4EFE-99E97E9131F0}"/>
                    </a:ext>
                  </a:extLst>
                </xdr:cNvPr>
                <xdr:cNvSpPr/>
              </xdr:nvSpPr>
              <xdr:spPr>
                <a:xfrm>
                  <a:off x="7001918" y="190880"/>
                  <a:ext cx="918390" cy="31420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10. Microplanning</a:t>
                  </a:r>
                </a:p>
              </xdr:txBody>
            </xdr:sp>
          </xdr:grpSp>
        </xdr:grpSp>
        <xdr:cxnSp macro="">
          <xdr:nvCxnSpPr>
            <xdr:cNvPr id="23" name="Straight Connector 22">
              <a:extLst>
                <a:ext uri="{FF2B5EF4-FFF2-40B4-BE49-F238E27FC236}">
                  <a16:creationId xmlns:a16="http://schemas.microsoft.com/office/drawing/2014/main" id="{7D3A6B5C-1F95-B9B4-E775-FF93E1AF1FFD}"/>
                </a:ext>
              </a:extLst>
            </xdr:cNvPr>
            <xdr:cNvCxnSpPr/>
          </xdr:nvCxnSpPr>
          <xdr:spPr>
            <a:xfrm>
              <a:off x="5768537" y="801945"/>
              <a:ext cx="621698" cy="0"/>
            </a:xfrm>
            <a:prstGeom prst="line">
              <a:avLst/>
            </a:prstGeom>
            <a:noFill/>
            <a:ln w="28575" cap="flat" cmpd="sng" algn="ctr">
              <a:solidFill>
                <a:sysClr val="windowText" lastClr="000000"/>
              </a:solidFill>
              <a:prstDash val="solid"/>
              <a:miter lim="800000"/>
            </a:ln>
            <a:effectLst/>
          </xdr:spPr>
        </xdr:cxnSp>
      </xdr:grpSp>
      <xdr:sp macro="" textlink="">
        <xdr:nvSpPr>
          <xdr:cNvPr id="21" name="Rectangle: Rounded Corners 20">
            <a:hlinkClick xmlns:r="http://schemas.openxmlformats.org/officeDocument/2006/relationships" r:id="rId12"/>
            <a:extLst>
              <a:ext uri="{FF2B5EF4-FFF2-40B4-BE49-F238E27FC236}">
                <a16:creationId xmlns:a16="http://schemas.microsoft.com/office/drawing/2014/main" id="{AB1D4F40-4EBE-54C3-36F3-9EDBC9866AAA}"/>
              </a:ext>
            </a:extLst>
          </xdr:cNvPr>
          <xdr:cNvSpPr/>
        </xdr:nvSpPr>
        <xdr:spPr>
          <a:xfrm>
            <a:off x="11782432" y="416016"/>
            <a:ext cx="1451361" cy="333452"/>
          </a:xfrm>
          <a:prstGeom prst="roundRect">
            <a:avLst/>
          </a:prstGeom>
          <a:solidFill>
            <a:srgbClr val="F4424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 lastClr="FFFFFF"/>
                </a:solidFill>
                <a:effectLst/>
                <a:uLnTx/>
                <a:uFillTx/>
                <a:latin typeface="Aptos Narrow" panose="02110004020202020204"/>
                <a:ea typeface="+mn-ea"/>
                <a:cs typeface="+mn-cs"/>
              </a:rPr>
              <a:t>11. Quality assurance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3899C-9635-4778-AAC4-4426F9E08952}">
  <sheetPr codeName="Sheet1"/>
  <dimension ref="A1:B27"/>
  <sheetViews>
    <sheetView showGridLines="0" topLeftCell="A9" zoomScale="110" zoomScaleNormal="110" workbookViewId="0">
      <selection activeCell="B15" sqref="B15"/>
    </sheetView>
  </sheetViews>
  <sheetFormatPr defaultRowHeight="14.5" x14ac:dyDescent="0.35"/>
  <cols>
    <col min="1" max="1" width="3.08984375" style="4" customWidth="1"/>
    <col min="2" max="2" width="163.81640625" style="1" customWidth="1"/>
    <col min="3" max="3" width="5.81640625" style="4" customWidth="1"/>
    <col min="4" max="4" width="24.7265625" style="4" customWidth="1"/>
    <col min="5" max="5" width="10.36328125" style="4" customWidth="1"/>
    <col min="6" max="16384" width="8.7265625" style="4"/>
  </cols>
  <sheetData>
    <row r="1" spans="1:2" ht="28.5" x14ac:dyDescent="0.35">
      <c r="A1" s="22" t="s">
        <v>227</v>
      </c>
    </row>
    <row r="5" spans="1:2" x14ac:dyDescent="0.35">
      <c r="B5" s="4" t="s">
        <v>17</v>
      </c>
    </row>
    <row r="7" spans="1:2" ht="29" customHeight="1" x14ac:dyDescent="0.35"/>
    <row r="9" spans="1:2" ht="29" x14ac:dyDescent="0.35">
      <c r="B9" s="1" t="s">
        <v>228</v>
      </c>
    </row>
    <row r="10" spans="1:2" ht="10.5" customHeight="1" x14ac:dyDescent="0.35"/>
    <row r="11" spans="1:2" ht="40.5" customHeight="1" x14ac:dyDescent="0.35">
      <c r="B11" s="1" t="s">
        <v>276</v>
      </c>
    </row>
    <row r="12" spans="1:2" ht="30" customHeight="1" x14ac:dyDescent="0.35">
      <c r="B12" s="21" t="s">
        <v>277</v>
      </c>
    </row>
    <row r="13" spans="1:2" ht="29" customHeight="1" x14ac:dyDescent="0.35">
      <c r="B13" s="21" t="s">
        <v>278</v>
      </c>
    </row>
    <row r="14" spans="1:2" x14ac:dyDescent="0.35">
      <c r="B14" s="21" t="s">
        <v>229</v>
      </c>
    </row>
    <row r="15" spans="1:2" x14ac:dyDescent="0.35">
      <c r="B15" s="21" t="s">
        <v>230</v>
      </c>
    </row>
    <row r="16" spans="1:2" x14ac:dyDescent="0.35">
      <c r="B16" s="21" t="s">
        <v>231</v>
      </c>
    </row>
    <row r="17" spans="2:2" x14ac:dyDescent="0.35">
      <c r="B17" s="21" t="s">
        <v>232</v>
      </c>
    </row>
    <row r="18" spans="2:2" ht="31.5" customHeight="1" x14ac:dyDescent="0.35">
      <c r="B18" s="21" t="s">
        <v>279</v>
      </c>
    </row>
    <row r="19" spans="2:2" ht="29" x14ac:dyDescent="0.35">
      <c r="B19" s="21" t="s">
        <v>281</v>
      </c>
    </row>
    <row r="20" spans="2:2" x14ac:dyDescent="0.35">
      <c r="B20" s="21" t="s">
        <v>280</v>
      </c>
    </row>
    <row r="21" spans="2:2" x14ac:dyDescent="0.35">
      <c r="B21" s="21" t="s">
        <v>18</v>
      </c>
    </row>
    <row r="22" spans="2:2" x14ac:dyDescent="0.35">
      <c r="B22" s="21" t="s">
        <v>233</v>
      </c>
    </row>
    <row r="24" spans="2:2" ht="29" x14ac:dyDescent="0.35">
      <c r="B24" s="1" t="s">
        <v>234</v>
      </c>
    </row>
    <row r="25" spans="2:2" x14ac:dyDescent="0.35">
      <c r="B25" s="21" t="s">
        <v>282</v>
      </c>
    </row>
    <row r="26" spans="2:2" x14ac:dyDescent="0.35">
      <c r="B26" s="21" t="s">
        <v>237</v>
      </c>
    </row>
    <row r="27" spans="2:2" x14ac:dyDescent="0.35">
      <c r="B27" s="21" t="s">
        <v>283</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7C220-02EF-4E33-83FD-B0216406B389}">
  <sheetPr codeName="Sheet8"/>
  <dimension ref="A1:L99"/>
  <sheetViews>
    <sheetView zoomScaleNormal="100" workbookViewId="0"/>
  </sheetViews>
  <sheetFormatPr defaultRowHeight="14.5" x14ac:dyDescent="0.35"/>
  <cols>
    <col min="1" max="1" width="2.54296875" style="64" customWidth="1"/>
    <col min="2" max="2" width="3.90625" style="64" customWidth="1"/>
    <col min="3" max="3" width="33.1796875" style="64" customWidth="1"/>
    <col min="4" max="4" width="16" style="64" customWidth="1"/>
    <col min="5" max="5" width="26.90625" style="64" customWidth="1"/>
    <col min="6" max="6" width="17.90625" style="64" customWidth="1"/>
    <col min="7" max="7" width="18.26953125" style="64" customWidth="1"/>
    <col min="8" max="15" width="16.6328125" style="64" customWidth="1"/>
    <col min="16" max="16384" width="8.7265625" style="64"/>
  </cols>
  <sheetData>
    <row r="1" spans="1:6" ht="28.5" x14ac:dyDescent="0.65">
      <c r="A1" s="28" t="s">
        <v>227</v>
      </c>
    </row>
    <row r="5" spans="1:6" s="29" customFormat="1" x14ac:dyDescent="0.35">
      <c r="C5" s="104" t="s">
        <v>236</v>
      </c>
      <c r="D5" s="143"/>
      <c r="E5" s="102"/>
    </row>
    <row r="6" spans="1:6" s="29" customFormat="1" x14ac:dyDescent="0.35">
      <c r="C6" s="104" t="s">
        <v>235</v>
      </c>
      <c r="E6" s="305"/>
    </row>
    <row r="7" spans="1:6" ht="15" thickBot="1" x14ac:dyDescent="0.4"/>
    <row r="8" spans="1:6" ht="47" customHeight="1" thickBot="1" x14ac:dyDescent="0.4">
      <c r="B8" s="101">
        <v>1</v>
      </c>
      <c r="C8" s="314" t="s">
        <v>262</v>
      </c>
      <c r="D8" s="315"/>
      <c r="E8" s="316"/>
      <c r="F8" s="118" t="s">
        <v>79</v>
      </c>
    </row>
    <row r="9" spans="1:6" ht="29" x14ac:dyDescent="0.35">
      <c r="C9" s="120" t="s">
        <v>263</v>
      </c>
      <c r="D9" s="180">
        <v>2</v>
      </c>
      <c r="E9" s="132"/>
      <c r="F9" s="116"/>
    </row>
    <row r="10" spans="1:6" ht="19" customHeight="1" thickBot="1" x14ac:dyDescent="0.4">
      <c r="C10" s="121" t="s">
        <v>152</v>
      </c>
      <c r="D10" s="181">
        <v>1</v>
      </c>
      <c r="E10" s="131"/>
      <c r="F10" s="205"/>
    </row>
    <row r="11" spans="1:6" ht="28.5" customHeight="1" thickBot="1" x14ac:dyDescent="0.4">
      <c r="C11" s="236" t="s">
        <v>153</v>
      </c>
      <c r="D11" s="237" t="s">
        <v>154</v>
      </c>
      <c r="E11" s="238" t="s">
        <v>264</v>
      </c>
      <c r="F11" s="208"/>
    </row>
    <row r="12" spans="1:6" ht="21" customHeight="1" x14ac:dyDescent="0.35">
      <c r="C12" s="120" t="s">
        <v>155</v>
      </c>
      <c r="D12" s="206">
        <v>1</v>
      </c>
      <c r="E12" s="207">
        <v>50000</v>
      </c>
      <c r="F12" s="192"/>
    </row>
    <row r="13" spans="1:6" ht="21" customHeight="1" x14ac:dyDescent="0.35">
      <c r="C13" s="53" t="s">
        <v>156</v>
      </c>
      <c r="D13" s="182">
        <v>2</v>
      </c>
      <c r="E13" s="72">
        <v>50000</v>
      </c>
      <c r="F13" s="129"/>
    </row>
    <row r="14" spans="1:6" ht="21" customHeight="1" x14ac:dyDescent="0.35">
      <c r="C14" s="53"/>
      <c r="D14" s="182"/>
      <c r="E14" s="72"/>
      <c r="F14" s="129"/>
    </row>
    <row r="15" spans="1:6" ht="21" customHeight="1" x14ac:dyDescent="0.35">
      <c r="C15" s="53"/>
      <c r="D15" s="182"/>
      <c r="E15" s="72"/>
      <c r="F15" s="129"/>
    </row>
    <row r="16" spans="1:6" ht="21" customHeight="1" x14ac:dyDescent="0.35">
      <c r="C16" s="53"/>
      <c r="D16" s="182"/>
      <c r="E16" s="72"/>
      <c r="F16" s="129"/>
    </row>
    <row r="17" spans="2:10" ht="21" customHeight="1" x14ac:dyDescent="0.35">
      <c r="C17" s="53"/>
      <c r="D17" s="182"/>
      <c r="E17" s="72"/>
      <c r="F17" s="129"/>
    </row>
    <row r="18" spans="2:10" ht="21" customHeight="1" x14ac:dyDescent="0.35">
      <c r="C18" s="53"/>
      <c r="D18" s="182"/>
      <c r="E18" s="72"/>
      <c r="F18" s="129"/>
    </row>
    <row r="19" spans="2:10" ht="21" customHeight="1" x14ac:dyDescent="0.35">
      <c r="C19" s="53"/>
      <c r="D19" s="182"/>
      <c r="E19" s="72"/>
      <c r="F19" s="129"/>
    </row>
    <row r="20" spans="2:10" ht="15" thickBot="1" x14ac:dyDescent="0.4">
      <c r="C20" s="54"/>
      <c r="D20" s="183"/>
      <c r="E20" s="73"/>
      <c r="F20" s="130"/>
    </row>
    <row r="21" spans="2:10" x14ac:dyDescent="0.35">
      <c r="C21" s="56" t="s">
        <v>91</v>
      </c>
      <c r="D21" s="291">
        <f>months*D9*D10*SUMPRODUCT(D12:D20,E12:E20)</f>
        <v>3600000</v>
      </c>
    </row>
    <row r="22" spans="2:10" ht="15" thickBot="1" x14ac:dyDescent="0.4">
      <c r="D22" s="50"/>
      <c r="E22" s="50"/>
      <c r="F22" s="50"/>
      <c r="G22" s="50"/>
    </row>
    <row r="23" spans="2:10" ht="15" thickBot="1" x14ac:dyDescent="0.4">
      <c r="B23" s="101">
        <v>2</v>
      </c>
      <c r="C23" s="74" t="s">
        <v>157</v>
      </c>
      <c r="D23" s="75"/>
      <c r="E23" s="50"/>
      <c r="F23" s="50"/>
      <c r="G23" s="50"/>
    </row>
    <row r="24" spans="2:10" x14ac:dyDescent="0.35">
      <c r="C24" s="66" t="s">
        <v>158</v>
      </c>
      <c r="D24" s="72">
        <v>22000</v>
      </c>
      <c r="E24" s="50"/>
      <c r="F24" s="50"/>
      <c r="G24" s="50"/>
    </row>
    <row r="25" spans="2:10" ht="15" thickBot="1" x14ac:dyDescent="0.4">
      <c r="C25" s="76" t="s">
        <v>159</v>
      </c>
      <c r="D25" s="73">
        <v>0</v>
      </c>
      <c r="E25" s="50"/>
      <c r="F25" s="50"/>
      <c r="G25" s="50"/>
    </row>
    <row r="26" spans="2:10" ht="15" thickBot="1" x14ac:dyDescent="0.4">
      <c r="D26" s="50"/>
      <c r="E26" s="50"/>
      <c r="F26" s="50"/>
      <c r="G26" s="50"/>
    </row>
    <row r="27" spans="2:10" ht="15" thickBot="1" x14ac:dyDescent="0.4">
      <c r="B27" s="101">
        <v>3</v>
      </c>
      <c r="C27" s="318" t="s">
        <v>160</v>
      </c>
      <c r="D27" s="319"/>
      <c r="E27" s="319"/>
      <c r="F27" s="319"/>
      <c r="G27" s="320"/>
    </row>
    <row r="28" spans="2:10" ht="15" thickBot="1" x14ac:dyDescent="0.4">
      <c r="C28" s="314" t="s">
        <v>161</v>
      </c>
      <c r="D28" s="315"/>
      <c r="E28" s="315"/>
      <c r="F28" s="315"/>
      <c r="G28" s="316"/>
      <c r="H28" s="50"/>
      <c r="I28" s="50"/>
      <c r="J28" s="50"/>
    </row>
    <row r="29" spans="2:10" ht="29" x14ac:dyDescent="0.35">
      <c r="B29" s="242">
        <v>3.1</v>
      </c>
      <c r="C29" s="240" t="s">
        <v>162</v>
      </c>
      <c r="D29" s="243" t="s">
        <v>6</v>
      </c>
      <c r="E29" s="243" t="s">
        <v>163</v>
      </c>
      <c r="F29" s="244" t="s">
        <v>164</v>
      </c>
      <c r="G29" s="118" t="s">
        <v>79</v>
      </c>
      <c r="H29" s="50"/>
      <c r="I29" s="50"/>
      <c r="J29" s="50"/>
    </row>
    <row r="30" spans="2:10" x14ac:dyDescent="0.35">
      <c r="B30" s="189"/>
      <c r="C30" s="77" t="s">
        <v>165</v>
      </c>
      <c r="D30" s="182"/>
      <c r="E30" s="68"/>
      <c r="F30" s="292">
        <f t="shared" ref="F30:F39" si="0">D30*E30*$D$10*$D$9*months</f>
        <v>0</v>
      </c>
      <c r="G30" s="116"/>
      <c r="H30" s="50"/>
      <c r="I30" s="50"/>
      <c r="J30" s="50"/>
    </row>
    <row r="31" spans="2:10" x14ac:dyDescent="0.35">
      <c r="B31" s="189"/>
      <c r="C31" s="77" t="s">
        <v>166</v>
      </c>
      <c r="D31" s="184"/>
      <c r="E31" s="78"/>
      <c r="F31" s="292">
        <f t="shared" si="0"/>
        <v>0</v>
      </c>
      <c r="G31" s="197"/>
      <c r="H31" s="50"/>
      <c r="I31" s="50"/>
      <c r="J31" s="50"/>
    </row>
    <row r="32" spans="2:10" x14ac:dyDescent="0.35">
      <c r="B32" s="189"/>
      <c r="C32" s="127" t="s">
        <v>167</v>
      </c>
      <c r="D32" s="184"/>
      <c r="E32" s="78"/>
      <c r="F32" s="292">
        <f t="shared" si="0"/>
        <v>0</v>
      </c>
      <c r="G32" s="197"/>
      <c r="H32" s="50"/>
      <c r="I32" s="50"/>
      <c r="J32" s="50"/>
    </row>
    <row r="33" spans="2:11" x14ac:dyDescent="0.35">
      <c r="B33" s="189"/>
      <c r="C33" s="127"/>
      <c r="D33" s="184"/>
      <c r="E33" s="78"/>
      <c r="F33" s="292">
        <f t="shared" si="0"/>
        <v>0</v>
      </c>
      <c r="G33" s="197"/>
      <c r="H33" s="50"/>
      <c r="I33" s="50"/>
      <c r="J33" s="50"/>
    </row>
    <row r="34" spans="2:11" x14ac:dyDescent="0.35">
      <c r="B34" s="189"/>
      <c r="C34" s="127"/>
      <c r="D34" s="184"/>
      <c r="E34" s="78"/>
      <c r="F34" s="292">
        <f t="shared" si="0"/>
        <v>0</v>
      </c>
      <c r="G34" s="197"/>
      <c r="H34" s="50"/>
      <c r="I34" s="50"/>
      <c r="J34" s="50"/>
    </row>
    <row r="35" spans="2:11" x14ac:dyDescent="0.35">
      <c r="B35" s="189"/>
      <c r="C35" s="127"/>
      <c r="D35" s="184"/>
      <c r="E35" s="78"/>
      <c r="F35" s="292">
        <f t="shared" si="0"/>
        <v>0</v>
      </c>
      <c r="G35" s="197"/>
      <c r="H35" s="50"/>
      <c r="I35" s="50"/>
      <c r="J35" s="50"/>
    </row>
    <row r="36" spans="2:11" x14ac:dyDescent="0.35">
      <c r="B36" s="189"/>
      <c r="C36" s="127"/>
      <c r="D36" s="184"/>
      <c r="E36" s="78"/>
      <c r="F36" s="292">
        <f t="shared" si="0"/>
        <v>0</v>
      </c>
      <c r="G36" s="197"/>
      <c r="H36" s="50"/>
      <c r="I36" s="50"/>
      <c r="J36" s="50"/>
    </row>
    <row r="37" spans="2:11" x14ac:dyDescent="0.35">
      <c r="B37" s="189"/>
      <c r="C37" s="127"/>
      <c r="D37" s="184"/>
      <c r="E37" s="78"/>
      <c r="F37" s="292">
        <f t="shared" si="0"/>
        <v>0</v>
      </c>
      <c r="G37" s="197"/>
      <c r="H37" s="50"/>
      <c r="I37" s="50"/>
      <c r="J37" s="50"/>
    </row>
    <row r="38" spans="2:11" x14ac:dyDescent="0.35">
      <c r="B38" s="189"/>
      <c r="C38" s="127"/>
      <c r="D38" s="184"/>
      <c r="E38" s="78"/>
      <c r="F38" s="292">
        <f t="shared" si="0"/>
        <v>0</v>
      </c>
      <c r="G38" s="197"/>
      <c r="H38" s="50"/>
      <c r="I38" s="50"/>
      <c r="J38" s="50"/>
    </row>
    <row r="39" spans="2:11" ht="15" thickBot="1" x14ac:dyDescent="0.4">
      <c r="B39" s="190"/>
      <c r="C39" s="127"/>
      <c r="D39" s="184"/>
      <c r="E39" s="78"/>
      <c r="F39" s="292">
        <f t="shared" si="0"/>
        <v>0</v>
      </c>
      <c r="G39" s="130"/>
      <c r="H39" s="50"/>
      <c r="I39" s="50"/>
      <c r="J39" s="50"/>
    </row>
    <row r="40" spans="2:11" ht="29" x14ac:dyDescent="0.35">
      <c r="B40" s="242">
        <v>3.2</v>
      </c>
      <c r="C40" s="241" t="s">
        <v>168</v>
      </c>
      <c r="D40" s="97" t="s">
        <v>119</v>
      </c>
      <c r="E40" s="97" t="s">
        <v>99</v>
      </c>
      <c r="F40" s="97" t="s">
        <v>120</v>
      </c>
      <c r="G40" s="97" t="s">
        <v>121</v>
      </c>
      <c r="H40" s="97" t="s">
        <v>100</v>
      </c>
      <c r="I40" s="97" t="s">
        <v>96</v>
      </c>
      <c r="J40" s="97" t="s">
        <v>24</v>
      </c>
      <c r="K40" s="118" t="s">
        <v>79</v>
      </c>
    </row>
    <row r="41" spans="2:11" x14ac:dyDescent="0.35">
      <c r="B41" s="189"/>
      <c r="C41" s="77" t="s">
        <v>165</v>
      </c>
      <c r="D41" s="182">
        <v>2</v>
      </c>
      <c r="E41" s="182">
        <v>1</v>
      </c>
      <c r="F41" s="123">
        <v>2022</v>
      </c>
      <c r="G41" s="124">
        <v>10</v>
      </c>
      <c r="H41" s="272">
        <f>MAX(0,D41-E41)</f>
        <v>1</v>
      </c>
      <c r="I41" s="125">
        <v>40000000</v>
      </c>
      <c r="J41" s="292">
        <f>H41*I41</f>
        <v>40000000</v>
      </c>
      <c r="K41" s="116"/>
    </row>
    <row r="42" spans="2:11" x14ac:dyDescent="0.35">
      <c r="B42" s="189"/>
      <c r="C42" s="77" t="s">
        <v>166</v>
      </c>
      <c r="D42" s="184"/>
      <c r="E42" s="184"/>
      <c r="F42" s="198"/>
      <c r="G42" s="199"/>
      <c r="H42" s="272">
        <f t="shared" ref="H42:H46" si="1">MAX(0,D42-E42)</f>
        <v>0</v>
      </c>
      <c r="I42" s="200"/>
      <c r="J42" s="292">
        <f t="shared" ref="J42:J46" si="2">H42*I42</f>
        <v>0</v>
      </c>
      <c r="K42" s="197"/>
    </row>
    <row r="43" spans="2:11" x14ac:dyDescent="0.35">
      <c r="B43" s="189"/>
      <c r="C43" s="127"/>
      <c r="D43" s="184"/>
      <c r="E43" s="184"/>
      <c r="F43" s="198"/>
      <c r="G43" s="199"/>
      <c r="H43" s="272">
        <f t="shared" si="1"/>
        <v>0</v>
      </c>
      <c r="I43" s="200"/>
      <c r="J43" s="292">
        <f t="shared" si="2"/>
        <v>0</v>
      </c>
      <c r="K43" s="197"/>
    </row>
    <row r="44" spans="2:11" x14ac:dyDescent="0.35">
      <c r="B44" s="189"/>
      <c r="C44" s="127"/>
      <c r="D44" s="184"/>
      <c r="E44" s="184"/>
      <c r="F44" s="198"/>
      <c r="G44" s="199"/>
      <c r="H44" s="272">
        <f t="shared" si="1"/>
        <v>0</v>
      </c>
      <c r="I44" s="200"/>
      <c r="J44" s="292">
        <f t="shared" si="2"/>
        <v>0</v>
      </c>
      <c r="K44" s="197"/>
    </row>
    <row r="45" spans="2:11" x14ac:dyDescent="0.35">
      <c r="B45" s="189"/>
      <c r="C45" s="127"/>
      <c r="D45" s="184"/>
      <c r="E45" s="184"/>
      <c r="F45" s="198"/>
      <c r="G45" s="199"/>
      <c r="H45" s="272">
        <f t="shared" si="1"/>
        <v>0</v>
      </c>
      <c r="I45" s="200"/>
      <c r="J45" s="292">
        <f t="shared" si="2"/>
        <v>0</v>
      </c>
      <c r="K45" s="197"/>
    </row>
    <row r="46" spans="2:11" x14ac:dyDescent="0.35">
      <c r="B46" s="189"/>
      <c r="C46" s="127"/>
      <c r="D46" s="184"/>
      <c r="E46" s="184"/>
      <c r="F46" s="198"/>
      <c r="G46" s="199"/>
      <c r="H46" s="272">
        <f t="shared" si="1"/>
        <v>0</v>
      </c>
      <c r="I46" s="200"/>
      <c r="J46" s="292">
        <f t="shared" si="2"/>
        <v>0</v>
      </c>
      <c r="K46" s="197"/>
    </row>
    <row r="47" spans="2:11" ht="15" thickBot="1" x14ac:dyDescent="0.4">
      <c r="B47" s="190"/>
      <c r="C47" s="79"/>
      <c r="D47" s="183"/>
      <c r="E47" s="183"/>
      <c r="F47" s="126"/>
      <c r="G47" s="126"/>
      <c r="H47" s="274">
        <f>MAX(0,D47-E47)</f>
        <v>0</v>
      </c>
      <c r="I47" s="128"/>
      <c r="J47" s="293">
        <f>H47*I47</f>
        <v>0</v>
      </c>
      <c r="K47" s="130"/>
    </row>
    <row r="48" spans="2:11" ht="15" thickBot="1" x14ac:dyDescent="0.4">
      <c r="C48" s="314" t="s">
        <v>169</v>
      </c>
      <c r="D48" s="315"/>
      <c r="E48" s="315"/>
      <c r="F48" s="315"/>
      <c r="G48" s="315"/>
      <c r="H48" s="316"/>
    </row>
    <row r="49" spans="2:12" ht="29" x14ac:dyDescent="0.35">
      <c r="B49" s="242">
        <v>3.3</v>
      </c>
      <c r="C49" s="245" t="s">
        <v>170</v>
      </c>
      <c r="D49" s="243" t="s">
        <v>6</v>
      </c>
      <c r="E49" s="246" t="s">
        <v>171</v>
      </c>
      <c r="F49" s="247"/>
      <c r="G49" s="244" t="s">
        <v>164</v>
      </c>
      <c r="H49" s="118" t="s">
        <v>79</v>
      </c>
    </row>
    <row r="50" spans="2:12" x14ac:dyDescent="0.35">
      <c r="B50" s="239"/>
      <c r="C50" s="77" t="s">
        <v>165</v>
      </c>
      <c r="D50" s="182">
        <v>2</v>
      </c>
      <c r="E50" s="68">
        <f>5000000/12</f>
        <v>416666.66666666669</v>
      </c>
      <c r="F50" s="131"/>
      <c r="G50" s="292">
        <f t="shared" ref="G50:G55" si="3">D50*E50*months</f>
        <v>10000000</v>
      </c>
      <c r="H50" s="116"/>
    </row>
    <row r="51" spans="2:12" x14ac:dyDescent="0.35">
      <c r="B51" s="189"/>
      <c r="C51" s="77" t="s">
        <v>166</v>
      </c>
      <c r="D51" s="184"/>
      <c r="E51" s="78"/>
      <c r="F51" s="131"/>
      <c r="G51" s="292">
        <f t="shared" si="3"/>
        <v>0</v>
      </c>
      <c r="H51" s="212"/>
    </row>
    <row r="52" spans="2:12" x14ac:dyDescent="0.35">
      <c r="B52" s="189"/>
      <c r="C52" s="127"/>
      <c r="D52" s="184"/>
      <c r="E52" s="78"/>
      <c r="F52" s="131"/>
      <c r="G52" s="292">
        <f t="shared" si="3"/>
        <v>0</v>
      </c>
      <c r="H52" s="212"/>
    </row>
    <row r="53" spans="2:12" x14ac:dyDescent="0.35">
      <c r="B53" s="189"/>
      <c r="C53" s="127"/>
      <c r="D53" s="184"/>
      <c r="E53" s="78"/>
      <c r="F53" s="131"/>
      <c r="G53" s="292">
        <f t="shared" si="3"/>
        <v>0</v>
      </c>
      <c r="H53" s="212"/>
    </row>
    <row r="54" spans="2:12" x14ac:dyDescent="0.35">
      <c r="B54" s="189"/>
      <c r="C54" s="127"/>
      <c r="D54" s="184"/>
      <c r="E54" s="78"/>
      <c r="F54" s="131"/>
      <c r="G54" s="292">
        <f t="shared" si="3"/>
        <v>0</v>
      </c>
      <c r="H54" s="212"/>
    </row>
    <row r="55" spans="2:12" ht="15" thickBot="1" x14ac:dyDescent="0.4">
      <c r="B55" s="190"/>
      <c r="C55" s="79"/>
      <c r="D55" s="183"/>
      <c r="E55" s="71"/>
      <c r="F55" s="135"/>
      <c r="G55" s="293">
        <f t="shared" si="3"/>
        <v>0</v>
      </c>
      <c r="H55" s="112"/>
    </row>
    <row r="56" spans="2:12" ht="29" x14ac:dyDescent="0.35">
      <c r="B56" s="242">
        <v>3.4</v>
      </c>
      <c r="C56" s="248" t="s">
        <v>172</v>
      </c>
      <c r="D56" s="246" t="s">
        <v>6</v>
      </c>
      <c r="E56" s="246" t="s">
        <v>175</v>
      </c>
      <c r="F56" s="249" t="s">
        <v>265</v>
      </c>
      <c r="G56" s="304" t="s">
        <v>164</v>
      </c>
      <c r="H56" s="118" t="s">
        <v>79</v>
      </c>
    </row>
    <row r="57" spans="2:12" x14ac:dyDescent="0.35">
      <c r="B57" s="189"/>
      <c r="C57" s="77" t="s">
        <v>165</v>
      </c>
      <c r="D57" s="182">
        <v>3</v>
      </c>
      <c r="E57" s="68">
        <v>15</v>
      </c>
      <c r="F57" s="82">
        <v>4.4000000000000004</v>
      </c>
      <c r="G57" s="292">
        <f t="shared" ref="G57:G71" si="4">F57*E57/100*gas*D57*$D$9*$D$10*months</f>
        <v>1045440</v>
      </c>
      <c r="H57" s="116"/>
      <c r="L57" s="50"/>
    </row>
    <row r="58" spans="2:12" x14ac:dyDescent="0.35">
      <c r="B58" s="189"/>
      <c r="C58" s="127" t="s">
        <v>173</v>
      </c>
      <c r="D58" s="184"/>
      <c r="E58" s="78"/>
      <c r="F58" s="82">
        <v>7.6</v>
      </c>
      <c r="G58" s="292">
        <f t="shared" si="4"/>
        <v>0</v>
      </c>
      <c r="H58" s="116"/>
      <c r="L58" s="50"/>
    </row>
    <row r="59" spans="2:12" x14ac:dyDescent="0.35">
      <c r="B59" s="189"/>
      <c r="C59" s="77" t="s">
        <v>174</v>
      </c>
      <c r="D59" s="184"/>
      <c r="E59" s="78"/>
      <c r="F59" s="82">
        <v>5.6</v>
      </c>
      <c r="G59" s="292">
        <f t="shared" si="4"/>
        <v>0</v>
      </c>
      <c r="H59" s="116"/>
      <c r="L59" s="50"/>
    </row>
    <row r="60" spans="2:12" x14ac:dyDescent="0.35">
      <c r="B60" s="189"/>
      <c r="C60" s="77"/>
      <c r="D60" s="184"/>
      <c r="E60" s="78"/>
      <c r="F60" s="82"/>
      <c r="G60" s="292">
        <f t="shared" si="4"/>
        <v>0</v>
      </c>
      <c r="H60" s="116"/>
      <c r="L60" s="50"/>
    </row>
    <row r="61" spans="2:12" x14ac:dyDescent="0.35">
      <c r="B61" s="189"/>
      <c r="C61" s="77"/>
      <c r="D61" s="184"/>
      <c r="E61" s="78"/>
      <c r="F61" s="82"/>
      <c r="G61" s="292">
        <f t="shared" si="4"/>
        <v>0</v>
      </c>
      <c r="H61" s="116"/>
      <c r="L61" s="50"/>
    </row>
    <row r="62" spans="2:12" x14ac:dyDescent="0.35">
      <c r="B62" s="189"/>
      <c r="C62" s="77"/>
      <c r="D62" s="184"/>
      <c r="E62" s="78"/>
      <c r="F62" s="82"/>
      <c r="G62" s="292">
        <f t="shared" si="4"/>
        <v>0</v>
      </c>
      <c r="H62" s="116"/>
      <c r="L62" s="50"/>
    </row>
    <row r="63" spans="2:12" x14ac:dyDescent="0.35">
      <c r="B63" s="189"/>
      <c r="C63" s="77"/>
      <c r="D63" s="184"/>
      <c r="E63" s="78"/>
      <c r="F63" s="82"/>
      <c r="G63" s="292">
        <f t="shared" si="4"/>
        <v>0</v>
      </c>
      <c r="H63" s="116"/>
      <c r="L63" s="50"/>
    </row>
    <row r="64" spans="2:12" x14ac:dyDescent="0.35">
      <c r="B64" s="189"/>
      <c r="C64" s="77"/>
      <c r="D64" s="184"/>
      <c r="E64" s="78"/>
      <c r="F64" s="82"/>
      <c r="G64" s="292">
        <f t="shared" si="4"/>
        <v>0</v>
      </c>
      <c r="H64" s="116"/>
      <c r="L64" s="50"/>
    </row>
    <row r="65" spans="2:12" x14ac:dyDescent="0.35">
      <c r="B65" s="189"/>
      <c r="C65" s="77"/>
      <c r="D65" s="184"/>
      <c r="E65" s="78"/>
      <c r="F65" s="82"/>
      <c r="G65" s="292">
        <f t="shared" si="4"/>
        <v>0</v>
      </c>
      <c r="H65" s="116"/>
      <c r="L65" s="50"/>
    </row>
    <row r="66" spans="2:12" x14ac:dyDescent="0.35">
      <c r="B66" s="189"/>
      <c r="C66" s="77"/>
      <c r="D66" s="184"/>
      <c r="E66" s="78"/>
      <c r="F66" s="82"/>
      <c r="G66" s="292">
        <f t="shared" si="4"/>
        <v>0</v>
      </c>
      <c r="H66" s="116"/>
      <c r="L66" s="50"/>
    </row>
    <row r="67" spans="2:12" x14ac:dyDescent="0.35">
      <c r="B67" s="189"/>
      <c r="C67" s="77"/>
      <c r="D67" s="184"/>
      <c r="E67" s="78"/>
      <c r="F67" s="82"/>
      <c r="G67" s="292">
        <f t="shared" si="4"/>
        <v>0</v>
      </c>
      <c r="H67" s="116"/>
      <c r="L67" s="50"/>
    </row>
    <row r="68" spans="2:12" x14ac:dyDescent="0.35">
      <c r="B68" s="189"/>
      <c r="C68" s="77"/>
      <c r="D68" s="184"/>
      <c r="E68" s="78"/>
      <c r="F68" s="82"/>
      <c r="G68" s="292">
        <f t="shared" si="4"/>
        <v>0</v>
      </c>
      <c r="H68" s="116"/>
      <c r="L68" s="50"/>
    </row>
    <row r="69" spans="2:12" x14ac:dyDescent="0.35">
      <c r="B69" s="189"/>
      <c r="C69" s="77"/>
      <c r="D69" s="184"/>
      <c r="E69" s="78"/>
      <c r="F69" s="82"/>
      <c r="G69" s="292">
        <f t="shared" si="4"/>
        <v>0</v>
      </c>
      <c r="H69" s="116"/>
      <c r="L69" s="50"/>
    </row>
    <row r="70" spans="2:12" x14ac:dyDescent="0.35">
      <c r="B70" s="189"/>
      <c r="C70" s="77"/>
      <c r="D70" s="184"/>
      <c r="E70" s="78"/>
      <c r="F70" s="82"/>
      <c r="G70" s="292">
        <f t="shared" si="4"/>
        <v>0</v>
      </c>
      <c r="H70" s="116"/>
    </row>
    <row r="71" spans="2:12" ht="15" thickBot="1" x14ac:dyDescent="0.4">
      <c r="B71" s="190"/>
      <c r="C71" s="79"/>
      <c r="D71" s="183"/>
      <c r="E71" s="71"/>
      <c r="F71" s="84"/>
      <c r="G71" s="293">
        <f t="shared" si="4"/>
        <v>0</v>
      </c>
      <c r="H71" s="130"/>
    </row>
    <row r="72" spans="2:12" x14ac:dyDescent="0.35">
      <c r="E72" s="56" t="s">
        <v>91</v>
      </c>
      <c r="F72" s="291">
        <f>SUM(F30:F39,J41:J47,G50:G55,G57:G71)</f>
        <v>51045440</v>
      </c>
    </row>
    <row r="73" spans="2:12" ht="15" thickBot="1" x14ac:dyDescent="0.4">
      <c r="H73" s="50"/>
      <c r="I73" s="50"/>
    </row>
    <row r="74" spans="2:12" ht="15" thickBot="1" x14ac:dyDescent="0.4">
      <c r="B74" s="101">
        <v>4</v>
      </c>
      <c r="C74" s="80" t="s">
        <v>176</v>
      </c>
      <c r="D74" s="57"/>
      <c r="E74" s="57"/>
      <c r="F74" s="57"/>
      <c r="G74" s="65"/>
      <c r="H74" s="50"/>
      <c r="I74" s="50"/>
    </row>
    <row r="75" spans="2:12" ht="29" x14ac:dyDescent="0.35">
      <c r="C75" s="250" t="s">
        <v>23</v>
      </c>
      <c r="D75" s="243" t="s">
        <v>177</v>
      </c>
      <c r="E75" s="243" t="s">
        <v>178</v>
      </c>
      <c r="F75" s="243" t="s">
        <v>96</v>
      </c>
      <c r="G75" s="244" t="s">
        <v>164</v>
      </c>
      <c r="H75" s="118" t="s">
        <v>79</v>
      </c>
    </row>
    <row r="76" spans="2:12" x14ac:dyDescent="0.35">
      <c r="C76" s="81" t="s">
        <v>179</v>
      </c>
      <c r="D76" s="182">
        <v>10</v>
      </c>
      <c r="E76" s="82" t="s">
        <v>181</v>
      </c>
      <c r="F76" s="68">
        <v>500</v>
      </c>
      <c r="G76" s="292">
        <f t="shared" ref="G76:G90" si="5">D76*F76*$D$9*months</f>
        <v>120000</v>
      </c>
      <c r="H76" s="116"/>
    </row>
    <row r="77" spans="2:12" x14ac:dyDescent="0.35">
      <c r="C77" s="81" t="s">
        <v>180</v>
      </c>
      <c r="D77" s="182">
        <v>45</v>
      </c>
      <c r="E77" s="82" t="s">
        <v>181</v>
      </c>
      <c r="F77" s="68">
        <v>500</v>
      </c>
      <c r="G77" s="292">
        <f t="shared" si="5"/>
        <v>540000</v>
      </c>
      <c r="H77" s="116"/>
    </row>
    <row r="78" spans="2:12" x14ac:dyDescent="0.35">
      <c r="C78" s="81"/>
      <c r="D78" s="182"/>
      <c r="E78" s="82"/>
      <c r="F78" s="68"/>
      <c r="G78" s="292">
        <f t="shared" si="5"/>
        <v>0</v>
      </c>
      <c r="H78" s="116"/>
    </row>
    <row r="79" spans="2:12" x14ac:dyDescent="0.35">
      <c r="C79" s="81"/>
      <c r="D79" s="182"/>
      <c r="E79" s="82"/>
      <c r="F79" s="68"/>
      <c r="G79" s="292">
        <f t="shared" si="5"/>
        <v>0</v>
      </c>
      <c r="H79" s="116"/>
    </row>
    <row r="80" spans="2:12" x14ac:dyDescent="0.35">
      <c r="C80" s="81"/>
      <c r="D80" s="182"/>
      <c r="E80" s="82"/>
      <c r="F80" s="68"/>
      <c r="G80" s="292">
        <f t="shared" si="5"/>
        <v>0</v>
      </c>
      <c r="H80" s="116"/>
    </row>
    <row r="81" spans="2:8" x14ac:dyDescent="0.35">
      <c r="C81" s="81"/>
      <c r="D81" s="182"/>
      <c r="E81" s="82"/>
      <c r="F81" s="68"/>
      <c r="G81" s="292">
        <f t="shared" si="5"/>
        <v>0</v>
      </c>
      <c r="H81" s="116"/>
    </row>
    <row r="82" spans="2:8" x14ac:dyDescent="0.35">
      <c r="C82" s="81"/>
      <c r="D82" s="182"/>
      <c r="E82" s="82"/>
      <c r="F82" s="68"/>
      <c r="G82" s="292">
        <f t="shared" si="5"/>
        <v>0</v>
      </c>
      <c r="H82" s="116"/>
    </row>
    <row r="83" spans="2:8" x14ac:dyDescent="0.35">
      <c r="C83" s="81"/>
      <c r="D83" s="182"/>
      <c r="E83" s="82"/>
      <c r="F83" s="68"/>
      <c r="G83" s="292">
        <f t="shared" si="5"/>
        <v>0</v>
      </c>
      <c r="H83" s="116"/>
    </row>
    <row r="84" spans="2:8" x14ac:dyDescent="0.35">
      <c r="C84" s="81"/>
      <c r="D84" s="182"/>
      <c r="E84" s="82"/>
      <c r="F84" s="68"/>
      <c r="G84" s="292">
        <f t="shared" si="5"/>
        <v>0</v>
      </c>
      <c r="H84" s="116"/>
    </row>
    <row r="85" spans="2:8" x14ac:dyDescent="0.35">
      <c r="C85" s="81"/>
      <c r="D85" s="182"/>
      <c r="E85" s="82"/>
      <c r="F85" s="68"/>
      <c r="G85" s="292">
        <f t="shared" si="5"/>
        <v>0</v>
      </c>
      <c r="H85" s="116"/>
    </row>
    <row r="86" spans="2:8" x14ac:dyDescent="0.35">
      <c r="C86" s="81"/>
      <c r="D86" s="182"/>
      <c r="E86" s="82"/>
      <c r="F86" s="68"/>
      <c r="G86" s="292">
        <f t="shared" si="5"/>
        <v>0</v>
      </c>
      <c r="H86" s="116"/>
    </row>
    <row r="87" spans="2:8" x14ac:dyDescent="0.35">
      <c r="C87" s="81"/>
      <c r="D87" s="182"/>
      <c r="E87" s="82"/>
      <c r="F87" s="68"/>
      <c r="G87" s="292">
        <f t="shared" si="5"/>
        <v>0</v>
      </c>
      <c r="H87" s="116"/>
    </row>
    <row r="88" spans="2:8" x14ac:dyDescent="0.35">
      <c r="C88" s="81"/>
      <c r="D88" s="182">
        <v>0</v>
      </c>
      <c r="E88" s="82"/>
      <c r="F88" s="68"/>
      <c r="G88" s="292">
        <f t="shared" si="5"/>
        <v>0</v>
      </c>
      <c r="H88" s="116"/>
    </row>
    <row r="89" spans="2:8" x14ac:dyDescent="0.35">
      <c r="B89" s="50"/>
      <c r="C89" s="81"/>
      <c r="D89" s="182">
        <v>0</v>
      </c>
      <c r="E89" s="82"/>
      <c r="F89" s="68"/>
      <c r="G89" s="292">
        <f t="shared" si="5"/>
        <v>0</v>
      </c>
      <c r="H89" s="116"/>
    </row>
    <row r="90" spans="2:8" ht="15" thickBot="1" x14ac:dyDescent="0.4">
      <c r="B90" s="50"/>
      <c r="C90" s="83"/>
      <c r="D90" s="183">
        <v>0</v>
      </c>
      <c r="E90" s="84"/>
      <c r="F90" s="71"/>
      <c r="G90" s="293">
        <f t="shared" si="5"/>
        <v>0</v>
      </c>
      <c r="H90" s="130"/>
    </row>
    <row r="91" spans="2:8" x14ac:dyDescent="0.35">
      <c r="F91" s="56" t="s">
        <v>91</v>
      </c>
      <c r="G91" s="291">
        <f>SUM(G76:G90)</f>
        <v>660000</v>
      </c>
    </row>
    <row r="92" spans="2:8" ht="15" thickBot="1" x14ac:dyDescent="0.4"/>
    <row r="93" spans="2:8" ht="15" thickBot="1" x14ac:dyDescent="0.4">
      <c r="B93" s="113">
        <v>5</v>
      </c>
      <c r="C93" s="101" t="s">
        <v>182</v>
      </c>
      <c r="D93" s="215"/>
    </row>
    <row r="94" spans="2:8" x14ac:dyDescent="0.35">
      <c r="C94" s="218"/>
      <c r="D94" s="97" t="s">
        <v>24</v>
      </c>
    </row>
    <row r="95" spans="2:8" x14ac:dyDescent="0.35">
      <c r="C95" s="85" t="s">
        <v>183</v>
      </c>
      <c r="D95" s="292">
        <f>D21</f>
        <v>3600000</v>
      </c>
    </row>
    <row r="96" spans="2:8" x14ac:dyDescent="0.35">
      <c r="C96" s="85" t="s">
        <v>184</v>
      </c>
      <c r="D96" s="292">
        <f>SUM(F30:F39,J41:J47,G50:G55,G57:G71)</f>
        <v>51045440</v>
      </c>
    </row>
    <row r="97" spans="3:4" x14ac:dyDescent="0.35">
      <c r="C97" s="86" t="s">
        <v>185</v>
      </c>
      <c r="D97" s="292">
        <f>SUM(G76:G90)</f>
        <v>660000</v>
      </c>
    </row>
    <row r="98" spans="3:4" x14ac:dyDescent="0.35">
      <c r="C98" s="86"/>
      <c r="D98" s="292"/>
    </row>
    <row r="99" spans="3:4" ht="15" thickBot="1" x14ac:dyDescent="0.4">
      <c r="C99" s="87" t="s">
        <v>92</v>
      </c>
      <c r="D99" s="293">
        <f>SUM(D95:D98)</f>
        <v>55305440</v>
      </c>
    </row>
  </sheetData>
  <sheetProtection formatCells="0" formatColumns="0" formatRows="0" insertColumns="0" insertRows="0" insertHyperlinks="0"/>
  <mergeCells count="4">
    <mergeCell ref="C8:E8"/>
    <mergeCell ref="C28:G28"/>
    <mergeCell ref="C27:G27"/>
    <mergeCell ref="C48:H4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9F220-11C5-402D-ADB3-2C724C396FF1}">
  <sheetPr codeName="Sheet9"/>
  <dimension ref="A1:H49"/>
  <sheetViews>
    <sheetView tabSelected="1" topLeftCell="A12" zoomScaleNormal="100" workbookViewId="0">
      <selection activeCell="I19" sqref="I19"/>
    </sheetView>
  </sheetViews>
  <sheetFormatPr defaultRowHeight="14.5" x14ac:dyDescent="0.35"/>
  <cols>
    <col min="1" max="1" width="3.54296875" style="64" customWidth="1"/>
    <col min="2" max="2" width="4.6328125" style="64" customWidth="1"/>
    <col min="3" max="3" width="40.26953125" style="64" customWidth="1"/>
    <col min="4" max="4" width="16.6328125" style="64" customWidth="1"/>
    <col min="5" max="5" width="37.08984375" style="64" customWidth="1"/>
    <col min="6" max="6" width="13.453125" style="64" customWidth="1"/>
    <col min="7" max="7" width="14.36328125" style="64" customWidth="1"/>
    <col min="8" max="8" width="14.7265625" style="64" customWidth="1"/>
    <col min="9" max="12" width="16.6328125" style="64" customWidth="1"/>
    <col min="13" max="13" width="15.54296875" style="64" bestFit="1" customWidth="1"/>
    <col min="14" max="14" width="8.7265625" style="64"/>
    <col min="15" max="15" width="16.6328125" style="64" bestFit="1" customWidth="1"/>
    <col min="16" max="16384" width="8.7265625" style="64"/>
  </cols>
  <sheetData>
    <row r="1" spans="1:7" ht="28.5" x14ac:dyDescent="0.65">
      <c r="A1" s="28" t="s">
        <v>227</v>
      </c>
    </row>
    <row r="5" spans="1:7" s="29" customFormat="1" x14ac:dyDescent="0.35">
      <c r="C5" s="104" t="s">
        <v>236</v>
      </c>
      <c r="D5" s="143"/>
      <c r="E5" s="102"/>
    </row>
    <row r="6" spans="1:7" s="29" customFormat="1" x14ac:dyDescent="0.35">
      <c r="C6" s="104" t="s">
        <v>235</v>
      </c>
      <c r="D6" s="145"/>
      <c r="E6" s="102"/>
    </row>
    <row r="7" spans="1:7" s="29" customFormat="1" ht="15" thickBot="1" x14ac:dyDescent="0.4">
      <c r="C7" s="104"/>
    </row>
    <row r="8" spans="1:7" ht="48" customHeight="1" thickBot="1" x14ac:dyDescent="0.4">
      <c r="B8" s="101">
        <v>1</v>
      </c>
      <c r="C8" s="314" t="s">
        <v>266</v>
      </c>
      <c r="D8" s="315"/>
      <c r="E8" s="316"/>
    </row>
    <row r="9" spans="1:7" x14ac:dyDescent="0.35">
      <c r="B9" s="119">
        <v>1.1000000000000001</v>
      </c>
      <c r="C9" s="136" t="s">
        <v>186</v>
      </c>
      <c r="D9" s="137"/>
      <c r="E9" s="118" t="s">
        <v>79</v>
      </c>
    </row>
    <row r="10" spans="1:7" x14ac:dyDescent="0.35">
      <c r="B10" s="119"/>
      <c r="C10" s="53" t="s">
        <v>267</v>
      </c>
      <c r="D10" s="185">
        <v>1</v>
      </c>
      <c r="E10" s="116"/>
    </row>
    <row r="11" spans="1:7" x14ac:dyDescent="0.35">
      <c r="B11" s="119"/>
      <c r="C11" s="53" t="s">
        <v>187</v>
      </c>
      <c r="D11" s="185">
        <v>40</v>
      </c>
      <c r="E11" s="116"/>
    </row>
    <row r="12" spans="1:7" ht="42" customHeight="1" thickBot="1" x14ac:dyDescent="0.4">
      <c r="B12" s="119"/>
      <c r="C12" s="54" t="s">
        <v>188</v>
      </c>
      <c r="D12" s="73">
        <f>500000/D11+20000+40000</f>
        <v>72500</v>
      </c>
      <c r="E12" s="138" t="s">
        <v>189</v>
      </c>
      <c r="G12" s="90"/>
    </row>
    <row r="13" spans="1:7" x14ac:dyDescent="0.35">
      <c r="B13" s="119">
        <v>1.2</v>
      </c>
      <c r="C13" s="88" t="s">
        <v>190</v>
      </c>
      <c r="D13" s="89"/>
      <c r="E13" s="118" t="s">
        <v>79</v>
      </c>
    </row>
    <row r="14" spans="1:7" x14ac:dyDescent="0.35">
      <c r="B14" s="119"/>
      <c r="C14" s="53" t="s">
        <v>267</v>
      </c>
      <c r="D14" s="185">
        <v>1</v>
      </c>
      <c r="E14" s="116"/>
    </row>
    <row r="15" spans="1:7" x14ac:dyDescent="0.35">
      <c r="B15" s="119"/>
      <c r="C15" s="53" t="s">
        <v>187</v>
      </c>
      <c r="D15" s="185">
        <v>40</v>
      </c>
      <c r="E15" s="116"/>
    </row>
    <row r="16" spans="1:7" ht="42.5" customHeight="1" thickBot="1" x14ac:dyDescent="0.4">
      <c r="B16" s="119"/>
      <c r="C16" s="54" t="s">
        <v>188</v>
      </c>
      <c r="D16" s="73">
        <f>500000/D15+20000+40000</f>
        <v>72500</v>
      </c>
      <c r="E16" s="130"/>
    </row>
    <row r="17" spans="2:8" x14ac:dyDescent="0.35">
      <c r="B17" s="119"/>
      <c r="C17" s="56" t="s">
        <v>91</v>
      </c>
      <c r="D17" s="291">
        <f>(D10*D11*D12)+(D14*D15*D16)</f>
        <v>5800000</v>
      </c>
    </row>
    <row r="18" spans="2:8" ht="15" thickBot="1" x14ac:dyDescent="0.4">
      <c r="B18" s="119"/>
    </row>
    <row r="19" spans="2:8" ht="60" customHeight="1" thickBot="1" x14ac:dyDescent="0.4">
      <c r="B19" s="139">
        <v>2</v>
      </c>
      <c r="C19" s="314" t="s">
        <v>268</v>
      </c>
      <c r="D19" s="316"/>
      <c r="E19" s="122" t="s">
        <v>269</v>
      </c>
    </row>
    <row r="20" spans="2:8" ht="29" x14ac:dyDescent="0.35">
      <c r="B20" s="119"/>
      <c r="C20" s="53" t="s">
        <v>191</v>
      </c>
      <c r="D20" s="180">
        <v>1</v>
      </c>
      <c r="E20" s="116"/>
      <c r="F20" s="90"/>
    </row>
    <row r="21" spans="2:8" ht="15" thickBot="1" x14ac:dyDescent="0.4">
      <c r="B21" s="119"/>
      <c r="C21" s="54" t="s">
        <v>192</v>
      </c>
      <c r="D21" s="73">
        <v>3000000</v>
      </c>
      <c r="E21" s="130"/>
    </row>
    <row r="22" spans="2:8" x14ac:dyDescent="0.35">
      <c r="B22" s="119"/>
      <c r="C22" s="56" t="s">
        <v>91</v>
      </c>
      <c r="D22" s="291">
        <f>(D20*D21)</f>
        <v>3000000</v>
      </c>
    </row>
    <row r="23" spans="2:8" ht="15" thickBot="1" x14ac:dyDescent="0.4">
      <c r="B23" s="119"/>
    </row>
    <row r="24" spans="2:8" ht="15" thickBot="1" x14ac:dyDescent="0.4">
      <c r="B24" s="101">
        <v>3</v>
      </c>
      <c r="C24" s="318" t="s">
        <v>270</v>
      </c>
      <c r="D24" s="319"/>
      <c r="E24" s="319"/>
      <c r="F24" s="319"/>
      <c r="G24" s="319"/>
      <c r="H24" s="320"/>
    </row>
    <row r="25" spans="2:8" ht="29" x14ac:dyDescent="0.35">
      <c r="B25" s="119"/>
      <c r="C25" s="250" t="s">
        <v>23</v>
      </c>
      <c r="D25" s="243" t="s">
        <v>193</v>
      </c>
      <c r="E25" s="251" t="s">
        <v>194</v>
      </c>
      <c r="F25" s="251" t="s">
        <v>96</v>
      </c>
      <c r="G25" s="252" t="s">
        <v>147</v>
      </c>
      <c r="H25" s="118" t="s">
        <v>79</v>
      </c>
    </row>
    <row r="26" spans="2:8" x14ac:dyDescent="0.35">
      <c r="B26" s="119"/>
      <c r="C26" s="81" t="s">
        <v>195</v>
      </c>
      <c r="D26" s="182"/>
      <c r="E26" s="82"/>
      <c r="F26" s="68"/>
      <c r="G26" s="294">
        <f>D26*F26</f>
        <v>0</v>
      </c>
      <c r="H26" s="116"/>
    </row>
    <row r="27" spans="2:8" x14ac:dyDescent="0.35">
      <c r="B27" s="119"/>
      <c r="C27" s="81" t="s">
        <v>284</v>
      </c>
      <c r="D27" s="182"/>
      <c r="E27" s="82"/>
      <c r="F27" s="68"/>
      <c r="G27" s="294">
        <f t="shared" ref="G27:G40" si="0">D27*F27</f>
        <v>0</v>
      </c>
      <c r="H27" s="116"/>
    </row>
    <row r="28" spans="2:8" x14ac:dyDescent="0.35">
      <c r="B28" s="119"/>
      <c r="C28" s="81" t="s">
        <v>196</v>
      </c>
      <c r="D28" s="182"/>
      <c r="E28" s="82"/>
      <c r="F28" s="68"/>
      <c r="G28" s="294">
        <f t="shared" si="0"/>
        <v>0</v>
      </c>
      <c r="H28" s="116"/>
    </row>
    <row r="29" spans="2:8" x14ac:dyDescent="0.35">
      <c r="B29" s="119"/>
      <c r="C29" s="81" t="s">
        <v>197</v>
      </c>
      <c r="D29" s="182"/>
      <c r="E29" s="82"/>
      <c r="F29" s="68"/>
      <c r="G29" s="294">
        <f t="shared" si="0"/>
        <v>0</v>
      </c>
      <c r="H29" s="116"/>
    </row>
    <row r="30" spans="2:8" x14ac:dyDescent="0.35">
      <c r="B30" s="119"/>
      <c r="C30" s="81" t="s">
        <v>198</v>
      </c>
      <c r="D30" s="182"/>
      <c r="E30" s="82"/>
      <c r="F30" s="68"/>
      <c r="G30" s="294">
        <f t="shared" si="0"/>
        <v>0</v>
      </c>
      <c r="H30" s="116"/>
    </row>
    <row r="31" spans="2:8" x14ac:dyDescent="0.35">
      <c r="B31" s="119"/>
      <c r="C31" s="81"/>
      <c r="D31" s="182"/>
      <c r="E31" s="82"/>
      <c r="F31" s="68"/>
      <c r="G31" s="294">
        <f t="shared" si="0"/>
        <v>0</v>
      </c>
      <c r="H31" s="116"/>
    </row>
    <row r="32" spans="2:8" x14ac:dyDescent="0.35">
      <c r="B32" s="119"/>
      <c r="C32" s="81"/>
      <c r="D32" s="182"/>
      <c r="E32" s="82"/>
      <c r="F32" s="68"/>
      <c r="G32" s="294">
        <f t="shared" si="0"/>
        <v>0</v>
      </c>
      <c r="H32" s="116"/>
    </row>
    <row r="33" spans="2:8" x14ac:dyDescent="0.35">
      <c r="B33" s="119"/>
      <c r="C33" s="81"/>
      <c r="D33" s="182"/>
      <c r="E33" s="82"/>
      <c r="F33" s="68"/>
      <c r="G33" s="294">
        <f t="shared" si="0"/>
        <v>0</v>
      </c>
      <c r="H33" s="116"/>
    </row>
    <row r="34" spans="2:8" x14ac:dyDescent="0.35">
      <c r="B34" s="119"/>
      <c r="C34" s="81"/>
      <c r="D34" s="182"/>
      <c r="E34" s="82"/>
      <c r="F34" s="68"/>
      <c r="G34" s="294">
        <f t="shared" si="0"/>
        <v>0</v>
      </c>
      <c r="H34" s="116"/>
    </row>
    <row r="35" spans="2:8" x14ac:dyDescent="0.35">
      <c r="B35" s="119"/>
      <c r="C35" s="81"/>
      <c r="D35" s="182"/>
      <c r="E35" s="82"/>
      <c r="F35" s="68"/>
      <c r="G35" s="294">
        <f t="shared" si="0"/>
        <v>0</v>
      </c>
      <c r="H35" s="116"/>
    </row>
    <row r="36" spans="2:8" x14ac:dyDescent="0.35">
      <c r="B36" s="119"/>
      <c r="C36" s="81"/>
      <c r="D36" s="182"/>
      <c r="E36" s="82"/>
      <c r="F36" s="68"/>
      <c r="G36" s="294">
        <f t="shared" si="0"/>
        <v>0</v>
      </c>
      <c r="H36" s="116"/>
    </row>
    <row r="37" spans="2:8" x14ac:dyDescent="0.35">
      <c r="B37" s="119"/>
      <c r="C37" s="81"/>
      <c r="D37" s="182"/>
      <c r="E37" s="82"/>
      <c r="F37" s="68"/>
      <c r="G37" s="294">
        <f t="shared" si="0"/>
        <v>0</v>
      </c>
      <c r="H37" s="116"/>
    </row>
    <row r="38" spans="2:8" x14ac:dyDescent="0.35">
      <c r="B38" s="119"/>
      <c r="C38" s="81"/>
      <c r="D38" s="182"/>
      <c r="E38" s="82"/>
      <c r="F38" s="68"/>
      <c r="G38" s="294">
        <f t="shared" si="0"/>
        <v>0</v>
      </c>
      <c r="H38" s="116"/>
    </row>
    <row r="39" spans="2:8" x14ac:dyDescent="0.35">
      <c r="B39" s="119"/>
      <c r="C39" s="81"/>
      <c r="D39" s="182"/>
      <c r="E39" s="82"/>
      <c r="F39" s="68"/>
      <c r="G39" s="294">
        <f t="shared" si="0"/>
        <v>0</v>
      </c>
      <c r="H39" s="116"/>
    </row>
    <row r="40" spans="2:8" ht="15" thickBot="1" x14ac:dyDescent="0.4">
      <c r="B40" s="119"/>
      <c r="C40" s="83"/>
      <c r="D40" s="183"/>
      <c r="E40" s="84"/>
      <c r="F40" s="71"/>
      <c r="G40" s="295">
        <f t="shared" si="0"/>
        <v>0</v>
      </c>
      <c r="H40" s="130"/>
    </row>
    <row r="41" spans="2:8" x14ac:dyDescent="0.35">
      <c r="B41" s="119"/>
      <c r="F41" s="56" t="s">
        <v>91</v>
      </c>
      <c r="G41" s="291">
        <f>SUM(G26:G40)</f>
        <v>0</v>
      </c>
    </row>
    <row r="42" spans="2:8" ht="15" thickBot="1" x14ac:dyDescent="0.4">
      <c r="B42" s="119"/>
    </row>
    <row r="43" spans="2:8" ht="15" thickBot="1" x14ac:dyDescent="0.4">
      <c r="B43" s="101">
        <v>4</v>
      </c>
      <c r="C43" s="101" t="s">
        <v>199</v>
      </c>
      <c r="D43" s="215"/>
    </row>
    <row r="44" spans="2:8" x14ac:dyDescent="0.35">
      <c r="C44" s="191"/>
      <c r="D44" s="97" t="s">
        <v>24</v>
      </c>
    </row>
    <row r="45" spans="2:8" x14ac:dyDescent="0.35">
      <c r="C45" s="86" t="s">
        <v>200</v>
      </c>
      <c r="D45" s="296">
        <f>D17</f>
        <v>5800000</v>
      </c>
    </row>
    <row r="46" spans="2:8" x14ac:dyDescent="0.35">
      <c r="C46" s="86" t="s">
        <v>201</v>
      </c>
      <c r="D46" s="292">
        <f>D22</f>
        <v>3000000</v>
      </c>
    </row>
    <row r="47" spans="2:8" x14ac:dyDescent="0.35">
      <c r="C47" s="86" t="s">
        <v>271</v>
      </c>
      <c r="D47" s="292">
        <f>SUM(G26:G40)</f>
        <v>0</v>
      </c>
    </row>
    <row r="48" spans="2:8" ht="15" thickBot="1" x14ac:dyDescent="0.4">
      <c r="C48" s="86"/>
      <c r="D48" s="297"/>
    </row>
    <row r="49" spans="3:4" ht="15" thickBot="1" x14ac:dyDescent="0.4">
      <c r="C49" s="113" t="s">
        <v>92</v>
      </c>
      <c r="D49" s="298">
        <f>SUM(D45:D48)</f>
        <v>8800000</v>
      </c>
    </row>
  </sheetData>
  <sheetProtection algorithmName="SHA-512" hashValue="BdQIN9P03CosDgfKEkC7Rmli4wjkrLQZA7oMam9JIvM8ccgmMu+5fubPDQCBTYY6SbDiR45imZTzRosDtnvLXw==" saltValue="q3c1DmX0jm4oREuHom5Ktg==" spinCount="100000" sheet="1" objects="1" scenarios="1" formatCells="0" formatColumns="0" formatRows="0" insertColumns="0" insertRows="0" insertHyperlinks="0"/>
  <mergeCells count="3">
    <mergeCell ref="C8:E8"/>
    <mergeCell ref="C19:D19"/>
    <mergeCell ref="C24:H24"/>
  </mergeCells>
  <pageMargins left="0.7" right="0.7" top="0.75" bottom="0.75" header="0.3" footer="0.3"/>
  <pageSetup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5C03A-972F-4444-B538-1D162F3C6070}">
  <dimension ref="A1:T59"/>
  <sheetViews>
    <sheetView zoomScaleNormal="100" workbookViewId="0">
      <selection activeCell="K13" sqref="K13"/>
    </sheetView>
  </sheetViews>
  <sheetFormatPr defaultRowHeight="14.5" x14ac:dyDescent="0.35"/>
  <cols>
    <col min="1" max="2" width="3.08984375" style="29" customWidth="1"/>
    <col min="3" max="3" width="47.81640625" style="29" customWidth="1"/>
    <col min="4" max="4" width="13.36328125" style="29" customWidth="1"/>
    <col min="5" max="5" width="20.26953125" style="29" customWidth="1"/>
    <col min="6" max="6" width="10.54296875" style="29" customWidth="1"/>
    <col min="7" max="7" width="14" style="29" customWidth="1"/>
    <col min="8" max="8" width="13.6328125" style="29" customWidth="1"/>
    <col min="9" max="9" width="13.453125" style="29" customWidth="1"/>
    <col min="10" max="10" width="13.6328125" style="29" customWidth="1"/>
    <col min="11" max="11" width="17.1796875" style="29" customWidth="1"/>
    <col min="12" max="16384" width="8.7265625" style="29"/>
  </cols>
  <sheetData>
    <row r="1" spans="1:20" ht="24.5" customHeight="1" x14ac:dyDescent="0.65">
      <c r="A1" s="28" t="s">
        <v>227</v>
      </c>
    </row>
    <row r="5" spans="1:20" x14ac:dyDescent="0.35">
      <c r="C5" s="104" t="s">
        <v>236</v>
      </c>
      <c r="D5" s="143"/>
      <c r="E5" s="102"/>
    </row>
    <row r="6" spans="1:20" x14ac:dyDescent="0.35">
      <c r="C6" s="104" t="s">
        <v>235</v>
      </c>
      <c r="D6" s="145"/>
      <c r="E6" s="102"/>
    </row>
    <row r="7" spans="1:20" x14ac:dyDescent="0.35">
      <c r="C7" s="104"/>
    </row>
    <row r="8" spans="1:20" ht="86" customHeight="1" x14ac:dyDescent="0.35">
      <c r="C8" s="317" t="s">
        <v>272</v>
      </c>
      <c r="D8" s="317"/>
      <c r="E8" s="317"/>
      <c r="F8" s="317"/>
      <c r="G8" s="317"/>
      <c r="H8" s="317"/>
      <c r="I8" s="317"/>
      <c r="J8" s="317"/>
      <c r="K8" s="317"/>
      <c r="L8" s="50"/>
      <c r="M8" s="50"/>
      <c r="N8" s="50"/>
      <c r="O8" s="50"/>
      <c r="P8" s="50"/>
      <c r="Q8" s="50"/>
      <c r="R8" s="50"/>
      <c r="S8" s="50"/>
      <c r="T8" s="50"/>
    </row>
    <row r="9" spans="1:20" ht="15" thickBot="1" x14ac:dyDescent="0.4"/>
    <row r="10" spans="1:20" ht="15" thickBot="1" x14ac:dyDescent="0.4">
      <c r="B10" s="101">
        <v>1</v>
      </c>
      <c r="C10" s="202" t="s">
        <v>202</v>
      </c>
      <c r="D10" s="203"/>
      <c r="E10" s="118" t="s">
        <v>79</v>
      </c>
    </row>
    <row r="11" spans="1:20" ht="34.5" customHeight="1" x14ac:dyDescent="0.35">
      <c r="B11" s="119"/>
      <c r="C11" s="253" t="s">
        <v>203</v>
      </c>
      <c r="D11" s="204">
        <v>2</v>
      </c>
      <c r="E11" s="201"/>
    </row>
    <row r="12" spans="1:20" x14ac:dyDescent="0.35">
      <c r="B12" s="64"/>
      <c r="C12" s="53" t="s">
        <v>204</v>
      </c>
      <c r="D12" s="185">
        <v>2</v>
      </c>
      <c r="E12" s="116"/>
    </row>
    <row r="13" spans="1:20" x14ac:dyDescent="0.35">
      <c r="B13" s="64"/>
      <c r="C13" s="53" t="s">
        <v>205</v>
      </c>
      <c r="D13" s="185">
        <v>3</v>
      </c>
      <c r="E13" s="116"/>
    </row>
    <row r="14" spans="1:20" x14ac:dyDescent="0.35">
      <c r="B14" s="64"/>
      <c r="C14" s="53" t="s">
        <v>206</v>
      </c>
      <c r="D14" s="72">
        <v>50000</v>
      </c>
      <c r="E14" s="116"/>
    </row>
    <row r="15" spans="1:20" ht="15" thickBot="1" x14ac:dyDescent="0.4">
      <c r="B15" s="64"/>
      <c r="C15" s="54" t="s">
        <v>207</v>
      </c>
      <c r="D15" s="73">
        <v>100000</v>
      </c>
      <c r="E15" s="130"/>
    </row>
    <row r="16" spans="1:20" x14ac:dyDescent="0.35">
      <c r="B16" s="64"/>
      <c r="C16" s="56" t="s">
        <v>91</v>
      </c>
      <c r="D16" s="291">
        <f>D11*D12*D13*SUM(D14:D15)</f>
        <v>1800000</v>
      </c>
    </row>
    <row r="17" spans="2:11" ht="15" thickBot="1" x14ac:dyDescent="0.4"/>
    <row r="18" spans="2:11" ht="15" thickBot="1" x14ac:dyDescent="0.4">
      <c r="B18" s="101">
        <v>2</v>
      </c>
      <c r="C18" s="318" t="s">
        <v>273</v>
      </c>
      <c r="D18" s="319"/>
      <c r="E18" s="319"/>
      <c r="F18" s="319"/>
      <c r="G18" s="319"/>
      <c r="H18" s="319"/>
      <c r="I18" s="319"/>
      <c r="J18" s="319"/>
      <c r="K18" s="320"/>
    </row>
    <row r="19" spans="2:11" ht="29" x14ac:dyDescent="0.35">
      <c r="B19" s="119"/>
      <c r="C19" s="99" t="s">
        <v>208</v>
      </c>
      <c r="D19" s="97" t="s">
        <v>119</v>
      </c>
      <c r="E19" s="97" t="s">
        <v>99</v>
      </c>
      <c r="F19" s="97" t="s">
        <v>120</v>
      </c>
      <c r="G19" s="97" t="s">
        <v>121</v>
      </c>
      <c r="H19" s="97" t="s">
        <v>100</v>
      </c>
      <c r="I19" s="97" t="s">
        <v>96</v>
      </c>
      <c r="J19" s="97" t="s">
        <v>24</v>
      </c>
      <c r="K19" s="118" t="s">
        <v>79</v>
      </c>
    </row>
    <row r="20" spans="2:11" x14ac:dyDescent="0.35">
      <c r="B20" s="119"/>
      <c r="C20" s="81" t="s">
        <v>210</v>
      </c>
      <c r="D20" s="172">
        <v>1</v>
      </c>
      <c r="E20" s="172">
        <v>1</v>
      </c>
      <c r="F20" s="195">
        <v>2021</v>
      </c>
      <c r="G20" s="36">
        <v>10</v>
      </c>
      <c r="H20" s="255">
        <f>MAX(0,D20-E20)</f>
        <v>0</v>
      </c>
      <c r="I20" s="36"/>
      <c r="J20" s="255">
        <f t="shared" ref="J20:J29" si="0">H20*I20</f>
        <v>0</v>
      </c>
      <c r="K20" s="116"/>
    </row>
    <row r="21" spans="2:11" x14ac:dyDescent="0.35">
      <c r="B21" s="119"/>
      <c r="C21" s="81" t="s">
        <v>211</v>
      </c>
      <c r="D21" s="172">
        <v>1</v>
      </c>
      <c r="E21" s="172">
        <v>0</v>
      </c>
      <c r="F21" s="195"/>
      <c r="G21" s="36">
        <v>10</v>
      </c>
      <c r="H21" s="255">
        <f t="shared" ref="H21:H29" si="1">MAX(0,D21-E21)</f>
        <v>1</v>
      </c>
      <c r="I21" s="36"/>
      <c r="J21" s="255">
        <f t="shared" si="0"/>
        <v>0</v>
      </c>
      <c r="K21" s="116"/>
    </row>
    <row r="22" spans="2:11" x14ac:dyDescent="0.35">
      <c r="B22" s="119"/>
      <c r="C22" s="81" t="s">
        <v>212</v>
      </c>
      <c r="D22" s="172">
        <v>3</v>
      </c>
      <c r="E22" s="172">
        <v>1</v>
      </c>
      <c r="F22" s="195"/>
      <c r="G22" s="36"/>
      <c r="H22" s="255">
        <f t="shared" si="1"/>
        <v>2</v>
      </c>
      <c r="I22" s="36"/>
      <c r="J22" s="255">
        <f t="shared" si="0"/>
        <v>0</v>
      </c>
      <c r="K22" s="116"/>
    </row>
    <row r="23" spans="2:11" x14ac:dyDescent="0.35">
      <c r="B23" s="119"/>
      <c r="C23" s="81"/>
      <c r="D23" s="172"/>
      <c r="E23" s="172"/>
      <c r="F23" s="195"/>
      <c r="G23" s="36"/>
      <c r="H23" s="255">
        <f t="shared" si="1"/>
        <v>0</v>
      </c>
      <c r="I23" s="36"/>
      <c r="J23" s="255">
        <f t="shared" si="0"/>
        <v>0</v>
      </c>
      <c r="K23" s="116"/>
    </row>
    <row r="24" spans="2:11" x14ac:dyDescent="0.35">
      <c r="B24" s="119"/>
      <c r="C24" s="81"/>
      <c r="D24" s="172"/>
      <c r="E24" s="172"/>
      <c r="F24" s="195"/>
      <c r="G24" s="36"/>
      <c r="H24" s="255">
        <f t="shared" si="1"/>
        <v>0</v>
      </c>
      <c r="I24" s="36"/>
      <c r="J24" s="255">
        <f t="shared" si="0"/>
        <v>0</v>
      </c>
      <c r="K24" s="116"/>
    </row>
    <row r="25" spans="2:11" x14ac:dyDescent="0.35">
      <c r="B25" s="119"/>
      <c r="C25" s="81"/>
      <c r="D25" s="172"/>
      <c r="E25" s="172"/>
      <c r="F25" s="195"/>
      <c r="G25" s="36"/>
      <c r="H25" s="255">
        <f t="shared" si="1"/>
        <v>0</v>
      </c>
      <c r="I25" s="36"/>
      <c r="J25" s="255">
        <f t="shared" si="0"/>
        <v>0</v>
      </c>
      <c r="K25" s="116"/>
    </row>
    <row r="26" spans="2:11" x14ac:dyDescent="0.35">
      <c r="B26" s="119"/>
      <c r="C26" s="81"/>
      <c r="D26" s="172"/>
      <c r="E26" s="172"/>
      <c r="F26" s="195"/>
      <c r="G26" s="36"/>
      <c r="H26" s="255">
        <f t="shared" si="1"/>
        <v>0</v>
      </c>
      <c r="I26" s="36"/>
      <c r="J26" s="255">
        <f t="shared" si="0"/>
        <v>0</v>
      </c>
      <c r="K26" s="116"/>
    </row>
    <row r="27" spans="2:11" x14ac:dyDescent="0.35">
      <c r="B27" s="119"/>
      <c r="C27" s="81"/>
      <c r="D27" s="172"/>
      <c r="E27" s="172"/>
      <c r="F27" s="195"/>
      <c r="G27" s="36"/>
      <c r="H27" s="255">
        <f t="shared" si="1"/>
        <v>0</v>
      </c>
      <c r="I27" s="36"/>
      <c r="J27" s="255">
        <f t="shared" si="0"/>
        <v>0</v>
      </c>
      <c r="K27" s="116"/>
    </row>
    <row r="28" spans="2:11" x14ac:dyDescent="0.35">
      <c r="B28" s="119"/>
      <c r="C28" s="81"/>
      <c r="D28" s="172"/>
      <c r="E28" s="172"/>
      <c r="F28" s="195"/>
      <c r="G28" s="36"/>
      <c r="H28" s="255">
        <f t="shared" si="1"/>
        <v>0</v>
      </c>
      <c r="I28" s="36"/>
      <c r="J28" s="255">
        <f t="shared" si="0"/>
        <v>0</v>
      </c>
      <c r="K28" s="116"/>
    </row>
    <row r="29" spans="2:11" ht="15" thickBot="1" x14ac:dyDescent="0.4">
      <c r="B29" s="119"/>
      <c r="C29" s="81"/>
      <c r="D29" s="172"/>
      <c r="E29" s="172"/>
      <c r="F29" s="195"/>
      <c r="G29" s="36"/>
      <c r="H29" s="255">
        <f t="shared" si="1"/>
        <v>0</v>
      </c>
      <c r="I29" s="36"/>
      <c r="J29" s="255">
        <f t="shared" si="0"/>
        <v>0</v>
      </c>
      <c r="K29" s="116"/>
    </row>
    <row r="30" spans="2:11" ht="29" x14ac:dyDescent="0.35">
      <c r="B30" s="119"/>
      <c r="C30" s="99" t="s">
        <v>209</v>
      </c>
      <c r="D30" s="97" t="s">
        <v>119</v>
      </c>
      <c r="E30" s="97" t="s">
        <v>99</v>
      </c>
      <c r="F30" s="140"/>
      <c r="G30" s="140"/>
      <c r="H30" s="97" t="s">
        <v>100</v>
      </c>
      <c r="I30" s="97" t="s">
        <v>96</v>
      </c>
      <c r="J30" s="97" t="s">
        <v>24</v>
      </c>
      <c r="K30" s="118" t="s">
        <v>79</v>
      </c>
    </row>
    <row r="31" spans="2:11" x14ac:dyDescent="0.35">
      <c r="B31" s="119"/>
      <c r="C31" s="81" t="s">
        <v>137</v>
      </c>
      <c r="D31" s="182">
        <v>2</v>
      </c>
      <c r="E31" s="172">
        <v>1</v>
      </c>
      <c r="F31" s="220"/>
      <c r="G31" s="141"/>
      <c r="H31" s="255">
        <f>MAX(0,D31-E31)</f>
        <v>1</v>
      </c>
      <c r="I31" s="36"/>
      <c r="J31" s="258">
        <f t="shared" ref="J31:J50" si="2">H31*I31</f>
        <v>0</v>
      </c>
      <c r="K31" s="116"/>
    </row>
    <row r="32" spans="2:11" x14ac:dyDescent="0.35">
      <c r="B32" s="119"/>
      <c r="C32" s="81" t="s">
        <v>213</v>
      </c>
      <c r="D32" s="182">
        <v>1</v>
      </c>
      <c r="E32" s="172">
        <v>0</v>
      </c>
      <c r="F32" s="220"/>
      <c r="G32" s="141"/>
      <c r="H32" s="255">
        <f t="shared" ref="H32:H50" si="3">MAX(0,D32-E32)</f>
        <v>1</v>
      </c>
      <c r="I32" s="68">
        <v>400000</v>
      </c>
      <c r="J32" s="258">
        <f t="shared" si="2"/>
        <v>400000</v>
      </c>
      <c r="K32" s="116"/>
    </row>
    <row r="33" spans="2:17" x14ac:dyDescent="0.35">
      <c r="B33" s="119"/>
      <c r="C33" s="81" t="s">
        <v>214</v>
      </c>
      <c r="D33" s="182">
        <v>6</v>
      </c>
      <c r="E33" s="172"/>
      <c r="F33" s="220"/>
      <c r="G33" s="141"/>
      <c r="H33" s="255">
        <f t="shared" si="3"/>
        <v>6</v>
      </c>
      <c r="I33" s="68">
        <v>80000</v>
      </c>
      <c r="J33" s="258">
        <f t="shared" si="2"/>
        <v>480000</v>
      </c>
      <c r="K33" s="116" t="s">
        <v>215</v>
      </c>
    </row>
    <row r="34" spans="2:17" x14ac:dyDescent="0.35">
      <c r="B34" s="119"/>
      <c r="C34" s="81" t="s">
        <v>216</v>
      </c>
      <c r="D34" s="182">
        <v>0</v>
      </c>
      <c r="E34" s="172"/>
      <c r="F34" s="220"/>
      <c r="G34" s="141"/>
      <c r="H34" s="255">
        <f t="shared" si="3"/>
        <v>0</v>
      </c>
      <c r="I34" s="68">
        <v>50000</v>
      </c>
      <c r="J34" s="258">
        <f t="shared" si="2"/>
        <v>0</v>
      </c>
      <c r="K34" s="116"/>
    </row>
    <row r="35" spans="2:17" x14ac:dyDescent="0.35">
      <c r="B35" s="119"/>
      <c r="C35" s="81"/>
      <c r="D35" s="182"/>
      <c r="E35" s="172"/>
      <c r="F35" s="220"/>
      <c r="G35" s="141"/>
      <c r="H35" s="255">
        <f t="shared" si="3"/>
        <v>0</v>
      </c>
      <c r="I35" s="68"/>
      <c r="J35" s="258">
        <f t="shared" si="2"/>
        <v>0</v>
      </c>
      <c r="K35" s="116"/>
    </row>
    <row r="36" spans="2:17" x14ac:dyDescent="0.35">
      <c r="B36" s="119"/>
      <c r="C36" s="81"/>
      <c r="D36" s="182"/>
      <c r="E36" s="172"/>
      <c r="F36" s="220"/>
      <c r="G36" s="141"/>
      <c r="H36" s="255">
        <f t="shared" si="3"/>
        <v>0</v>
      </c>
      <c r="I36" s="68"/>
      <c r="J36" s="258">
        <f t="shared" si="2"/>
        <v>0</v>
      </c>
      <c r="K36" s="116"/>
    </row>
    <row r="37" spans="2:17" x14ac:dyDescent="0.35">
      <c r="B37" s="119"/>
      <c r="C37" s="81"/>
      <c r="D37" s="182"/>
      <c r="E37" s="172"/>
      <c r="F37" s="220"/>
      <c r="G37" s="141"/>
      <c r="H37" s="255">
        <f t="shared" si="3"/>
        <v>0</v>
      </c>
      <c r="I37" s="68"/>
      <c r="J37" s="258">
        <f t="shared" si="2"/>
        <v>0</v>
      </c>
      <c r="K37" s="116"/>
    </row>
    <row r="38" spans="2:17" x14ac:dyDescent="0.35">
      <c r="B38" s="119"/>
      <c r="C38" s="81"/>
      <c r="D38" s="182"/>
      <c r="E38" s="172"/>
      <c r="F38" s="220"/>
      <c r="G38" s="141"/>
      <c r="H38" s="255">
        <f t="shared" si="3"/>
        <v>0</v>
      </c>
      <c r="I38" s="68"/>
      <c r="J38" s="258">
        <f t="shared" si="2"/>
        <v>0</v>
      </c>
      <c r="K38" s="116"/>
    </row>
    <row r="39" spans="2:17" x14ac:dyDescent="0.35">
      <c r="B39" s="119"/>
      <c r="C39" s="81"/>
      <c r="D39" s="182"/>
      <c r="E39" s="172"/>
      <c r="F39" s="220"/>
      <c r="G39" s="141"/>
      <c r="H39" s="255">
        <f t="shared" si="3"/>
        <v>0</v>
      </c>
      <c r="I39" s="68"/>
      <c r="J39" s="258">
        <f t="shared" si="2"/>
        <v>0</v>
      </c>
      <c r="K39" s="116"/>
    </row>
    <row r="40" spans="2:17" x14ac:dyDescent="0.35">
      <c r="B40" s="119"/>
      <c r="C40" s="81"/>
      <c r="D40" s="182"/>
      <c r="E40" s="172"/>
      <c r="F40" s="220"/>
      <c r="G40" s="141"/>
      <c r="H40" s="255">
        <f t="shared" si="3"/>
        <v>0</v>
      </c>
      <c r="I40" s="68"/>
      <c r="J40" s="258">
        <f t="shared" si="2"/>
        <v>0</v>
      </c>
      <c r="K40" s="116"/>
    </row>
    <row r="41" spans="2:17" x14ac:dyDescent="0.35">
      <c r="B41" s="119"/>
      <c r="C41" s="81"/>
      <c r="D41" s="182"/>
      <c r="E41" s="172"/>
      <c r="F41" s="220"/>
      <c r="G41" s="141"/>
      <c r="H41" s="255">
        <f t="shared" si="3"/>
        <v>0</v>
      </c>
      <c r="I41" s="68"/>
      <c r="J41" s="258">
        <f t="shared" si="2"/>
        <v>0</v>
      </c>
      <c r="K41" s="116"/>
    </row>
    <row r="42" spans="2:17" x14ac:dyDescent="0.35">
      <c r="B42" s="119"/>
      <c r="C42" s="81"/>
      <c r="D42" s="182"/>
      <c r="E42" s="172"/>
      <c r="F42" s="220"/>
      <c r="G42" s="141"/>
      <c r="H42" s="255">
        <f t="shared" si="3"/>
        <v>0</v>
      </c>
      <c r="I42" s="68"/>
      <c r="J42" s="258">
        <f t="shared" si="2"/>
        <v>0</v>
      </c>
      <c r="K42" s="116"/>
    </row>
    <row r="43" spans="2:17" x14ac:dyDescent="0.35">
      <c r="B43" s="119"/>
      <c r="C43" s="81"/>
      <c r="D43" s="182"/>
      <c r="E43" s="172"/>
      <c r="F43" s="220"/>
      <c r="G43" s="141"/>
      <c r="H43" s="255">
        <f t="shared" si="3"/>
        <v>0</v>
      </c>
      <c r="I43" s="68"/>
      <c r="J43" s="258">
        <f t="shared" si="2"/>
        <v>0</v>
      </c>
      <c r="K43" s="116"/>
    </row>
    <row r="44" spans="2:17" x14ac:dyDescent="0.35">
      <c r="B44" s="119"/>
      <c r="C44" s="81"/>
      <c r="D44" s="182"/>
      <c r="E44" s="172"/>
      <c r="F44" s="220"/>
      <c r="G44" s="141"/>
      <c r="H44" s="255">
        <f t="shared" si="3"/>
        <v>0</v>
      </c>
      <c r="I44" s="68"/>
      <c r="J44" s="258">
        <f t="shared" si="2"/>
        <v>0</v>
      </c>
      <c r="K44" s="116"/>
    </row>
    <row r="45" spans="2:17" x14ac:dyDescent="0.35">
      <c r="B45" s="119"/>
      <c r="C45" s="81"/>
      <c r="D45" s="182"/>
      <c r="E45" s="172"/>
      <c r="F45" s="220"/>
      <c r="G45" s="141"/>
      <c r="H45" s="255">
        <f t="shared" si="3"/>
        <v>0</v>
      </c>
      <c r="I45" s="68"/>
      <c r="J45" s="258">
        <f t="shared" si="2"/>
        <v>0</v>
      </c>
      <c r="K45" s="116"/>
    </row>
    <row r="46" spans="2:17" x14ac:dyDescent="0.35">
      <c r="B46" s="119"/>
      <c r="C46" s="81"/>
      <c r="D46" s="182"/>
      <c r="E46" s="172"/>
      <c r="F46" s="220"/>
      <c r="G46" s="141"/>
      <c r="H46" s="255">
        <f t="shared" si="3"/>
        <v>0</v>
      </c>
      <c r="I46" s="68"/>
      <c r="J46" s="258">
        <f t="shared" si="2"/>
        <v>0</v>
      </c>
      <c r="K46" s="116"/>
    </row>
    <row r="47" spans="2:17" x14ac:dyDescent="0.35">
      <c r="B47" s="64"/>
      <c r="C47" s="81"/>
      <c r="D47" s="182"/>
      <c r="E47" s="172"/>
      <c r="F47" s="220"/>
      <c r="G47" s="141"/>
      <c r="H47" s="255">
        <f t="shared" si="3"/>
        <v>0</v>
      </c>
      <c r="I47" s="68"/>
      <c r="J47" s="258">
        <f t="shared" si="2"/>
        <v>0</v>
      </c>
      <c r="K47" s="116"/>
      <c r="Q47" s="105"/>
    </row>
    <row r="48" spans="2:17" x14ac:dyDescent="0.35">
      <c r="B48" s="64"/>
      <c r="C48" s="81"/>
      <c r="D48" s="182"/>
      <c r="E48" s="172"/>
      <c r="F48" s="220"/>
      <c r="G48" s="141"/>
      <c r="H48" s="255">
        <f t="shared" si="3"/>
        <v>0</v>
      </c>
      <c r="I48" s="68"/>
      <c r="J48" s="258">
        <f t="shared" si="2"/>
        <v>0</v>
      </c>
      <c r="K48" s="116"/>
    </row>
    <row r="49" spans="2:11" x14ac:dyDescent="0.35">
      <c r="B49" s="64"/>
      <c r="C49" s="81"/>
      <c r="D49" s="182"/>
      <c r="E49" s="172"/>
      <c r="F49" s="220"/>
      <c r="G49" s="141"/>
      <c r="H49" s="255">
        <f t="shared" si="3"/>
        <v>0</v>
      </c>
      <c r="I49" s="68"/>
      <c r="J49" s="258">
        <f t="shared" si="2"/>
        <v>0</v>
      </c>
      <c r="K49" s="116"/>
    </row>
    <row r="50" spans="2:11" ht="15" thickBot="1" x14ac:dyDescent="0.4">
      <c r="B50" s="64"/>
      <c r="C50" s="83"/>
      <c r="D50" s="183"/>
      <c r="E50" s="173"/>
      <c r="F50" s="221"/>
      <c r="G50" s="142"/>
      <c r="H50" s="264">
        <f t="shared" si="3"/>
        <v>0</v>
      </c>
      <c r="I50" s="71"/>
      <c r="J50" s="281">
        <f t="shared" si="2"/>
        <v>0</v>
      </c>
      <c r="K50" s="112"/>
    </row>
    <row r="51" spans="2:11" x14ac:dyDescent="0.35">
      <c r="B51" s="64"/>
      <c r="C51" s="64"/>
      <c r="D51" s="64"/>
      <c r="E51" s="64"/>
      <c r="I51" s="56" t="s">
        <v>91</v>
      </c>
      <c r="J51" s="291">
        <f>SUM(J20:J29,J31:J50)</f>
        <v>880000</v>
      </c>
    </row>
    <row r="52" spans="2:11" ht="15" thickBot="1" x14ac:dyDescent="0.4"/>
    <row r="53" spans="2:11" ht="15" thickBot="1" x14ac:dyDescent="0.4">
      <c r="B53" s="113">
        <v>3</v>
      </c>
      <c r="C53" s="101" t="s">
        <v>217</v>
      </c>
      <c r="D53" s="215"/>
    </row>
    <row r="54" spans="2:11" x14ac:dyDescent="0.35">
      <c r="B54" s="64"/>
      <c r="C54" s="85"/>
      <c r="D54" s="97" t="s">
        <v>24</v>
      </c>
    </row>
    <row r="55" spans="2:11" x14ac:dyDescent="0.35">
      <c r="B55" s="64"/>
      <c r="C55" s="85" t="s">
        <v>218</v>
      </c>
      <c r="D55" s="292">
        <f>D16</f>
        <v>1800000</v>
      </c>
    </row>
    <row r="56" spans="2:11" x14ac:dyDescent="0.35">
      <c r="B56" s="64"/>
      <c r="C56" s="85" t="s">
        <v>274</v>
      </c>
      <c r="D56" s="292">
        <f>J51</f>
        <v>880000</v>
      </c>
    </row>
    <row r="57" spans="2:11" x14ac:dyDescent="0.35">
      <c r="B57" s="64"/>
      <c r="C57" s="86"/>
      <c r="D57" s="292"/>
    </row>
    <row r="58" spans="2:11" ht="15" thickBot="1" x14ac:dyDescent="0.4">
      <c r="B58" s="64"/>
      <c r="C58" s="86"/>
      <c r="D58" s="297"/>
    </row>
    <row r="59" spans="2:11" ht="15" thickBot="1" x14ac:dyDescent="0.4">
      <c r="B59" s="64"/>
      <c r="C59" s="113" t="s">
        <v>92</v>
      </c>
      <c r="D59" s="298">
        <f>SUM(D55:D58)</f>
        <v>2680000</v>
      </c>
    </row>
  </sheetData>
  <sheetProtection algorithmName="SHA-512" hashValue="vktiT+UhqcVgkMqd57s92PlFtRgQiuFRx7M5PqHnfKt4ENgWg5jNiOszrkikPr816TgirZYV/KskTMl78HdKYA==" saltValue="0e0NbaUenDS8RONwV+80qw==" spinCount="100000" sheet="1" objects="1" scenarios="1" formatCells="0" formatColumns="0" formatRows="0" insertColumns="0" insertRows="0" insertHyperlinks="0"/>
  <mergeCells count="2">
    <mergeCell ref="C8:K8"/>
    <mergeCell ref="C18:K1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CB28-4B60-43A2-B670-24968D6FB3AE}">
  <dimension ref="A1:K41"/>
  <sheetViews>
    <sheetView zoomScaleNormal="100" workbookViewId="0"/>
  </sheetViews>
  <sheetFormatPr defaultRowHeight="14.5" x14ac:dyDescent="0.35"/>
  <cols>
    <col min="1" max="1" width="3.6328125" style="29" customWidth="1"/>
    <col min="2" max="2" width="3.08984375" style="29" customWidth="1"/>
    <col min="3" max="3" width="41.81640625" style="29" customWidth="1"/>
    <col min="4" max="4" width="14" style="29" customWidth="1"/>
    <col min="5" max="5" width="14.90625" style="29" customWidth="1"/>
    <col min="6" max="6" width="17" style="29" customWidth="1"/>
    <col min="7" max="7" width="16.7265625" style="29" customWidth="1"/>
    <col min="8" max="8" width="12" style="29" customWidth="1"/>
    <col min="9" max="9" width="14.08984375" style="29" customWidth="1"/>
    <col min="10" max="10" width="14.7265625" style="29" customWidth="1"/>
    <col min="11" max="11" width="20.36328125" style="29" customWidth="1"/>
    <col min="12" max="16384" width="8.7265625" style="29"/>
  </cols>
  <sheetData>
    <row r="1" spans="1:11" ht="28.5" x14ac:dyDescent="0.65">
      <c r="A1" s="28" t="s">
        <v>227</v>
      </c>
    </row>
    <row r="5" spans="1:11" x14ac:dyDescent="0.35">
      <c r="C5" s="104" t="s">
        <v>236</v>
      </c>
      <c r="D5" s="143"/>
      <c r="E5" s="102"/>
    </row>
    <row r="6" spans="1:11" x14ac:dyDescent="0.35">
      <c r="C6" s="104" t="s">
        <v>235</v>
      </c>
      <c r="D6" s="145"/>
      <c r="E6" s="102"/>
    </row>
    <row r="7" spans="1:11" x14ac:dyDescent="0.35">
      <c r="C7" s="104"/>
    </row>
    <row r="8" spans="1:11" ht="32.5" customHeight="1" x14ac:dyDescent="0.35">
      <c r="B8" s="317" t="s">
        <v>275</v>
      </c>
      <c r="C8" s="317"/>
      <c r="D8" s="317"/>
      <c r="E8" s="317"/>
      <c r="F8" s="317"/>
      <c r="G8" s="317"/>
      <c r="H8" s="317"/>
      <c r="I8" s="317"/>
      <c r="J8" s="317"/>
      <c r="K8" s="317"/>
    </row>
    <row r="9" spans="1:11" ht="15" thickBot="1" x14ac:dyDescent="0.4"/>
    <row r="10" spans="1:11" ht="15" thickBot="1" x14ac:dyDescent="0.4">
      <c r="B10" s="101">
        <v>1</v>
      </c>
      <c r="C10" s="318" t="s">
        <v>219</v>
      </c>
      <c r="D10" s="319"/>
      <c r="E10" s="319"/>
      <c r="F10" s="319"/>
      <c r="G10" s="319"/>
      <c r="H10" s="319"/>
      <c r="I10" s="320"/>
    </row>
    <row r="11" spans="1:11" ht="31" customHeight="1" x14ac:dyDescent="0.35">
      <c r="B11" s="64"/>
      <c r="C11" s="96" t="s">
        <v>23</v>
      </c>
      <c r="D11" s="97" t="s">
        <v>220</v>
      </c>
      <c r="E11" s="97" t="s">
        <v>221</v>
      </c>
      <c r="F11" s="97" t="s">
        <v>205</v>
      </c>
      <c r="G11" s="97" t="s">
        <v>222</v>
      </c>
      <c r="H11" s="97" t="s">
        <v>147</v>
      </c>
      <c r="I11" s="118" t="s">
        <v>79</v>
      </c>
    </row>
    <row r="12" spans="1:11" x14ac:dyDescent="0.35">
      <c r="B12" s="64"/>
      <c r="C12" s="81" t="s">
        <v>224</v>
      </c>
      <c r="D12" s="182">
        <v>12</v>
      </c>
      <c r="E12" s="186">
        <v>2</v>
      </c>
      <c r="F12" s="182">
        <v>3</v>
      </c>
      <c r="G12" s="68">
        <v>50000</v>
      </c>
      <c r="H12" s="294">
        <f>D12*E12*F12*G12</f>
        <v>3600000</v>
      </c>
      <c r="I12" s="192"/>
    </row>
    <row r="13" spans="1:11" x14ac:dyDescent="0.35">
      <c r="B13" s="64"/>
      <c r="C13" s="81" t="s">
        <v>223</v>
      </c>
      <c r="D13" s="182">
        <v>12</v>
      </c>
      <c r="E13" s="186">
        <v>10</v>
      </c>
      <c r="F13" s="182">
        <v>0.5</v>
      </c>
      <c r="G13" s="68">
        <v>10000</v>
      </c>
      <c r="H13" s="294">
        <f t="shared" ref="H13:H23" si="0">D13*E13*F13*G13</f>
        <v>600000</v>
      </c>
      <c r="I13" s="192"/>
    </row>
    <row r="14" spans="1:11" x14ac:dyDescent="0.35">
      <c r="B14" s="64"/>
      <c r="C14" s="81"/>
      <c r="D14" s="182"/>
      <c r="E14" s="186"/>
      <c r="F14" s="182"/>
      <c r="G14" s="68"/>
      <c r="H14" s="294">
        <f t="shared" si="0"/>
        <v>0</v>
      </c>
      <c r="I14" s="192"/>
    </row>
    <row r="15" spans="1:11" x14ac:dyDescent="0.35">
      <c r="B15" s="64"/>
      <c r="C15" s="81"/>
      <c r="D15" s="182"/>
      <c r="E15" s="186"/>
      <c r="F15" s="182"/>
      <c r="G15" s="68"/>
      <c r="H15" s="294">
        <f t="shared" si="0"/>
        <v>0</v>
      </c>
      <c r="I15" s="192"/>
    </row>
    <row r="16" spans="1:11" x14ac:dyDescent="0.35">
      <c r="B16" s="64"/>
      <c r="C16" s="81"/>
      <c r="D16" s="182"/>
      <c r="E16" s="186"/>
      <c r="F16" s="182"/>
      <c r="G16" s="68"/>
      <c r="H16" s="294">
        <f t="shared" si="0"/>
        <v>0</v>
      </c>
      <c r="I16" s="192"/>
    </row>
    <row r="17" spans="2:11" x14ac:dyDescent="0.35">
      <c r="B17" s="64"/>
      <c r="C17" s="81"/>
      <c r="D17" s="182"/>
      <c r="E17" s="186"/>
      <c r="F17" s="182"/>
      <c r="G17" s="68"/>
      <c r="H17" s="294">
        <f t="shared" si="0"/>
        <v>0</v>
      </c>
      <c r="I17" s="192"/>
    </row>
    <row r="18" spans="2:11" x14ac:dyDescent="0.35">
      <c r="B18" s="64"/>
      <c r="C18" s="81"/>
      <c r="D18" s="182"/>
      <c r="E18" s="186"/>
      <c r="F18" s="182"/>
      <c r="G18" s="68"/>
      <c r="H18" s="294">
        <f t="shared" si="0"/>
        <v>0</v>
      </c>
      <c r="I18" s="192"/>
    </row>
    <row r="19" spans="2:11" x14ac:dyDescent="0.35">
      <c r="B19" s="64"/>
      <c r="C19" s="81"/>
      <c r="D19" s="182"/>
      <c r="E19" s="186"/>
      <c r="F19" s="182"/>
      <c r="G19" s="68"/>
      <c r="H19" s="294">
        <f t="shared" si="0"/>
        <v>0</v>
      </c>
      <c r="I19" s="192"/>
    </row>
    <row r="20" spans="2:11" x14ac:dyDescent="0.35">
      <c r="B20" s="64"/>
      <c r="C20" s="81"/>
      <c r="D20" s="182"/>
      <c r="E20" s="186"/>
      <c r="F20" s="182"/>
      <c r="G20" s="68"/>
      <c r="H20" s="294">
        <f t="shared" si="0"/>
        <v>0</v>
      </c>
      <c r="I20" s="192"/>
    </row>
    <row r="21" spans="2:11" x14ac:dyDescent="0.35">
      <c r="B21" s="64"/>
      <c r="C21" s="81"/>
      <c r="D21" s="182"/>
      <c r="E21" s="186"/>
      <c r="F21" s="182"/>
      <c r="G21" s="68"/>
      <c r="H21" s="294">
        <f t="shared" si="0"/>
        <v>0</v>
      </c>
      <c r="I21" s="192"/>
    </row>
    <row r="22" spans="2:11" x14ac:dyDescent="0.35">
      <c r="B22" s="64"/>
      <c r="C22" s="81"/>
      <c r="D22" s="182"/>
      <c r="E22" s="186"/>
      <c r="F22" s="182"/>
      <c r="G22" s="68"/>
      <c r="H22" s="294">
        <f t="shared" si="0"/>
        <v>0</v>
      </c>
      <c r="I22" s="192"/>
    </row>
    <row r="23" spans="2:11" ht="15" thickBot="1" x14ac:dyDescent="0.4">
      <c r="B23" s="64"/>
      <c r="C23" s="83"/>
      <c r="D23" s="183"/>
      <c r="E23" s="187"/>
      <c r="F23" s="183"/>
      <c r="G23" s="71"/>
      <c r="H23" s="295">
        <f t="shared" si="0"/>
        <v>0</v>
      </c>
      <c r="I23" s="193"/>
    </row>
    <row r="24" spans="2:11" ht="15" thickBot="1" x14ac:dyDescent="0.4">
      <c r="C24" s="92"/>
      <c r="D24" s="229"/>
      <c r="E24" s="229"/>
      <c r="F24" s="230" t="s">
        <v>91</v>
      </c>
      <c r="G24" s="229"/>
      <c r="H24" s="299">
        <f>SUM(H12:H23)</f>
        <v>4200000</v>
      </c>
    </row>
    <row r="25" spans="2:11" ht="15" thickBot="1" x14ac:dyDescent="0.4"/>
    <row r="26" spans="2:11" ht="15" thickBot="1" x14ac:dyDescent="0.4">
      <c r="B26" s="101">
        <v>2</v>
      </c>
      <c r="C26" s="318" t="s">
        <v>225</v>
      </c>
      <c r="D26" s="319"/>
      <c r="E26" s="319"/>
      <c r="F26" s="319"/>
      <c r="G26" s="319"/>
      <c r="H26" s="319"/>
      <c r="I26" s="319"/>
      <c r="J26" s="319"/>
      <c r="K26" s="320"/>
    </row>
    <row r="27" spans="2:11" ht="43.5" x14ac:dyDescent="0.35">
      <c r="B27" s="119"/>
      <c r="C27" s="96" t="s">
        <v>23</v>
      </c>
      <c r="D27" s="97" t="s">
        <v>119</v>
      </c>
      <c r="E27" s="97" t="s">
        <v>99</v>
      </c>
      <c r="F27" s="97" t="s">
        <v>120</v>
      </c>
      <c r="G27" s="97" t="s">
        <v>121</v>
      </c>
      <c r="H27" s="97" t="s">
        <v>100</v>
      </c>
      <c r="I27" s="97" t="s">
        <v>96</v>
      </c>
      <c r="J27" s="97" t="s">
        <v>24</v>
      </c>
      <c r="K27" s="118" t="s">
        <v>79</v>
      </c>
    </row>
    <row r="28" spans="2:11" x14ac:dyDescent="0.35">
      <c r="B28" s="119"/>
      <c r="C28" s="81"/>
      <c r="D28" s="172"/>
      <c r="E28" s="172"/>
      <c r="F28" s="195"/>
      <c r="G28" s="36"/>
      <c r="H28" s="255">
        <f>MAX(0,D28-E28)</f>
        <v>0</v>
      </c>
      <c r="I28" s="36"/>
      <c r="J28" s="258">
        <f t="shared" ref="J28:J31" si="1">H28*I28</f>
        <v>0</v>
      </c>
      <c r="K28" s="116"/>
    </row>
    <row r="29" spans="2:11" x14ac:dyDescent="0.35">
      <c r="B29" s="119"/>
      <c r="C29" s="81"/>
      <c r="D29" s="172"/>
      <c r="E29" s="172"/>
      <c r="F29" s="195"/>
      <c r="G29" s="36"/>
      <c r="H29" s="255">
        <f>MAX(0,D29-E29)</f>
        <v>0</v>
      </c>
      <c r="I29" s="36"/>
      <c r="J29" s="258">
        <f t="shared" si="1"/>
        <v>0</v>
      </c>
      <c r="K29" s="116"/>
    </row>
    <row r="30" spans="2:11" x14ac:dyDescent="0.35">
      <c r="B30" s="119"/>
      <c r="C30" s="81"/>
      <c r="D30" s="172"/>
      <c r="E30" s="172"/>
      <c r="F30" s="195"/>
      <c r="G30" s="36"/>
      <c r="H30" s="255">
        <f>MAX(0,D30-E30)</f>
        <v>0</v>
      </c>
      <c r="I30" s="36"/>
      <c r="J30" s="258">
        <f t="shared" si="1"/>
        <v>0</v>
      </c>
      <c r="K30" s="116"/>
    </row>
    <row r="31" spans="2:11" ht="15" thickBot="1" x14ac:dyDescent="0.4">
      <c r="B31" s="119"/>
      <c r="C31" s="83"/>
      <c r="D31" s="173"/>
      <c r="E31" s="173"/>
      <c r="F31" s="196"/>
      <c r="G31" s="38"/>
      <c r="H31" s="264">
        <f>MAX(0,D31-E31)</f>
        <v>0</v>
      </c>
      <c r="I31" s="38"/>
      <c r="J31" s="281">
        <f t="shared" si="1"/>
        <v>0</v>
      </c>
      <c r="K31" s="112"/>
    </row>
    <row r="32" spans="2:11" x14ac:dyDescent="0.35">
      <c r="B32" s="64"/>
      <c r="C32" s="64"/>
      <c r="D32" s="64"/>
      <c r="E32" s="64"/>
      <c r="I32" s="56" t="s">
        <v>91</v>
      </c>
      <c r="J32" s="291">
        <f>SUM(J28:J31)</f>
        <v>0</v>
      </c>
    </row>
    <row r="33" spans="2:4" ht="15" thickBot="1" x14ac:dyDescent="0.4"/>
    <row r="34" spans="2:4" ht="15" thickBot="1" x14ac:dyDescent="0.4">
      <c r="B34" s="101">
        <v>3</v>
      </c>
      <c r="C34" s="101" t="s">
        <v>226</v>
      </c>
      <c r="D34" s="215"/>
    </row>
    <row r="35" spans="2:4" x14ac:dyDescent="0.35">
      <c r="B35" s="64"/>
      <c r="C35" s="100"/>
      <c r="D35" s="97" t="s">
        <v>24</v>
      </c>
    </row>
    <row r="36" spans="2:4" ht="29" x14ac:dyDescent="0.35">
      <c r="B36" s="64"/>
      <c r="C36" s="53" t="str">
        <f>C10</f>
        <v>Costs for organizing/attending review and monitoring activities</v>
      </c>
      <c r="D36" s="292">
        <f>H24</f>
        <v>4200000</v>
      </c>
    </row>
    <row r="37" spans="2:4" x14ac:dyDescent="0.35">
      <c r="B37" s="64"/>
      <c r="C37" s="53" t="str">
        <f>C26</f>
        <v xml:space="preserve">Materials and supplies for quality assurance </v>
      </c>
      <c r="D37" s="292">
        <f>J32</f>
        <v>0</v>
      </c>
    </row>
    <row r="38" spans="2:4" x14ac:dyDescent="0.35">
      <c r="B38" s="64"/>
      <c r="C38" s="53"/>
      <c r="D38" s="292"/>
    </row>
    <row r="39" spans="2:4" x14ac:dyDescent="0.35">
      <c r="B39" s="64"/>
      <c r="C39" s="53"/>
      <c r="D39" s="292"/>
    </row>
    <row r="40" spans="2:4" ht="15" thickBot="1" x14ac:dyDescent="0.4">
      <c r="B40" s="64"/>
      <c r="C40" s="121"/>
      <c r="D40" s="297"/>
    </row>
    <row r="41" spans="2:4" ht="15" thickBot="1" x14ac:dyDescent="0.4">
      <c r="B41" s="64"/>
      <c r="C41" s="231" t="s">
        <v>92</v>
      </c>
      <c r="D41" s="298">
        <f>SUM(D36:D40)</f>
        <v>4200000</v>
      </c>
    </row>
  </sheetData>
  <sheetProtection algorithmName="SHA-512" hashValue="8yIsr+BQb0GauXDfu7CU0vndq9N2ZGuHw9b3IUqRUnRI4Orw/KTs6tkle3oVh7qzCvqmNYowuAPzeWCt5u15rw==" saltValue="rYTReHWNUpgv1k/Bu6rUqw==" spinCount="100000" sheet="1" objects="1" scenarios="1" formatCells="0" formatColumns="0" formatRows="0" insertColumns="0" insertRows="0" insertHyperlinks="0"/>
  <mergeCells count="3">
    <mergeCell ref="B8:K8"/>
    <mergeCell ref="C26:K26"/>
    <mergeCell ref="C10:I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8222B-3204-4D03-8493-39A728B45148}">
  <sheetPr codeName="Sheet2"/>
  <dimension ref="A1:I21"/>
  <sheetViews>
    <sheetView zoomScaleNormal="100" workbookViewId="0">
      <selection activeCell="G28" sqref="G28"/>
    </sheetView>
  </sheetViews>
  <sheetFormatPr defaultRowHeight="14.5" x14ac:dyDescent="0.35"/>
  <cols>
    <col min="1" max="1" width="4.7265625" style="29" customWidth="1"/>
    <col min="2" max="2" width="27.1796875" style="29" customWidth="1"/>
    <col min="3" max="3" width="16.6328125" style="29" customWidth="1"/>
    <col min="4" max="4" width="27.81640625" style="29" customWidth="1"/>
    <col min="5" max="5" width="13.36328125" style="29" customWidth="1"/>
    <col min="6" max="6" width="19.453125" style="29" customWidth="1"/>
    <col min="7" max="9" width="12.6328125" style="29" customWidth="1"/>
    <col min="10" max="16384" width="8.7265625" style="29"/>
  </cols>
  <sheetData>
    <row r="1" spans="1:9" ht="28.5" x14ac:dyDescent="0.65">
      <c r="A1" s="28" t="s">
        <v>227</v>
      </c>
    </row>
    <row r="5" spans="1:9" x14ac:dyDescent="0.35">
      <c r="B5" s="104" t="s">
        <v>236</v>
      </c>
      <c r="D5" s="143"/>
      <c r="E5" s="102" t="s">
        <v>237</v>
      </c>
      <c r="G5" s="144"/>
    </row>
    <row r="6" spans="1:9" x14ac:dyDescent="0.35">
      <c r="B6" s="104" t="s">
        <v>235</v>
      </c>
      <c r="D6" s="145"/>
      <c r="E6" s="102"/>
    </row>
    <row r="7" spans="1:9" x14ac:dyDescent="0.35">
      <c r="B7" s="104"/>
      <c r="F7" s="102"/>
    </row>
    <row r="8" spans="1:9" x14ac:dyDescent="0.35">
      <c r="B8" s="145" t="str">
        <f>name</f>
        <v>XX primary health center</v>
      </c>
      <c r="C8" s="145"/>
      <c r="D8" s="254" t="str">
        <f>_xlfn.CONCAT(TEXT(Backpage!C24,"mm/yyyy")," - ",TEXT(Backpage!C25,"mm/yyyy"))</f>
        <v>01/2025 - 12/2025</v>
      </c>
    </row>
    <row r="9" spans="1:9" ht="15" thickBot="1" x14ac:dyDescent="0.4"/>
    <row r="10" spans="1:9" ht="15" thickBot="1" x14ac:dyDescent="0.4">
      <c r="B10" s="101" t="s">
        <v>22</v>
      </c>
      <c r="C10" s="214"/>
      <c r="D10" s="214"/>
      <c r="E10" s="214"/>
      <c r="F10" s="214"/>
      <c r="G10" s="214"/>
      <c r="H10" s="214"/>
      <c r="I10" s="215"/>
    </row>
    <row r="11" spans="1:9" ht="43.5" x14ac:dyDescent="0.35">
      <c r="B11" s="99" t="s">
        <v>23</v>
      </c>
      <c r="C11" s="97" t="s">
        <v>24</v>
      </c>
      <c r="D11" s="97" t="s">
        <v>27</v>
      </c>
      <c r="E11" s="97" t="s">
        <v>29</v>
      </c>
      <c r="F11" s="97" t="s">
        <v>28</v>
      </c>
      <c r="G11" s="97" t="s">
        <v>29</v>
      </c>
      <c r="H11" s="97" t="s">
        <v>25</v>
      </c>
      <c r="I11" s="98" t="s">
        <v>26</v>
      </c>
    </row>
    <row r="12" spans="1:9" x14ac:dyDescent="0.35">
      <c r="B12" s="32" t="s">
        <v>30</v>
      </c>
      <c r="C12" s="255">
        <f>'3. Vaccine demand'!L31+'3. Vaccine demand'!F56</f>
        <v>0</v>
      </c>
      <c r="D12" s="37" t="s">
        <v>47</v>
      </c>
      <c r="E12" s="36"/>
      <c r="F12" s="37"/>
      <c r="G12" s="36"/>
      <c r="H12" s="255">
        <f>E12+G12</f>
        <v>0</v>
      </c>
      <c r="I12" s="258">
        <f>MAX(0,C12-H12)</f>
        <v>0</v>
      </c>
    </row>
    <row r="13" spans="1:9" x14ac:dyDescent="0.35">
      <c r="B13" s="32" t="s">
        <v>31</v>
      </c>
      <c r="C13" s="255">
        <f>'4. Injection supplies'!H71</f>
        <v>911575</v>
      </c>
      <c r="D13" s="37" t="s">
        <v>48</v>
      </c>
      <c r="E13" s="36"/>
      <c r="F13" s="37"/>
      <c r="G13" s="36"/>
      <c r="H13" s="255">
        <f t="shared" ref="H13:H20" si="0">E13+G13</f>
        <v>0</v>
      </c>
      <c r="I13" s="258">
        <f t="shared" ref="I13:I20" si="1">MAX(0,C13-H13)</f>
        <v>911575</v>
      </c>
    </row>
    <row r="14" spans="1:9" x14ac:dyDescent="0.35">
      <c r="B14" s="32" t="s">
        <v>32</v>
      </c>
      <c r="C14" s="255">
        <f>'5. Cold chain'!E62</f>
        <v>51500000</v>
      </c>
      <c r="D14" s="37" t="s">
        <v>47</v>
      </c>
      <c r="E14" s="36"/>
      <c r="F14" s="37"/>
      <c r="G14" s="36"/>
      <c r="H14" s="255">
        <f t="shared" si="0"/>
        <v>0</v>
      </c>
      <c r="I14" s="258">
        <f t="shared" si="1"/>
        <v>51500000</v>
      </c>
    </row>
    <row r="15" spans="1:9" x14ac:dyDescent="0.35">
      <c r="B15" s="32" t="s">
        <v>33</v>
      </c>
      <c r="C15" s="255">
        <f>'6. Personnel'!G40</f>
        <v>14040000</v>
      </c>
      <c r="D15" s="37" t="s">
        <v>50</v>
      </c>
      <c r="E15" s="36"/>
      <c r="F15" s="37"/>
      <c r="G15" s="36"/>
      <c r="H15" s="255">
        <f t="shared" si="0"/>
        <v>0</v>
      </c>
      <c r="I15" s="258">
        <f t="shared" si="1"/>
        <v>14040000</v>
      </c>
    </row>
    <row r="16" spans="1:9" x14ac:dyDescent="0.35">
      <c r="B16" s="32" t="s">
        <v>34</v>
      </c>
      <c r="C16" s="255">
        <f>'7. Transportation'!D34</f>
        <v>1920000</v>
      </c>
      <c r="D16" s="37"/>
      <c r="E16" s="36"/>
      <c r="F16" s="37"/>
      <c r="G16" s="36"/>
      <c r="H16" s="255">
        <f t="shared" si="0"/>
        <v>0</v>
      </c>
      <c r="I16" s="258">
        <f t="shared" si="1"/>
        <v>1920000</v>
      </c>
    </row>
    <row r="17" spans="2:9" x14ac:dyDescent="0.35">
      <c r="B17" s="32" t="s">
        <v>35</v>
      </c>
      <c r="C17" s="255">
        <f>'8. Outreach'!D99</f>
        <v>55305440</v>
      </c>
      <c r="D17" s="37"/>
      <c r="E17" s="36"/>
      <c r="F17" s="37"/>
      <c r="G17" s="36"/>
      <c r="H17" s="255">
        <f t="shared" si="0"/>
        <v>0</v>
      </c>
      <c r="I17" s="258">
        <f t="shared" si="1"/>
        <v>55305440</v>
      </c>
    </row>
    <row r="18" spans="2:9" x14ac:dyDescent="0.35">
      <c r="B18" s="32" t="s">
        <v>36</v>
      </c>
      <c r="C18" s="255">
        <f>'9. Training &amp; mobilization'!D49</f>
        <v>8800000</v>
      </c>
      <c r="D18" s="37"/>
      <c r="E18" s="36"/>
      <c r="F18" s="37"/>
      <c r="G18" s="36"/>
      <c r="H18" s="255">
        <f t="shared" si="0"/>
        <v>0</v>
      </c>
      <c r="I18" s="258">
        <f t="shared" si="1"/>
        <v>8800000</v>
      </c>
    </row>
    <row r="19" spans="2:9" x14ac:dyDescent="0.35">
      <c r="B19" s="33" t="s">
        <v>37</v>
      </c>
      <c r="C19" s="256">
        <f>'10. Microplanning'!D59</f>
        <v>2680000</v>
      </c>
      <c r="D19" s="37"/>
      <c r="E19" s="45"/>
      <c r="F19" s="37"/>
      <c r="G19" s="45"/>
      <c r="H19" s="255">
        <f t="shared" si="0"/>
        <v>0</v>
      </c>
      <c r="I19" s="258">
        <f t="shared" si="1"/>
        <v>2680000</v>
      </c>
    </row>
    <row r="20" spans="2:9" ht="15" thickBot="1" x14ac:dyDescent="0.4">
      <c r="B20" s="223" t="s">
        <v>38</v>
      </c>
      <c r="C20" s="256">
        <f>'11. Quality assurance'!D41</f>
        <v>4200000</v>
      </c>
      <c r="D20" s="37"/>
      <c r="E20" s="45"/>
      <c r="F20" s="37"/>
      <c r="G20" s="45"/>
      <c r="H20" s="255">
        <f t="shared" si="0"/>
        <v>0</v>
      </c>
      <c r="I20" s="258">
        <f t="shared" si="1"/>
        <v>4200000</v>
      </c>
    </row>
    <row r="21" spans="2:9" ht="15" thickBot="1" x14ac:dyDescent="0.4">
      <c r="B21" s="43" t="s">
        <v>91</v>
      </c>
      <c r="C21" s="257">
        <f>SUM(C12:C20)</f>
        <v>139357015</v>
      </c>
      <c r="D21" s="219"/>
      <c r="E21" s="257">
        <f>SUM(E12:E20)</f>
        <v>0</v>
      </c>
      <c r="F21" s="219"/>
      <c r="G21" s="257">
        <f>SUM(G12:G20)</f>
        <v>0</v>
      </c>
      <c r="H21" s="257">
        <f t="shared" ref="H21:I21" si="2">SUM(H12:H20)</f>
        <v>0</v>
      </c>
      <c r="I21" s="259">
        <f t="shared" si="2"/>
        <v>139357015</v>
      </c>
    </row>
  </sheetData>
  <sheetProtection algorithmName="SHA-512" hashValue="koGoA/sRUy/CVqtJSYlGu52h0CpAVHcw2SKq0PlC/e7svgpS/Jq4QU2K+COzn8Z0ElZTKljEIz7bhOy/iQKUhw==" saltValue="L5ymIe/MakYigJskjfJbXQ==" spinCount="100000" sheet="1" objects="1" scenarios="1" formatCells="0" formatColumns="0" formatRows="0" insertColumns="0" insertRows="0" insertHyperlinks="0"/>
  <dataValidations count="1">
    <dataValidation type="list" allowBlank="1" showInputMessage="1" showErrorMessage="1" sqref="D12:D20 F12:F20" xr:uid="{D585FF22-BE9C-4D68-BF1C-93E6E4F47A31}">
      <formula1>source</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DCF77-46CE-429C-A247-8C48B6CB529F}">
  <dimension ref="B2:L25"/>
  <sheetViews>
    <sheetView workbookViewId="0">
      <selection activeCell="H3" sqref="H3"/>
    </sheetView>
  </sheetViews>
  <sheetFormatPr defaultRowHeight="14.5" x14ac:dyDescent="0.35"/>
  <cols>
    <col min="2" max="2" width="16.6328125" customWidth="1"/>
    <col min="3" max="3" width="14.81640625" bestFit="1" customWidth="1"/>
    <col min="5" max="5" width="20.453125" customWidth="1"/>
    <col min="7" max="7" width="11.90625" customWidth="1"/>
    <col min="9" max="9" width="13.08984375" bestFit="1" customWidth="1"/>
    <col min="10" max="10" width="21" customWidth="1"/>
    <col min="11" max="11" width="13.08984375" bestFit="1" customWidth="1"/>
    <col min="12" max="12" width="14.90625" customWidth="1"/>
  </cols>
  <sheetData>
    <row r="2" spans="2:12" x14ac:dyDescent="0.35">
      <c r="C2" t="s">
        <v>7</v>
      </c>
      <c r="D2" t="s">
        <v>6</v>
      </c>
      <c r="E2" t="s">
        <v>8</v>
      </c>
      <c r="F2" t="s">
        <v>6</v>
      </c>
      <c r="G2" t="s">
        <v>11</v>
      </c>
      <c r="H2" t="s">
        <v>12</v>
      </c>
      <c r="I2" t="s">
        <v>13</v>
      </c>
      <c r="J2" t="s">
        <v>14</v>
      </c>
      <c r="K2" t="s">
        <v>15</v>
      </c>
      <c r="L2" t="s">
        <v>16</v>
      </c>
    </row>
    <row r="3" spans="2:12" x14ac:dyDescent="0.35">
      <c r="B3" t="str">
        <f>IF(ISBLANK('2. RI info'!C72),"",'2. RI info'!C72)</f>
        <v>BCG</v>
      </c>
      <c r="C3" t="str">
        <f>IF(ISBLANK('2. RI info'!D72),"",'2. RI info'!D72)</f>
        <v>Syringe 0.1 mL</v>
      </c>
      <c r="D3" s="165">
        <f>IF(C3="",0,'3. Vaccine demand'!J10)</f>
        <v>160</v>
      </c>
      <c r="E3" t="str">
        <f>IF(ISBLANK('2. RI info'!E72),"",'2. RI info'!E72)</f>
        <v>Syringe 5 mL</v>
      </c>
      <c r="F3">
        <f>IF(E3="",0,'3. Vaccine demand'!J10)</f>
        <v>160</v>
      </c>
      <c r="G3" t="str">
        <f>IF('2. RI info'!$F72="Yes",CONCATENATE("Diluent ",'2. RI info'!$C72),"")</f>
        <v>Diluent BCG</v>
      </c>
      <c r="H3" s="166">
        <f>IF('2. RI info'!F72="Yes",1,0)*'3. Vaccine demand'!J10</f>
        <v>160</v>
      </c>
      <c r="I3">
        <f>IFERROR(ROUNDUP(VLOOKUP(VLOOKUP(Backpage!B3,'2. RI info'!$C$71:$M$91,8,FALSE),'2. RI info'!$C$48:$D$68,2,FALSE)/12*months,0),0)</f>
        <v>50</v>
      </c>
      <c r="J3">
        <f>IFERROR(ROUNDUP(VLOOKUP(VLOOKUP(Backpage!B3,'2. RI info'!$C$71:$M$91,9,FALSE),'2. RI info'!$C$48:$D$68,2,FALSE)/12*months,0),0)</f>
        <v>0</v>
      </c>
      <c r="K3">
        <f>IFERROR(ROUNDUP(VLOOKUP(VLOOKUP(Backpage!B3,'2. RI info'!$C$71:$M$91,10,FALSE),'2. RI info'!$C$48:$D$68,2,FALSE)/12*months,0),0)</f>
        <v>0</v>
      </c>
      <c r="L3">
        <f>IFERROR(ROUNDUP(VLOOKUP(VLOOKUP(Backpage!B3,'2. RI info'!$C$71:$M$91,11,FALSE),'2. RI info'!$C$48:$D$68,2,FALSE)/12*months,0),0)</f>
        <v>0</v>
      </c>
    </row>
    <row r="4" spans="2:12" x14ac:dyDescent="0.35">
      <c r="B4" t="str">
        <f>IF(ISBLANK('2. RI info'!C73),"",'2. RI info'!C73)</f>
        <v>Hep B</v>
      </c>
      <c r="C4" t="str">
        <f>IF(ISBLANK('2. RI info'!D73),"",'2. RI info'!D73)</f>
        <v>Syringe AD 0.5 mL</v>
      </c>
      <c r="D4" s="165">
        <f>IF(C4="",0,'3. Vaccine demand'!J11)</f>
        <v>106</v>
      </c>
      <c r="E4" t="str">
        <f>IF(ISBLANK('2. RI info'!E73),"",'2. RI info'!E73)</f>
        <v/>
      </c>
      <c r="F4">
        <f>IF(E4="",0,'3. Vaccine demand'!J11)</f>
        <v>0</v>
      </c>
      <c r="G4" t="str">
        <f>IF('2. RI info'!$F73="Yes",CONCATENATE("Diluent ",'2. RI info'!$C73),"")</f>
        <v/>
      </c>
      <c r="H4" s="166">
        <f>IF('2. RI info'!F73="Yes",1,0)*'3. Vaccine demand'!J11</f>
        <v>0</v>
      </c>
      <c r="I4">
        <f>IFERROR(ROUNDUP(VLOOKUP(VLOOKUP(Backpage!B4,'2. RI info'!$C$71:$M$91,8,FALSE),'2. RI info'!$C$48:$D$68,2,FALSE)/12*months,0),0)</f>
        <v>50</v>
      </c>
      <c r="J4">
        <f>IFERROR(ROUNDUP(VLOOKUP(VLOOKUP(Backpage!B4,'2. RI info'!$C$71:$M$91,9,FALSE),'2. RI info'!$C$48:$D$68,2,FALSE)/12*months,0),0)</f>
        <v>0</v>
      </c>
      <c r="K4">
        <f>IFERROR(ROUNDUP(VLOOKUP(VLOOKUP(Backpage!B4,'2. RI info'!$C$71:$M$91,10,FALSE),'2. RI info'!$C$48:$D$68,2,FALSE)/12*months,0),0)</f>
        <v>0</v>
      </c>
      <c r="L4">
        <f>IFERROR(ROUNDUP(VLOOKUP(VLOOKUP(Backpage!B4,'2. RI info'!$C$71:$M$91,11,FALSE),'2. RI info'!$C$48:$D$68,2,FALSE)/12*months,0),0)</f>
        <v>0</v>
      </c>
    </row>
    <row r="5" spans="2:12" x14ac:dyDescent="0.35">
      <c r="B5" t="str">
        <f>IF(ISBLANK('2. RI info'!C74),"",'2. RI info'!C74)</f>
        <v>DPT-VGB-Hib (SII)</v>
      </c>
      <c r="C5" t="str">
        <f>IF(ISBLANK('2. RI info'!D74),"",'2. RI info'!D74)</f>
        <v>Syringe AD 0.5 mL</v>
      </c>
      <c r="D5" s="165">
        <f>IF(C5="",0,'3. Vaccine demand'!J12)</f>
        <v>441</v>
      </c>
      <c r="E5" t="str">
        <f>IF(ISBLANK('2. RI info'!E74),"",'2. RI info'!E74)</f>
        <v/>
      </c>
      <c r="F5">
        <f>IF(E5="",0,'3. Vaccine demand'!J12)</f>
        <v>0</v>
      </c>
      <c r="G5" t="str">
        <f>IF('2. RI info'!$F74="Yes",CONCATENATE("Diluent ",'2. RI info'!$C74),"")</f>
        <v/>
      </c>
      <c r="H5" s="166">
        <f>IF('2. RI info'!F74="Yes",1,0)*'3. Vaccine demand'!J12</f>
        <v>0</v>
      </c>
      <c r="I5">
        <f>IFERROR(ROUNDUP(VLOOKUP(VLOOKUP(Backpage!B5,'2. RI info'!$C$71:$M$91,8,FALSE),'2. RI info'!$C$48:$D$68,2,FALSE)/12*months,0),0)</f>
        <v>50</v>
      </c>
      <c r="J5">
        <f>IFERROR(ROUNDUP(VLOOKUP(VLOOKUP(Backpage!B5,'2. RI info'!$C$71:$M$91,9,FALSE),'2. RI info'!$C$48:$D$68,2,FALSE)/12*months,0),0)</f>
        <v>50</v>
      </c>
      <c r="K5">
        <f>IFERROR(ROUNDUP(VLOOKUP(VLOOKUP(Backpage!B5,'2. RI info'!$C$71:$M$91,10,FALSE),'2. RI info'!$C$48:$D$68,2,FALSE)/12*months,0),0)</f>
        <v>50</v>
      </c>
      <c r="L5">
        <f>IFERROR(ROUNDUP(VLOOKUP(VLOOKUP(Backpage!B5,'2. RI info'!$C$71:$M$91,11,FALSE),'2. RI info'!$C$48:$D$68,2,FALSE)/12*months,0),0)</f>
        <v>0</v>
      </c>
    </row>
    <row r="6" spans="2:12" x14ac:dyDescent="0.35">
      <c r="B6" t="str">
        <f>IF(ISBLANK('2. RI info'!C75),"",'2. RI info'!C75)</f>
        <v>OPV</v>
      </c>
      <c r="C6" t="str">
        <f>IF(ISBLANK('2. RI info'!D75),"",'2. RI info'!D75)</f>
        <v/>
      </c>
      <c r="D6" s="165">
        <f>IF(C6="",0,'3. Vaccine demand'!J13)</f>
        <v>0</v>
      </c>
      <c r="E6" t="str">
        <f>IF(ISBLANK('2. RI info'!E75),"",'2. RI info'!E75)</f>
        <v/>
      </c>
      <c r="F6">
        <f>IF(E6="",0,'3. Vaccine demand'!J13)</f>
        <v>0</v>
      </c>
      <c r="G6" t="str">
        <f>IF('2. RI info'!$F75="Yes",CONCATENATE("Diluent ",'2. RI info'!$C75),"")</f>
        <v/>
      </c>
      <c r="H6" s="166">
        <f>IF('2. RI info'!F75="Yes",1,0)*'3. Vaccine demand'!J13</f>
        <v>0</v>
      </c>
      <c r="I6">
        <f>IFERROR(ROUNDUP(VLOOKUP(VLOOKUP(Backpage!B6,'2. RI info'!$C$71:$M$91,8,FALSE),'2. RI info'!$C$48:$D$68,2,FALSE)/12*months,0),0)</f>
        <v>50</v>
      </c>
      <c r="J6">
        <f>IFERROR(ROUNDUP(VLOOKUP(VLOOKUP(Backpage!B6,'2. RI info'!$C$71:$M$91,9,FALSE),'2. RI info'!$C$48:$D$68,2,FALSE)/12*months,0),0)</f>
        <v>50</v>
      </c>
      <c r="K6">
        <f>IFERROR(ROUNDUP(VLOOKUP(VLOOKUP(Backpage!B6,'2. RI info'!$C$71:$M$91,10,FALSE),'2. RI info'!$C$48:$D$68,2,FALSE)/12*months,0),0)</f>
        <v>50</v>
      </c>
      <c r="L6">
        <f>IFERROR(ROUNDUP(VLOOKUP(VLOOKUP(Backpage!B6,'2. RI info'!$C$71:$M$91,11,FALSE),'2. RI info'!$C$48:$D$68,2,FALSE)/12*months,0),0)</f>
        <v>0</v>
      </c>
    </row>
    <row r="7" spans="2:12" x14ac:dyDescent="0.35">
      <c r="B7" t="str">
        <f>IF(ISBLANK('2. RI info'!C76),"",'2. RI info'!C76)</f>
        <v>IPV</v>
      </c>
      <c r="C7" t="str">
        <f>IF(ISBLANK('2. RI info'!D76),"",'2. RI info'!D76)</f>
        <v>Syringe AD 0.5 mL</v>
      </c>
      <c r="D7" s="165">
        <f>IF(C7="",0,'3. Vaccine demand'!J14)</f>
        <v>300</v>
      </c>
      <c r="E7" t="str">
        <f>IF(ISBLANK('2. RI info'!E76),"",'2. RI info'!E76)</f>
        <v/>
      </c>
      <c r="F7">
        <f>IF(E7="",0,'3. Vaccine demand'!J14)</f>
        <v>0</v>
      </c>
      <c r="G7" t="str">
        <f>IF('2. RI info'!$F76="Yes",CONCATENATE("Diluent ",'2. RI info'!$C76),"")</f>
        <v/>
      </c>
      <c r="H7" s="166">
        <f>IF('2. RI info'!F76="Yes",1,0)*'3. Vaccine demand'!J14</f>
        <v>0</v>
      </c>
      <c r="I7">
        <f>IFERROR(ROUNDUP(VLOOKUP(VLOOKUP(Backpage!B7,'2. RI info'!$C$71:$M$91,8,FALSE),'2. RI info'!$C$48:$D$68,2,FALSE)/12*months,0),0)</f>
        <v>50</v>
      </c>
      <c r="J7">
        <f>IFERROR(ROUNDUP(VLOOKUP(VLOOKUP(Backpage!B7,'2. RI info'!$C$71:$M$91,9,FALSE),'2. RI info'!$C$48:$D$68,2,FALSE)/12*months,0),0)</f>
        <v>50</v>
      </c>
      <c r="K7">
        <f>IFERROR(ROUNDUP(VLOOKUP(VLOOKUP(Backpage!B7,'2. RI info'!$C$71:$M$91,10,FALSE),'2. RI info'!$C$48:$D$68,2,FALSE)/12*months,0),0)</f>
        <v>0</v>
      </c>
      <c r="L7">
        <f>IFERROR(ROUNDUP(VLOOKUP(VLOOKUP(Backpage!B7,'2. RI info'!$C$71:$M$91,11,FALSE),'2. RI info'!$C$48:$D$68,2,FALSE)/12*months,0),0)</f>
        <v>0</v>
      </c>
    </row>
    <row r="8" spans="2:12" x14ac:dyDescent="0.35">
      <c r="B8" t="str">
        <f>IF(ISBLANK('2. RI info'!C77),"",'2. RI info'!C77)</f>
        <v>Measles</v>
      </c>
      <c r="C8" t="str">
        <f>IF(ISBLANK('2. RI info'!D77),"",'2. RI info'!D77)</f>
        <v>Syringe AD 0.5 mL</v>
      </c>
      <c r="D8" s="165">
        <f>IF(C8="",0,'3. Vaccine demand'!J15)</f>
        <v>250</v>
      </c>
      <c r="E8" t="str">
        <f>IF(ISBLANK('2. RI info'!E77),"",'2. RI info'!E77)</f>
        <v>Syringe 5 mL</v>
      </c>
      <c r="F8">
        <f>IF(E8="",0,'3. Vaccine demand'!J15)</f>
        <v>250</v>
      </c>
      <c r="G8" t="str">
        <f>IF('2. RI info'!$F77="Yes",CONCATENATE("Diluent ",'2. RI info'!$C77),"")</f>
        <v>Diluent Measles</v>
      </c>
      <c r="H8" s="166">
        <f>IF('2. RI info'!F77="Yes",1,0)*'3. Vaccine demand'!J15</f>
        <v>250</v>
      </c>
      <c r="I8">
        <f>IFERROR(ROUNDUP(VLOOKUP(VLOOKUP(Backpage!B8,'2. RI info'!$C$71:$M$91,8,FALSE),'2. RI info'!$C$48:$D$68,2,FALSE)/12*months,0),0)</f>
        <v>50</v>
      </c>
      <c r="J8">
        <f>IFERROR(ROUNDUP(VLOOKUP(VLOOKUP(Backpage!B8,'2. RI info'!$C$71:$M$91,9,FALSE),'2. RI info'!$C$48:$D$68,2,FALSE)/12*months,0),0)</f>
        <v>0</v>
      </c>
      <c r="K8">
        <f>IFERROR(ROUNDUP(VLOOKUP(VLOOKUP(Backpage!B8,'2. RI info'!$C$71:$M$91,10,FALSE),'2. RI info'!$C$48:$D$68,2,FALSE)/12*months,0),0)</f>
        <v>0</v>
      </c>
      <c r="L8">
        <f>IFERROR(ROUNDUP(VLOOKUP(VLOOKUP(Backpage!B8,'2. RI info'!$C$71:$M$91,11,FALSE),'2. RI info'!$C$48:$D$68,2,FALSE)/12*months,0),0)</f>
        <v>50</v>
      </c>
    </row>
    <row r="9" spans="2:12" x14ac:dyDescent="0.35">
      <c r="B9" t="str">
        <f>IF(ISBLANK('2. RI info'!C78),"",'2. RI info'!C78)</f>
        <v>Measles-Rubella</v>
      </c>
      <c r="C9" t="str">
        <f>IF(ISBLANK('2. RI info'!D78),"",'2. RI info'!D78)</f>
        <v>Syringe AD 0.5 mL</v>
      </c>
      <c r="D9" s="165">
        <f>IF(C9="",0,'3. Vaccine demand'!J16)</f>
        <v>160</v>
      </c>
      <c r="E9" t="str">
        <f>IF(ISBLANK('2. RI info'!E78),"",'2. RI info'!E78)</f>
        <v>Syringe 5 mL</v>
      </c>
      <c r="F9">
        <f>IF(E9="",0,'3. Vaccine demand'!J16)</f>
        <v>160</v>
      </c>
      <c r="G9" t="str">
        <f>IF('2. RI info'!$F78="Yes",CONCATENATE("Diluent ",'2. RI info'!$C78),"")</f>
        <v>Diluent Measles-Rubella</v>
      </c>
      <c r="H9" s="166">
        <f>IF('2. RI info'!F78="Yes",1,0)*'3. Vaccine demand'!J16</f>
        <v>160</v>
      </c>
      <c r="I9">
        <f>IFERROR(ROUNDUP(VLOOKUP(VLOOKUP(Backpage!B9,'2. RI info'!$C$71:$M$91,8,FALSE),'2. RI info'!$C$48:$D$68,2,FALSE)/12*months,0),0)</f>
        <v>50</v>
      </c>
      <c r="J9">
        <f>IFERROR(ROUNDUP(VLOOKUP(VLOOKUP(Backpage!B9,'2. RI info'!$C$71:$M$91,9,FALSE),'2. RI info'!$C$48:$D$68,2,FALSE)/12*months,0),0)</f>
        <v>0</v>
      </c>
      <c r="K9">
        <f>IFERROR(ROUNDUP(VLOOKUP(VLOOKUP(Backpage!B9,'2. RI info'!$C$71:$M$91,10,FALSE),'2. RI info'!$C$48:$D$68,2,FALSE)/12*months,0),0)</f>
        <v>0</v>
      </c>
      <c r="L9">
        <f>IFERROR(ROUNDUP(VLOOKUP(VLOOKUP(Backpage!B9,'2. RI info'!$C$71:$M$91,11,FALSE),'2. RI info'!$C$48:$D$68,2,FALSE)/12*months,0),0)</f>
        <v>0</v>
      </c>
    </row>
    <row r="10" spans="2:12" x14ac:dyDescent="0.35">
      <c r="B10" t="str">
        <f>IF(ISBLANK('2. RI info'!C79),"",'2. RI info'!C79)</f>
        <v>DPT</v>
      </c>
      <c r="C10" t="str">
        <f>IF(ISBLANK('2. RI info'!D79),"",'2. RI info'!D79)</f>
        <v>Syringe AD 0.5 mL</v>
      </c>
      <c r="D10" s="165">
        <f>IF(C10="",0,'3. Vaccine demand'!J17)</f>
        <v>160</v>
      </c>
      <c r="E10" t="str">
        <f>IF(ISBLANK('2. RI info'!E79),"",'2. RI info'!E79)</f>
        <v/>
      </c>
      <c r="F10">
        <f>IF(E10="",0,'3. Vaccine demand'!J17)</f>
        <v>0</v>
      </c>
      <c r="G10" t="str">
        <f>IF('2. RI info'!$F79="Yes",CONCATENATE("Diluent ",'2. RI info'!$C79),"")</f>
        <v/>
      </c>
      <c r="H10" s="166">
        <f>IF('2. RI info'!F79="Yes",1,0)*'3. Vaccine demand'!J17</f>
        <v>0</v>
      </c>
      <c r="I10">
        <f>IFERROR(ROUNDUP(VLOOKUP(VLOOKUP(Backpage!B10,'2. RI info'!$C$71:$M$91,8,FALSE),'2. RI info'!$C$48:$D$68,2,FALSE)/12*months,0),0)</f>
        <v>50</v>
      </c>
      <c r="J10">
        <f>IFERROR(ROUNDUP(VLOOKUP(VLOOKUP(Backpage!B10,'2. RI info'!$C$71:$M$91,9,FALSE),'2. RI info'!$C$48:$D$68,2,FALSE)/12*months,0),0)</f>
        <v>0</v>
      </c>
      <c r="K10">
        <f>IFERROR(ROUNDUP(VLOOKUP(VLOOKUP(Backpage!B10,'2. RI info'!$C$71:$M$91,10,FALSE),'2. RI info'!$C$48:$D$68,2,FALSE)/12*months,0),0)</f>
        <v>0</v>
      </c>
      <c r="L10">
        <f>IFERROR(ROUNDUP(VLOOKUP(VLOOKUP(Backpage!B10,'2. RI info'!$C$71:$M$91,11,FALSE),'2. RI info'!$C$48:$D$68,2,FALSE)/12*months,0),0)</f>
        <v>0</v>
      </c>
    </row>
    <row r="11" spans="2:12" x14ac:dyDescent="0.35">
      <c r="B11" t="str">
        <f>IF(ISBLANK('2. RI info'!C80),"",'2. RI info'!C80)</f>
        <v>JE</v>
      </c>
      <c r="C11" t="str">
        <f>IF(ISBLANK('2. RI info'!D80),"",'2. RI info'!D80)</f>
        <v>Syringe AD 0.5 mL</v>
      </c>
      <c r="D11" s="165">
        <f>IF(C11="",0,'3. Vaccine demand'!J18)</f>
        <v>620</v>
      </c>
      <c r="E11" t="str">
        <f>IF(ISBLANK('2. RI info'!E80),"",'2. RI info'!E80)</f>
        <v>Syringe 5 mL</v>
      </c>
      <c r="F11">
        <f>IF(E11="",0,'3. Vaccine demand'!J18)</f>
        <v>620</v>
      </c>
      <c r="G11" t="str">
        <f>IF('2. RI info'!$F80="Yes",CONCATENATE("Diluent ",'2. RI info'!$C80),"")</f>
        <v/>
      </c>
      <c r="H11" s="166">
        <f>IF('2. RI info'!F80="Yes",1,0)*'3. Vaccine demand'!J18</f>
        <v>0</v>
      </c>
      <c r="I11">
        <f>IFERROR(ROUNDUP(VLOOKUP(VLOOKUP(Backpage!B11,'2. RI info'!$C$71:$M$91,8,FALSE),'2. RI info'!$C$48:$D$68,2,FALSE)/12*months,0),0)</f>
        <v>80</v>
      </c>
      <c r="J11">
        <f>IFERROR(ROUNDUP(VLOOKUP(VLOOKUP(Backpage!B11,'2. RI info'!$C$71:$M$91,9,FALSE),'2. RI info'!$C$48:$D$68,2,FALSE)/12*months,0),0)</f>
        <v>80</v>
      </c>
      <c r="K11">
        <f>IFERROR(ROUNDUP(VLOOKUP(VLOOKUP(Backpage!B11,'2. RI info'!$C$71:$M$91,10,FALSE),'2. RI info'!$C$48:$D$68,2,FALSE)/12*months,0),0)</f>
        <v>100</v>
      </c>
      <c r="L11">
        <f>IFERROR(ROUNDUP(VLOOKUP(VLOOKUP(Backpage!B11,'2. RI info'!$C$71:$M$91,11,FALSE),'2. RI info'!$C$48:$D$68,2,FALSE)/12*months,0),0)</f>
        <v>0</v>
      </c>
    </row>
    <row r="12" spans="2:12" x14ac:dyDescent="0.35">
      <c r="B12" t="str">
        <f>IF(ISBLANK('2. RI info'!C81),"",'2. RI info'!C81)</f>
        <v>Tetanus</v>
      </c>
      <c r="C12" t="str">
        <f>IF(ISBLANK('2. RI info'!D81),"",'2. RI info'!D81)</f>
        <v>Syringe AD 0.5 mL</v>
      </c>
      <c r="D12" s="165">
        <f>IF(C12="",0,'3. Vaccine demand'!J19)</f>
        <v>320</v>
      </c>
      <c r="E12" t="str">
        <f>IF(ISBLANK('2. RI info'!E81),"",'2. RI info'!E81)</f>
        <v/>
      </c>
      <c r="F12">
        <f>IF(E12="",0,'3. Vaccine demand'!J19)</f>
        <v>0</v>
      </c>
      <c r="G12" t="str">
        <f>IF('2. RI info'!$F81="Yes",CONCATENATE("Diluent ",'2. RI info'!$C81),"")</f>
        <v/>
      </c>
      <c r="H12" s="166">
        <f>IF('2. RI info'!F81="Yes",1,0)*'3. Vaccine demand'!J19</f>
        <v>0</v>
      </c>
      <c r="I12">
        <f>IFERROR(ROUNDUP(VLOOKUP(VLOOKUP(Backpage!B12,'2. RI info'!$C$71:$M$91,8,FALSE),'2. RI info'!$C$48:$D$68,2,FALSE)/12*months,0),0)</f>
        <v>50</v>
      </c>
      <c r="J12">
        <f>IFERROR(ROUNDUP(VLOOKUP(VLOOKUP(Backpage!B12,'2. RI info'!$C$71:$M$91,9,FALSE),'2. RI info'!$C$48:$D$68,2,FALSE)/12*months,0),0)</f>
        <v>50</v>
      </c>
      <c r="K12">
        <f>IFERROR(ROUNDUP(VLOOKUP(VLOOKUP(Backpage!B12,'2. RI info'!$C$71:$M$91,10,FALSE),'2. RI info'!$C$48:$D$68,2,FALSE)/12*months,0),0)</f>
        <v>0</v>
      </c>
      <c r="L12">
        <f>IFERROR(ROUNDUP(VLOOKUP(VLOOKUP(Backpage!B12,'2. RI info'!$C$71:$M$91,11,FALSE),'2. RI info'!$C$48:$D$68,2,FALSE)/12*months,0),0)</f>
        <v>0</v>
      </c>
    </row>
    <row r="13" spans="2:12" x14ac:dyDescent="0.35">
      <c r="B13" t="str">
        <f>IF(ISBLANK('2. RI info'!C82),"",'2. RI info'!C82)</f>
        <v>Td</v>
      </c>
      <c r="C13" t="str">
        <f>IF(ISBLANK('2. RI info'!D82),"",'2. RI info'!D82)</f>
        <v>Syringe AD 0.5 mL</v>
      </c>
      <c r="D13" s="165">
        <f>IF(C13="",0,'3. Vaccine demand'!J20)</f>
        <v>310</v>
      </c>
      <c r="E13" t="str">
        <f>IF(ISBLANK('2. RI info'!E82),"",'2. RI info'!E82)</f>
        <v/>
      </c>
      <c r="F13">
        <f>IF(E13="",0,'3. Vaccine demand'!J20)</f>
        <v>0</v>
      </c>
      <c r="G13" t="str">
        <f>IF('2. RI info'!$F82="Yes",CONCATENATE("Diluent ",'2. RI info'!$C82),"")</f>
        <v/>
      </c>
      <c r="H13" s="166">
        <f>IF('2. RI info'!F82="Yes",1,0)*'3. Vaccine demand'!J20</f>
        <v>0</v>
      </c>
      <c r="I13">
        <f>IFERROR(ROUNDUP(VLOOKUP(VLOOKUP(Backpage!B13,'2. RI info'!$C$71:$M$91,8,FALSE),'2. RI info'!$C$48:$D$68,2,FALSE)/12*months,0),0)</f>
        <v>100</v>
      </c>
      <c r="J13">
        <f>IFERROR(ROUNDUP(VLOOKUP(VLOOKUP(Backpage!B13,'2. RI info'!$C$71:$M$91,9,FALSE),'2. RI info'!$C$48:$D$68,2,FALSE)/12*months,0),0)</f>
        <v>0</v>
      </c>
      <c r="K13">
        <f>IFERROR(ROUNDUP(VLOOKUP(VLOOKUP(Backpage!B13,'2. RI info'!$C$71:$M$91,10,FALSE),'2. RI info'!$C$48:$D$68,2,FALSE)/12*months,0),0)</f>
        <v>0</v>
      </c>
      <c r="L13">
        <f>IFERROR(ROUNDUP(VLOOKUP(VLOOKUP(Backpage!B13,'2. RI info'!$C$71:$M$91,11,FALSE),'2. RI info'!$C$48:$D$68,2,FALSE)/12*months,0),0)</f>
        <v>0</v>
      </c>
    </row>
    <row r="14" spans="2:12" x14ac:dyDescent="0.35">
      <c r="B14" t="str">
        <f>IF(ISBLANK('2. RI info'!C83),"",'2. RI info'!C83)</f>
        <v>JE 1 mL for 3 yo</v>
      </c>
      <c r="C14" t="str">
        <f>IF(ISBLANK('2. RI info'!D83),"",'2. RI info'!D83)</f>
        <v>Syringe 2 mL</v>
      </c>
      <c r="D14" s="165">
        <f>IF(C14="",0,'3. Vaccine demand'!J21)</f>
        <v>310</v>
      </c>
      <c r="E14" t="str">
        <f>IF(ISBLANK('2. RI info'!E83),"",'2. RI info'!E83)</f>
        <v/>
      </c>
      <c r="F14">
        <f>IF(E14="",0,'3. Vaccine demand'!J21)</f>
        <v>0</v>
      </c>
      <c r="G14" t="str">
        <f>IF('2. RI info'!$F83="Yes",CONCATENATE("Diluent ",'2. RI info'!$C83),"")</f>
        <v/>
      </c>
      <c r="H14" s="166">
        <f>IF('2. RI info'!F83="Yes",1,0)*'3. Vaccine demand'!J21</f>
        <v>0</v>
      </c>
      <c r="I14">
        <f>IFERROR(ROUNDUP(VLOOKUP(VLOOKUP(Backpage!B14,'2. RI info'!$C$71:$M$91,8,FALSE),'2. RI info'!$C$48:$D$68,2,FALSE)/12*months,0),0)</f>
        <v>20</v>
      </c>
      <c r="J14">
        <f>IFERROR(ROUNDUP(VLOOKUP(VLOOKUP(Backpage!B14,'2. RI info'!$C$71:$M$91,9,FALSE),'2. RI info'!$C$48:$D$68,2,FALSE)/12*months,0),0)</f>
        <v>0</v>
      </c>
      <c r="K14">
        <f>IFERROR(ROUNDUP(VLOOKUP(VLOOKUP(Backpage!B14,'2. RI info'!$C$71:$M$91,10,FALSE),'2. RI info'!$C$48:$D$68,2,FALSE)/12*months,0),0)</f>
        <v>0</v>
      </c>
      <c r="L14">
        <f>IFERROR(ROUNDUP(VLOOKUP(VLOOKUP(Backpage!B14,'2. RI info'!$C$71:$M$91,11,FALSE),'2. RI info'!$C$48:$D$68,2,FALSE)/12*months,0),0)</f>
        <v>0</v>
      </c>
    </row>
    <row r="15" spans="2:12" x14ac:dyDescent="0.35">
      <c r="B15" t="str">
        <f>IF(ISBLANK('2. RI info'!C84),"",'2. RI info'!C84)</f>
        <v/>
      </c>
      <c r="C15" t="str">
        <f>IF(ISBLANK('2. RI info'!D84),"",'2. RI info'!D84)</f>
        <v/>
      </c>
      <c r="D15" s="165">
        <f>IF(C15="",0,'3. Vaccine demand'!J22)</f>
        <v>0</v>
      </c>
      <c r="E15" t="str">
        <f>IF(ISBLANK('2. RI info'!E84),"",'2. RI info'!E84)</f>
        <v/>
      </c>
      <c r="F15">
        <f>IF(E15="",0,'3. Vaccine demand'!J22)</f>
        <v>0</v>
      </c>
      <c r="G15" t="str">
        <f>IF('2. RI info'!$F84="Yes",CONCATENATE("Diluent ",'2. RI info'!$C84),"")</f>
        <v/>
      </c>
      <c r="H15" s="166">
        <f>IF('2. RI info'!F84="Yes",1,0)*'3. Vaccine demand'!J22</f>
        <v>0</v>
      </c>
      <c r="I15">
        <f>IFERROR(ROUNDUP(VLOOKUP(VLOOKUP(Backpage!B15,'2. RI info'!$C$71:$M$91,8,FALSE),'2. RI info'!$C$48:$D$68,2,FALSE)/12*months,0),0)</f>
        <v>0</v>
      </c>
      <c r="J15">
        <f>IFERROR(ROUNDUP(VLOOKUP(VLOOKUP(Backpage!B15,'2. RI info'!$C$71:$M$91,9,FALSE),'2. RI info'!$C$48:$D$68,2,FALSE)/12*months,0),0)</f>
        <v>0</v>
      </c>
      <c r="K15">
        <f>IFERROR(ROUNDUP(VLOOKUP(VLOOKUP(Backpage!B15,'2. RI info'!$C$71:$M$91,10,FALSE),'2. RI info'!$C$48:$D$68,2,FALSE)/12*months,0),0)</f>
        <v>0</v>
      </c>
      <c r="L15">
        <f>IFERROR(ROUNDUP(VLOOKUP(VLOOKUP(Backpage!B15,'2. RI info'!$C$71:$M$91,11,FALSE),'2. RI info'!$C$48:$D$68,2,FALSE)/12*months,0),0)</f>
        <v>0</v>
      </c>
    </row>
    <row r="16" spans="2:12" x14ac:dyDescent="0.35">
      <c r="B16" t="str">
        <f>IF(ISBLANK('2. RI info'!C85),"",'2. RI info'!C85)</f>
        <v/>
      </c>
      <c r="C16" t="str">
        <f>IF(ISBLANK('2. RI info'!D85),"",'2. RI info'!D85)</f>
        <v/>
      </c>
      <c r="D16" s="165">
        <f>IF(C16="",0,'3. Vaccine demand'!J23)</f>
        <v>0</v>
      </c>
      <c r="E16" t="str">
        <f>IF(ISBLANK('2. RI info'!E85),"",'2. RI info'!E85)</f>
        <v/>
      </c>
      <c r="F16">
        <f>IF(E16="",0,'3. Vaccine demand'!J23)</f>
        <v>0</v>
      </c>
      <c r="G16" t="str">
        <f>IF('2. RI info'!$F85="Yes",CONCATENATE("Diluent ",'2. RI info'!$C85),"")</f>
        <v/>
      </c>
      <c r="H16" s="166">
        <f>IF('2. RI info'!F85="Yes",1,0)*'3. Vaccine demand'!J23</f>
        <v>0</v>
      </c>
      <c r="I16">
        <f>IFERROR(ROUNDUP(VLOOKUP(VLOOKUP(Backpage!B16,'2. RI info'!$C$71:$M$91,8,FALSE),'2. RI info'!$C$48:$D$68,2,FALSE)/12*months,0),0)</f>
        <v>0</v>
      </c>
      <c r="J16">
        <f>IFERROR(ROUNDUP(VLOOKUP(VLOOKUP(Backpage!B16,'2. RI info'!$C$71:$M$91,9,FALSE),'2. RI info'!$C$48:$D$68,2,FALSE)/12*months,0),0)</f>
        <v>0</v>
      </c>
      <c r="K16">
        <f>IFERROR(ROUNDUP(VLOOKUP(VLOOKUP(Backpage!B16,'2. RI info'!$C$71:$M$91,10,FALSE),'2. RI info'!$C$48:$D$68,2,FALSE)/12*months,0),0)</f>
        <v>0</v>
      </c>
      <c r="L16">
        <f>IFERROR(ROUNDUP(VLOOKUP(VLOOKUP(Backpage!B16,'2. RI info'!$C$71:$M$91,11,FALSE),'2. RI info'!$C$48:$D$68,2,FALSE)/12*months,0),0)</f>
        <v>0</v>
      </c>
    </row>
    <row r="17" spans="2:12" x14ac:dyDescent="0.35">
      <c r="B17" t="str">
        <f>IF(ISBLANK('2. RI info'!C86),"",'2. RI info'!C86)</f>
        <v/>
      </c>
      <c r="C17" t="str">
        <f>IF(ISBLANK('2. RI info'!D86),"",'2. RI info'!D86)</f>
        <v/>
      </c>
      <c r="D17" s="165">
        <f>IF(C17="",0,'3. Vaccine demand'!J24)</f>
        <v>0</v>
      </c>
      <c r="E17" t="str">
        <f>IF(ISBLANK('2. RI info'!E86),"",'2. RI info'!E86)</f>
        <v/>
      </c>
      <c r="F17">
        <f>IF(E17="",0,'3. Vaccine demand'!J24)</f>
        <v>0</v>
      </c>
      <c r="G17" t="str">
        <f>IF('2. RI info'!$F86="Yes",CONCATENATE("Diluent ",'2. RI info'!$C86),"")</f>
        <v/>
      </c>
      <c r="H17" s="166">
        <f>IF('2. RI info'!F86="Yes",1,0)*'3. Vaccine demand'!J24</f>
        <v>0</v>
      </c>
      <c r="I17">
        <f>IFERROR(ROUNDUP(VLOOKUP(VLOOKUP(Backpage!B17,'2. RI info'!$C$71:$M$91,8,FALSE),'2. RI info'!$C$48:$D$68,2,FALSE)/12*months,0),0)</f>
        <v>0</v>
      </c>
      <c r="J17">
        <f>IFERROR(ROUNDUP(VLOOKUP(VLOOKUP(Backpage!B17,'2. RI info'!$C$71:$M$91,9,FALSE),'2. RI info'!$C$48:$D$68,2,FALSE)/12*months,0),0)</f>
        <v>0</v>
      </c>
      <c r="K17">
        <f>IFERROR(ROUNDUP(VLOOKUP(VLOOKUP(Backpage!B17,'2. RI info'!$C$71:$M$91,10,FALSE),'2. RI info'!$C$48:$D$68,2,FALSE)/12*months,0),0)</f>
        <v>0</v>
      </c>
      <c r="L17">
        <f>IFERROR(ROUNDUP(VLOOKUP(VLOOKUP(Backpage!B17,'2. RI info'!$C$71:$M$91,11,FALSE),'2. RI info'!$C$48:$D$68,2,FALSE)/12*months,0),0)</f>
        <v>0</v>
      </c>
    </row>
    <row r="18" spans="2:12" x14ac:dyDescent="0.35">
      <c r="B18" t="str">
        <f>IF(ISBLANK('2. RI info'!C87),"",'2. RI info'!C87)</f>
        <v/>
      </c>
      <c r="C18" t="str">
        <f>IF(ISBLANK('2. RI info'!D87),"",'2. RI info'!D87)</f>
        <v/>
      </c>
      <c r="D18" s="165">
        <f>IF(C18="",0,'3. Vaccine demand'!J25)</f>
        <v>0</v>
      </c>
      <c r="E18" t="str">
        <f>IF(ISBLANK('2. RI info'!E87),"",'2. RI info'!E87)</f>
        <v/>
      </c>
      <c r="F18">
        <f>IF(E18="",0,'3. Vaccine demand'!J25)</f>
        <v>0</v>
      </c>
      <c r="G18" t="str">
        <f>IF('2. RI info'!$F87="Yes",CONCATENATE("Diluent ",'2. RI info'!$C87),"")</f>
        <v/>
      </c>
      <c r="H18" s="166">
        <f>IF('2. RI info'!F87="Yes",1,0)*'3. Vaccine demand'!J25</f>
        <v>0</v>
      </c>
      <c r="I18">
        <f>IFERROR(ROUNDUP(VLOOKUP(VLOOKUP(Backpage!B18,'2. RI info'!$C$71:$M$91,8,FALSE),'2. RI info'!$C$48:$D$68,2,FALSE)/12*months,0),0)</f>
        <v>0</v>
      </c>
      <c r="J18">
        <f>IFERROR(ROUNDUP(VLOOKUP(VLOOKUP(Backpage!B18,'2. RI info'!$C$71:$M$91,9,FALSE),'2. RI info'!$C$48:$D$68,2,FALSE)/12*months,0),0)</f>
        <v>0</v>
      </c>
      <c r="K18">
        <f>IFERROR(ROUNDUP(VLOOKUP(VLOOKUP(Backpage!B18,'2. RI info'!$C$71:$M$91,10,FALSE),'2. RI info'!$C$48:$D$68,2,FALSE)/12*months,0),0)</f>
        <v>0</v>
      </c>
      <c r="L18">
        <f>IFERROR(ROUNDUP(VLOOKUP(VLOOKUP(Backpage!B18,'2. RI info'!$C$71:$M$91,11,FALSE),'2. RI info'!$C$48:$D$68,2,FALSE)/12*months,0),0)</f>
        <v>0</v>
      </c>
    </row>
    <row r="19" spans="2:12" x14ac:dyDescent="0.35">
      <c r="C19" t="str">
        <f>IF(ISBLANK('2. RI info'!D88),"",'2. RI info'!D88)</f>
        <v/>
      </c>
      <c r="D19" s="165">
        <f>IF(C19="",0,'3. Vaccine demand'!J26)</f>
        <v>0</v>
      </c>
      <c r="E19" t="str">
        <f>IF(ISBLANK('2. RI info'!E88),"",'2. RI info'!E88)</f>
        <v/>
      </c>
      <c r="F19">
        <f>IF(E19="",0,'3. Vaccine demand'!J26)</f>
        <v>0</v>
      </c>
      <c r="G19" t="str">
        <f>IF('2. RI info'!$F88="Yes",CONCATENATE("Diluent ",'2. RI info'!$C88),"")</f>
        <v/>
      </c>
      <c r="H19" s="166">
        <f>IF('2. RI info'!F88="Yes",1,0)*'3. Vaccine demand'!J26</f>
        <v>0</v>
      </c>
      <c r="I19">
        <f>IFERROR(ROUNDUP(VLOOKUP(VLOOKUP(Backpage!B19,'2. RI info'!$C$71:$M$91,8,FALSE),'2. RI info'!$C$48:$D$68,2,FALSE)/12*months,0),0)</f>
        <v>0</v>
      </c>
      <c r="J19">
        <f>IFERROR(ROUNDUP(VLOOKUP(VLOOKUP(Backpage!B19,'2. RI info'!$C$71:$M$91,9,FALSE),'2. RI info'!$C$48:$D$68,2,FALSE)/12*months,0),0)</f>
        <v>0</v>
      </c>
      <c r="K19">
        <f>IFERROR(ROUNDUP(VLOOKUP(VLOOKUP(Backpage!B19,'2. RI info'!$C$71:$M$91,10,FALSE),'2. RI info'!$C$48:$D$68,2,FALSE)/12*months,0),0)</f>
        <v>0</v>
      </c>
      <c r="L19">
        <f>IFERROR(ROUNDUP(VLOOKUP(VLOOKUP(Backpage!B19,'2. RI info'!$C$71:$M$91,11,FALSE),'2. RI info'!$C$48:$D$68,2,FALSE)/12*months,0),0)</f>
        <v>0</v>
      </c>
    </row>
    <row r="20" spans="2:12" x14ac:dyDescent="0.35">
      <c r="B20" t="str">
        <f>IF(ISBLANK('2. RI info'!C89),"",'2. RI info'!C89)</f>
        <v/>
      </c>
      <c r="C20" t="str">
        <f>IF(ISBLANK('2. RI info'!D89),"",'2. RI info'!D89)</f>
        <v/>
      </c>
      <c r="D20" s="165">
        <f>IF(C20="",0,'3. Vaccine demand'!J27)</f>
        <v>0</v>
      </c>
      <c r="E20" t="str">
        <f>IF(ISBLANK('2. RI info'!E89),"",'2. RI info'!E89)</f>
        <v/>
      </c>
      <c r="F20">
        <f>IF(E20="",0,'3. Vaccine demand'!J27)</f>
        <v>0</v>
      </c>
      <c r="G20" t="str">
        <f>IF('2. RI info'!$F89="Yes",CONCATENATE("Diluent ",'2. RI info'!$C89),"")</f>
        <v/>
      </c>
      <c r="H20" s="166">
        <f>IF('2. RI info'!F89="Yes",1,0)*'3. Vaccine demand'!J27</f>
        <v>0</v>
      </c>
      <c r="I20">
        <f>IFERROR(ROUNDUP(VLOOKUP(VLOOKUP(Backpage!B20,'2. RI info'!$C$71:$M$91,8,FALSE),'2. RI info'!$C$48:$D$68,2,FALSE)/12*months,0),0)</f>
        <v>0</v>
      </c>
      <c r="J20">
        <f>IFERROR(ROUNDUP(VLOOKUP(VLOOKUP(Backpage!B20,'2. RI info'!$C$71:$M$91,9,FALSE),'2. RI info'!$C$48:$D$68,2,FALSE)/12*months,0),0)</f>
        <v>0</v>
      </c>
      <c r="K20">
        <f>IFERROR(ROUNDUP(VLOOKUP(VLOOKUP(Backpage!B20,'2. RI info'!$C$71:$M$91,10,FALSE),'2. RI info'!$C$48:$D$68,2,FALSE)/12*months,0),0)</f>
        <v>0</v>
      </c>
      <c r="L20">
        <f>IFERROR(ROUNDUP(VLOOKUP(VLOOKUP(Backpage!B20,'2. RI info'!$C$71:$M$91,11,FALSE),'2. RI info'!$C$48:$D$68,2,FALSE)/12*months,0),0)</f>
        <v>0</v>
      </c>
    </row>
    <row r="21" spans="2:12" x14ac:dyDescent="0.35">
      <c r="B21" t="str">
        <f>IF(ISBLANK('2. RI info'!C90),"",'2. RI info'!C90)</f>
        <v/>
      </c>
      <c r="C21" t="str">
        <f>IF(ISBLANK('2. RI info'!D90),"",'2. RI info'!D90)</f>
        <v/>
      </c>
      <c r="D21" s="165">
        <f>IF(C21="",0,'3. Vaccine demand'!J28)</f>
        <v>0</v>
      </c>
      <c r="E21" t="str">
        <f>IF(ISBLANK('2. RI info'!E90),"",'2. RI info'!E90)</f>
        <v/>
      </c>
      <c r="F21">
        <f>IF(E21="",0,'3. Vaccine demand'!J28)</f>
        <v>0</v>
      </c>
      <c r="G21" t="str">
        <f>IF('2. RI info'!$F90="Yes",CONCATENATE("Diluent ",'2. RI info'!$C90),"")</f>
        <v/>
      </c>
      <c r="H21" s="166">
        <f>IF('2. RI info'!F90="Yes",1,0)*'3. Vaccine demand'!J28</f>
        <v>0</v>
      </c>
      <c r="I21">
        <f>IFERROR(ROUNDUP(VLOOKUP(VLOOKUP(Backpage!B21,'2. RI info'!$C$71:$M$91,8,FALSE),'2. RI info'!$C$48:$D$68,2,FALSE)/12*months,0),0)</f>
        <v>0</v>
      </c>
      <c r="J21">
        <f>IFERROR(ROUNDUP(VLOOKUP(VLOOKUP(Backpage!B21,'2. RI info'!$C$71:$M$91,9,FALSE),'2. RI info'!$C$48:$D$68,2,FALSE)/12*months,0),0)</f>
        <v>0</v>
      </c>
      <c r="K21">
        <f>IFERROR(ROUNDUP(VLOOKUP(VLOOKUP(Backpage!B21,'2. RI info'!$C$71:$M$91,10,FALSE),'2. RI info'!$C$48:$D$68,2,FALSE)/12*months,0),0)</f>
        <v>0</v>
      </c>
      <c r="L21">
        <f>IFERROR(ROUNDUP(VLOOKUP(VLOOKUP(Backpage!B21,'2. RI info'!$C$71:$M$91,11,FALSE),'2. RI info'!$C$48:$D$68,2,FALSE)/12*months,0),0)</f>
        <v>0</v>
      </c>
    </row>
    <row r="22" spans="2:12" x14ac:dyDescent="0.35">
      <c r="B22" t="str">
        <f>IF(ISBLANK('2. RI info'!C91),"",'2. RI info'!C91)</f>
        <v/>
      </c>
      <c r="C22" t="str">
        <f>IF(ISBLANK('2. RI info'!D91),"",'2. RI info'!D91)</f>
        <v/>
      </c>
      <c r="D22" s="165">
        <f>IF(C22="",0,'3. Vaccine demand'!J29)</f>
        <v>0</v>
      </c>
      <c r="E22" t="str">
        <f>IF(ISBLANK('2. RI info'!E91),"",'2. RI info'!E91)</f>
        <v/>
      </c>
      <c r="F22">
        <f>IF(E22="",0,'3. Vaccine demand'!J29)</f>
        <v>0</v>
      </c>
      <c r="G22" t="str">
        <f>IF('2. RI info'!$F91="Yes",CONCATENATE("Diluent ",'2. RI info'!$C91),"")</f>
        <v/>
      </c>
      <c r="H22" s="166">
        <f>IF('2. RI info'!F91="Yes",1,0)*'3. Vaccine demand'!J29</f>
        <v>0</v>
      </c>
      <c r="I22">
        <f>IFERROR(ROUNDUP(VLOOKUP(VLOOKUP(Backpage!B22,'2. RI info'!$C$71:$M$91,8,FALSE),'2. RI info'!$C$48:$D$68,2,FALSE)/12*months,0),0)</f>
        <v>0</v>
      </c>
      <c r="J22">
        <f>IFERROR(ROUNDUP(VLOOKUP(VLOOKUP(Backpage!B22,'2. RI info'!$C$71:$M$91,9,FALSE),'2. RI info'!$C$48:$D$68,2,FALSE)/12*months,0),0)</f>
        <v>0</v>
      </c>
      <c r="K22">
        <f>IFERROR(ROUNDUP(VLOOKUP(VLOOKUP(Backpage!B22,'2. RI info'!$C$71:$M$91,10,FALSE),'2. RI info'!$C$48:$D$68,2,FALSE)/12*months,0),0)</f>
        <v>0</v>
      </c>
      <c r="L22">
        <f>IFERROR(ROUNDUP(VLOOKUP(VLOOKUP(Backpage!B22,'2. RI info'!$C$71:$M$91,11,FALSE),'2. RI info'!$C$48:$D$68,2,FALSE)/12*months,0),0)</f>
        <v>0</v>
      </c>
    </row>
    <row r="24" spans="2:12" x14ac:dyDescent="0.35">
      <c r="B24" t="s">
        <v>9</v>
      </c>
      <c r="C24" s="167">
        <f>'2. RI info'!D10</f>
        <v>45658</v>
      </c>
    </row>
    <row r="25" spans="2:12" x14ac:dyDescent="0.35">
      <c r="B25" t="s">
        <v>10</v>
      </c>
      <c r="C25" s="167">
        <f>DATE(YEAR(C24),MONTH(C24)+months-1,DAY(C24))</f>
        <v>45992</v>
      </c>
    </row>
  </sheetData>
  <sheetProtection algorithmName="SHA-512" hashValue="YH6EOpmOx5+pwzenu4/VQrwriubWqJ4aIzGuDzf5c4RG+a/6AYhTCQfW+OGgRFLTk+XVlOO1fx22zcDA+U4cMg==" saltValue="8jn+5eGPGzM2hilXXnLha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8B1A1-53C0-40D7-A61F-D94D72793FF7}">
  <sheetPr codeName="Sheet3"/>
  <dimension ref="A1:O91"/>
  <sheetViews>
    <sheetView topLeftCell="A71" zoomScaleNormal="100" workbookViewId="0"/>
  </sheetViews>
  <sheetFormatPr defaultRowHeight="14.5" x14ac:dyDescent="0.35"/>
  <cols>
    <col min="1" max="1" width="2.6328125" style="4" customWidth="1"/>
    <col min="2" max="2" width="3.08984375" style="4" customWidth="1"/>
    <col min="3" max="3" width="42" style="4" customWidth="1"/>
    <col min="4" max="4" width="19.90625" style="4" customWidth="1"/>
    <col min="5" max="5" width="14.6328125" style="4" customWidth="1"/>
    <col min="6" max="6" width="12.7265625" style="4" customWidth="1"/>
    <col min="7" max="7" width="11.7265625" style="4" customWidth="1"/>
    <col min="8" max="8" width="9" style="4" customWidth="1"/>
    <col min="9" max="9" width="9.7265625" style="4" customWidth="1"/>
    <col min="10" max="11" width="13.6328125" style="4" customWidth="1"/>
    <col min="12" max="12" width="13.26953125" style="4" customWidth="1"/>
    <col min="13" max="13" width="8.7265625" style="4"/>
    <col min="14" max="14" width="17.54296875" style="4" customWidth="1"/>
    <col min="15" max="16384" width="8.7265625" style="4"/>
  </cols>
  <sheetData>
    <row r="1" spans="1:7" ht="28.5" x14ac:dyDescent="0.65">
      <c r="A1" s="11" t="s">
        <v>227</v>
      </c>
    </row>
    <row r="5" spans="1:7" x14ac:dyDescent="0.35">
      <c r="B5" s="102" t="s">
        <v>20</v>
      </c>
    </row>
    <row r="6" spans="1:7" x14ac:dyDescent="0.35">
      <c r="B6" s="6"/>
      <c r="C6" s="103" t="s">
        <v>238</v>
      </c>
      <c r="D6" s="143"/>
      <c r="E6" s="102" t="s">
        <v>237</v>
      </c>
      <c r="G6" s="148"/>
    </row>
    <row r="7" spans="1:7" ht="15" thickBot="1" x14ac:dyDescent="0.4"/>
    <row r="8" spans="1:7" ht="15" thickBot="1" x14ac:dyDescent="0.4">
      <c r="B8" s="26">
        <v>1</v>
      </c>
      <c r="C8" s="306" t="s">
        <v>39</v>
      </c>
      <c r="D8" s="307"/>
    </row>
    <row r="9" spans="1:7" x14ac:dyDescent="0.35">
      <c r="C9" s="15" t="s">
        <v>40</v>
      </c>
      <c r="D9" s="12" t="s">
        <v>21</v>
      </c>
    </row>
    <row r="10" spans="1:7" x14ac:dyDescent="0.35">
      <c r="C10" s="20" t="s">
        <v>41</v>
      </c>
      <c r="D10" s="168">
        <v>45658</v>
      </c>
    </row>
    <row r="11" spans="1:7" x14ac:dyDescent="0.35">
      <c r="C11" s="16" t="s">
        <v>239</v>
      </c>
      <c r="D11" s="13">
        <v>12</v>
      </c>
    </row>
    <row r="12" spans="1:7" x14ac:dyDescent="0.35">
      <c r="C12" s="16" t="s">
        <v>42</v>
      </c>
      <c r="D12" s="23">
        <v>1.1000000000000001</v>
      </c>
      <c r="F12" s="4" t="s">
        <v>43</v>
      </c>
    </row>
    <row r="13" spans="1:7" ht="15" thickBot="1" x14ac:dyDescent="0.4">
      <c r="C13" s="17" t="s">
        <v>240</v>
      </c>
      <c r="D13" s="24">
        <v>1</v>
      </c>
      <c r="F13" s="4" t="s">
        <v>44</v>
      </c>
    </row>
    <row r="14" spans="1:7" ht="15" thickBot="1" x14ac:dyDescent="0.4">
      <c r="C14" s="7"/>
    </row>
    <row r="15" spans="1:7" ht="15" thickBot="1" x14ac:dyDescent="0.4">
      <c r="B15" s="26">
        <v>2</v>
      </c>
      <c r="C15" s="26" t="s">
        <v>45</v>
      </c>
      <c r="D15" s="12" t="s">
        <v>241</v>
      </c>
    </row>
    <row r="16" spans="1:7" x14ac:dyDescent="0.35">
      <c r="D16" s="13" t="s">
        <v>242</v>
      </c>
    </row>
    <row r="17" spans="2:4" x14ac:dyDescent="0.35">
      <c r="D17" s="13" t="s">
        <v>243</v>
      </c>
    </row>
    <row r="18" spans="2:4" x14ac:dyDescent="0.35">
      <c r="D18" s="13" t="s">
        <v>244</v>
      </c>
    </row>
    <row r="19" spans="2:4" x14ac:dyDescent="0.35">
      <c r="D19" s="13" t="s">
        <v>245</v>
      </c>
    </row>
    <row r="20" spans="2:4" x14ac:dyDescent="0.35">
      <c r="D20" s="13"/>
    </row>
    <row r="21" spans="2:4" x14ac:dyDescent="0.35">
      <c r="D21" s="13"/>
    </row>
    <row r="22" spans="2:4" x14ac:dyDescent="0.35">
      <c r="D22" s="13"/>
    </row>
    <row r="23" spans="2:4" x14ac:dyDescent="0.35">
      <c r="D23" s="13"/>
    </row>
    <row r="24" spans="2:4" x14ac:dyDescent="0.35">
      <c r="D24" s="13"/>
    </row>
    <row r="25" spans="2:4" x14ac:dyDescent="0.35">
      <c r="D25" s="13"/>
    </row>
    <row r="26" spans="2:4" x14ac:dyDescent="0.35">
      <c r="D26" s="13"/>
    </row>
    <row r="27" spans="2:4" x14ac:dyDescent="0.35">
      <c r="D27" s="13"/>
    </row>
    <row r="28" spans="2:4" x14ac:dyDescent="0.35">
      <c r="D28" s="13"/>
    </row>
    <row r="29" spans="2:4" ht="15" thickBot="1" x14ac:dyDescent="0.4">
      <c r="D29" s="14"/>
    </row>
    <row r="30" spans="2:4" ht="15" thickBot="1" x14ac:dyDescent="0.4"/>
    <row r="31" spans="2:4" ht="31" customHeight="1" thickBot="1" x14ac:dyDescent="0.4">
      <c r="B31" s="106">
        <v>3</v>
      </c>
      <c r="C31" s="27" t="s">
        <v>46</v>
      </c>
      <c r="D31" s="12" t="s">
        <v>47</v>
      </c>
    </row>
    <row r="32" spans="2:4" x14ac:dyDescent="0.35">
      <c r="D32" s="13" t="s">
        <v>48</v>
      </c>
    </row>
    <row r="33" spans="2:4" x14ac:dyDescent="0.35">
      <c r="D33" s="13" t="s">
        <v>49</v>
      </c>
    </row>
    <row r="34" spans="2:4" x14ac:dyDescent="0.35">
      <c r="D34" s="13" t="s">
        <v>50</v>
      </c>
    </row>
    <row r="35" spans="2:4" x14ac:dyDescent="0.35">
      <c r="D35" s="13" t="s">
        <v>51</v>
      </c>
    </row>
    <row r="36" spans="2:4" x14ac:dyDescent="0.35">
      <c r="D36" s="13"/>
    </row>
    <row r="37" spans="2:4" x14ac:dyDescent="0.35">
      <c r="D37" s="211"/>
    </row>
    <row r="38" spans="2:4" x14ac:dyDescent="0.35">
      <c r="D38" s="211"/>
    </row>
    <row r="39" spans="2:4" x14ac:dyDescent="0.35">
      <c r="D39" s="211"/>
    </row>
    <row r="40" spans="2:4" x14ac:dyDescent="0.35">
      <c r="D40" s="211"/>
    </row>
    <row r="41" spans="2:4" x14ac:dyDescent="0.35">
      <c r="D41" s="211"/>
    </row>
    <row r="42" spans="2:4" x14ac:dyDescent="0.35">
      <c r="D42" s="211"/>
    </row>
    <row r="43" spans="2:4" x14ac:dyDescent="0.35">
      <c r="D43" s="211"/>
    </row>
    <row r="44" spans="2:4" x14ac:dyDescent="0.35">
      <c r="D44" s="211"/>
    </row>
    <row r="45" spans="2:4" ht="15" thickBot="1" x14ac:dyDescent="0.4">
      <c r="D45" s="14"/>
    </row>
    <row r="46" spans="2:4" ht="15" thickBot="1" x14ac:dyDescent="0.4"/>
    <row r="47" spans="2:4" ht="15" thickBot="1" x14ac:dyDescent="0.4">
      <c r="B47" s="26">
        <v>4</v>
      </c>
      <c r="C47" s="150" t="s">
        <v>52</v>
      </c>
      <c r="D47" s="151" t="s">
        <v>53</v>
      </c>
    </row>
    <row r="48" spans="2:4" x14ac:dyDescent="0.35">
      <c r="C48" s="8" t="s">
        <v>54</v>
      </c>
      <c r="D48" s="169">
        <v>50</v>
      </c>
    </row>
    <row r="49" spans="3:4" x14ac:dyDescent="0.35">
      <c r="C49" s="8" t="s">
        <v>55</v>
      </c>
      <c r="D49" s="170">
        <v>80</v>
      </c>
    </row>
    <row r="50" spans="3:4" x14ac:dyDescent="0.35">
      <c r="C50" s="8" t="s">
        <v>56</v>
      </c>
      <c r="D50" s="170">
        <v>50</v>
      </c>
    </row>
    <row r="51" spans="3:4" x14ac:dyDescent="0.35">
      <c r="C51" s="8" t="s">
        <v>57</v>
      </c>
      <c r="D51" s="170">
        <v>100</v>
      </c>
    </row>
    <row r="52" spans="3:4" x14ac:dyDescent="0.35">
      <c r="C52" s="8" t="s">
        <v>58</v>
      </c>
      <c r="D52" s="170">
        <v>100</v>
      </c>
    </row>
    <row r="53" spans="3:4" x14ac:dyDescent="0.35">
      <c r="C53" s="8" t="s">
        <v>59</v>
      </c>
      <c r="D53" s="170">
        <v>50</v>
      </c>
    </row>
    <row r="54" spans="3:4" x14ac:dyDescent="0.35">
      <c r="C54" s="8" t="s">
        <v>60</v>
      </c>
      <c r="D54" s="170">
        <v>40</v>
      </c>
    </row>
    <row r="55" spans="3:4" x14ac:dyDescent="0.35">
      <c r="C55" s="8" t="s">
        <v>61</v>
      </c>
      <c r="D55" s="170">
        <v>65</v>
      </c>
    </row>
    <row r="56" spans="3:4" x14ac:dyDescent="0.35">
      <c r="C56" s="209" t="s">
        <v>62</v>
      </c>
      <c r="D56" s="210">
        <v>50</v>
      </c>
    </row>
    <row r="57" spans="3:4" x14ac:dyDescent="0.35">
      <c r="C57" s="209" t="s">
        <v>246</v>
      </c>
      <c r="D57" s="210">
        <v>20</v>
      </c>
    </row>
    <row r="58" spans="3:4" x14ac:dyDescent="0.35">
      <c r="C58" s="209"/>
      <c r="D58" s="210"/>
    </row>
    <row r="59" spans="3:4" x14ac:dyDescent="0.35">
      <c r="C59" s="209"/>
      <c r="D59" s="210"/>
    </row>
    <row r="60" spans="3:4" x14ac:dyDescent="0.35">
      <c r="C60" s="209"/>
      <c r="D60" s="210"/>
    </row>
    <row r="61" spans="3:4" x14ac:dyDescent="0.35">
      <c r="C61" s="209"/>
      <c r="D61" s="210"/>
    </row>
    <row r="62" spans="3:4" x14ac:dyDescent="0.35">
      <c r="C62" s="209"/>
      <c r="D62" s="210"/>
    </row>
    <row r="63" spans="3:4" x14ac:dyDescent="0.35">
      <c r="C63" s="209"/>
      <c r="D63" s="210"/>
    </row>
    <row r="64" spans="3:4" x14ac:dyDescent="0.35">
      <c r="C64" s="209"/>
      <c r="D64" s="210"/>
    </row>
    <row r="65" spans="2:15" x14ac:dyDescent="0.35">
      <c r="C65" s="209"/>
      <c r="D65" s="210"/>
    </row>
    <row r="66" spans="2:15" x14ac:dyDescent="0.35">
      <c r="C66" s="209"/>
      <c r="D66" s="210"/>
    </row>
    <row r="67" spans="2:15" x14ac:dyDescent="0.35">
      <c r="C67" s="209"/>
      <c r="D67" s="210"/>
    </row>
    <row r="68" spans="2:15" ht="15" thickBot="1" x14ac:dyDescent="0.4">
      <c r="C68" s="9"/>
      <c r="D68" s="171"/>
    </row>
    <row r="69" spans="2:15" ht="15" thickBot="1" x14ac:dyDescent="0.4"/>
    <row r="70" spans="2:15" ht="31" customHeight="1" thickBot="1" x14ac:dyDescent="0.4">
      <c r="B70" s="26">
        <v>5</v>
      </c>
      <c r="C70" s="308" t="s">
        <v>247</v>
      </c>
      <c r="D70" s="309"/>
      <c r="E70" s="309"/>
      <c r="F70" s="309"/>
      <c r="G70" s="309"/>
      <c r="H70" s="309"/>
      <c r="I70" s="310"/>
      <c r="J70" s="311" t="s">
        <v>52</v>
      </c>
      <c r="K70" s="312"/>
      <c r="L70" s="312"/>
      <c r="M70" s="312"/>
      <c r="N70" s="313"/>
    </row>
    <row r="71" spans="2:15" ht="73" thickBot="1" x14ac:dyDescent="0.4">
      <c r="C71" s="2" t="s">
        <v>63</v>
      </c>
      <c r="D71" s="3" t="s">
        <v>64</v>
      </c>
      <c r="E71" s="3" t="s">
        <v>65</v>
      </c>
      <c r="F71" s="3" t="s">
        <v>66</v>
      </c>
      <c r="G71" s="224" t="s">
        <v>75</v>
      </c>
      <c r="H71" s="3" t="s">
        <v>76</v>
      </c>
      <c r="I71" s="25" t="s">
        <v>77</v>
      </c>
      <c r="J71" s="156" t="s">
        <v>13</v>
      </c>
      <c r="K71" s="157" t="s">
        <v>14</v>
      </c>
      <c r="L71" s="157" t="s">
        <v>15</v>
      </c>
      <c r="M71" s="227" t="s">
        <v>78</v>
      </c>
      <c r="N71" s="161" t="s">
        <v>79</v>
      </c>
    </row>
    <row r="72" spans="2:15" x14ac:dyDescent="0.35">
      <c r="C72" s="8" t="s">
        <v>0</v>
      </c>
      <c r="D72" s="18" t="s">
        <v>241</v>
      </c>
      <c r="E72" s="18" t="s">
        <v>245</v>
      </c>
      <c r="F72" s="18" t="s">
        <v>67</v>
      </c>
      <c r="G72" s="225">
        <v>3</v>
      </c>
      <c r="H72" s="5">
        <v>0.95</v>
      </c>
      <c r="I72" s="107">
        <v>10</v>
      </c>
      <c r="J72" s="154" t="s">
        <v>54</v>
      </c>
      <c r="K72" s="155"/>
      <c r="L72" s="155"/>
      <c r="M72" s="158"/>
      <c r="N72" s="162"/>
    </row>
    <row r="73" spans="2:15" x14ac:dyDescent="0.35">
      <c r="C73" s="8" t="s">
        <v>68</v>
      </c>
      <c r="D73" s="18" t="s">
        <v>242</v>
      </c>
      <c r="E73" s="18"/>
      <c r="F73" s="18"/>
      <c r="G73" s="225">
        <v>1.05</v>
      </c>
      <c r="H73" s="5">
        <v>0.9</v>
      </c>
      <c r="I73" s="107">
        <v>1</v>
      </c>
      <c r="J73" s="154" t="s">
        <v>54</v>
      </c>
      <c r="K73" s="18"/>
      <c r="L73" s="18"/>
      <c r="M73" s="159"/>
      <c r="N73" s="163"/>
    </row>
    <row r="74" spans="2:15" x14ac:dyDescent="0.35">
      <c r="C74" s="8" t="s">
        <v>1</v>
      </c>
      <c r="D74" s="18" t="s">
        <v>242</v>
      </c>
      <c r="E74" s="18"/>
      <c r="F74" s="18"/>
      <c r="G74" s="225">
        <v>1.05</v>
      </c>
      <c r="H74" s="5">
        <v>0.95</v>
      </c>
      <c r="I74" s="107">
        <v>1</v>
      </c>
      <c r="J74" s="154" t="s">
        <v>54</v>
      </c>
      <c r="K74" s="18" t="s">
        <v>54</v>
      </c>
      <c r="L74" s="18" t="s">
        <v>54</v>
      </c>
      <c r="M74" s="159"/>
      <c r="N74" s="163" t="s">
        <v>249</v>
      </c>
    </row>
    <row r="75" spans="2:15" x14ac:dyDescent="0.35">
      <c r="C75" s="8" t="s">
        <v>2</v>
      </c>
      <c r="D75" s="18"/>
      <c r="E75" s="18"/>
      <c r="F75" s="18"/>
      <c r="G75" s="225">
        <v>2</v>
      </c>
      <c r="H75" s="5">
        <v>0.95</v>
      </c>
      <c r="I75" s="107">
        <v>20</v>
      </c>
      <c r="J75" s="154" t="s">
        <v>54</v>
      </c>
      <c r="K75" s="18" t="s">
        <v>54</v>
      </c>
      <c r="L75" s="18" t="s">
        <v>54</v>
      </c>
      <c r="M75" s="159"/>
      <c r="N75" s="163" t="s">
        <v>249</v>
      </c>
    </row>
    <row r="76" spans="2:15" x14ac:dyDescent="0.35">
      <c r="C76" s="8" t="s">
        <v>3</v>
      </c>
      <c r="D76" s="18" t="s">
        <v>242</v>
      </c>
      <c r="E76" s="18"/>
      <c r="F76" s="18"/>
      <c r="G76" s="225">
        <v>2</v>
      </c>
      <c r="H76" s="5">
        <v>0.95</v>
      </c>
      <c r="I76" s="107">
        <v>10</v>
      </c>
      <c r="J76" s="154" t="s">
        <v>54</v>
      </c>
      <c r="K76" s="18" t="s">
        <v>54</v>
      </c>
      <c r="L76" s="18"/>
      <c r="M76" s="159"/>
      <c r="N76" s="163" t="s">
        <v>250</v>
      </c>
    </row>
    <row r="77" spans="2:15" x14ac:dyDescent="0.35">
      <c r="C77" s="8" t="s">
        <v>69</v>
      </c>
      <c r="D77" s="18" t="s">
        <v>242</v>
      </c>
      <c r="E77" s="18" t="s">
        <v>245</v>
      </c>
      <c r="F77" s="18" t="s">
        <v>67</v>
      </c>
      <c r="G77" s="225">
        <v>2</v>
      </c>
      <c r="H77" s="5">
        <v>0.95</v>
      </c>
      <c r="I77" s="107">
        <v>10</v>
      </c>
      <c r="J77" s="154" t="s">
        <v>54</v>
      </c>
      <c r="K77" s="18"/>
      <c r="L77" s="18"/>
      <c r="M77" s="159" t="s">
        <v>62</v>
      </c>
      <c r="N77" s="163" t="s">
        <v>73</v>
      </c>
    </row>
    <row r="78" spans="2:15" x14ac:dyDescent="0.35">
      <c r="C78" s="8" t="s">
        <v>70</v>
      </c>
      <c r="D78" s="18" t="s">
        <v>242</v>
      </c>
      <c r="E78" s="18" t="s">
        <v>245</v>
      </c>
      <c r="F78" s="18" t="s">
        <v>67</v>
      </c>
      <c r="G78" s="225">
        <v>2</v>
      </c>
      <c r="H78" s="5">
        <v>0.95</v>
      </c>
      <c r="I78" s="107">
        <v>10</v>
      </c>
      <c r="J78" s="152" t="s">
        <v>56</v>
      </c>
      <c r="K78" s="18"/>
      <c r="L78" s="18"/>
      <c r="M78" s="159"/>
      <c r="N78" s="163" t="s">
        <v>56</v>
      </c>
      <c r="O78" s="149"/>
    </row>
    <row r="79" spans="2:15" x14ac:dyDescent="0.35">
      <c r="C79" s="8" t="s">
        <v>4</v>
      </c>
      <c r="D79" s="18" t="s">
        <v>242</v>
      </c>
      <c r="E79" s="18"/>
      <c r="F79" s="18"/>
      <c r="G79" s="225">
        <v>2.8</v>
      </c>
      <c r="H79" s="5">
        <v>0.95</v>
      </c>
      <c r="I79" s="107">
        <v>20</v>
      </c>
      <c r="J79" s="152" t="s">
        <v>56</v>
      </c>
      <c r="K79" s="18"/>
      <c r="L79" s="18"/>
      <c r="M79" s="159"/>
      <c r="N79" s="163" t="s">
        <v>56</v>
      </c>
    </row>
    <row r="80" spans="2:15" x14ac:dyDescent="0.35">
      <c r="C80" s="8" t="s">
        <v>71</v>
      </c>
      <c r="D80" s="18" t="s">
        <v>242</v>
      </c>
      <c r="E80" s="18" t="s">
        <v>245</v>
      </c>
      <c r="F80" s="18"/>
      <c r="G80" s="225">
        <v>2</v>
      </c>
      <c r="H80" s="5">
        <v>0.95</v>
      </c>
      <c r="I80" s="107">
        <v>10</v>
      </c>
      <c r="J80" s="152" t="s">
        <v>55</v>
      </c>
      <c r="K80" s="18" t="s">
        <v>55</v>
      </c>
      <c r="L80" s="18" t="s">
        <v>57</v>
      </c>
      <c r="M80" s="159"/>
      <c r="N80" s="163" t="s">
        <v>74</v>
      </c>
    </row>
    <row r="81" spans="3:14" x14ac:dyDescent="0.35">
      <c r="C81" s="8" t="s">
        <v>72</v>
      </c>
      <c r="D81" s="18" t="s">
        <v>242</v>
      </c>
      <c r="E81" s="18"/>
      <c r="F81" s="18"/>
      <c r="G81" s="225">
        <v>2.5</v>
      </c>
      <c r="H81" s="5">
        <v>0.95</v>
      </c>
      <c r="I81" s="107">
        <v>20</v>
      </c>
      <c r="J81" s="152" t="s">
        <v>59</v>
      </c>
      <c r="K81" s="18" t="s">
        <v>59</v>
      </c>
      <c r="L81" s="18"/>
      <c r="M81" s="159"/>
      <c r="N81" s="163"/>
    </row>
    <row r="82" spans="3:14" x14ac:dyDescent="0.35">
      <c r="C82" s="8" t="s">
        <v>5</v>
      </c>
      <c r="D82" s="18" t="s">
        <v>242</v>
      </c>
      <c r="E82" s="18"/>
      <c r="F82" s="18"/>
      <c r="G82" s="225">
        <v>1.6</v>
      </c>
      <c r="H82" s="5">
        <v>0.9</v>
      </c>
      <c r="I82" s="107">
        <v>10</v>
      </c>
      <c r="J82" s="152" t="s">
        <v>58</v>
      </c>
      <c r="K82" s="18"/>
      <c r="L82" s="18"/>
      <c r="M82" s="159"/>
      <c r="N82" s="163"/>
    </row>
    <row r="83" spans="3:14" x14ac:dyDescent="0.35">
      <c r="C83" s="8" t="s">
        <v>248</v>
      </c>
      <c r="D83" s="18" t="s">
        <v>244</v>
      </c>
      <c r="E83" s="18"/>
      <c r="F83" s="18"/>
      <c r="G83" s="225">
        <v>2</v>
      </c>
      <c r="H83" s="5">
        <v>0.95</v>
      </c>
      <c r="I83" s="107">
        <v>5</v>
      </c>
      <c r="J83" s="152" t="s">
        <v>246</v>
      </c>
      <c r="K83" s="18"/>
      <c r="L83" s="18"/>
      <c r="M83" s="159"/>
      <c r="N83" s="163"/>
    </row>
    <row r="84" spans="3:14" x14ac:dyDescent="0.35">
      <c r="C84" s="8"/>
      <c r="D84" s="18"/>
      <c r="E84" s="18"/>
      <c r="F84" s="18"/>
      <c r="G84" s="225"/>
      <c r="H84" s="5"/>
      <c r="I84" s="107"/>
      <c r="J84" s="152"/>
      <c r="K84" s="18"/>
      <c r="L84" s="18"/>
      <c r="M84" s="159"/>
      <c r="N84" s="163"/>
    </row>
    <row r="85" spans="3:14" x14ac:dyDescent="0.35">
      <c r="C85" s="8"/>
      <c r="D85" s="18"/>
      <c r="E85" s="18"/>
      <c r="F85" s="18"/>
      <c r="G85" s="225"/>
      <c r="H85" s="5"/>
      <c r="I85" s="107"/>
      <c r="J85" s="152"/>
      <c r="K85" s="18"/>
      <c r="L85" s="18"/>
      <c r="M85" s="159"/>
      <c r="N85" s="163"/>
    </row>
    <row r="86" spans="3:14" x14ac:dyDescent="0.35">
      <c r="C86" s="8"/>
      <c r="D86" s="18"/>
      <c r="E86" s="18"/>
      <c r="F86" s="18"/>
      <c r="G86" s="225"/>
      <c r="H86" s="5"/>
      <c r="I86" s="107"/>
      <c r="J86" s="152"/>
      <c r="K86" s="18"/>
      <c r="L86" s="18"/>
      <c r="M86" s="159"/>
      <c r="N86" s="163"/>
    </row>
    <row r="87" spans="3:14" x14ac:dyDescent="0.35">
      <c r="C87" s="8"/>
      <c r="D87" s="18"/>
      <c r="E87" s="18"/>
      <c r="F87" s="18"/>
      <c r="G87" s="225"/>
      <c r="H87" s="5"/>
      <c r="I87" s="107"/>
      <c r="J87" s="152"/>
      <c r="K87" s="18"/>
      <c r="L87" s="18"/>
      <c r="M87" s="159"/>
      <c r="N87" s="163"/>
    </row>
    <row r="88" spans="3:14" x14ac:dyDescent="0.35">
      <c r="C88" s="8"/>
      <c r="D88" s="18"/>
      <c r="E88" s="18"/>
      <c r="F88" s="18"/>
      <c r="G88" s="225"/>
      <c r="H88" s="5"/>
      <c r="I88" s="107"/>
      <c r="J88" s="152"/>
      <c r="K88" s="18"/>
      <c r="L88" s="18"/>
      <c r="M88" s="159"/>
      <c r="N88" s="163"/>
    </row>
    <row r="89" spans="3:14" x14ac:dyDescent="0.35">
      <c r="C89" s="8"/>
      <c r="D89" s="18"/>
      <c r="E89" s="18"/>
      <c r="F89" s="18"/>
      <c r="G89" s="225"/>
      <c r="H89" s="5"/>
      <c r="I89" s="107"/>
      <c r="J89" s="152"/>
      <c r="K89" s="18"/>
      <c r="L89" s="18"/>
      <c r="M89" s="159"/>
      <c r="N89" s="163"/>
    </row>
    <row r="90" spans="3:14" x14ac:dyDescent="0.35">
      <c r="C90" s="8"/>
      <c r="D90" s="18"/>
      <c r="E90" s="18"/>
      <c r="F90" s="18"/>
      <c r="G90" s="225"/>
      <c r="H90" s="5"/>
      <c r="I90" s="107"/>
      <c r="J90" s="152"/>
      <c r="K90" s="18"/>
      <c r="L90" s="18"/>
      <c r="M90" s="159"/>
      <c r="N90" s="163"/>
    </row>
    <row r="91" spans="3:14" ht="15" thickBot="1" x14ac:dyDescent="0.4">
      <c r="C91" s="9"/>
      <c r="D91" s="19"/>
      <c r="E91" s="19"/>
      <c r="F91" s="19"/>
      <c r="G91" s="226"/>
      <c r="H91" s="10"/>
      <c r="I91" s="108"/>
      <c r="J91" s="153"/>
      <c r="K91" s="19"/>
      <c r="L91" s="19"/>
      <c r="M91" s="160"/>
      <c r="N91" s="164"/>
    </row>
  </sheetData>
  <mergeCells count="3">
    <mergeCell ref="C8:D8"/>
    <mergeCell ref="C70:I70"/>
    <mergeCell ref="J70:N70"/>
  </mergeCells>
  <dataValidations count="3">
    <dataValidation type="list" allowBlank="1" showInputMessage="1" showErrorMessage="1" sqref="D72:E91" xr:uid="{B3AC9220-DCA5-45AB-B833-7CC922465D2C}">
      <formula1>$D$15:$D$29</formula1>
    </dataValidation>
    <dataValidation type="list" allowBlank="1" showInputMessage="1" showErrorMessage="1" sqref="J72:M91" xr:uid="{50659B92-9F24-476A-A098-EBE73BC006AA}">
      <formula1>$C$48:$C$68</formula1>
    </dataValidation>
    <dataValidation type="list" allowBlank="1" showInputMessage="1" showErrorMessage="1" sqref="F72:F91" xr:uid="{ED60214F-39B7-40CA-AA42-1FDDDCD1CC3E}">
      <formula1>"Yes,No"</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91A41-3B52-4B02-9EFE-C53EB2DBEDF1}">
  <sheetPr codeName="Sheet4"/>
  <dimension ref="A1:S56"/>
  <sheetViews>
    <sheetView topLeftCell="A45" zoomScaleNormal="100" workbookViewId="0">
      <selection activeCell="J19" sqref="J19"/>
    </sheetView>
  </sheetViews>
  <sheetFormatPr defaultRowHeight="14.5" x14ac:dyDescent="0.35"/>
  <cols>
    <col min="1" max="1" width="4.90625" style="29" customWidth="1"/>
    <col min="2" max="2" width="4.1796875" style="29" customWidth="1"/>
    <col min="3" max="3" width="18.26953125" style="29" customWidth="1"/>
    <col min="4" max="4" width="11.36328125" style="29" customWidth="1"/>
    <col min="5" max="15" width="10.6328125" style="29" customWidth="1"/>
    <col min="16" max="16" width="8.7265625" style="29"/>
    <col min="17" max="17" width="10.36328125" style="29" customWidth="1"/>
    <col min="18" max="18" width="10" style="29" customWidth="1"/>
    <col min="19" max="19" width="10.6328125" style="29" customWidth="1"/>
    <col min="20" max="20" width="8.7265625" style="29"/>
    <col min="21" max="21" width="9.54296875" style="29" customWidth="1"/>
    <col min="22" max="16384" width="8.7265625" style="29"/>
  </cols>
  <sheetData>
    <row r="1" spans="1:19" ht="28.5" x14ac:dyDescent="0.65">
      <c r="A1" s="28" t="s">
        <v>227</v>
      </c>
    </row>
    <row r="5" spans="1:19" x14ac:dyDescent="0.35">
      <c r="B5" s="104" t="s">
        <v>19</v>
      </c>
      <c r="E5" s="143"/>
      <c r="F5" s="102"/>
    </row>
    <row r="6" spans="1:19" x14ac:dyDescent="0.35">
      <c r="B6" s="104" t="s">
        <v>235</v>
      </c>
      <c r="F6" s="305"/>
    </row>
    <row r="7" spans="1:19" ht="15" thickBot="1" x14ac:dyDescent="0.4"/>
    <row r="8" spans="1:19" ht="28" customHeight="1" thickBot="1" x14ac:dyDescent="0.4">
      <c r="B8" s="34">
        <v>1</v>
      </c>
      <c r="C8" s="314" t="s">
        <v>80</v>
      </c>
      <c r="D8" s="315"/>
      <c r="E8" s="315"/>
      <c r="F8" s="315"/>
      <c r="G8" s="315"/>
      <c r="H8" s="315"/>
      <c r="I8" s="315"/>
      <c r="J8" s="315"/>
      <c r="K8" s="315"/>
      <c r="L8" s="315"/>
      <c r="M8" s="316"/>
      <c r="S8" s="35"/>
    </row>
    <row r="9" spans="1:19" ht="58" x14ac:dyDescent="0.35">
      <c r="C9" s="91" t="s">
        <v>81</v>
      </c>
      <c r="D9" s="93" t="s">
        <v>82</v>
      </c>
      <c r="E9" s="94" t="s">
        <v>83</v>
      </c>
      <c r="F9" s="94" t="s">
        <v>84</v>
      </c>
      <c r="G9" s="94" t="s">
        <v>85</v>
      </c>
      <c r="H9" s="94" t="s">
        <v>86</v>
      </c>
      <c r="I9" s="94" t="s">
        <v>87</v>
      </c>
      <c r="J9" s="95" t="s">
        <v>88</v>
      </c>
      <c r="K9" s="93" t="s">
        <v>89</v>
      </c>
      <c r="L9" s="94" t="s">
        <v>90</v>
      </c>
      <c r="M9" s="188" t="s">
        <v>79</v>
      </c>
    </row>
    <row r="10" spans="1:19" x14ac:dyDescent="0.35">
      <c r="C10" s="260" t="str">
        <f>IF(ISBLANK('2. RI info'!C72),"",'2. RI info'!C72)</f>
        <v>BCG</v>
      </c>
      <c r="D10" s="261">
        <f>SUM(Backpage!I3:L3)</f>
        <v>50</v>
      </c>
      <c r="E10" s="172">
        <v>52</v>
      </c>
      <c r="F10" s="255">
        <f>IF(ISNUMBER(E10),E10,D10)</f>
        <v>52</v>
      </c>
      <c r="G10" s="172">
        <v>2</v>
      </c>
      <c r="H10" s="265">
        <f t="shared" ref="H10:H29" si="0">ROUNDUP(F10*coverage1*wastage1,0)</f>
        <v>149</v>
      </c>
      <c r="I10" s="110">
        <f t="shared" ref="I10:I29" si="1">H10/months*buffer</f>
        <v>12.416666666666666</v>
      </c>
      <c r="J10" s="266">
        <f>IFERROR(MAX(0,CEILING(H10-G10+I10,VLOOKUP('3. Vaccine demand'!C10,'2. RI info'!$C$72:$I$91,7,FALSE))),0)</f>
        <v>160</v>
      </c>
      <c r="K10" s="46"/>
      <c r="L10" s="255">
        <f t="shared" ref="L10:L29" si="2">K10*J10</f>
        <v>0</v>
      </c>
      <c r="M10" s="129"/>
      <c r="N10" s="109"/>
    </row>
    <row r="11" spans="1:19" x14ac:dyDescent="0.35">
      <c r="C11" s="260" t="str">
        <f>IF(ISBLANK('2. RI info'!C73),"",'2. RI info'!C73)</f>
        <v>Hep B</v>
      </c>
      <c r="D11" s="261">
        <f>SUM(Backpage!I4:L4)</f>
        <v>50</v>
      </c>
      <c r="E11" s="172">
        <v>45</v>
      </c>
      <c r="F11" s="255">
        <f t="shared" ref="F11:F29" si="3">IF(ISNUMBER(E11),E11,D11)</f>
        <v>45</v>
      </c>
      <c r="G11" s="172">
        <v>34</v>
      </c>
      <c r="H11" s="265">
        <f t="shared" si="0"/>
        <v>129</v>
      </c>
      <c r="I11" s="110">
        <f t="shared" si="1"/>
        <v>10.75</v>
      </c>
      <c r="J11" s="266">
        <f>IFERROR(MAX(0,CEILING(H11-G11+I11,VLOOKUP('3. Vaccine demand'!C11,'2. RI info'!$C$72:$I$91,7,FALSE))),0)</f>
        <v>106</v>
      </c>
      <c r="K11" s="46"/>
      <c r="L11" s="255">
        <f t="shared" si="2"/>
        <v>0</v>
      </c>
      <c r="M11" s="129"/>
      <c r="N11" s="109"/>
    </row>
    <row r="12" spans="1:19" x14ac:dyDescent="0.35">
      <c r="C12" s="260" t="str">
        <f>IF(ISBLANK('2. RI info'!C74),"",'2. RI info'!C74)</f>
        <v>DPT-VGB-Hib (SII)</v>
      </c>
      <c r="D12" s="261">
        <f>SUM(Backpage!I5:L5)</f>
        <v>150</v>
      </c>
      <c r="E12" s="172"/>
      <c r="F12" s="255">
        <f t="shared" si="3"/>
        <v>150</v>
      </c>
      <c r="G12" s="172">
        <v>23</v>
      </c>
      <c r="H12" s="265">
        <f t="shared" si="0"/>
        <v>428</v>
      </c>
      <c r="I12" s="110">
        <f t="shared" si="1"/>
        <v>35.666666666666664</v>
      </c>
      <c r="J12" s="266">
        <f>IFERROR(MAX(0,CEILING(H12-G12+I12,VLOOKUP('3. Vaccine demand'!C12,'2. RI info'!$C$72:$I$91,7,FALSE))),0)</f>
        <v>441</v>
      </c>
      <c r="K12" s="46"/>
      <c r="L12" s="255">
        <f t="shared" si="2"/>
        <v>0</v>
      </c>
      <c r="M12" s="129"/>
      <c r="N12" s="109"/>
    </row>
    <row r="13" spans="1:19" x14ac:dyDescent="0.35">
      <c r="C13" s="260" t="str">
        <f>IF(ISBLANK('2. RI info'!C75),"",'2. RI info'!C75)</f>
        <v>OPV</v>
      </c>
      <c r="D13" s="261">
        <f>SUM(Backpage!I6:L6)</f>
        <v>150</v>
      </c>
      <c r="E13" s="172">
        <v>100</v>
      </c>
      <c r="F13" s="255">
        <f t="shared" si="3"/>
        <v>100</v>
      </c>
      <c r="G13" s="172">
        <v>50</v>
      </c>
      <c r="H13" s="265">
        <f t="shared" si="0"/>
        <v>285</v>
      </c>
      <c r="I13" s="110">
        <f t="shared" si="1"/>
        <v>23.75</v>
      </c>
      <c r="J13" s="266">
        <f>IFERROR(MAX(0,CEILING(H13-G13+I13,VLOOKUP('3. Vaccine demand'!C13,'2. RI info'!$C$72:$I$91,7,FALSE))),0)</f>
        <v>260</v>
      </c>
      <c r="K13" s="46"/>
      <c r="L13" s="255">
        <f t="shared" si="2"/>
        <v>0</v>
      </c>
      <c r="M13" s="129"/>
      <c r="N13" s="109"/>
    </row>
    <row r="14" spans="1:19" x14ac:dyDescent="0.35">
      <c r="C14" s="260" t="str">
        <f>IF(ISBLANK('2. RI info'!C76),"",'2. RI info'!C76)</f>
        <v>IPV</v>
      </c>
      <c r="D14" s="261">
        <f>SUM(Backpage!I7:L7)</f>
        <v>100</v>
      </c>
      <c r="E14" s="172"/>
      <c r="F14" s="255">
        <f t="shared" si="3"/>
        <v>100</v>
      </c>
      <c r="G14" s="172">
        <v>12</v>
      </c>
      <c r="H14" s="265">
        <f t="shared" si="0"/>
        <v>285</v>
      </c>
      <c r="I14" s="110">
        <f t="shared" si="1"/>
        <v>23.75</v>
      </c>
      <c r="J14" s="266">
        <f>IFERROR(MAX(0,CEILING(H14-G14+I14,VLOOKUP('3. Vaccine demand'!C14,'2. RI info'!$C$72:$I$91,7,FALSE))),0)</f>
        <v>300</v>
      </c>
      <c r="K14" s="46"/>
      <c r="L14" s="255">
        <f t="shared" si="2"/>
        <v>0</v>
      </c>
      <c r="M14" s="129"/>
      <c r="N14" s="109"/>
    </row>
    <row r="15" spans="1:19" x14ac:dyDescent="0.35">
      <c r="C15" s="260" t="str">
        <f>IF(ISBLANK('2. RI info'!C77),"",'2. RI info'!C77)</f>
        <v>Measles</v>
      </c>
      <c r="D15" s="261">
        <f>SUM(Backpage!I8:L8)</f>
        <v>100</v>
      </c>
      <c r="E15" s="172">
        <v>80</v>
      </c>
      <c r="F15" s="255">
        <f t="shared" si="3"/>
        <v>80</v>
      </c>
      <c r="G15" s="172">
        <v>2</v>
      </c>
      <c r="H15" s="265">
        <f t="shared" si="0"/>
        <v>228</v>
      </c>
      <c r="I15" s="110">
        <f t="shared" si="1"/>
        <v>19</v>
      </c>
      <c r="J15" s="266">
        <f>IFERROR(MAX(0,CEILING(H15-G15+I15,VLOOKUP('3. Vaccine demand'!C15,'2. RI info'!$C$72:$I$91,7,FALSE))),0)</f>
        <v>250</v>
      </c>
      <c r="K15" s="46"/>
      <c r="L15" s="255">
        <f t="shared" si="2"/>
        <v>0</v>
      </c>
      <c r="M15" s="129"/>
      <c r="N15" s="109"/>
    </row>
    <row r="16" spans="1:19" x14ac:dyDescent="0.35">
      <c r="C16" s="260" t="str">
        <f>IF(ISBLANK('2. RI info'!C78),"",'2. RI info'!C78)</f>
        <v>Measles-Rubella</v>
      </c>
      <c r="D16" s="261">
        <f>SUM(Backpage!I9:L9)</f>
        <v>50</v>
      </c>
      <c r="E16" s="172"/>
      <c r="F16" s="255">
        <f t="shared" si="3"/>
        <v>50</v>
      </c>
      <c r="G16" s="172"/>
      <c r="H16" s="265">
        <f t="shared" si="0"/>
        <v>143</v>
      </c>
      <c r="I16" s="110">
        <f t="shared" si="1"/>
        <v>11.916666666666666</v>
      </c>
      <c r="J16" s="266">
        <f>IFERROR(MAX(0,CEILING(H16-G16+I16,VLOOKUP('3. Vaccine demand'!C16,'2. RI info'!$C$72:$I$91,7,FALSE))),0)</f>
        <v>160</v>
      </c>
      <c r="K16" s="46"/>
      <c r="L16" s="255">
        <f t="shared" si="2"/>
        <v>0</v>
      </c>
      <c r="M16" s="129"/>
      <c r="N16" s="109"/>
    </row>
    <row r="17" spans="3:14" x14ac:dyDescent="0.35">
      <c r="C17" s="260" t="str">
        <f>IF(ISBLANK('2. RI info'!C79),"",'2. RI info'!C79)</f>
        <v>DPT</v>
      </c>
      <c r="D17" s="261">
        <f>SUM(Backpage!I10:L10)</f>
        <v>50</v>
      </c>
      <c r="E17" s="172">
        <v>50</v>
      </c>
      <c r="F17" s="255">
        <f t="shared" si="3"/>
        <v>50</v>
      </c>
      <c r="G17" s="172"/>
      <c r="H17" s="265">
        <f t="shared" si="0"/>
        <v>143</v>
      </c>
      <c r="I17" s="110">
        <f t="shared" si="1"/>
        <v>11.916666666666666</v>
      </c>
      <c r="J17" s="266">
        <f>IFERROR(MAX(0,CEILING(H17-G17+I17,VLOOKUP('3. Vaccine demand'!C17,'2. RI info'!$C$72:$I$91,7,FALSE))),0)</f>
        <v>160</v>
      </c>
      <c r="K17" s="46"/>
      <c r="L17" s="255">
        <f t="shared" si="2"/>
        <v>0</v>
      </c>
      <c r="M17" s="129"/>
      <c r="N17" s="109"/>
    </row>
    <row r="18" spans="3:14" x14ac:dyDescent="0.35">
      <c r="C18" s="260" t="str">
        <f>IF(ISBLANK('2. RI info'!C80),"",'2. RI info'!C80)</f>
        <v>JE</v>
      </c>
      <c r="D18" s="261">
        <f>SUM(Backpage!I11:L11)</f>
        <v>260</v>
      </c>
      <c r="E18" s="172">
        <v>200</v>
      </c>
      <c r="F18" s="255">
        <f t="shared" si="3"/>
        <v>200</v>
      </c>
      <c r="G18" s="172"/>
      <c r="H18" s="265">
        <f t="shared" si="0"/>
        <v>570</v>
      </c>
      <c r="I18" s="110">
        <f t="shared" si="1"/>
        <v>47.5</v>
      </c>
      <c r="J18" s="266">
        <f>IFERROR(MAX(0,CEILING(H18-G18+I18,VLOOKUP('3. Vaccine demand'!C18,'2. RI info'!$C$72:$I$91,7,FALSE))),0)</f>
        <v>620</v>
      </c>
      <c r="K18" s="46"/>
      <c r="L18" s="255">
        <f t="shared" si="2"/>
        <v>0</v>
      </c>
      <c r="M18" s="129"/>
      <c r="N18" s="109"/>
    </row>
    <row r="19" spans="3:14" x14ac:dyDescent="0.35">
      <c r="C19" s="260" t="str">
        <f>IF(ISBLANK('2. RI info'!C81),"",'2. RI info'!C81)</f>
        <v>Tetanus</v>
      </c>
      <c r="D19" s="261">
        <f>SUM(Backpage!I12:L12)</f>
        <v>100</v>
      </c>
      <c r="E19" s="172"/>
      <c r="F19" s="255">
        <f t="shared" si="3"/>
        <v>100</v>
      </c>
      <c r="G19" s="172"/>
      <c r="H19" s="265">
        <f t="shared" si="0"/>
        <v>285</v>
      </c>
      <c r="I19" s="110">
        <f t="shared" si="1"/>
        <v>23.75</v>
      </c>
      <c r="J19" s="266">
        <f>IFERROR(MAX(0,CEILING(H19-G19+I19,VLOOKUP('3. Vaccine demand'!C19,'2. RI info'!$C$72:$I$91,7,FALSE))),0)</f>
        <v>320</v>
      </c>
      <c r="K19" s="46"/>
      <c r="L19" s="255">
        <f t="shared" si="2"/>
        <v>0</v>
      </c>
      <c r="M19" s="129"/>
      <c r="N19" s="109"/>
    </row>
    <row r="20" spans="3:14" x14ac:dyDescent="0.35">
      <c r="C20" s="260" t="str">
        <f>IF(ISBLANK('2. RI info'!C82),"",'2. RI info'!C82)</f>
        <v>Td</v>
      </c>
      <c r="D20" s="261">
        <f>SUM(Backpage!I13:L13)</f>
        <v>100</v>
      </c>
      <c r="E20" s="172">
        <v>100</v>
      </c>
      <c r="F20" s="255">
        <f t="shared" si="3"/>
        <v>100</v>
      </c>
      <c r="G20" s="172"/>
      <c r="H20" s="265">
        <f t="shared" si="0"/>
        <v>285</v>
      </c>
      <c r="I20" s="110">
        <f t="shared" si="1"/>
        <v>23.75</v>
      </c>
      <c r="J20" s="266">
        <f>IFERROR(MAX(0,CEILING(H20-G20+I20,VLOOKUP('3. Vaccine demand'!C20,'2. RI info'!$C$72:$I$91,7,FALSE))),0)</f>
        <v>310</v>
      </c>
      <c r="K20" s="46"/>
      <c r="L20" s="255">
        <f t="shared" si="2"/>
        <v>0</v>
      </c>
      <c r="M20" s="129"/>
      <c r="N20" s="109"/>
    </row>
    <row r="21" spans="3:14" x14ac:dyDescent="0.35">
      <c r="C21" s="260" t="str">
        <f>IF(ISBLANK('2. RI info'!C83),"",'2. RI info'!C83)</f>
        <v>JE 1 mL for 3 yo</v>
      </c>
      <c r="D21" s="261">
        <f>SUM(Backpage!I14:L14)</f>
        <v>20</v>
      </c>
      <c r="E21" s="172">
        <v>100</v>
      </c>
      <c r="F21" s="255">
        <f t="shared" si="3"/>
        <v>100</v>
      </c>
      <c r="G21" s="172"/>
      <c r="H21" s="265">
        <f t="shared" si="0"/>
        <v>285</v>
      </c>
      <c r="I21" s="110">
        <f t="shared" si="1"/>
        <v>23.75</v>
      </c>
      <c r="J21" s="266">
        <f>IFERROR(MAX(0,CEILING(H21-G21+I21,VLOOKUP('3. Vaccine demand'!C21,'2. RI info'!$C$72:$I$91,7,FALSE))),0)</f>
        <v>310</v>
      </c>
      <c r="K21" s="46"/>
      <c r="L21" s="255">
        <f t="shared" si="2"/>
        <v>0</v>
      </c>
      <c r="M21" s="129"/>
      <c r="N21" s="109"/>
    </row>
    <row r="22" spans="3:14" x14ac:dyDescent="0.35">
      <c r="C22" s="260" t="str">
        <f>IF(ISBLANK('2. RI info'!C84),"",'2. RI info'!C84)</f>
        <v/>
      </c>
      <c r="D22" s="261">
        <f>SUM(Backpage!I15:L15)</f>
        <v>0</v>
      </c>
      <c r="E22" s="172"/>
      <c r="F22" s="255">
        <f t="shared" si="3"/>
        <v>0</v>
      </c>
      <c r="G22" s="172"/>
      <c r="H22" s="265">
        <f t="shared" si="0"/>
        <v>0</v>
      </c>
      <c r="I22" s="110">
        <f t="shared" si="1"/>
        <v>0</v>
      </c>
      <c r="J22" s="266">
        <f>IFERROR(MAX(0,CEILING(H22-G22+I22,VLOOKUP('3. Vaccine demand'!C22,'2. RI info'!$C$72:$I$91,7,FALSE))),0)</f>
        <v>0</v>
      </c>
      <c r="K22" s="46"/>
      <c r="L22" s="255">
        <f t="shared" si="2"/>
        <v>0</v>
      </c>
      <c r="M22" s="129"/>
      <c r="N22" s="109"/>
    </row>
    <row r="23" spans="3:14" x14ac:dyDescent="0.35">
      <c r="C23" s="260" t="str">
        <f>IF(ISBLANK('2. RI info'!C85),"",'2. RI info'!C85)</f>
        <v/>
      </c>
      <c r="D23" s="261">
        <f>SUM(Backpage!I16:L16)</f>
        <v>0</v>
      </c>
      <c r="E23" s="172"/>
      <c r="F23" s="255">
        <f t="shared" si="3"/>
        <v>0</v>
      </c>
      <c r="G23" s="172"/>
      <c r="H23" s="265">
        <f t="shared" si="0"/>
        <v>0</v>
      </c>
      <c r="I23" s="110">
        <f t="shared" si="1"/>
        <v>0</v>
      </c>
      <c r="J23" s="266">
        <f>IFERROR(MAX(0,CEILING(H23-G23+I23,VLOOKUP('3. Vaccine demand'!C23,'2. RI info'!$C$72:$I$91,7,FALSE))),0)</f>
        <v>0</v>
      </c>
      <c r="K23" s="46"/>
      <c r="L23" s="255">
        <f t="shared" si="2"/>
        <v>0</v>
      </c>
      <c r="M23" s="129"/>
      <c r="N23" s="109"/>
    </row>
    <row r="24" spans="3:14" x14ac:dyDescent="0.35">
      <c r="C24" s="260" t="str">
        <f>IF(ISBLANK('2. RI info'!C86),"",'2. RI info'!C86)</f>
        <v/>
      </c>
      <c r="D24" s="261">
        <f>SUM(Backpage!I17:L17)</f>
        <v>0</v>
      </c>
      <c r="E24" s="172"/>
      <c r="F24" s="255">
        <f t="shared" si="3"/>
        <v>0</v>
      </c>
      <c r="G24" s="172"/>
      <c r="H24" s="265">
        <f t="shared" si="0"/>
        <v>0</v>
      </c>
      <c r="I24" s="110">
        <f t="shared" si="1"/>
        <v>0</v>
      </c>
      <c r="J24" s="266">
        <f>IFERROR(MAX(0,CEILING(H24-G24+I24,VLOOKUP('3. Vaccine demand'!C24,'2. RI info'!$C$72:$I$91,7,FALSE))),0)</f>
        <v>0</v>
      </c>
      <c r="K24" s="46"/>
      <c r="L24" s="255">
        <f t="shared" si="2"/>
        <v>0</v>
      </c>
      <c r="M24" s="129"/>
      <c r="N24" s="109"/>
    </row>
    <row r="25" spans="3:14" x14ac:dyDescent="0.35">
      <c r="C25" s="260" t="str">
        <f>IF(ISBLANK('2. RI info'!C87),"",'2. RI info'!C87)</f>
        <v/>
      </c>
      <c r="D25" s="261">
        <f>SUM(Backpage!I18:L18)</f>
        <v>0</v>
      </c>
      <c r="E25" s="172"/>
      <c r="F25" s="255">
        <f t="shared" si="3"/>
        <v>0</v>
      </c>
      <c r="G25" s="172"/>
      <c r="H25" s="265">
        <f t="shared" si="0"/>
        <v>0</v>
      </c>
      <c r="I25" s="110">
        <f t="shared" si="1"/>
        <v>0</v>
      </c>
      <c r="J25" s="266">
        <f>IFERROR(MAX(0,CEILING(H25-G25+I25,VLOOKUP('3. Vaccine demand'!C25,'2. RI info'!$C$72:$I$91,7,FALSE))),0)</f>
        <v>0</v>
      </c>
      <c r="K25" s="46"/>
      <c r="L25" s="255">
        <f t="shared" si="2"/>
        <v>0</v>
      </c>
      <c r="M25" s="129"/>
      <c r="N25" s="109"/>
    </row>
    <row r="26" spans="3:14" x14ac:dyDescent="0.35">
      <c r="C26" s="260" t="str">
        <f>IF(ISBLANK('2. RI info'!C88),"",'2. RI info'!C88)</f>
        <v/>
      </c>
      <c r="D26" s="261">
        <f>SUM(Backpage!I19:L19)</f>
        <v>0</v>
      </c>
      <c r="E26" s="172"/>
      <c r="F26" s="255">
        <f t="shared" si="3"/>
        <v>0</v>
      </c>
      <c r="G26" s="172"/>
      <c r="H26" s="265">
        <f t="shared" si="0"/>
        <v>0</v>
      </c>
      <c r="I26" s="110">
        <f t="shared" si="1"/>
        <v>0</v>
      </c>
      <c r="J26" s="266">
        <f>IFERROR(MAX(0,CEILING(H26-G26+I26,VLOOKUP('3. Vaccine demand'!C26,'2. RI info'!$C$72:$I$91,7,FALSE))),0)</f>
        <v>0</v>
      </c>
      <c r="K26" s="46"/>
      <c r="L26" s="255">
        <f t="shared" si="2"/>
        <v>0</v>
      </c>
      <c r="M26" s="129"/>
      <c r="N26" s="109"/>
    </row>
    <row r="27" spans="3:14" x14ac:dyDescent="0.35">
      <c r="C27" s="260" t="str">
        <f>IF(ISBLANK('2. RI info'!C89),"",'2. RI info'!C89)</f>
        <v/>
      </c>
      <c r="D27" s="261">
        <f>SUM(Backpage!I20:L20)</f>
        <v>0</v>
      </c>
      <c r="E27" s="172"/>
      <c r="F27" s="255">
        <f t="shared" si="3"/>
        <v>0</v>
      </c>
      <c r="G27" s="172"/>
      <c r="H27" s="265">
        <f t="shared" si="0"/>
        <v>0</v>
      </c>
      <c r="I27" s="110">
        <f t="shared" si="1"/>
        <v>0</v>
      </c>
      <c r="J27" s="266">
        <f>IFERROR(MAX(0,CEILING(H27-G27+I27,VLOOKUP('3. Vaccine demand'!C27,'2. RI info'!$C$72:$I$91,7,FALSE))),0)</f>
        <v>0</v>
      </c>
      <c r="K27" s="46"/>
      <c r="L27" s="255">
        <f t="shared" si="2"/>
        <v>0</v>
      </c>
      <c r="M27" s="129"/>
      <c r="N27" s="109"/>
    </row>
    <row r="28" spans="3:14" x14ac:dyDescent="0.35">
      <c r="C28" s="260" t="str">
        <f>IF(ISBLANK('2. RI info'!C90),"",'2. RI info'!C90)</f>
        <v/>
      </c>
      <c r="D28" s="261">
        <f>SUM(Backpage!I21:L21)</f>
        <v>0</v>
      </c>
      <c r="E28" s="172"/>
      <c r="F28" s="255">
        <f t="shared" si="3"/>
        <v>0</v>
      </c>
      <c r="G28" s="172"/>
      <c r="H28" s="265">
        <f t="shared" si="0"/>
        <v>0</v>
      </c>
      <c r="I28" s="110">
        <f t="shared" si="1"/>
        <v>0</v>
      </c>
      <c r="J28" s="266">
        <f>IFERROR(MAX(0,CEILING(H28-G28+I28,VLOOKUP('3. Vaccine demand'!C28,'2. RI info'!$C$72:$I$91,7,FALSE))),0)</f>
        <v>0</v>
      </c>
      <c r="K28" s="46"/>
      <c r="L28" s="255">
        <f t="shared" si="2"/>
        <v>0</v>
      </c>
      <c r="M28" s="129"/>
      <c r="N28" s="109"/>
    </row>
    <row r="29" spans="3:14" ht="15" thickBot="1" x14ac:dyDescent="0.4">
      <c r="C29" s="262" t="str">
        <f>IF(ISBLANK('2. RI info'!C91),"",'2. RI info'!C91)</f>
        <v/>
      </c>
      <c r="D29" s="263">
        <f>SUM(Backpage!I22:L22)</f>
        <v>0</v>
      </c>
      <c r="E29" s="173"/>
      <c r="F29" s="264">
        <f t="shared" si="3"/>
        <v>0</v>
      </c>
      <c r="G29" s="173"/>
      <c r="H29" s="267">
        <f t="shared" si="0"/>
        <v>0</v>
      </c>
      <c r="I29" s="111">
        <f t="shared" si="1"/>
        <v>0</v>
      </c>
      <c r="J29" s="268">
        <f>IFERROR(MAX(0,CEILING(H29-G29+I29,VLOOKUP('3. Vaccine demand'!C29,'2. RI info'!$C$72:$I$91,7,FALSE))),0)</f>
        <v>0</v>
      </c>
      <c r="K29" s="47"/>
      <c r="L29" s="264">
        <f t="shared" si="2"/>
        <v>0</v>
      </c>
      <c r="M29" s="130"/>
      <c r="N29" s="109"/>
    </row>
    <row r="30" spans="3:14" ht="15" thickBot="1" x14ac:dyDescent="0.4"/>
    <row r="31" spans="3:14" ht="15" thickBot="1" x14ac:dyDescent="0.4">
      <c r="K31" s="232" t="s">
        <v>91</v>
      </c>
      <c r="L31" s="257">
        <f>SUM(L10:L29)</f>
        <v>0</v>
      </c>
    </row>
    <row r="32" spans="3:14" ht="15" thickBot="1" x14ac:dyDescent="0.4"/>
    <row r="33" spans="2:7" ht="15" thickBot="1" x14ac:dyDescent="0.4">
      <c r="B33" s="92">
        <v>2</v>
      </c>
      <c r="C33" s="43" t="s">
        <v>93</v>
      </c>
      <c r="D33" s="216"/>
      <c r="E33" s="216"/>
      <c r="F33" s="216"/>
      <c r="G33" s="217"/>
    </row>
    <row r="34" spans="2:7" ht="29.5" thickBot="1" x14ac:dyDescent="0.4">
      <c r="C34" s="300" t="s">
        <v>94</v>
      </c>
      <c r="D34" s="301" t="s">
        <v>95</v>
      </c>
      <c r="E34" s="302" t="s">
        <v>96</v>
      </c>
      <c r="F34" s="302" t="s">
        <v>24</v>
      </c>
      <c r="G34" s="117" t="s">
        <v>79</v>
      </c>
    </row>
    <row r="35" spans="2:7" x14ac:dyDescent="0.35">
      <c r="C35" s="269" t="str">
        <f>IF('2. RI info'!$F72="Yes",CONCATENATE("Diluent ",'2. RI info'!$C72),"")</f>
        <v>Diluent BCG</v>
      </c>
      <c r="D35" s="270">
        <f>IF(C35&lt;&gt;"",VLOOKUP(C35,Backpage!$G$3:$H$22,2,0),"")</f>
        <v>160</v>
      </c>
      <c r="E35" s="213"/>
      <c r="F35" s="303">
        <f>IFERROR(D35*E35,"")</f>
        <v>0</v>
      </c>
      <c r="G35" s="192"/>
    </row>
    <row r="36" spans="2:7" x14ac:dyDescent="0.35">
      <c r="C36" s="271" t="str">
        <f>IF('2. RI info'!$F73="Yes",CONCATENATE("Diluent ",'2. RI info'!$C73),"")</f>
        <v/>
      </c>
      <c r="D36" s="272" t="str">
        <f>IF(C36&lt;&gt;"",VLOOKUP(C36,Backpage!$G$3:$H$22,2,0),"")</f>
        <v/>
      </c>
      <c r="E36" s="68"/>
      <c r="F36" s="294" t="str">
        <f t="shared" ref="F36:F54" si="4">IFERROR(D36*E36,"")</f>
        <v/>
      </c>
      <c r="G36" s="129"/>
    </row>
    <row r="37" spans="2:7" x14ac:dyDescent="0.35">
      <c r="C37" s="271" t="str">
        <f>IF('2. RI info'!$F74="Yes",CONCATENATE("Diluent ",'2. RI info'!$C74),"")</f>
        <v/>
      </c>
      <c r="D37" s="272" t="str">
        <f>IF(C37&lt;&gt;"",VLOOKUP(C37,Backpage!$G$3:$H$22,2,0),"")</f>
        <v/>
      </c>
      <c r="E37" s="68"/>
      <c r="F37" s="294" t="str">
        <f t="shared" si="4"/>
        <v/>
      </c>
      <c r="G37" s="129"/>
    </row>
    <row r="38" spans="2:7" x14ac:dyDescent="0.35">
      <c r="C38" s="271" t="str">
        <f>IF('2. RI info'!$F75="Yes",CONCATENATE("Diluent ",'2. RI info'!$C75),"")</f>
        <v/>
      </c>
      <c r="D38" s="272" t="str">
        <f>IF(C38&lt;&gt;"",VLOOKUP(C38,Backpage!$G$3:$H$22,2,0),"")</f>
        <v/>
      </c>
      <c r="E38" s="68"/>
      <c r="F38" s="294" t="str">
        <f t="shared" si="4"/>
        <v/>
      </c>
      <c r="G38" s="129"/>
    </row>
    <row r="39" spans="2:7" x14ac:dyDescent="0.35">
      <c r="C39" s="271" t="str">
        <f>IF('2. RI info'!$F76="Yes",CONCATENATE("Diluent ",'2. RI info'!$C76),"")</f>
        <v/>
      </c>
      <c r="D39" s="272" t="str">
        <f>IF(C39&lt;&gt;"",VLOOKUP(C39,Backpage!$G$3:$H$22,2,0),"")</f>
        <v/>
      </c>
      <c r="E39" s="68"/>
      <c r="F39" s="294" t="str">
        <f t="shared" si="4"/>
        <v/>
      </c>
      <c r="G39" s="129"/>
    </row>
    <row r="40" spans="2:7" x14ac:dyDescent="0.35">
      <c r="C40" s="271" t="str">
        <f>IF('2. RI info'!$F77="Yes",CONCATENATE("Diluent ",'2. RI info'!$C77),"")</f>
        <v>Diluent Measles</v>
      </c>
      <c r="D40" s="272">
        <f>IF(C40&lt;&gt;"",VLOOKUP(C40,Backpage!$G$3:$H$22,2,0),"")</f>
        <v>250</v>
      </c>
      <c r="E40" s="68"/>
      <c r="F40" s="294">
        <f t="shared" si="4"/>
        <v>0</v>
      </c>
      <c r="G40" s="129"/>
    </row>
    <row r="41" spans="2:7" x14ac:dyDescent="0.35">
      <c r="C41" s="271" t="str">
        <f>IF('2. RI info'!$F78="Yes",CONCATENATE("Diluent ",'2. RI info'!$C78),"")</f>
        <v>Diluent Measles-Rubella</v>
      </c>
      <c r="D41" s="272">
        <f>IF(C41&lt;&gt;"",VLOOKUP(C41,Backpage!$G$3:$H$22,2,0),"")</f>
        <v>160</v>
      </c>
      <c r="E41" s="68"/>
      <c r="F41" s="294">
        <f t="shared" si="4"/>
        <v>0</v>
      </c>
      <c r="G41" s="129"/>
    </row>
    <row r="42" spans="2:7" x14ac:dyDescent="0.35">
      <c r="C42" s="271" t="str">
        <f>IF('2. RI info'!$F79="Yes",CONCATENATE("Diluent ",'2. RI info'!$C79),"")</f>
        <v/>
      </c>
      <c r="D42" s="272" t="str">
        <f>IF(C42&lt;&gt;"",VLOOKUP(C42,Backpage!$G$3:$H$22,2,0),"")</f>
        <v/>
      </c>
      <c r="E42" s="68"/>
      <c r="F42" s="294" t="str">
        <f t="shared" si="4"/>
        <v/>
      </c>
      <c r="G42" s="129"/>
    </row>
    <row r="43" spans="2:7" x14ac:dyDescent="0.35">
      <c r="C43" s="271" t="str">
        <f>IF('2. RI info'!$F80="Yes",CONCATENATE("Diluent ",'2. RI info'!$C80),"")</f>
        <v/>
      </c>
      <c r="D43" s="272" t="str">
        <f>IF(C43&lt;&gt;"",VLOOKUP(C43,Backpage!$G$3:$H$22,2,0),"")</f>
        <v/>
      </c>
      <c r="E43" s="68"/>
      <c r="F43" s="294" t="str">
        <f t="shared" si="4"/>
        <v/>
      </c>
      <c r="G43" s="129"/>
    </row>
    <row r="44" spans="2:7" x14ac:dyDescent="0.35">
      <c r="C44" s="271" t="str">
        <f>IF('2. RI info'!$F81="Yes",CONCATENATE("Diluent ",'2. RI info'!$C81),"")</f>
        <v/>
      </c>
      <c r="D44" s="272" t="str">
        <f>IF(C44&lt;&gt;"",VLOOKUP(C44,Backpage!$G$3:$H$22,2,0),"")</f>
        <v/>
      </c>
      <c r="E44" s="68"/>
      <c r="F44" s="294" t="str">
        <f t="shared" si="4"/>
        <v/>
      </c>
      <c r="G44" s="129"/>
    </row>
    <row r="45" spans="2:7" x14ac:dyDescent="0.35">
      <c r="C45" s="271" t="str">
        <f>IF('2. RI info'!$F82="Yes",CONCATENATE("Diluent ",'2. RI info'!$C82),"")</f>
        <v/>
      </c>
      <c r="D45" s="272" t="str">
        <f>IF(C45&lt;&gt;"",VLOOKUP(C45,Backpage!$G$3:$H$22,2,0),"")</f>
        <v/>
      </c>
      <c r="E45" s="68"/>
      <c r="F45" s="294" t="str">
        <f t="shared" si="4"/>
        <v/>
      </c>
      <c r="G45" s="129"/>
    </row>
    <row r="46" spans="2:7" x14ac:dyDescent="0.35">
      <c r="C46" s="271" t="str">
        <f>IF('2. RI info'!$F83="Yes",CONCATENATE("Diluent ",'2. RI info'!$C83),"")</f>
        <v/>
      </c>
      <c r="D46" s="272" t="str">
        <f>IF(C46&lt;&gt;"",VLOOKUP(C46,Backpage!$G$3:$H$22,2,0),"")</f>
        <v/>
      </c>
      <c r="E46" s="68"/>
      <c r="F46" s="294" t="str">
        <f t="shared" si="4"/>
        <v/>
      </c>
      <c r="G46" s="129"/>
    </row>
    <row r="47" spans="2:7" x14ac:dyDescent="0.35">
      <c r="C47" s="271" t="str">
        <f>IF('2. RI info'!$F84="Yes",CONCATENATE("Diluent ",'2. RI info'!$C84),"")</f>
        <v/>
      </c>
      <c r="D47" s="272" t="str">
        <f>IF(C47&lt;&gt;"",VLOOKUP(C47,Backpage!$G$3:$H$22,2,0),"")</f>
        <v/>
      </c>
      <c r="E47" s="68"/>
      <c r="F47" s="294" t="str">
        <f t="shared" si="4"/>
        <v/>
      </c>
      <c r="G47" s="129"/>
    </row>
    <row r="48" spans="2:7" x14ac:dyDescent="0.35">
      <c r="C48" s="271" t="str">
        <f>IF('2. RI info'!$F85="Yes",CONCATENATE("Diluent ",'2. RI info'!$C85),"")</f>
        <v/>
      </c>
      <c r="D48" s="272" t="str">
        <f>IF(C48&lt;&gt;"",VLOOKUP(C48,Backpage!$G$3:$H$22,2,0),"")</f>
        <v/>
      </c>
      <c r="E48" s="68"/>
      <c r="F48" s="294" t="str">
        <f>IFERROR(D48*E48,"")</f>
        <v/>
      </c>
      <c r="G48" s="129"/>
    </row>
    <row r="49" spans="3:7" x14ac:dyDescent="0.35">
      <c r="C49" s="271" t="str">
        <f>IF('2. RI info'!$F86="Yes",CONCATENATE("Diluent ",'2. RI info'!$C86),"")</f>
        <v/>
      </c>
      <c r="D49" s="272" t="str">
        <f>IF(C49&lt;&gt;"",VLOOKUP(C49,Backpage!$G$3:$H$22,2,0),"")</f>
        <v/>
      </c>
      <c r="E49" s="68"/>
      <c r="F49" s="294" t="str">
        <f t="shared" si="4"/>
        <v/>
      </c>
      <c r="G49" s="129"/>
    </row>
    <row r="50" spans="3:7" x14ac:dyDescent="0.35">
      <c r="C50" s="271" t="str">
        <f>IF('2. RI info'!$F87="Yes",CONCATENATE("Diluent ",'2. RI info'!$C87),"")</f>
        <v/>
      </c>
      <c r="D50" s="272" t="str">
        <f>IF(C50&lt;&gt;"",VLOOKUP(C50,Backpage!$G$3:$H$22,2,0),"")</f>
        <v/>
      </c>
      <c r="E50" s="68"/>
      <c r="F50" s="294" t="str">
        <f t="shared" si="4"/>
        <v/>
      </c>
      <c r="G50" s="129"/>
    </row>
    <row r="51" spans="3:7" x14ac:dyDescent="0.35">
      <c r="C51" s="271" t="str">
        <f>IF('2. RI info'!$F88="Yes",CONCATENATE("Diluent ",'2. RI info'!$C88),"")</f>
        <v/>
      </c>
      <c r="D51" s="272" t="str">
        <f>IF(C51&lt;&gt;"",VLOOKUP(C51,Backpage!$G$3:$H$22,2,0),"")</f>
        <v/>
      </c>
      <c r="E51" s="68"/>
      <c r="F51" s="294" t="str">
        <f t="shared" si="4"/>
        <v/>
      </c>
      <c r="G51" s="129"/>
    </row>
    <row r="52" spans="3:7" x14ac:dyDescent="0.35">
      <c r="C52" s="271" t="str">
        <f>IF('2. RI info'!$F89="Yes",CONCATENATE("Diluent ",'2. RI info'!$C89),"")</f>
        <v/>
      </c>
      <c r="D52" s="272" t="str">
        <f>IF(C52&lt;&gt;"",VLOOKUP(C52,Backpage!$G$3:$H$22,2,0),"")</f>
        <v/>
      </c>
      <c r="E52" s="68"/>
      <c r="F52" s="294" t="str">
        <f t="shared" si="4"/>
        <v/>
      </c>
      <c r="G52" s="129"/>
    </row>
    <row r="53" spans="3:7" x14ac:dyDescent="0.35">
      <c r="C53" s="271" t="str">
        <f>IF('2. RI info'!$F90="Yes",CONCATENATE("Diluent ",'2. RI info'!$C90),"")</f>
        <v/>
      </c>
      <c r="D53" s="272" t="str">
        <f>IF(C53&lt;&gt;"",VLOOKUP(C53,Backpage!$G$3:$H$22,2,0),"")</f>
        <v/>
      </c>
      <c r="E53" s="68"/>
      <c r="F53" s="294" t="str">
        <f t="shared" si="4"/>
        <v/>
      </c>
      <c r="G53" s="129"/>
    </row>
    <row r="54" spans="3:7" ht="15" thickBot="1" x14ac:dyDescent="0.4">
      <c r="C54" s="273" t="str">
        <f>IF('2. RI info'!$F91="Yes",CONCATENATE("Diluent ",'2. RI info'!$C91),"")</f>
        <v/>
      </c>
      <c r="D54" s="274" t="str">
        <f>IF(C54&lt;&gt;"",VLOOKUP(C54,Backpage!$G$3:$H$22,2,0),"")</f>
        <v/>
      </c>
      <c r="E54" s="71"/>
      <c r="F54" s="295" t="str">
        <f t="shared" si="4"/>
        <v/>
      </c>
      <c r="G54" s="130"/>
    </row>
    <row r="55" spans="3:7" ht="15" thickBot="1" x14ac:dyDescent="0.4"/>
    <row r="56" spans="3:7" ht="15" thickBot="1" x14ac:dyDescent="0.4">
      <c r="E56" s="232" t="s">
        <v>91</v>
      </c>
      <c r="F56" s="259">
        <f>SUM(F35:F54)</f>
        <v>0</v>
      </c>
    </row>
  </sheetData>
  <sheetProtection algorithmName="SHA-512" hashValue="laLmHCRW2IGJ58uRvXCDwxgaHhjMN1wYq1pFF4L9utMlgSXgDQ8p8tYuUa3tf56veqBuPnev5TyGuvqpwXSS1g==" saltValue="/KSmHdhaoMBl4kYO4RkAkg==" spinCount="100000" sheet="1" formatCells="0" formatColumns="0" formatRows="0" insertColumns="0" insertRows="0" insertHyperlinks="0"/>
  <mergeCells count="1">
    <mergeCell ref="C8:M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A4200-0F95-49DB-A41D-E9CE931FDDCE}">
  <sheetPr codeName="Sheet5"/>
  <dimension ref="A1:I71"/>
  <sheetViews>
    <sheetView topLeftCell="A12" zoomScaleNormal="100" workbookViewId="0">
      <selection activeCell="L30" sqref="L30"/>
    </sheetView>
  </sheetViews>
  <sheetFormatPr defaultRowHeight="14.5" x14ac:dyDescent="0.35"/>
  <cols>
    <col min="1" max="1" width="4.6328125" style="29" customWidth="1"/>
    <col min="2" max="2" width="4.08984375" style="29" customWidth="1"/>
    <col min="3" max="3" width="21.26953125" style="29" bestFit="1" customWidth="1"/>
    <col min="4" max="5" width="16.6328125" style="29" customWidth="1"/>
    <col min="6" max="6" width="19.54296875" style="29" customWidth="1"/>
    <col min="7" max="13" width="16.6328125" style="29" customWidth="1"/>
    <col min="14" max="14" width="15.81640625" style="29" customWidth="1"/>
    <col min="15" max="16384" width="8.7265625" style="29"/>
  </cols>
  <sheetData>
    <row r="1" spans="1:9" ht="28.5" x14ac:dyDescent="0.65">
      <c r="A1" s="28" t="s">
        <v>227</v>
      </c>
    </row>
    <row r="5" spans="1:9" x14ac:dyDescent="0.35">
      <c r="B5" s="104" t="s">
        <v>236</v>
      </c>
      <c r="E5" s="143"/>
      <c r="F5" s="102"/>
    </row>
    <row r="6" spans="1:9" x14ac:dyDescent="0.35">
      <c r="B6" s="104" t="s">
        <v>235</v>
      </c>
      <c r="E6" s="145"/>
      <c r="F6" s="102"/>
    </row>
    <row r="7" spans="1:9" ht="15" thickBot="1" x14ac:dyDescent="0.4"/>
    <row r="8" spans="1:9" ht="15" thickBot="1" x14ac:dyDescent="0.4">
      <c r="B8" s="147">
        <v>1</v>
      </c>
      <c r="C8" s="43" t="s">
        <v>97</v>
      </c>
      <c r="D8" s="216"/>
      <c r="E8" s="216"/>
      <c r="F8" s="216"/>
      <c r="G8" s="216"/>
      <c r="H8" s="216"/>
      <c r="I8" s="217"/>
    </row>
    <row r="9" spans="1:9" ht="43.5" x14ac:dyDescent="0.35">
      <c r="C9" s="99" t="s">
        <v>98</v>
      </c>
      <c r="D9" s="97" t="s">
        <v>101</v>
      </c>
      <c r="E9" s="97" t="s">
        <v>99</v>
      </c>
      <c r="F9" s="97" t="s">
        <v>100</v>
      </c>
      <c r="G9" s="97" t="s">
        <v>96</v>
      </c>
      <c r="H9" s="97" t="s">
        <v>24</v>
      </c>
      <c r="I9" s="118" t="s">
        <v>79</v>
      </c>
    </row>
    <row r="10" spans="1:9" x14ac:dyDescent="0.35">
      <c r="C10" s="276" t="str">
        <f>'2. RI info'!D15</f>
        <v>Syringe 0.1 mL</v>
      </c>
      <c r="D10" s="277">
        <f>ROUNDUP(wastage*(SUMIF(Backpage!$C$3:$C$22,'4. Injection supplies'!C10,Backpage!$D$3:$D$22)+SUMIF(Backpage!$E$3:$E$22,'4. Injection supplies'!C10,Backpage!$F$3:$F$22)),0)</f>
        <v>176</v>
      </c>
      <c r="E10" s="194">
        <v>50</v>
      </c>
      <c r="F10" s="255">
        <f>MAX(0,D10-E10)</f>
        <v>126</v>
      </c>
      <c r="G10" s="36"/>
      <c r="H10" s="255">
        <f t="shared" ref="H10:H13" si="0">F10*G10</f>
        <v>0</v>
      </c>
      <c r="I10" s="114"/>
    </row>
    <row r="11" spans="1:9" x14ac:dyDescent="0.35">
      <c r="C11" s="276" t="str">
        <f>'2. RI info'!D16</f>
        <v>Syringe AD 0.5 mL</v>
      </c>
      <c r="D11" s="277">
        <f>ROUNDUP(wastage*(SUMIF(Backpage!$C$3:$C$22,'4. Injection supplies'!C11,Backpage!$D$3:$D$22)+SUMIF(Backpage!$E$3:$E$22,'4. Injection supplies'!C11,Backpage!$F$3:$F$22)),0)</f>
        <v>2934</v>
      </c>
      <c r="E11" s="194"/>
      <c r="F11" s="255">
        <f t="shared" ref="F11:F24" si="1">MAX(0,D11-E11)</f>
        <v>2934</v>
      </c>
      <c r="G11" s="36"/>
      <c r="H11" s="255">
        <f t="shared" si="0"/>
        <v>0</v>
      </c>
      <c r="I11" s="114"/>
    </row>
    <row r="12" spans="1:9" x14ac:dyDescent="0.35">
      <c r="C12" s="276" t="str">
        <f>'2. RI info'!D17</f>
        <v>Syringe 1 mL</v>
      </c>
      <c r="D12" s="277">
        <f>ROUNDUP(wastage*(SUMIF(Backpage!$C$3:$C$22,'4. Injection supplies'!C12,Backpage!$D$3:$D$22)+SUMIF(Backpage!$E$3:$E$22,'4. Injection supplies'!C12,Backpage!$F$3:$F$22)),0)</f>
        <v>0</v>
      </c>
      <c r="E12" s="194"/>
      <c r="F12" s="255">
        <f t="shared" si="1"/>
        <v>0</v>
      </c>
      <c r="G12" s="36">
        <v>4172</v>
      </c>
      <c r="H12" s="255">
        <f t="shared" si="0"/>
        <v>0</v>
      </c>
      <c r="I12" s="114"/>
    </row>
    <row r="13" spans="1:9" x14ac:dyDescent="0.35">
      <c r="C13" s="276" t="str">
        <f>'2. RI info'!D18</f>
        <v>Syringe 2 mL</v>
      </c>
      <c r="D13" s="277">
        <f>ROUNDUP(wastage*(SUMIF(Backpage!$C$3:$C$22,'4. Injection supplies'!C13,Backpage!$D$3:$D$22)+SUMIF(Backpage!$E$3:$E$22,'4. Injection supplies'!C13,Backpage!$F$3:$F$22)),0)</f>
        <v>341</v>
      </c>
      <c r="E13" s="194"/>
      <c r="F13" s="255">
        <f t="shared" si="1"/>
        <v>341</v>
      </c>
      <c r="G13" s="36">
        <v>575</v>
      </c>
      <c r="H13" s="255">
        <f t="shared" si="0"/>
        <v>196075</v>
      </c>
      <c r="I13" s="114"/>
    </row>
    <row r="14" spans="1:9" x14ac:dyDescent="0.35">
      <c r="C14" s="276" t="str">
        <f>'2. RI info'!D19</f>
        <v>Syringe 5 mL</v>
      </c>
      <c r="D14" s="277">
        <f>ROUNDUP(wastage*(SUMIF(Backpage!$C$3:$C$22,'4. Injection supplies'!C14,Backpage!$D$3:$D$22)+SUMIF(Backpage!$E$3:$E$22,'4. Injection supplies'!C14,Backpage!$F$3:$F$22)),0)</f>
        <v>1309</v>
      </c>
      <c r="E14" s="172"/>
      <c r="F14" s="255">
        <f t="shared" si="1"/>
        <v>1309</v>
      </c>
      <c r="G14" s="36"/>
      <c r="H14" s="255">
        <f>F14*G14</f>
        <v>0</v>
      </c>
      <c r="I14" s="114"/>
    </row>
    <row r="15" spans="1:9" x14ac:dyDescent="0.35">
      <c r="C15" s="276">
        <f>'2. RI info'!D20</f>
        <v>0</v>
      </c>
      <c r="D15" s="277">
        <f>ROUNDUP(wastage*(SUMIF(Backpage!$C$3:$C$22,'4. Injection supplies'!C15,Backpage!$D$3:$D$22)+SUMIF(Backpage!$E$3:$E$22,'4. Injection supplies'!C15,Backpage!$F$3:$F$22)),0)</f>
        <v>0</v>
      </c>
      <c r="E15" s="172"/>
      <c r="F15" s="255">
        <f t="shared" si="1"/>
        <v>0</v>
      </c>
      <c r="G15" s="36"/>
      <c r="H15" s="255">
        <f t="shared" ref="H15:H68" si="2">F15*G15</f>
        <v>0</v>
      </c>
      <c r="I15" s="114"/>
    </row>
    <row r="16" spans="1:9" x14ac:dyDescent="0.35">
      <c r="C16" s="276">
        <f>'2. RI info'!D21</f>
        <v>0</v>
      </c>
      <c r="D16" s="277">
        <f>ROUNDUP(wastage*(SUMIF(Backpage!$C$3:$C$22,'4. Injection supplies'!C16,Backpage!$D$3:$D$22)+SUMIF(Backpage!$E$3:$E$22,'4. Injection supplies'!C16,Backpage!$F$3:$F$22)),0)</f>
        <v>0</v>
      </c>
      <c r="E16" s="172"/>
      <c r="F16" s="255">
        <f t="shared" si="1"/>
        <v>0</v>
      </c>
      <c r="G16" s="36"/>
      <c r="H16" s="255">
        <f t="shared" si="2"/>
        <v>0</v>
      </c>
      <c r="I16" s="114"/>
    </row>
    <row r="17" spans="2:9" x14ac:dyDescent="0.35">
      <c r="C17" s="276">
        <f>'2. RI info'!D22</f>
        <v>0</v>
      </c>
      <c r="D17" s="277">
        <f>ROUNDUP(wastage*(SUMIF(Backpage!$C$3:$C$22,'4. Injection supplies'!C17,Backpage!$D$3:$D$22)+SUMIF(Backpage!$E$3:$E$22,'4. Injection supplies'!C17,Backpage!$F$3:$F$22)),0)</f>
        <v>0</v>
      </c>
      <c r="E17" s="172"/>
      <c r="F17" s="255">
        <f t="shared" si="1"/>
        <v>0</v>
      </c>
      <c r="G17" s="36"/>
      <c r="H17" s="255">
        <f t="shared" ref="H17:H24" si="3">F17*G17</f>
        <v>0</v>
      </c>
      <c r="I17" s="114"/>
    </row>
    <row r="18" spans="2:9" x14ac:dyDescent="0.35">
      <c r="C18" s="276">
        <f>'2. RI info'!D23</f>
        <v>0</v>
      </c>
      <c r="D18" s="277">
        <f>ROUNDUP(wastage*(SUMIF(Backpage!$C$3:$C$22,'4. Injection supplies'!C18,Backpage!$D$3:$D$22)+SUMIF(Backpage!$E$3:$E$22,'4. Injection supplies'!C18,Backpage!$F$3:$F$22)),0)</f>
        <v>0</v>
      </c>
      <c r="E18" s="172"/>
      <c r="F18" s="255">
        <f t="shared" si="1"/>
        <v>0</v>
      </c>
      <c r="G18" s="36"/>
      <c r="H18" s="255">
        <f t="shared" si="3"/>
        <v>0</v>
      </c>
      <c r="I18" s="114"/>
    </row>
    <row r="19" spans="2:9" x14ac:dyDescent="0.35">
      <c r="C19" s="276">
        <f>'2. RI info'!D24</f>
        <v>0</v>
      </c>
      <c r="D19" s="277">
        <f>ROUNDUP(wastage*(SUMIF(Backpage!$C$3:$C$22,'4. Injection supplies'!C19,Backpage!$D$3:$D$22)+SUMIF(Backpage!$E$3:$E$22,'4. Injection supplies'!C19,Backpage!$F$3:$F$22)),0)</f>
        <v>0</v>
      </c>
      <c r="E19" s="172"/>
      <c r="F19" s="255">
        <f t="shared" si="1"/>
        <v>0</v>
      </c>
      <c r="G19" s="36"/>
      <c r="H19" s="255">
        <f t="shared" si="3"/>
        <v>0</v>
      </c>
      <c r="I19" s="114"/>
    </row>
    <row r="20" spans="2:9" x14ac:dyDescent="0.35">
      <c r="C20" s="276">
        <f>'2. RI info'!D25</f>
        <v>0</v>
      </c>
      <c r="D20" s="277">
        <f>ROUNDUP(wastage*(SUMIF(Backpage!$C$3:$C$22,'4. Injection supplies'!C20,Backpage!$D$3:$D$22)+SUMIF(Backpage!$E$3:$E$22,'4. Injection supplies'!C20,Backpage!$F$3:$F$22)),0)</f>
        <v>0</v>
      </c>
      <c r="E20" s="172"/>
      <c r="F20" s="255">
        <f t="shared" si="1"/>
        <v>0</v>
      </c>
      <c r="G20" s="36"/>
      <c r="H20" s="255">
        <f t="shared" si="3"/>
        <v>0</v>
      </c>
      <c r="I20" s="114"/>
    </row>
    <row r="21" spans="2:9" x14ac:dyDescent="0.35">
      <c r="C21" s="276">
        <f>'2. RI info'!D26</f>
        <v>0</v>
      </c>
      <c r="D21" s="277">
        <f>ROUNDUP(wastage*(SUMIF(Backpage!$C$3:$C$22,'4. Injection supplies'!C21,Backpage!$D$3:$D$22)+SUMIF(Backpage!$E$3:$E$22,'4. Injection supplies'!C21,Backpage!$F$3:$F$22)),0)</f>
        <v>0</v>
      </c>
      <c r="E21" s="172"/>
      <c r="F21" s="255">
        <f t="shared" si="1"/>
        <v>0</v>
      </c>
      <c r="G21" s="36"/>
      <c r="H21" s="255">
        <f t="shared" si="3"/>
        <v>0</v>
      </c>
      <c r="I21" s="114"/>
    </row>
    <row r="22" spans="2:9" x14ac:dyDescent="0.35">
      <c r="C22" s="276">
        <f>'2. RI info'!D27</f>
        <v>0</v>
      </c>
      <c r="D22" s="277">
        <f>ROUNDUP(wastage*(SUMIF(Backpage!$C$3:$C$22,'4. Injection supplies'!C22,Backpage!$D$3:$D$22)+SUMIF(Backpage!$E$3:$E$22,'4. Injection supplies'!C22,Backpage!$F$3:$F$22)),0)</f>
        <v>0</v>
      </c>
      <c r="E22" s="172"/>
      <c r="F22" s="255">
        <f t="shared" si="1"/>
        <v>0</v>
      </c>
      <c r="G22" s="36"/>
      <c r="H22" s="255">
        <f t="shared" si="3"/>
        <v>0</v>
      </c>
      <c r="I22" s="114"/>
    </row>
    <row r="23" spans="2:9" x14ac:dyDescent="0.35">
      <c r="C23" s="276">
        <f>'2. RI info'!D28</f>
        <v>0</v>
      </c>
      <c r="D23" s="277">
        <f>ROUNDUP(wastage*(SUMIF(Backpage!$C$3:$C$22,'4. Injection supplies'!C23,Backpage!$D$3:$D$22)+SUMIF(Backpage!$E$3:$E$22,'4. Injection supplies'!C23,Backpage!$F$3:$F$22)),0)</f>
        <v>0</v>
      </c>
      <c r="E23" s="172"/>
      <c r="F23" s="255">
        <f t="shared" si="1"/>
        <v>0</v>
      </c>
      <c r="G23" s="36"/>
      <c r="H23" s="255">
        <f t="shared" si="3"/>
        <v>0</v>
      </c>
      <c r="I23" s="114"/>
    </row>
    <row r="24" spans="2:9" ht="15" thickBot="1" x14ac:dyDescent="0.4">
      <c r="C24" s="278">
        <f>'2. RI info'!D29</f>
        <v>0</v>
      </c>
      <c r="D24" s="279">
        <f>ROUNDUP(wastage*(SUMIF(Backpage!$C$3:$C$22,'4. Injection supplies'!C24,Backpage!$D$3:$D$22)+SUMIF(Backpage!$E$3:$E$22,'4. Injection supplies'!C24,Backpage!$F$3:$F$22)),0)</f>
        <v>0</v>
      </c>
      <c r="E24" s="173"/>
      <c r="F24" s="264">
        <f t="shared" si="1"/>
        <v>0</v>
      </c>
      <c r="G24" s="38"/>
      <c r="H24" s="264">
        <f t="shared" si="3"/>
        <v>0</v>
      </c>
      <c r="I24" s="115"/>
    </row>
    <row r="25" spans="2:9" x14ac:dyDescent="0.35">
      <c r="D25" s="39"/>
      <c r="E25" s="39"/>
      <c r="F25" s="39"/>
      <c r="G25" s="40" t="s">
        <v>91</v>
      </c>
      <c r="H25" s="280">
        <f>SUM(H10:H24)</f>
        <v>196075</v>
      </c>
    </row>
    <row r="26" spans="2:9" ht="15" thickBot="1" x14ac:dyDescent="0.4"/>
    <row r="27" spans="2:9" ht="15" thickBot="1" x14ac:dyDescent="0.4">
      <c r="B27" s="147">
        <v>2</v>
      </c>
      <c r="C27" s="43" t="s">
        <v>285</v>
      </c>
      <c r="D27" s="216"/>
      <c r="E27" s="216"/>
      <c r="F27" s="216"/>
      <c r="G27" s="216"/>
      <c r="H27" s="216"/>
      <c r="I27" s="217"/>
    </row>
    <row r="28" spans="2:9" ht="29" x14ac:dyDescent="0.35">
      <c r="C28" s="30" t="s">
        <v>23</v>
      </c>
      <c r="D28" s="31" t="s">
        <v>102</v>
      </c>
      <c r="E28" s="31" t="s">
        <v>99</v>
      </c>
      <c r="F28" s="31" t="s">
        <v>103</v>
      </c>
      <c r="G28" s="97" t="s">
        <v>96</v>
      </c>
      <c r="H28" s="97" t="s">
        <v>24</v>
      </c>
      <c r="I28" s="118" t="s">
        <v>79</v>
      </c>
    </row>
    <row r="29" spans="2:9" x14ac:dyDescent="0.35">
      <c r="C29" s="41" t="s">
        <v>104</v>
      </c>
      <c r="D29" s="255">
        <f>SUM(D10:D24)/100</f>
        <v>47.6</v>
      </c>
      <c r="E29" s="172"/>
      <c r="F29" s="255">
        <f t="shared" ref="F29:F68" si="4">MAX(0,ROUNDUP(D29*wastage-E29,0))</f>
        <v>53</v>
      </c>
      <c r="G29" s="36">
        <v>13500</v>
      </c>
      <c r="H29" s="255">
        <f t="shared" si="2"/>
        <v>715500</v>
      </c>
      <c r="I29" s="114"/>
    </row>
    <row r="30" spans="2:9" x14ac:dyDescent="0.35">
      <c r="C30" s="41" t="s">
        <v>105</v>
      </c>
      <c r="D30" s="172"/>
      <c r="E30" s="172"/>
      <c r="F30" s="255">
        <f t="shared" si="4"/>
        <v>0</v>
      </c>
      <c r="G30" s="36"/>
      <c r="H30" s="255">
        <f t="shared" si="2"/>
        <v>0</v>
      </c>
      <c r="I30" s="114"/>
    </row>
    <row r="31" spans="2:9" x14ac:dyDescent="0.35">
      <c r="C31" s="41" t="s">
        <v>251</v>
      </c>
      <c r="D31" s="172"/>
      <c r="E31" s="172"/>
      <c r="F31" s="255">
        <f t="shared" si="4"/>
        <v>0</v>
      </c>
      <c r="G31" s="36"/>
      <c r="H31" s="255">
        <f t="shared" si="2"/>
        <v>0</v>
      </c>
      <c r="I31" s="114"/>
    </row>
    <row r="32" spans="2:9" x14ac:dyDescent="0.35">
      <c r="C32" s="41" t="s">
        <v>106</v>
      </c>
      <c r="D32" s="172"/>
      <c r="E32" s="172"/>
      <c r="F32" s="255">
        <f t="shared" si="4"/>
        <v>0</v>
      </c>
      <c r="G32" s="36"/>
      <c r="H32" s="255">
        <f t="shared" si="2"/>
        <v>0</v>
      </c>
      <c r="I32" s="114"/>
    </row>
    <row r="33" spans="3:9" x14ac:dyDescent="0.35">
      <c r="C33" s="41" t="s">
        <v>107</v>
      </c>
      <c r="D33" s="172"/>
      <c r="E33" s="172"/>
      <c r="F33" s="255">
        <f t="shared" si="4"/>
        <v>0</v>
      </c>
      <c r="G33" s="36"/>
      <c r="H33" s="255">
        <f t="shared" si="2"/>
        <v>0</v>
      </c>
      <c r="I33" s="114"/>
    </row>
    <row r="34" spans="3:9" x14ac:dyDescent="0.35">
      <c r="C34" s="41" t="s">
        <v>108</v>
      </c>
      <c r="D34" s="172"/>
      <c r="E34" s="172"/>
      <c r="F34" s="255">
        <f t="shared" si="4"/>
        <v>0</v>
      </c>
      <c r="G34" s="36"/>
      <c r="H34" s="255">
        <f t="shared" si="2"/>
        <v>0</v>
      </c>
      <c r="I34" s="114"/>
    </row>
    <row r="35" spans="3:9" x14ac:dyDescent="0.35">
      <c r="C35" s="41" t="s">
        <v>109</v>
      </c>
      <c r="D35" s="172"/>
      <c r="E35" s="172"/>
      <c r="F35" s="255">
        <f t="shared" si="4"/>
        <v>0</v>
      </c>
      <c r="G35" s="36"/>
      <c r="H35" s="255">
        <f t="shared" ref="H35:H38" si="5">F35*G35</f>
        <v>0</v>
      </c>
      <c r="I35" s="114" t="s">
        <v>252</v>
      </c>
    </row>
    <row r="36" spans="3:9" x14ac:dyDescent="0.35">
      <c r="C36" s="41" t="s">
        <v>110</v>
      </c>
      <c r="D36" s="172"/>
      <c r="E36" s="172"/>
      <c r="F36" s="255">
        <f t="shared" si="4"/>
        <v>0</v>
      </c>
      <c r="G36" s="36"/>
      <c r="H36" s="255">
        <f t="shared" si="5"/>
        <v>0</v>
      </c>
      <c r="I36" s="114"/>
    </row>
    <row r="37" spans="3:9" x14ac:dyDescent="0.35">
      <c r="C37" s="41" t="s">
        <v>111</v>
      </c>
      <c r="D37" s="172"/>
      <c r="E37" s="172"/>
      <c r="F37" s="255">
        <f t="shared" si="4"/>
        <v>0</v>
      </c>
      <c r="G37" s="36"/>
      <c r="H37" s="255">
        <f t="shared" si="5"/>
        <v>0</v>
      </c>
      <c r="I37" s="114"/>
    </row>
    <row r="38" spans="3:9" x14ac:dyDescent="0.35">
      <c r="C38" s="41" t="s">
        <v>112</v>
      </c>
      <c r="D38" s="172"/>
      <c r="E38" s="172"/>
      <c r="F38" s="255">
        <f t="shared" si="4"/>
        <v>0</v>
      </c>
      <c r="G38" s="36"/>
      <c r="H38" s="255">
        <f t="shared" si="5"/>
        <v>0</v>
      </c>
      <c r="I38" s="114"/>
    </row>
    <row r="39" spans="3:9" x14ac:dyDescent="0.35">
      <c r="C39" s="41" t="s">
        <v>113</v>
      </c>
      <c r="D39" s="172"/>
      <c r="E39" s="172"/>
      <c r="F39" s="255">
        <f t="shared" si="4"/>
        <v>0</v>
      </c>
      <c r="G39" s="36"/>
      <c r="H39" s="255">
        <f t="shared" si="2"/>
        <v>0</v>
      </c>
      <c r="I39" s="114"/>
    </row>
    <row r="40" spans="3:9" x14ac:dyDescent="0.35">
      <c r="C40" s="41" t="s">
        <v>114</v>
      </c>
      <c r="D40" s="172"/>
      <c r="E40" s="172"/>
      <c r="F40" s="255">
        <f t="shared" si="4"/>
        <v>0</v>
      </c>
      <c r="G40" s="36"/>
      <c r="H40" s="255">
        <f t="shared" si="2"/>
        <v>0</v>
      </c>
      <c r="I40" s="114"/>
    </row>
    <row r="41" spans="3:9" x14ac:dyDescent="0.35">
      <c r="C41" s="41" t="s">
        <v>115</v>
      </c>
      <c r="D41" s="172"/>
      <c r="E41" s="172"/>
      <c r="F41" s="255">
        <f t="shared" si="4"/>
        <v>0</v>
      </c>
      <c r="G41" s="36"/>
      <c r="H41" s="255">
        <f t="shared" si="2"/>
        <v>0</v>
      </c>
      <c r="I41" s="114"/>
    </row>
    <row r="42" spans="3:9" x14ac:dyDescent="0.35">
      <c r="C42" s="41" t="s">
        <v>116</v>
      </c>
      <c r="D42" s="172"/>
      <c r="E42" s="172"/>
      <c r="F42" s="255">
        <f t="shared" si="4"/>
        <v>0</v>
      </c>
      <c r="G42" s="36"/>
      <c r="H42" s="255">
        <f t="shared" si="2"/>
        <v>0</v>
      </c>
      <c r="I42" s="114"/>
    </row>
    <row r="43" spans="3:9" x14ac:dyDescent="0.35">
      <c r="C43" s="41"/>
      <c r="D43" s="172"/>
      <c r="E43" s="172"/>
      <c r="F43" s="255">
        <f t="shared" si="4"/>
        <v>0</v>
      </c>
      <c r="G43" s="36"/>
      <c r="H43" s="255">
        <f t="shared" si="2"/>
        <v>0</v>
      </c>
      <c r="I43" s="114"/>
    </row>
    <row r="44" spans="3:9" x14ac:dyDescent="0.35">
      <c r="C44" s="41"/>
      <c r="D44" s="172"/>
      <c r="E44" s="172"/>
      <c r="F44" s="255">
        <f t="shared" si="4"/>
        <v>0</v>
      </c>
      <c r="G44" s="36"/>
      <c r="H44" s="255">
        <f t="shared" si="2"/>
        <v>0</v>
      </c>
      <c r="I44" s="114"/>
    </row>
    <row r="45" spans="3:9" x14ac:dyDescent="0.35">
      <c r="C45" s="41"/>
      <c r="D45" s="172"/>
      <c r="E45" s="172"/>
      <c r="F45" s="255">
        <f t="shared" si="4"/>
        <v>0</v>
      </c>
      <c r="G45" s="36"/>
      <c r="H45" s="255">
        <f t="shared" si="2"/>
        <v>0</v>
      </c>
      <c r="I45" s="114"/>
    </row>
    <row r="46" spans="3:9" x14ac:dyDescent="0.35">
      <c r="C46" s="41"/>
      <c r="D46" s="172"/>
      <c r="E46" s="172"/>
      <c r="F46" s="255">
        <f t="shared" si="4"/>
        <v>0</v>
      </c>
      <c r="G46" s="36"/>
      <c r="H46" s="255">
        <f t="shared" si="2"/>
        <v>0</v>
      </c>
      <c r="I46" s="114"/>
    </row>
    <row r="47" spans="3:9" x14ac:dyDescent="0.35">
      <c r="C47" s="41"/>
      <c r="D47" s="172"/>
      <c r="E47" s="172"/>
      <c r="F47" s="255">
        <f t="shared" si="4"/>
        <v>0</v>
      </c>
      <c r="G47" s="36"/>
      <c r="H47" s="255">
        <f t="shared" si="2"/>
        <v>0</v>
      </c>
      <c r="I47" s="114"/>
    </row>
    <row r="48" spans="3:9" x14ac:dyDescent="0.35">
      <c r="C48" s="41"/>
      <c r="D48" s="172"/>
      <c r="E48" s="172"/>
      <c r="F48" s="255">
        <f t="shared" si="4"/>
        <v>0</v>
      </c>
      <c r="G48" s="36"/>
      <c r="H48" s="255">
        <f t="shared" si="2"/>
        <v>0</v>
      </c>
      <c r="I48" s="114"/>
    </row>
    <row r="49" spans="3:9" x14ac:dyDescent="0.35">
      <c r="C49" s="41"/>
      <c r="D49" s="172"/>
      <c r="E49" s="172"/>
      <c r="F49" s="255">
        <f t="shared" si="4"/>
        <v>0</v>
      </c>
      <c r="G49" s="36"/>
      <c r="H49" s="255">
        <f t="shared" si="2"/>
        <v>0</v>
      </c>
      <c r="I49" s="114"/>
    </row>
    <row r="50" spans="3:9" x14ac:dyDescent="0.35">
      <c r="C50" s="41"/>
      <c r="D50" s="172"/>
      <c r="E50" s="172"/>
      <c r="F50" s="255">
        <f t="shared" si="4"/>
        <v>0</v>
      </c>
      <c r="G50" s="36"/>
      <c r="H50" s="255">
        <f t="shared" si="2"/>
        <v>0</v>
      </c>
      <c r="I50" s="114"/>
    </row>
    <row r="51" spans="3:9" x14ac:dyDescent="0.35">
      <c r="C51" s="41"/>
      <c r="D51" s="172"/>
      <c r="E51" s="172"/>
      <c r="F51" s="255">
        <f t="shared" si="4"/>
        <v>0</v>
      </c>
      <c r="G51" s="36"/>
      <c r="H51" s="255">
        <f t="shared" si="2"/>
        <v>0</v>
      </c>
      <c r="I51" s="114"/>
    </row>
    <row r="52" spans="3:9" x14ac:dyDescent="0.35">
      <c r="C52" s="41"/>
      <c r="D52" s="172"/>
      <c r="E52" s="172"/>
      <c r="F52" s="255">
        <f t="shared" si="4"/>
        <v>0</v>
      </c>
      <c r="G52" s="36"/>
      <c r="H52" s="255">
        <f t="shared" si="2"/>
        <v>0</v>
      </c>
      <c r="I52" s="114"/>
    </row>
    <row r="53" spans="3:9" x14ac:dyDescent="0.35">
      <c r="C53" s="41"/>
      <c r="D53" s="172"/>
      <c r="E53" s="172"/>
      <c r="F53" s="255">
        <f t="shared" si="4"/>
        <v>0</v>
      </c>
      <c r="G53" s="36"/>
      <c r="H53" s="255">
        <f t="shared" si="2"/>
        <v>0</v>
      </c>
      <c r="I53" s="114"/>
    </row>
    <row r="54" spans="3:9" x14ac:dyDescent="0.35">
      <c r="C54" s="41"/>
      <c r="D54" s="172"/>
      <c r="E54" s="172"/>
      <c r="F54" s="255">
        <f t="shared" si="4"/>
        <v>0</v>
      </c>
      <c r="G54" s="36"/>
      <c r="H54" s="255">
        <f t="shared" si="2"/>
        <v>0</v>
      </c>
      <c r="I54" s="114"/>
    </row>
    <row r="55" spans="3:9" x14ac:dyDescent="0.35">
      <c r="C55" s="41"/>
      <c r="D55" s="172"/>
      <c r="E55" s="172"/>
      <c r="F55" s="255">
        <f t="shared" si="4"/>
        <v>0</v>
      </c>
      <c r="G55" s="36"/>
      <c r="H55" s="255">
        <f t="shared" si="2"/>
        <v>0</v>
      </c>
      <c r="I55" s="114"/>
    </row>
    <row r="56" spans="3:9" x14ac:dyDescent="0.35">
      <c r="C56" s="41"/>
      <c r="D56" s="172"/>
      <c r="E56" s="172"/>
      <c r="F56" s="255">
        <f t="shared" si="4"/>
        <v>0</v>
      </c>
      <c r="G56" s="36"/>
      <c r="H56" s="255">
        <f t="shared" si="2"/>
        <v>0</v>
      </c>
      <c r="I56" s="114"/>
    </row>
    <row r="57" spans="3:9" x14ac:dyDescent="0.35">
      <c r="C57" s="41"/>
      <c r="D57" s="172"/>
      <c r="E57" s="172"/>
      <c r="F57" s="255">
        <f t="shared" si="4"/>
        <v>0</v>
      </c>
      <c r="G57" s="36"/>
      <c r="H57" s="255">
        <f t="shared" si="2"/>
        <v>0</v>
      </c>
      <c r="I57" s="114"/>
    </row>
    <row r="58" spans="3:9" x14ac:dyDescent="0.35">
      <c r="C58" s="41"/>
      <c r="D58" s="172"/>
      <c r="E58" s="172"/>
      <c r="F58" s="255">
        <f t="shared" si="4"/>
        <v>0</v>
      </c>
      <c r="G58" s="36"/>
      <c r="H58" s="255">
        <f t="shared" si="2"/>
        <v>0</v>
      </c>
      <c r="I58" s="114"/>
    </row>
    <row r="59" spans="3:9" x14ac:dyDescent="0.35">
      <c r="C59" s="41"/>
      <c r="D59" s="172"/>
      <c r="E59" s="172"/>
      <c r="F59" s="255">
        <f t="shared" si="4"/>
        <v>0</v>
      </c>
      <c r="G59" s="36"/>
      <c r="H59" s="255">
        <f t="shared" si="2"/>
        <v>0</v>
      </c>
      <c r="I59" s="114"/>
    </row>
    <row r="60" spans="3:9" x14ac:dyDescent="0.35">
      <c r="C60" s="41"/>
      <c r="D60" s="172"/>
      <c r="E60" s="172"/>
      <c r="F60" s="255">
        <f t="shared" si="4"/>
        <v>0</v>
      </c>
      <c r="G60" s="36"/>
      <c r="H60" s="255">
        <f t="shared" si="2"/>
        <v>0</v>
      </c>
      <c r="I60" s="114"/>
    </row>
    <row r="61" spans="3:9" x14ac:dyDescent="0.35">
      <c r="C61" s="41"/>
      <c r="D61" s="172"/>
      <c r="E61" s="172"/>
      <c r="F61" s="255">
        <f t="shared" si="4"/>
        <v>0</v>
      </c>
      <c r="G61" s="36"/>
      <c r="H61" s="255">
        <f t="shared" si="2"/>
        <v>0</v>
      </c>
      <c r="I61" s="114"/>
    </row>
    <row r="62" spans="3:9" x14ac:dyDescent="0.35">
      <c r="C62" s="41"/>
      <c r="D62" s="172"/>
      <c r="E62" s="172"/>
      <c r="F62" s="255">
        <f t="shared" si="4"/>
        <v>0</v>
      </c>
      <c r="G62" s="36"/>
      <c r="H62" s="255">
        <f t="shared" si="2"/>
        <v>0</v>
      </c>
      <c r="I62" s="114"/>
    </row>
    <row r="63" spans="3:9" x14ac:dyDescent="0.35">
      <c r="C63" s="41"/>
      <c r="D63" s="172"/>
      <c r="E63" s="172"/>
      <c r="F63" s="255">
        <f t="shared" si="4"/>
        <v>0</v>
      </c>
      <c r="G63" s="36"/>
      <c r="H63" s="255">
        <f t="shared" si="2"/>
        <v>0</v>
      </c>
      <c r="I63" s="114"/>
    </row>
    <row r="64" spans="3:9" x14ac:dyDescent="0.35">
      <c r="C64" s="41"/>
      <c r="D64" s="172"/>
      <c r="E64" s="172"/>
      <c r="F64" s="255">
        <f t="shared" si="4"/>
        <v>0</v>
      </c>
      <c r="G64" s="36"/>
      <c r="H64" s="255">
        <f t="shared" si="2"/>
        <v>0</v>
      </c>
      <c r="I64" s="114"/>
    </row>
    <row r="65" spans="3:9" x14ac:dyDescent="0.35">
      <c r="C65" s="41"/>
      <c r="D65" s="172"/>
      <c r="E65" s="172"/>
      <c r="F65" s="255">
        <f t="shared" si="4"/>
        <v>0</v>
      </c>
      <c r="G65" s="36"/>
      <c r="H65" s="255">
        <f t="shared" si="2"/>
        <v>0</v>
      </c>
      <c r="I65" s="114"/>
    </row>
    <row r="66" spans="3:9" x14ac:dyDescent="0.35">
      <c r="C66" s="41"/>
      <c r="D66" s="172"/>
      <c r="E66" s="172"/>
      <c r="F66" s="255">
        <f t="shared" si="4"/>
        <v>0</v>
      </c>
      <c r="G66" s="36"/>
      <c r="H66" s="255">
        <f t="shared" si="2"/>
        <v>0</v>
      </c>
      <c r="I66" s="114"/>
    </row>
    <row r="67" spans="3:9" x14ac:dyDescent="0.35">
      <c r="C67" s="41"/>
      <c r="D67" s="172"/>
      <c r="E67" s="172"/>
      <c r="F67" s="255">
        <f t="shared" si="4"/>
        <v>0</v>
      </c>
      <c r="G67" s="36"/>
      <c r="H67" s="255">
        <f t="shared" si="2"/>
        <v>0</v>
      </c>
      <c r="I67" s="114"/>
    </row>
    <row r="68" spans="3:9" ht="15" thickBot="1" x14ac:dyDescent="0.4">
      <c r="C68" s="42"/>
      <c r="D68" s="173"/>
      <c r="E68" s="173"/>
      <c r="F68" s="264">
        <f t="shared" si="4"/>
        <v>0</v>
      </c>
      <c r="G68" s="38"/>
      <c r="H68" s="264">
        <f t="shared" si="2"/>
        <v>0</v>
      </c>
      <c r="I68" s="115"/>
    </row>
    <row r="69" spans="3:9" x14ac:dyDescent="0.35">
      <c r="D69" s="39"/>
      <c r="E69" s="39"/>
      <c r="F69" s="39"/>
      <c r="G69" s="40" t="s">
        <v>91</v>
      </c>
      <c r="H69" s="280">
        <f>SUM(H29:H68)</f>
        <v>715500</v>
      </c>
    </row>
    <row r="70" spans="3:9" ht="15" thickBot="1" x14ac:dyDescent="0.4"/>
    <row r="71" spans="3:9" ht="15" thickBot="1" x14ac:dyDescent="0.4">
      <c r="G71" s="43" t="s">
        <v>92</v>
      </c>
      <c r="H71" s="275">
        <f>SUM(H25,H69)</f>
        <v>911575</v>
      </c>
    </row>
  </sheetData>
  <sheetProtection algorithmName="SHA-512" hashValue="MbzWNPjeUYIc1cs2NcxQg8nG1iLBTJBdd8DbMqmuV6fHxFHOW8PfzM6WQd5CzsFPRO+VskZXNqlz3pr+vdehRQ==" saltValue="5DS/RdXGGQqauLflDVQ1kg==" spinCount="100000" sheet="1" objects="1" scenarios="1" formatCells="0" formatColumns="0" formatRows="0" insertColumns="0" insertRows="0" insertHyperlinks="0"/>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3285-A2D7-44FF-B70F-E765C8EEA647}">
  <sheetPr codeName="Sheet6"/>
  <dimension ref="A1:K62"/>
  <sheetViews>
    <sheetView topLeftCell="A36" zoomScaleNormal="100" workbookViewId="0">
      <selection activeCell="E52" sqref="E52"/>
    </sheetView>
  </sheetViews>
  <sheetFormatPr defaultRowHeight="14.5" x14ac:dyDescent="0.35"/>
  <cols>
    <col min="1" max="1" width="4.54296875" style="29" customWidth="1"/>
    <col min="2" max="2" width="3.08984375" style="29" customWidth="1"/>
    <col min="3" max="3" width="35.81640625" style="29" customWidth="1"/>
    <col min="4" max="4" width="13.453125" style="29" customWidth="1"/>
    <col min="5" max="5" width="13.7265625" style="29" customWidth="1"/>
    <col min="6" max="6" width="12.90625" style="29" customWidth="1"/>
    <col min="7" max="7" width="11.90625" style="29" customWidth="1"/>
    <col min="8" max="8" width="13.26953125" style="29" customWidth="1"/>
    <col min="9" max="9" width="13" style="29" customWidth="1"/>
    <col min="10" max="10" width="12.54296875" style="29" customWidth="1"/>
    <col min="11" max="11" width="13.08984375" style="29" customWidth="1"/>
    <col min="12" max="12" width="13.7265625" style="29" customWidth="1"/>
    <col min="13" max="13" width="12.90625" style="29" customWidth="1"/>
    <col min="14" max="14" width="13.08984375" style="29" customWidth="1"/>
    <col min="15" max="15" width="13.26953125" style="29" customWidth="1"/>
    <col min="16" max="16" width="18.453125" style="29" customWidth="1"/>
    <col min="17" max="16384" width="8.7265625" style="29"/>
  </cols>
  <sheetData>
    <row r="1" spans="1:11" ht="28.5" x14ac:dyDescent="0.65">
      <c r="A1" s="28" t="s">
        <v>227</v>
      </c>
    </row>
    <row r="5" spans="1:11" x14ac:dyDescent="0.35">
      <c r="B5" s="104" t="s">
        <v>236</v>
      </c>
      <c r="D5" s="143"/>
      <c r="E5" s="102"/>
    </row>
    <row r="6" spans="1:11" x14ac:dyDescent="0.35">
      <c r="B6" s="104" t="s">
        <v>235</v>
      </c>
      <c r="D6" s="145"/>
      <c r="E6" s="102"/>
    </row>
    <row r="7" spans="1:11" ht="15" thickBot="1" x14ac:dyDescent="0.4"/>
    <row r="8" spans="1:11" ht="15" thickBot="1" x14ac:dyDescent="0.4">
      <c r="B8" s="147">
        <v>1</v>
      </c>
      <c r="C8" s="43" t="s">
        <v>117</v>
      </c>
      <c r="D8" s="216"/>
      <c r="E8" s="216"/>
      <c r="F8" s="216"/>
      <c r="G8" s="216"/>
      <c r="H8" s="216"/>
      <c r="I8" s="216"/>
      <c r="J8" s="216"/>
      <c r="K8" s="217"/>
    </row>
    <row r="9" spans="1:11" ht="29" x14ac:dyDescent="0.35">
      <c r="C9" s="99" t="s">
        <v>118</v>
      </c>
      <c r="D9" s="97" t="s">
        <v>119</v>
      </c>
      <c r="E9" s="97" t="s">
        <v>99</v>
      </c>
      <c r="F9" s="97" t="s">
        <v>120</v>
      </c>
      <c r="G9" s="97" t="s">
        <v>121</v>
      </c>
      <c r="H9" s="97" t="s">
        <v>100</v>
      </c>
      <c r="I9" s="97" t="s">
        <v>96</v>
      </c>
      <c r="J9" s="97" t="s">
        <v>24</v>
      </c>
      <c r="K9" s="118" t="s">
        <v>79</v>
      </c>
    </row>
    <row r="10" spans="1:11" x14ac:dyDescent="0.35">
      <c r="C10" s="41" t="s">
        <v>123</v>
      </c>
      <c r="D10" s="172">
        <v>1</v>
      </c>
      <c r="E10" s="172">
        <v>1</v>
      </c>
      <c r="F10" s="195">
        <v>2021</v>
      </c>
      <c r="G10" s="36">
        <v>10</v>
      </c>
      <c r="H10" s="255">
        <f>MAX(0,D10-E10)</f>
        <v>0</v>
      </c>
      <c r="I10" s="36"/>
      <c r="J10" s="255">
        <f t="shared" ref="J10:J17" si="0">H10*I10</f>
        <v>0</v>
      </c>
      <c r="K10" s="114"/>
    </row>
    <row r="11" spans="1:11" x14ac:dyDescent="0.35">
      <c r="C11" s="41" t="s">
        <v>125</v>
      </c>
      <c r="D11" s="172">
        <v>1</v>
      </c>
      <c r="E11" s="172">
        <v>1</v>
      </c>
      <c r="F11" s="195">
        <v>2021</v>
      </c>
      <c r="G11" s="36">
        <v>10</v>
      </c>
      <c r="H11" s="255">
        <f t="shared" ref="H11:H19" si="1">MAX(0,D11-E11)</f>
        <v>0</v>
      </c>
      <c r="I11" s="36"/>
      <c r="J11" s="255">
        <f t="shared" si="0"/>
        <v>0</v>
      </c>
      <c r="K11" s="114"/>
    </row>
    <row r="12" spans="1:11" x14ac:dyDescent="0.35">
      <c r="C12" s="41" t="s">
        <v>124</v>
      </c>
      <c r="D12" s="172">
        <v>1</v>
      </c>
      <c r="E12" s="172">
        <v>0</v>
      </c>
      <c r="F12" s="195"/>
      <c r="G12" s="36"/>
      <c r="H12" s="255">
        <f t="shared" si="1"/>
        <v>1</v>
      </c>
      <c r="I12" s="36">
        <v>20000000</v>
      </c>
      <c r="J12" s="255">
        <f t="shared" si="0"/>
        <v>20000000</v>
      </c>
      <c r="K12" s="114"/>
    </row>
    <row r="13" spans="1:11" x14ac:dyDescent="0.35">
      <c r="C13" s="41"/>
      <c r="D13" s="172"/>
      <c r="E13" s="172"/>
      <c r="F13" s="195"/>
      <c r="G13" s="36"/>
      <c r="H13" s="255">
        <f t="shared" si="1"/>
        <v>0</v>
      </c>
      <c r="I13" s="36"/>
      <c r="J13" s="255">
        <f t="shared" si="0"/>
        <v>0</v>
      </c>
      <c r="K13" s="114"/>
    </row>
    <row r="14" spans="1:11" x14ac:dyDescent="0.35">
      <c r="C14" s="41"/>
      <c r="D14" s="172"/>
      <c r="E14" s="172"/>
      <c r="F14" s="195"/>
      <c r="G14" s="36"/>
      <c r="H14" s="255">
        <f t="shared" si="1"/>
        <v>0</v>
      </c>
      <c r="I14" s="36"/>
      <c r="J14" s="255">
        <f t="shared" si="0"/>
        <v>0</v>
      </c>
      <c r="K14" s="114"/>
    </row>
    <row r="15" spans="1:11" x14ac:dyDescent="0.35">
      <c r="C15" s="41"/>
      <c r="D15" s="172"/>
      <c r="E15" s="172"/>
      <c r="F15" s="195"/>
      <c r="G15" s="36"/>
      <c r="H15" s="255">
        <f t="shared" si="1"/>
        <v>0</v>
      </c>
      <c r="I15" s="36"/>
      <c r="J15" s="255">
        <f t="shared" si="0"/>
        <v>0</v>
      </c>
      <c r="K15" s="114"/>
    </row>
    <row r="16" spans="1:11" x14ac:dyDescent="0.35">
      <c r="C16" s="41"/>
      <c r="D16" s="172"/>
      <c r="E16" s="172"/>
      <c r="F16" s="195"/>
      <c r="G16" s="36"/>
      <c r="H16" s="255">
        <f t="shared" si="1"/>
        <v>0</v>
      </c>
      <c r="I16" s="36"/>
      <c r="J16" s="255">
        <f t="shared" si="0"/>
        <v>0</v>
      </c>
      <c r="K16" s="114"/>
    </row>
    <row r="17" spans="3:11" x14ac:dyDescent="0.35">
      <c r="C17" s="41"/>
      <c r="D17" s="172"/>
      <c r="E17" s="172"/>
      <c r="F17" s="195"/>
      <c r="G17" s="36"/>
      <c r="H17" s="255">
        <f t="shared" si="1"/>
        <v>0</v>
      </c>
      <c r="I17" s="36"/>
      <c r="J17" s="255">
        <f t="shared" si="0"/>
        <v>0</v>
      </c>
      <c r="K17" s="114"/>
    </row>
    <row r="18" spans="3:11" x14ac:dyDescent="0.35">
      <c r="C18" s="41"/>
      <c r="D18" s="172"/>
      <c r="E18" s="172"/>
      <c r="F18" s="195"/>
      <c r="G18" s="36"/>
      <c r="H18" s="255">
        <f t="shared" si="1"/>
        <v>0</v>
      </c>
      <c r="I18" s="36"/>
      <c r="J18" s="255">
        <f t="shared" ref="J18:J19" si="2">H18*I18</f>
        <v>0</v>
      </c>
      <c r="K18" s="114"/>
    </row>
    <row r="19" spans="3:11" ht="15" thickBot="1" x14ac:dyDescent="0.4">
      <c r="C19" s="42"/>
      <c r="D19" s="173"/>
      <c r="E19" s="173"/>
      <c r="F19" s="196"/>
      <c r="G19" s="38"/>
      <c r="H19" s="255">
        <f t="shared" si="1"/>
        <v>0</v>
      </c>
      <c r="I19" s="38"/>
      <c r="J19" s="264">
        <f t="shared" si="2"/>
        <v>0</v>
      </c>
      <c r="K19" s="114"/>
    </row>
    <row r="20" spans="3:11" ht="29" x14ac:dyDescent="0.35">
      <c r="C20" s="96" t="s">
        <v>122</v>
      </c>
      <c r="D20" s="97" t="s">
        <v>119</v>
      </c>
      <c r="E20" s="97" t="s">
        <v>99</v>
      </c>
      <c r="F20" s="133"/>
      <c r="G20" s="133"/>
      <c r="H20" s="97" t="s">
        <v>100</v>
      </c>
      <c r="I20" s="97" t="s">
        <v>96</v>
      </c>
      <c r="J20" s="97" t="s">
        <v>24</v>
      </c>
      <c r="K20" s="118" t="s">
        <v>79</v>
      </c>
    </row>
    <row r="21" spans="3:11" x14ac:dyDescent="0.35">
      <c r="C21" s="41" t="s">
        <v>126</v>
      </c>
      <c r="D21" s="172"/>
      <c r="E21" s="172"/>
      <c r="F21" s="222"/>
      <c r="G21" s="222"/>
      <c r="H21" s="255">
        <f>MAX(0,D21-E21)</f>
        <v>0</v>
      </c>
      <c r="I21" s="36"/>
      <c r="J21" s="258">
        <f>H21*I21</f>
        <v>0</v>
      </c>
      <c r="K21" s="114"/>
    </row>
    <row r="22" spans="3:11" x14ac:dyDescent="0.35">
      <c r="C22" s="41" t="s">
        <v>127</v>
      </c>
      <c r="D22" s="172">
        <v>4</v>
      </c>
      <c r="E22" s="172">
        <v>2</v>
      </c>
      <c r="F22" s="222"/>
      <c r="G22" s="222"/>
      <c r="H22" s="255">
        <f t="shared" ref="H22:H40" si="3">MAX(0,D22-E22)</f>
        <v>2</v>
      </c>
      <c r="I22" s="36">
        <v>5000000</v>
      </c>
      <c r="J22" s="258">
        <f t="shared" ref="J22:J39" si="4">H22*I22</f>
        <v>10000000</v>
      </c>
      <c r="K22" s="114"/>
    </row>
    <row r="23" spans="3:11" x14ac:dyDescent="0.35">
      <c r="C23" s="41" t="s">
        <v>128</v>
      </c>
      <c r="D23" s="172"/>
      <c r="E23" s="172"/>
      <c r="F23" s="222"/>
      <c r="G23" s="222"/>
      <c r="H23" s="255">
        <f t="shared" si="3"/>
        <v>0</v>
      </c>
      <c r="I23" s="36"/>
      <c r="J23" s="258">
        <f t="shared" si="4"/>
        <v>0</v>
      </c>
      <c r="K23" s="114"/>
    </row>
    <row r="24" spans="3:11" x14ac:dyDescent="0.35">
      <c r="C24" s="41" t="s">
        <v>253</v>
      </c>
      <c r="D24" s="172">
        <v>32</v>
      </c>
      <c r="E24" s="172">
        <v>18</v>
      </c>
      <c r="F24" s="222"/>
      <c r="G24" s="222"/>
      <c r="H24" s="255">
        <f t="shared" si="3"/>
        <v>14</v>
      </c>
      <c r="I24" s="36">
        <v>200000</v>
      </c>
      <c r="J24" s="258">
        <f t="shared" si="4"/>
        <v>2800000</v>
      </c>
      <c r="K24" s="114"/>
    </row>
    <row r="25" spans="3:11" x14ac:dyDescent="0.35">
      <c r="C25" s="41" t="s">
        <v>254</v>
      </c>
      <c r="D25" s="172"/>
      <c r="E25" s="172"/>
      <c r="F25" s="222"/>
      <c r="G25" s="222"/>
      <c r="H25" s="255">
        <f t="shared" si="3"/>
        <v>0</v>
      </c>
      <c r="I25" s="36"/>
      <c r="J25" s="258">
        <f t="shared" si="4"/>
        <v>0</v>
      </c>
      <c r="K25" s="114"/>
    </row>
    <row r="26" spans="3:11" x14ac:dyDescent="0.35">
      <c r="C26" s="41" t="s">
        <v>255</v>
      </c>
      <c r="D26" s="172"/>
      <c r="E26" s="172"/>
      <c r="F26" s="222"/>
      <c r="G26" s="222"/>
      <c r="H26" s="255">
        <f t="shared" si="3"/>
        <v>0</v>
      </c>
      <c r="I26" s="36"/>
      <c r="J26" s="258">
        <f t="shared" si="4"/>
        <v>0</v>
      </c>
      <c r="K26" s="114"/>
    </row>
    <row r="27" spans="3:11" x14ac:dyDescent="0.35">
      <c r="C27" s="41" t="s">
        <v>129</v>
      </c>
      <c r="D27" s="172">
        <v>5</v>
      </c>
      <c r="E27" s="172">
        <v>4</v>
      </c>
      <c r="F27" s="222"/>
      <c r="G27" s="222"/>
      <c r="H27" s="255">
        <f t="shared" si="3"/>
        <v>1</v>
      </c>
      <c r="I27" s="36">
        <v>500000</v>
      </c>
      <c r="J27" s="258">
        <f t="shared" si="4"/>
        <v>500000</v>
      </c>
      <c r="K27" s="114"/>
    </row>
    <row r="28" spans="3:11" x14ac:dyDescent="0.35">
      <c r="C28" s="41" t="s">
        <v>130</v>
      </c>
      <c r="D28" s="172">
        <v>1</v>
      </c>
      <c r="E28" s="172">
        <v>1</v>
      </c>
      <c r="F28" s="222"/>
      <c r="G28" s="222"/>
      <c r="H28" s="255">
        <f t="shared" si="3"/>
        <v>0</v>
      </c>
      <c r="I28" s="36"/>
      <c r="J28" s="258">
        <f t="shared" si="4"/>
        <v>0</v>
      </c>
      <c r="K28" s="114"/>
    </row>
    <row r="29" spans="3:11" x14ac:dyDescent="0.35">
      <c r="C29" s="44" t="s">
        <v>131</v>
      </c>
      <c r="D29" s="174">
        <v>5</v>
      </c>
      <c r="E29" s="174">
        <v>0</v>
      </c>
      <c r="F29" s="222"/>
      <c r="G29" s="222"/>
      <c r="H29" s="255">
        <f t="shared" si="3"/>
        <v>5</v>
      </c>
      <c r="I29" s="45">
        <v>1000000</v>
      </c>
      <c r="J29" s="258">
        <f t="shared" si="4"/>
        <v>5000000</v>
      </c>
      <c r="K29" s="114"/>
    </row>
    <row r="30" spans="3:11" x14ac:dyDescent="0.35">
      <c r="C30" s="44" t="s">
        <v>132</v>
      </c>
      <c r="D30" s="174"/>
      <c r="E30" s="174"/>
      <c r="F30" s="222"/>
      <c r="G30" s="222"/>
      <c r="H30" s="255">
        <f t="shared" si="3"/>
        <v>0</v>
      </c>
      <c r="I30" s="45"/>
      <c r="J30" s="258">
        <f t="shared" si="4"/>
        <v>0</v>
      </c>
      <c r="K30" s="114"/>
    </row>
    <row r="31" spans="3:11" x14ac:dyDescent="0.35">
      <c r="C31" s="44"/>
      <c r="D31" s="174"/>
      <c r="E31" s="174"/>
      <c r="F31" s="222"/>
      <c r="G31" s="222"/>
      <c r="H31" s="255">
        <f t="shared" si="3"/>
        <v>0</v>
      </c>
      <c r="I31" s="45"/>
      <c r="J31" s="258">
        <f t="shared" si="4"/>
        <v>0</v>
      </c>
      <c r="K31" s="114"/>
    </row>
    <row r="32" spans="3:11" x14ac:dyDescent="0.35">
      <c r="C32" s="44"/>
      <c r="D32" s="174"/>
      <c r="E32" s="174"/>
      <c r="F32" s="222"/>
      <c r="G32" s="222"/>
      <c r="H32" s="255">
        <f t="shared" si="3"/>
        <v>0</v>
      </c>
      <c r="I32" s="45"/>
      <c r="J32" s="258">
        <f t="shared" si="4"/>
        <v>0</v>
      </c>
      <c r="K32" s="114"/>
    </row>
    <row r="33" spans="2:11" x14ac:dyDescent="0.35">
      <c r="C33" s="44"/>
      <c r="D33" s="174"/>
      <c r="E33" s="174"/>
      <c r="F33" s="222"/>
      <c r="G33" s="222"/>
      <c r="H33" s="255">
        <f t="shared" si="3"/>
        <v>0</v>
      </c>
      <c r="I33" s="45"/>
      <c r="J33" s="258">
        <f t="shared" si="4"/>
        <v>0</v>
      </c>
      <c r="K33" s="114"/>
    </row>
    <row r="34" spans="2:11" x14ac:dyDescent="0.35">
      <c r="C34" s="44"/>
      <c r="D34" s="174"/>
      <c r="E34" s="174"/>
      <c r="F34" s="222"/>
      <c r="G34" s="222"/>
      <c r="H34" s="255">
        <f t="shared" si="3"/>
        <v>0</v>
      </c>
      <c r="I34" s="45"/>
      <c r="J34" s="258">
        <f t="shared" si="4"/>
        <v>0</v>
      </c>
      <c r="K34" s="114"/>
    </row>
    <row r="35" spans="2:11" x14ac:dyDescent="0.35">
      <c r="C35" s="44"/>
      <c r="D35" s="174"/>
      <c r="E35" s="174"/>
      <c r="F35" s="222"/>
      <c r="G35" s="222"/>
      <c r="H35" s="255">
        <f t="shared" si="3"/>
        <v>0</v>
      </c>
      <c r="I35" s="45"/>
      <c r="J35" s="258">
        <f t="shared" si="4"/>
        <v>0</v>
      </c>
      <c r="K35" s="114"/>
    </row>
    <row r="36" spans="2:11" x14ac:dyDescent="0.35">
      <c r="C36" s="44"/>
      <c r="D36" s="174"/>
      <c r="E36" s="174"/>
      <c r="F36" s="222"/>
      <c r="G36" s="222"/>
      <c r="H36" s="255">
        <f t="shared" si="3"/>
        <v>0</v>
      </c>
      <c r="I36" s="45"/>
      <c r="J36" s="258">
        <f t="shared" si="4"/>
        <v>0</v>
      </c>
      <c r="K36" s="114"/>
    </row>
    <row r="37" spans="2:11" x14ac:dyDescent="0.35">
      <c r="C37" s="41"/>
      <c r="D37" s="172"/>
      <c r="E37" s="172"/>
      <c r="F37" s="222"/>
      <c r="G37" s="222"/>
      <c r="H37" s="255">
        <f t="shared" si="3"/>
        <v>0</v>
      </c>
      <c r="I37" s="36"/>
      <c r="J37" s="258">
        <f t="shared" si="4"/>
        <v>0</v>
      </c>
      <c r="K37" s="114"/>
    </row>
    <row r="38" spans="2:11" x14ac:dyDescent="0.35">
      <c r="C38" s="44"/>
      <c r="D38" s="174"/>
      <c r="E38" s="174"/>
      <c r="F38" s="222"/>
      <c r="G38" s="222"/>
      <c r="H38" s="255">
        <f t="shared" si="3"/>
        <v>0</v>
      </c>
      <c r="I38" s="45"/>
      <c r="J38" s="258">
        <f t="shared" si="4"/>
        <v>0</v>
      </c>
      <c r="K38" s="114"/>
    </row>
    <row r="39" spans="2:11" x14ac:dyDescent="0.35">
      <c r="C39" s="44"/>
      <c r="D39" s="174"/>
      <c r="E39" s="174"/>
      <c r="F39" s="222"/>
      <c r="G39" s="222"/>
      <c r="H39" s="255">
        <f t="shared" si="3"/>
        <v>0</v>
      </c>
      <c r="I39" s="45"/>
      <c r="J39" s="258">
        <f t="shared" si="4"/>
        <v>0</v>
      </c>
      <c r="K39" s="114"/>
    </row>
    <row r="40" spans="2:11" ht="15" thickBot="1" x14ac:dyDescent="0.4">
      <c r="C40" s="42"/>
      <c r="D40" s="173"/>
      <c r="E40" s="173"/>
      <c r="F40" s="134"/>
      <c r="G40" s="134"/>
      <c r="H40" s="264">
        <f t="shared" si="3"/>
        <v>0</v>
      </c>
      <c r="I40" s="38"/>
      <c r="J40" s="281">
        <f t="shared" ref="J40" si="5">H40*I40</f>
        <v>0</v>
      </c>
      <c r="K40" s="115"/>
    </row>
    <row r="41" spans="2:11" x14ac:dyDescent="0.35">
      <c r="I41" s="35" t="s">
        <v>91</v>
      </c>
      <c r="J41" s="280">
        <f>SUM(J10:J19,J21:J40)</f>
        <v>38300000</v>
      </c>
    </row>
    <row r="42" spans="2:11" ht="15" thickBot="1" x14ac:dyDescent="0.4"/>
    <row r="43" spans="2:11" ht="15" thickBot="1" x14ac:dyDescent="0.4">
      <c r="B43" s="147">
        <v>2</v>
      </c>
      <c r="C43" s="43" t="s">
        <v>133</v>
      </c>
      <c r="D43" s="216"/>
      <c r="E43" s="216"/>
      <c r="F43" s="217"/>
    </row>
    <row r="44" spans="2:11" x14ac:dyDescent="0.35">
      <c r="C44" s="233" t="s">
        <v>134</v>
      </c>
      <c r="D44" s="234" t="s">
        <v>135</v>
      </c>
      <c r="E44" s="97" t="s">
        <v>24</v>
      </c>
      <c r="F44" s="118" t="s">
        <v>79</v>
      </c>
    </row>
    <row r="45" spans="2:11" x14ac:dyDescent="0.35">
      <c r="C45" s="46" t="s">
        <v>136</v>
      </c>
      <c r="D45" s="36">
        <v>800000</v>
      </c>
      <c r="E45" s="282">
        <f t="shared" ref="E45:E59" si="6">D45*months</f>
        <v>9600000</v>
      </c>
      <c r="F45" s="114"/>
    </row>
    <row r="46" spans="2:11" x14ac:dyDescent="0.35">
      <c r="C46" s="46" t="s">
        <v>137</v>
      </c>
      <c r="D46" s="36">
        <v>300000</v>
      </c>
      <c r="E46" s="282">
        <f t="shared" si="6"/>
        <v>3600000</v>
      </c>
      <c r="F46" s="114"/>
    </row>
    <row r="47" spans="2:11" x14ac:dyDescent="0.35">
      <c r="C47" s="46" t="s">
        <v>138</v>
      </c>
      <c r="D47" s="36"/>
      <c r="E47" s="282">
        <f t="shared" si="6"/>
        <v>0</v>
      </c>
      <c r="F47" s="114"/>
    </row>
    <row r="48" spans="2:11" x14ac:dyDescent="0.35">
      <c r="C48" s="46" t="s">
        <v>139</v>
      </c>
      <c r="D48" s="36"/>
      <c r="E48" s="282">
        <f t="shared" si="6"/>
        <v>0</v>
      </c>
      <c r="F48" s="114"/>
    </row>
    <row r="49" spans="3:6" x14ac:dyDescent="0.35">
      <c r="C49" s="46"/>
      <c r="D49" s="36"/>
      <c r="E49" s="282">
        <f t="shared" si="6"/>
        <v>0</v>
      </c>
      <c r="F49" s="114"/>
    </row>
    <row r="50" spans="3:6" x14ac:dyDescent="0.35">
      <c r="C50" s="46"/>
      <c r="D50" s="36"/>
      <c r="E50" s="282">
        <f t="shared" si="6"/>
        <v>0</v>
      </c>
      <c r="F50" s="114"/>
    </row>
    <row r="51" spans="3:6" x14ac:dyDescent="0.35">
      <c r="C51" s="46"/>
      <c r="D51" s="36"/>
      <c r="E51" s="282">
        <f t="shared" si="6"/>
        <v>0</v>
      </c>
      <c r="F51" s="114"/>
    </row>
    <row r="52" spans="3:6" x14ac:dyDescent="0.35">
      <c r="C52" s="46"/>
      <c r="D52" s="36"/>
      <c r="E52" s="282">
        <f t="shared" si="6"/>
        <v>0</v>
      </c>
      <c r="F52" s="114"/>
    </row>
    <row r="53" spans="3:6" x14ac:dyDescent="0.35">
      <c r="C53" s="46"/>
      <c r="D53" s="36"/>
      <c r="E53" s="282">
        <f t="shared" si="6"/>
        <v>0</v>
      </c>
      <c r="F53" s="114"/>
    </row>
    <row r="54" spans="3:6" x14ac:dyDescent="0.35">
      <c r="C54" s="46"/>
      <c r="D54" s="36"/>
      <c r="E54" s="282">
        <f t="shared" si="6"/>
        <v>0</v>
      </c>
      <c r="F54" s="114"/>
    </row>
    <row r="55" spans="3:6" x14ac:dyDescent="0.35">
      <c r="C55" s="46"/>
      <c r="D55" s="36"/>
      <c r="E55" s="282">
        <f t="shared" si="6"/>
        <v>0</v>
      </c>
      <c r="F55" s="114"/>
    </row>
    <row r="56" spans="3:6" x14ac:dyDescent="0.35">
      <c r="C56" s="46"/>
      <c r="D56" s="36"/>
      <c r="E56" s="282">
        <f t="shared" si="6"/>
        <v>0</v>
      </c>
      <c r="F56" s="114"/>
    </row>
    <row r="57" spans="3:6" x14ac:dyDescent="0.35">
      <c r="C57" s="46"/>
      <c r="D57" s="36"/>
      <c r="E57" s="282">
        <f t="shared" si="6"/>
        <v>0</v>
      </c>
      <c r="F57" s="114"/>
    </row>
    <row r="58" spans="3:6" x14ac:dyDescent="0.35">
      <c r="C58" s="46"/>
      <c r="D58" s="36"/>
      <c r="E58" s="282">
        <f t="shared" si="6"/>
        <v>0</v>
      </c>
      <c r="F58" s="114"/>
    </row>
    <row r="59" spans="3:6" ht="15" thickBot="1" x14ac:dyDescent="0.4">
      <c r="C59" s="47"/>
      <c r="D59" s="38"/>
      <c r="E59" s="283">
        <f t="shared" si="6"/>
        <v>0</v>
      </c>
      <c r="F59" s="115"/>
    </row>
    <row r="60" spans="3:6" x14ac:dyDescent="0.35">
      <c r="D60" s="35" t="s">
        <v>91</v>
      </c>
      <c r="E60" s="280">
        <f>SUM(E45:E59)</f>
        <v>13200000</v>
      </c>
    </row>
    <row r="61" spans="3:6" ht="15" thickBot="1" x14ac:dyDescent="0.4"/>
    <row r="62" spans="3:6" ht="15" thickBot="1" x14ac:dyDescent="0.4">
      <c r="D62" s="43" t="s">
        <v>92</v>
      </c>
      <c r="E62" s="284">
        <f>SUM(J41,E60)</f>
        <v>51500000</v>
      </c>
    </row>
  </sheetData>
  <sheetProtection algorithmName="SHA-512" hashValue="4nz0jxijx3KxTRxZmNOTfYEflciDK1C+GDxdJEm3QdFngf2ReTuYkeKsbdW5oX/HuhHAocQvJ9B0KJvWyG/o5A==" saltValue="IHfy4hOG7ixsSS2u7UFmnw==" spinCount="100000" sheet="1" objects="1" scenarios="1" formatCells="0" formatColumns="0" formatRows="0" insertColumns="0" insertRows="0" insertHyperlinks="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8209-3839-4AFE-80CC-17204BD1E3E8}">
  <sheetPr codeName="Sheet7"/>
  <dimension ref="A1:I40"/>
  <sheetViews>
    <sheetView zoomScale="89" zoomScaleNormal="89" workbookViewId="0">
      <selection activeCell="G13" sqref="G13"/>
    </sheetView>
  </sheetViews>
  <sheetFormatPr defaultRowHeight="14.5" x14ac:dyDescent="0.35"/>
  <cols>
    <col min="1" max="1" width="5.81640625" style="29" customWidth="1"/>
    <col min="2" max="2" width="4.36328125" style="29" customWidth="1"/>
    <col min="3" max="3" width="23.26953125" style="29" customWidth="1"/>
    <col min="4" max="7" width="16.6328125" style="29" customWidth="1"/>
    <col min="8" max="8" width="25.54296875" style="29" customWidth="1"/>
    <col min="9" max="11" width="16.6328125" style="29" customWidth="1"/>
    <col min="12" max="12" width="17.453125" style="29" customWidth="1"/>
    <col min="13" max="13" width="17.1796875" style="29" customWidth="1"/>
    <col min="14" max="16384" width="8.7265625" style="29"/>
  </cols>
  <sheetData>
    <row r="1" spans="1:9" ht="28.5" x14ac:dyDescent="0.65">
      <c r="A1" s="28" t="s">
        <v>227</v>
      </c>
    </row>
    <row r="5" spans="1:9" x14ac:dyDescent="0.35">
      <c r="B5" s="104" t="s">
        <v>236</v>
      </c>
      <c r="E5" s="143"/>
      <c r="F5" s="102" t="s">
        <v>237</v>
      </c>
      <c r="H5" s="144"/>
    </row>
    <row r="6" spans="1:9" x14ac:dyDescent="0.35">
      <c r="B6" s="104" t="s">
        <v>235</v>
      </c>
      <c r="E6" s="145"/>
      <c r="F6" s="102"/>
      <c r="I6" s="105"/>
    </row>
    <row r="7" spans="1:9" ht="15" thickBot="1" x14ac:dyDescent="0.4"/>
    <row r="8" spans="1:9" ht="54.5" customHeight="1" thickBot="1" x14ac:dyDescent="0.4">
      <c r="B8" s="146">
        <v>1</v>
      </c>
      <c r="C8" s="314" t="s">
        <v>256</v>
      </c>
      <c r="D8" s="315"/>
      <c r="E8" s="315"/>
      <c r="F8" s="315"/>
      <c r="G8" s="315"/>
      <c r="H8" s="316"/>
    </row>
    <row r="9" spans="1:9" ht="29" x14ac:dyDescent="0.35">
      <c r="C9" s="99" t="s">
        <v>140</v>
      </c>
      <c r="D9" s="97" t="s">
        <v>141</v>
      </c>
      <c r="E9" s="97" t="s">
        <v>142</v>
      </c>
      <c r="F9" s="97" t="s">
        <v>143</v>
      </c>
      <c r="G9" s="98" t="s">
        <v>24</v>
      </c>
      <c r="H9" s="118" t="s">
        <v>79</v>
      </c>
    </row>
    <row r="10" spans="1:9" x14ac:dyDescent="0.35">
      <c r="C10" s="175"/>
      <c r="D10" s="48"/>
      <c r="E10" s="36">
        <f>0.5*2340000</f>
        <v>1170000</v>
      </c>
      <c r="F10" s="36"/>
      <c r="G10" s="258">
        <f t="shared" ref="G10:G39" si="0">SUM(E10:F10)*months</f>
        <v>14040000</v>
      </c>
      <c r="H10" s="114"/>
    </row>
    <row r="11" spans="1:9" x14ac:dyDescent="0.35">
      <c r="C11" s="175"/>
      <c r="D11" s="48"/>
      <c r="E11" s="36"/>
      <c r="F11" s="36"/>
      <c r="G11" s="258">
        <f t="shared" si="0"/>
        <v>0</v>
      </c>
      <c r="H11" s="114"/>
    </row>
    <row r="12" spans="1:9" x14ac:dyDescent="0.35">
      <c r="C12" s="175"/>
      <c r="D12" s="48"/>
      <c r="E12" s="36"/>
      <c r="F12" s="36"/>
      <c r="G12" s="258">
        <f t="shared" si="0"/>
        <v>0</v>
      </c>
      <c r="H12" s="114"/>
    </row>
    <row r="13" spans="1:9" x14ac:dyDescent="0.35">
      <c r="C13" s="175"/>
      <c r="D13" s="48"/>
      <c r="E13" s="36"/>
      <c r="F13" s="36"/>
      <c r="G13" s="258">
        <f t="shared" si="0"/>
        <v>0</v>
      </c>
      <c r="H13" s="114"/>
    </row>
    <row r="14" spans="1:9" x14ac:dyDescent="0.35">
      <c r="C14" s="175"/>
      <c r="D14" s="48"/>
      <c r="E14" s="36"/>
      <c r="F14" s="36"/>
      <c r="G14" s="258">
        <f t="shared" si="0"/>
        <v>0</v>
      </c>
      <c r="H14" s="114"/>
    </row>
    <row r="15" spans="1:9" x14ac:dyDescent="0.35">
      <c r="C15" s="175"/>
      <c r="D15" s="48"/>
      <c r="E15" s="36"/>
      <c r="F15" s="36"/>
      <c r="G15" s="258">
        <f t="shared" si="0"/>
        <v>0</v>
      </c>
      <c r="H15" s="114"/>
    </row>
    <row r="16" spans="1:9" x14ac:dyDescent="0.35">
      <c r="C16" s="175"/>
      <c r="D16" s="48"/>
      <c r="E16" s="36"/>
      <c r="F16" s="36"/>
      <c r="G16" s="258">
        <f t="shared" si="0"/>
        <v>0</v>
      </c>
      <c r="H16" s="114"/>
    </row>
    <row r="17" spans="3:8" x14ac:dyDescent="0.35">
      <c r="C17" s="175"/>
      <c r="D17" s="48"/>
      <c r="E17" s="36"/>
      <c r="F17" s="36"/>
      <c r="G17" s="258">
        <f t="shared" si="0"/>
        <v>0</v>
      </c>
      <c r="H17" s="114"/>
    </row>
    <row r="18" spans="3:8" x14ac:dyDescent="0.35">
      <c r="C18" s="175"/>
      <c r="D18" s="48"/>
      <c r="E18" s="36"/>
      <c r="F18" s="36"/>
      <c r="G18" s="258">
        <f t="shared" si="0"/>
        <v>0</v>
      </c>
      <c r="H18" s="114"/>
    </row>
    <row r="19" spans="3:8" x14ac:dyDescent="0.35">
      <c r="C19" s="175"/>
      <c r="D19" s="48"/>
      <c r="E19" s="36"/>
      <c r="F19" s="36"/>
      <c r="G19" s="258">
        <f t="shared" si="0"/>
        <v>0</v>
      </c>
      <c r="H19" s="114"/>
    </row>
    <row r="20" spans="3:8" x14ac:dyDescent="0.35">
      <c r="C20" s="175"/>
      <c r="D20" s="48"/>
      <c r="E20" s="36"/>
      <c r="F20" s="36"/>
      <c r="G20" s="258">
        <f t="shared" si="0"/>
        <v>0</v>
      </c>
      <c r="H20" s="114"/>
    </row>
    <row r="21" spans="3:8" x14ac:dyDescent="0.35">
      <c r="C21" s="175"/>
      <c r="D21" s="48"/>
      <c r="E21" s="36"/>
      <c r="F21" s="36"/>
      <c r="G21" s="258">
        <f t="shared" si="0"/>
        <v>0</v>
      </c>
      <c r="H21" s="114"/>
    </row>
    <row r="22" spans="3:8" x14ac:dyDescent="0.35">
      <c r="C22" s="175"/>
      <c r="D22" s="48"/>
      <c r="E22" s="36"/>
      <c r="F22" s="36"/>
      <c r="G22" s="258">
        <f t="shared" si="0"/>
        <v>0</v>
      </c>
      <c r="H22" s="114"/>
    </row>
    <row r="23" spans="3:8" x14ac:dyDescent="0.35">
      <c r="C23" s="175"/>
      <c r="D23" s="48"/>
      <c r="E23" s="36"/>
      <c r="F23" s="36"/>
      <c r="G23" s="258">
        <f t="shared" si="0"/>
        <v>0</v>
      </c>
      <c r="H23" s="114"/>
    </row>
    <row r="24" spans="3:8" x14ac:dyDescent="0.35">
      <c r="C24" s="175"/>
      <c r="D24" s="48"/>
      <c r="E24" s="36"/>
      <c r="F24" s="36"/>
      <c r="G24" s="258">
        <f t="shared" si="0"/>
        <v>0</v>
      </c>
      <c r="H24" s="114"/>
    </row>
    <row r="25" spans="3:8" x14ac:dyDescent="0.35">
      <c r="C25" s="175"/>
      <c r="D25" s="48"/>
      <c r="E25" s="36"/>
      <c r="F25" s="36"/>
      <c r="G25" s="258">
        <f t="shared" si="0"/>
        <v>0</v>
      </c>
      <c r="H25" s="114"/>
    </row>
    <row r="26" spans="3:8" x14ac:dyDescent="0.35">
      <c r="C26" s="175"/>
      <c r="D26" s="48"/>
      <c r="E26" s="36"/>
      <c r="F26" s="36"/>
      <c r="G26" s="258">
        <f t="shared" si="0"/>
        <v>0</v>
      </c>
      <c r="H26" s="114"/>
    </row>
    <row r="27" spans="3:8" x14ac:dyDescent="0.35">
      <c r="C27" s="175"/>
      <c r="D27" s="48"/>
      <c r="E27" s="36"/>
      <c r="F27" s="36"/>
      <c r="G27" s="258">
        <f t="shared" si="0"/>
        <v>0</v>
      </c>
      <c r="H27" s="114"/>
    </row>
    <row r="28" spans="3:8" x14ac:dyDescent="0.35">
      <c r="C28" s="175"/>
      <c r="D28" s="48"/>
      <c r="E28" s="36"/>
      <c r="F28" s="36"/>
      <c r="G28" s="258">
        <f t="shared" si="0"/>
        <v>0</v>
      </c>
      <c r="H28" s="114"/>
    </row>
    <row r="29" spans="3:8" x14ac:dyDescent="0.35">
      <c r="C29" s="175"/>
      <c r="D29" s="48"/>
      <c r="E29" s="36"/>
      <c r="F29" s="36"/>
      <c r="G29" s="258">
        <f t="shared" si="0"/>
        <v>0</v>
      </c>
      <c r="H29" s="114"/>
    </row>
    <row r="30" spans="3:8" x14ac:dyDescent="0.35">
      <c r="C30" s="175"/>
      <c r="D30" s="48"/>
      <c r="E30" s="36"/>
      <c r="F30" s="36"/>
      <c r="G30" s="258">
        <f t="shared" si="0"/>
        <v>0</v>
      </c>
      <c r="H30" s="114"/>
    </row>
    <row r="31" spans="3:8" x14ac:dyDescent="0.35">
      <c r="C31" s="175"/>
      <c r="D31" s="48"/>
      <c r="E31" s="36"/>
      <c r="F31" s="36"/>
      <c r="G31" s="258">
        <f t="shared" si="0"/>
        <v>0</v>
      </c>
      <c r="H31" s="114"/>
    </row>
    <row r="32" spans="3:8" x14ac:dyDescent="0.35">
      <c r="C32" s="175"/>
      <c r="D32" s="48"/>
      <c r="E32" s="36"/>
      <c r="F32" s="36"/>
      <c r="G32" s="258">
        <f t="shared" si="0"/>
        <v>0</v>
      </c>
      <c r="H32" s="114"/>
    </row>
    <row r="33" spans="3:8" x14ac:dyDescent="0.35">
      <c r="C33" s="175"/>
      <c r="D33" s="48"/>
      <c r="E33" s="36"/>
      <c r="F33" s="36"/>
      <c r="G33" s="258">
        <f t="shared" si="0"/>
        <v>0</v>
      </c>
      <c r="H33" s="114"/>
    </row>
    <row r="34" spans="3:8" x14ac:dyDescent="0.35">
      <c r="C34" s="175"/>
      <c r="D34" s="48"/>
      <c r="E34" s="36"/>
      <c r="F34" s="36"/>
      <c r="G34" s="258">
        <f t="shared" si="0"/>
        <v>0</v>
      </c>
      <c r="H34" s="114"/>
    </row>
    <row r="35" spans="3:8" x14ac:dyDescent="0.35">
      <c r="C35" s="175"/>
      <c r="D35" s="48"/>
      <c r="E35" s="36"/>
      <c r="F35" s="36"/>
      <c r="G35" s="258">
        <f t="shared" si="0"/>
        <v>0</v>
      </c>
      <c r="H35" s="114"/>
    </row>
    <row r="36" spans="3:8" x14ac:dyDescent="0.35">
      <c r="C36" s="175"/>
      <c r="D36" s="48"/>
      <c r="E36" s="36"/>
      <c r="F36" s="36"/>
      <c r="G36" s="258">
        <f t="shared" si="0"/>
        <v>0</v>
      </c>
      <c r="H36" s="114"/>
    </row>
    <row r="37" spans="3:8" x14ac:dyDescent="0.35">
      <c r="C37" s="175"/>
      <c r="D37" s="48"/>
      <c r="E37" s="36"/>
      <c r="F37" s="36"/>
      <c r="G37" s="258">
        <f t="shared" si="0"/>
        <v>0</v>
      </c>
      <c r="H37" s="114"/>
    </row>
    <row r="38" spans="3:8" x14ac:dyDescent="0.35">
      <c r="C38" s="175"/>
      <c r="D38" s="48"/>
      <c r="E38" s="36"/>
      <c r="F38" s="36"/>
      <c r="G38" s="258">
        <f t="shared" si="0"/>
        <v>0</v>
      </c>
      <c r="H38" s="114"/>
    </row>
    <row r="39" spans="3:8" ht="15" thickBot="1" x14ac:dyDescent="0.4">
      <c r="C39" s="176"/>
      <c r="D39" s="49"/>
      <c r="E39" s="38"/>
      <c r="F39" s="38"/>
      <c r="G39" s="281">
        <f t="shared" si="0"/>
        <v>0</v>
      </c>
      <c r="H39" s="115"/>
    </row>
    <row r="40" spans="3:8" ht="15" thickBot="1" x14ac:dyDescent="0.4">
      <c r="F40" s="228" t="s">
        <v>92</v>
      </c>
      <c r="G40" s="285">
        <f>SUM(G10:G39)</f>
        <v>14040000</v>
      </c>
    </row>
  </sheetData>
  <sheetProtection algorithmName="SHA-512" hashValue="AFu29huHRGhYidV3FrXxyk1UsOZMGScjFymB1SIWVCEy92FMEpUPHNsYsyu4Fbm6TSpg/AFy8Pd6cUya7Or0PA==" saltValue="MEbF4eTSQqoF6+3w53gDPw==" spinCount="100000" sheet="1" objects="1" scenarios="1" formatCells="0" formatColumns="0" formatRows="0" insertColumns="0" insertRows="0" insertHyperlinks="0"/>
  <mergeCells count="1">
    <mergeCell ref="C8:H8"/>
  </mergeCells>
  <dataValidations count="1">
    <dataValidation type="list" allowBlank="1" showInputMessage="1" showErrorMessage="1" sqref="D10:D39" xr:uid="{268924F5-8109-4C7F-B034-47CEB2C1B179}">
      <formula1>"Already have, Need hire"</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3EAB1-5E5A-49D4-9326-6CCD48DBE770}">
  <sheetPr codeName="Sheet10"/>
  <dimension ref="A1:L36"/>
  <sheetViews>
    <sheetView workbookViewId="0">
      <selection activeCell="B1" sqref="B1"/>
    </sheetView>
  </sheetViews>
  <sheetFormatPr defaultRowHeight="14.5" x14ac:dyDescent="0.35"/>
  <cols>
    <col min="1" max="1" width="3.26953125" style="50" customWidth="1"/>
    <col min="2" max="2" width="3.81640625" style="50" customWidth="1"/>
    <col min="3" max="3" width="36.36328125" style="50" customWidth="1"/>
    <col min="4" max="4" width="18" style="50" customWidth="1"/>
    <col min="5" max="9" width="16.6328125" style="50" customWidth="1"/>
    <col min="10" max="10" width="16.54296875" style="50" customWidth="1"/>
    <col min="11" max="16384" width="8.7265625" style="50"/>
  </cols>
  <sheetData>
    <row r="1" spans="1:12" ht="28.5" x14ac:dyDescent="0.65">
      <c r="A1" s="28" t="s">
        <v>227</v>
      </c>
    </row>
    <row r="5" spans="1:12" s="29" customFormat="1" x14ac:dyDescent="0.35">
      <c r="B5" s="104" t="s">
        <v>236</v>
      </c>
      <c r="D5" s="143"/>
      <c r="E5" s="102"/>
    </row>
    <row r="6" spans="1:12" s="29" customFormat="1" x14ac:dyDescent="0.35">
      <c r="B6" s="104" t="s">
        <v>235</v>
      </c>
      <c r="D6" s="145"/>
      <c r="E6" s="102"/>
    </row>
    <row r="7" spans="1:12" s="29" customFormat="1" x14ac:dyDescent="0.35">
      <c r="C7" s="104"/>
    </row>
    <row r="8" spans="1:12" ht="43.5" customHeight="1" x14ac:dyDescent="0.35">
      <c r="B8" s="317" t="s">
        <v>257</v>
      </c>
      <c r="C8" s="317"/>
      <c r="D8" s="317"/>
      <c r="E8" s="317"/>
      <c r="F8" s="317"/>
      <c r="G8" s="317"/>
      <c r="H8" s="317"/>
      <c r="I8" s="317"/>
      <c r="J8" s="317"/>
      <c r="K8" s="317"/>
      <c r="L8" s="317"/>
    </row>
    <row r="9" spans="1:12" ht="15" thickBot="1" x14ac:dyDescent="0.4"/>
    <row r="10" spans="1:12" ht="15" thickBot="1" x14ac:dyDescent="0.4">
      <c r="B10" s="235">
        <v>1</v>
      </c>
      <c r="C10" s="51" t="s">
        <v>258</v>
      </c>
      <c r="D10" s="52"/>
      <c r="E10" s="118" t="s">
        <v>79</v>
      </c>
    </row>
    <row r="11" spans="1:12" ht="29" x14ac:dyDescent="0.35">
      <c r="C11" s="53" t="s">
        <v>259</v>
      </c>
      <c r="D11" s="177">
        <v>12</v>
      </c>
      <c r="E11" s="114"/>
    </row>
    <row r="12" spans="1:12" ht="15" thickBot="1" x14ac:dyDescent="0.4">
      <c r="C12" s="54" t="s">
        <v>144</v>
      </c>
      <c r="D12" s="55">
        <v>160000</v>
      </c>
      <c r="E12" s="115"/>
    </row>
    <row r="13" spans="1:12" x14ac:dyDescent="0.35">
      <c r="C13" s="56" t="s">
        <v>91</v>
      </c>
      <c r="D13" s="286">
        <f>D11*D12</f>
        <v>1920000</v>
      </c>
    </row>
    <row r="14" spans="1:12" ht="15" thickBot="1" x14ac:dyDescent="0.4"/>
    <row r="15" spans="1:12" ht="15" thickBot="1" x14ac:dyDescent="0.4">
      <c r="B15" s="113">
        <v>2</v>
      </c>
      <c r="C15" s="318" t="s">
        <v>260</v>
      </c>
      <c r="D15" s="319"/>
      <c r="E15" s="319"/>
      <c r="F15" s="319"/>
      <c r="G15" s="320"/>
    </row>
    <row r="16" spans="1:12" ht="29" x14ac:dyDescent="0.35">
      <c r="C16" s="120" t="s">
        <v>23</v>
      </c>
      <c r="D16" s="58" t="s">
        <v>145</v>
      </c>
      <c r="E16" s="58" t="s">
        <v>146</v>
      </c>
      <c r="F16" s="59" t="s">
        <v>147</v>
      </c>
      <c r="G16" s="118" t="s">
        <v>79</v>
      </c>
    </row>
    <row r="17" spans="2:7" x14ac:dyDescent="0.35">
      <c r="C17" s="60"/>
      <c r="D17" s="178"/>
      <c r="E17" s="61"/>
      <c r="F17" s="287">
        <f>D17*E17</f>
        <v>0</v>
      </c>
      <c r="G17" s="114"/>
    </row>
    <row r="18" spans="2:7" x14ac:dyDescent="0.35">
      <c r="C18" s="60"/>
      <c r="D18" s="178"/>
      <c r="E18" s="61"/>
      <c r="F18" s="287">
        <f t="shared" ref="F18:F20" si="0">D18*E18</f>
        <v>0</v>
      </c>
      <c r="G18" s="114"/>
    </row>
    <row r="19" spans="2:7" x14ac:dyDescent="0.35">
      <c r="C19" s="60"/>
      <c r="D19" s="178"/>
      <c r="E19" s="61"/>
      <c r="F19" s="287">
        <f t="shared" si="0"/>
        <v>0</v>
      </c>
      <c r="G19" s="114"/>
    </row>
    <row r="20" spans="2:7" x14ac:dyDescent="0.35">
      <c r="C20" s="60"/>
      <c r="D20" s="178"/>
      <c r="E20" s="61"/>
      <c r="F20" s="287">
        <f t="shared" si="0"/>
        <v>0</v>
      </c>
      <c r="G20" s="114"/>
    </row>
    <row r="21" spans="2:7" x14ac:dyDescent="0.35">
      <c r="C21" s="60"/>
      <c r="D21" s="178"/>
      <c r="E21" s="61"/>
      <c r="F21" s="287">
        <f t="shared" ref="F21:F22" si="1">D21*E21</f>
        <v>0</v>
      </c>
      <c r="G21" s="114"/>
    </row>
    <row r="22" spans="2:7" x14ac:dyDescent="0.35">
      <c r="C22" s="60"/>
      <c r="D22" s="178"/>
      <c r="E22" s="61"/>
      <c r="F22" s="287">
        <f t="shared" si="1"/>
        <v>0</v>
      </c>
      <c r="G22" s="114"/>
    </row>
    <row r="23" spans="2:7" x14ac:dyDescent="0.35">
      <c r="C23" s="60"/>
      <c r="D23" s="178"/>
      <c r="E23" s="61"/>
      <c r="F23" s="287">
        <f>D23*E23</f>
        <v>0</v>
      </c>
      <c r="G23" s="114"/>
    </row>
    <row r="24" spans="2:7" ht="15" thickBot="1" x14ac:dyDescent="0.4">
      <c r="C24" s="62"/>
      <c r="D24" s="179"/>
      <c r="E24" s="63"/>
      <c r="F24" s="288">
        <f>D24*E24</f>
        <v>0</v>
      </c>
      <c r="G24" s="115"/>
    </row>
    <row r="25" spans="2:7" x14ac:dyDescent="0.35">
      <c r="E25" s="56" t="s">
        <v>91</v>
      </c>
      <c r="F25" s="286">
        <f>SUM(F17:F24)</f>
        <v>0</v>
      </c>
    </row>
    <row r="26" spans="2:7" x14ac:dyDescent="0.35">
      <c r="C26" s="64" t="s">
        <v>261</v>
      </c>
    </row>
    <row r="27" spans="2:7" ht="15" thickBot="1" x14ac:dyDescent="0.4"/>
    <row r="28" spans="2:7" ht="15" thickBot="1" x14ac:dyDescent="0.4">
      <c r="B28" s="113">
        <v>3</v>
      </c>
      <c r="C28" s="101" t="s">
        <v>148</v>
      </c>
      <c r="D28" s="214"/>
      <c r="E28" s="215"/>
    </row>
    <row r="29" spans="2:7" x14ac:dyDescent="0.35">
      <c r="C29" s="96" t="s">
        <v>149</v>
      </c>
      <c r="D29" s="97" t="s">
        <v>24</v>
      </c>
      <c r="E29" s="118" t="s">
        <v>79</v>
      </c>
    </row>
    <row r="30" spans="2:7" x14ac:dyDescent="0.35">
      <c r="C30" s="67" t="s">
        <v>150</v>
      </c>
      <c r="D30" s="289">
        <f>PRODUCT(D11:D12)</f>
        <v>1920000</v>
      </c>
      <c r="E30" s="114"/>
    </row>
    <row r="31" spans="2:7" x14ac:dyDescent="0.35">
      <c r="C31" s="67" t="s">
        <v>151</v>
      </c>
      <c r="D31" s="289">
        <f>SUM(F17:F24)</f>
        <v>0</v>
      </c>
      <c r="E31" s="114"/>
    </row>
    <row r="32" spans="2:7" x14ac:dyDescent="0.35">
      <c r="C32" s="69"/>
      <c r="D32" s="289"/>
      <c r="E32" s="114"/>
    </row>
    <row r="33" spans="3:5" ht="15" thickBot="1" x14ac:dyDescent="0.4">
      <c r="C33" s="70"/>
      <c r="D33" s="290"/>
      <c r="E33" s="115"/>
    </row>
    <row r="34" spans="3:5" x14ac:dyDescent="0.35">
      <c r="C34" s="56" t="s">
        <v>92</v>
      </c>
      <c r="D34" s="277">
        <f>SUM(D30:D33)</f>
        <v>1920000</v>
      </c>
    </row>
    <row r="36" spans="3:5" x14ac:dyDescent="0.35">
      <c r="C36" s="56"/>
    </row>
  </sheetData>
  <sheetProtection algorithmName="SHA-512" hashValue="6aRc/VFAdraxKlLuXgh7JEkuImPeZyDEoUObUYR8N0QcfmwRwRUs27ALOkDLfUkjwO/GXdtrN1fKSkyzehbZbw==" saltValue="43l1ooXvTV18roIbRTEYEg==" spinCount="100000" sheet="1" objects="1" scenarios="1" formatCells="0" formatColumns="0" formatRows="0" insertColumns="0" insertRows="0" insertHyperlinks="0"/>
  <mergeCells count="2">
    <mergeCell ref="B8:L8"/>
    <mergeCell ref="C15:G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47</vt:i4>
      </vt:variant>
    </vt:vector>
  </HeadingPairs>
  <TitlesOfParts>
    <vt:vector size="60" baseType="lpstr">
      <vt:lpstr>Read me</vt:lpstr>
      <vt:lpstr>1. Dashboard</vt:lpstr>
      <vt:lpstr>Backpage</vt:lpstr>
      <vt:lpstr>2. RI info</vt:lpstr>
      <vt:lpstr>3. Vaccine demand</vt:lpstr>
      <vt:lpstr>4. Injection supplies</vt:lpstr>
      <vt:lpstr>5. Cold chain</vt:lpstr>
      <vt:lpstr>6. Personnel</vt:lpstr>
      <vt:lpstr>7. Transportation</vt:lpstr>
      <vt:lpstr>8. Outreach</vt:lpstr>
      <vt:lpstr>9. Training &amp; mobilization</vt:lpstr>
      <vt:lpstr>10. Microplanning</vt:lpstr>
      <vt:lpstr>11. Quality assurance</vt:lpstr>
      <vt:lpstr>buffer</vt:lpstr>
      <vt:lpstr>coverage1</vt:lpstr>
      <vt:lpstr>coverage10</vt:lpstr>
      <vt:lpstr>coverage11</vt:lpstr>
      <vt:lpstr>coverage12</vt:lpstr>
      <vt:lpstr>coverage13</vt:lpstr>
      <vt:lpstr>coverage14</vt:lpstr>
      <vt:lpstr>coverage15</vt:lpstr>
      <vt:lpstr>coverage16</vt:lpstr>
      <vt:lpstr>coverage17</vt:lpstr>
      <vt:lpstr>coverage18</vt:lpstr>
      <vt:lpstr>coverage19</vt:lpstr>
      <vt:lpstr>coverage2</vt:lpstr>
      <vt:lpstr>coverage20</vt:lpstr>
      <vt:lpstr>coverage3</vt:lpstr>
      <vt:lpstr>coverage4</vt:lpstr>
      <vt:lpstr>coverage5</vt:lpstr>
      <vt:lpstr>coverage6</vt:lpstr>
      <vt:lpstr>coverage7</vt:lpstr>
      <vt:lpstr>coverage8</vt:lpstr>
      <vt:lpstr>coverage9</vt:lpstr>
      <vt:lpstr>diesel</vt:lpstr>
      <vt:lpstr>gas</vt:lpstr>
      <vt:lpstr>months</vt:lpstr>
      <vt:lpstr>name</vt:lpstr>
      <vt:lpstr>source</vt:lpstr>
      <vt:lpstr>wastage</vt:lpstr>
      <vt:lpstr>wastage1</vt:lpstr>
      <vt:lpstr>wastage10</vt:lpstr>
      <vt:lpstr>wastage11</vt:lpstr>
      <vt:lpstr>wastage12</vt:lpstr>
      <vt:lpstr>wastage13</vt:lpstr>
      <vt:lpstr>wastage14</vt:lpstr>
      <vt:lpstr>wastage15</vt:lpstr>
      <vt:lpstr>wastage16</vt:lpstr>
      <vt:lpstr>wastage17</vt:lpstr>
      <vt:lpstr>wastage18</vt:lpstr>
      <vt:lpstr>wastage19</vt:lpstr>
      <vt:lpstr>wastage2</vt:lpstr>
      <vt:lpstr>wastage20</vt:lpstr>
      <vt:lpstr>wastage3</vt:lpstr>
      <vt:lpstr>wastage4</vt:lpstr>
      <vt:lpstr>wastage5</vt:lpstr>
      <vt:lpstr>wastage6</vt:lpstr>
      <vt:lpstr>wastage7</vt:lpstr>
      <vt:lpstr>wastage8</vt:lpstr>
      <vt:lpstr>wastage9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 Nguyen</dc:creator>
  <cp:lastModifiedBy>Ashley Latimer</cp:lastModifiedBy>
  <dcterms:created xsi:type="dcterms:W3CDTF">2024-05-28T08:06:08Z</dcterms:created>
  <dcterms:modified xsi:type="dcterms:W3CDTF">2025-12-03T20:46:29Z</dcterms:modified>
</cp:coreProperties>
</file>