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chemminger\Downloads\"/>
    </mc:Choice>
  </mc:AlternateContent>
  <xr:revisionPtr revIDLastSave="0" documentId="13_ncr:1_{4BD6C538-5ADA-43A1-821B-28F9C61BFD02}" xr6:coauthVersionLast="47" xr6:coauthVersionMax="47" xr10:uidLastSave="{00000000-0000-0000-0000-000000000000}"/>
  <bookViews>
    <workbookView xWindow="-110" yWindow="-110" windowWidth="19420" windowHeight="11500" tabRatio="777" xr2:uid="{D8887EA4-97D2-451E-BFCF-0337F5DEC88B}"/>
  </bookViews>
  <sheets>
    <sheet name="Introduction" sheetId="34" r:id="rId1"/>
    <sheet name="OPEX Estimator"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0" i="1" l="1"/>
  <c r="R18" i="1"/>
  <c r="R16" i="1"/>
  <c r="R14" i="1"/>
  <c r="R13" i="1"/>
  <c r="R11" i="1"/>
  <c r="K45" i="1"/>
  <c r="K44" i="1"/>
  <c r="R24" i="1"/>
  <c r="R25" i="1" s="1"/>
  <c r="R35" i="1" s="1"/>
  <c r="E82" i="1"/>
  <c r="J95" i="1" l="1"/>
  <c r="R21" i="1" s="1"/>
  <c r="K21" i="1"/>
  <c r="F40" i="1" l="1"/>
  <c r="J19" i="1"/>
  <c r="R12" i="1" s="1"/>
  <c r="R10" i="1" s="1"/>
  <c r="K19" i="1"/>
  <c r="K20" i="1" l="1"/>
  <c r="R19" i="1" l="1"/>
  <c r="J53" i="1"/>
  <c r="R17" i="1" l="1"/>
  <c r="R15" i="1" s="1"/>
  <c r="R22" i="1" s="1"/>
</calcChain>
</file>

<file path=xl/sharedStrings.xml><?xml version="1.0" encoding="utf-8"?>
<sst xmlns="http://schemas.openxmlformats.org/spreadsheetml/2006/main" count="138" uniqueCount="126">
  <si>
    <t>PSA Plant Inputs</t>
  </si>
  <si>
    <t>Days of Operation</t>
  </si>
  <si>
    <t>1. Staffing</t>
  </si>
  <si>
    <t>FTE</t>
  </si>
  <si>
    <t>Biomedical Engineer</t>
  </si>
  <si>
    <t>Plant Operations Supervisor</t>
  </si>
  <si>
    <t>Distribution Method</t>
  </si>
  <si>
    <t>TOTAL</t>
  </si>
  <si>
    <t>Staff</t>
  </si>
  <si>
    <t>Plant and Filling Station Maintenance</t>
  </si>
  <si>
    <t>Annual Spare Parts</t>
  </si>
  <si>
    <t>Energy</t>
  </si>
  <si>
    <t>Annual Maintenance Labor</t>
  </si>
  <si>
    <t>Generator Maintenance</t>
  </si>
  <si>
    <t>$/kWh</t>
  </si>
  <si>
    <t>PV Maintenance</t>
  </si>
  <si>
    <t>Energy Prices</t>
  </si>
  <si>
    <t>$/L</t>
  </si>
  <si>
    <t>L/kWh</t>
  </si>
  <si>
    <t>kWp</t>
  </si>
  <si>
    <t>Primary Energy Source</t>
  </si>
  <si>
    <t>Secondary Energy Source</t>
  </si>
  <si>
    <t>kW</t>
  </si>
  <si>
    <t>Cylinder Size</t>
  </si>
  <si>
    <t>Configuration</t>
  </si>
  <si>
    <t>PV Efficiency</t>
  </si>
  <si>
    <t>Generator Efficiency</t>
  </si>
  <si>
    <t>Diesel Cost</t>
  </si>
  <si>
    <t>Grid Electricity Cost</t>
  </si>
  <si>
    <t>PV Maintenance Coefficient</t>
  </si>
  <si>
    <t>Generator Maintenance Coefficient</t>
  </si>
  <si>
    <t>Energy Requirements</t>
  </si>
  <si>
    <t>Operating Hours</t>
  </si>
  <si>
    <t>days per year</t>
  </si>
  <si>
    <t>1. Plant Capacity</t>
  </si>
  <si>
    <t>%</t>
  </si>
  <si>
    <t>Installed Capacity</t>
  </si>
  <si>
    <t>Biomedical Engineer(s)</t>
  </si>
  <si>
    <t>Plant Operations Supervisor(s)</t>
  </si>
  <si>
    <t>Plant Operator(s)</t>
  </si>
  <si>
    <t>Cylinder Operator(s)</t>
  </si>
  <si>
    <t>Repair and Maintenance</t>
  </si>
  <si>
    <t>Plant Maintenance</t>
  </si>
  <si>
    <t>Solar Maintenance</t>
  </si>
  <si>
    <t>Primary Source</t>
  </si>
  <si>
    <t>Secondary Source</t>
  </si>
  <si>
    <t>Annual Operating Expense (OPEX) Estimate</t>
  </si>
  <si>
    <t>Annual Oxygen Output</t>
  </si>
  <si>
    <t>PSA Plant</t>
  </si>
  <si>
    <t>2. Technical Specifications</t>
  </si>
  <si>
    <t>Booster</t>
  </si>
  <si>
    <t>3. Operating Conditions</t>
  </si>
  <si>
    <t>hours</t>
  </si>
  <si>
    <t>Proportion of Piping Time</t>
  </si>
  <si>
    <t>Booster Power (0 if none)</t>
  </si>
  <si>
    <t>Average Daily Operating Hours</t>
  </si>
  <si>
    <t>Unit Costs (monthly, gross)</t>
  </si>
  <si>
    <t>3. Energy Costs</t>
  </si>
  <si>
    <t>PSA Plant Power</t>
  </si>
  <si>
    <t>Energy Efficiency</t>
  </si>
  <si>
    <t>Energy Mix</t>
  </si>
  <si>
    <t>Annual Operation</t>
  </si>
  <si>
    <t>Suggested Value: $500</t>
  </si>
  <si>
    <t xml:space="preserve">Enter the monthly gross salary for each listed position. Suggested values in column K are LMIC market averages; adjust as needed to reflect site-specific conditions. </t>
  </si>
  <si>
    <t>4. Supporting Infrastructure</t>
  </si>
  <si>
    <t>Solar</t>
  </si>
  <si>
    <t>$/kWp/year</t>
  </si>
  <si>
    <t>Suggested Value: $350</t>
  </si>
  <si>
    <t>Suggested Value: $200</t>
  </si>
  <si>
    <t>cylinders</t>
  </si>
  <si>
    <t xml:space="preserve">                  PSA OPEX Estimator</t>
  </si>
  <si>
    <t>TOOL PURPOSE</t>
  </si>
  <si>
    <t>TOOL OVERVIEW</t>
  </si>
  <si>
    <t>KEY CONSIDERATIONS</t>
  </si>
  <si>
    <t>QUESTIONS</t>
  </si>
  <si>
    <t>Solar Rating (0 if none)</t>
  </si>
  <si>
    <t>DATA ENTRY</t>
  </si>
  <si>
    <t>RESULTS</t>
  </si>
  <si>
    <t>COMPARE</t>
  </si>
  <si>
    <t>Purchasing Cylinders</t>
  </si>
  <si>
    <t>Enter the cost of a cylinder of the specified size in the local market.</t>
  </si>
  <si>
    <t>Cost Per Cylinder</t>
  </si>
  <si>
    <t>Annual Cost to Procure</t>
  </si>
  <si>
    <t>Operating Assumptions</t>
  </si>
  <si>
    <t>Max Cylinders Filled per Hour</t>
  </si>
  <si>
    <t xml:space="preserve">                             An Advocacy and Planning Tool for PSA Plants</t>
  </si>
  <si>
    <t>Enter the number of days per year that the PSA plant is expected to operate. Use a realistic estimate that reflects planned shutdowns, maintenance periods, and any unexpected downtime.</t>
  </si>
  <si>
    <t>Results to the right &gt;&gt;</t>
  </si>
  <si>
    <t>Suggested Value: 0.05 FTEs</t>
  </si>
  <si>
    <t>Enter the installed capacity for the PSA plant. If the plant is a multiplex system, estimate each sub-system separately when the units have different functions or operating schedules. If the multiplex system operates as a single integrated plant and the sub-systems are always run simultaneously, the multiplex may be treated as one system, and the installed capacity entered should reflect the total capacity of all units combined.</t>
  </si>
  <si>
    <t>LIMITATIONS</t>
  </si>
  <si>
    <t>Cylinders</t>
  </si>
  <si>
    <t>INSTRUCTIONS: Read through the Introduction tab for information about the tool.</t>
  </si>
  <si>
    <t>Consider the method by which oxygen leaves the system and is delivered to patients. Enter the proportion of operating time the system directs oxygen to piping and the proportion of operating time used to fill cylinders. In most LMIC contexts, these two proportions should sum to 100%.</t>
  </si>
  <si>
    <t>Proportion of Cylinder-Filling Time</t>
  </si>
  <si>
    <t>Enter the total rated power for the PSA plant. This should reflect the sum of all core system components (e.g., air compressor, dryer, oxygen generator, and other integrated equipment), though a booster (if present) should be listed separately.</t>
  </si>
  <si>
    <t>Enter the average number of hours the PSA plant operates per day. Use a representative value that reflects typical operating conditions over time (e.g., accounting for downtime, maintenance, or variability in demand) rather than a maximum or theoretical value.</t>
  </si>
  <si>
    <t>Consider whether the PSA plant is supported by solar power.  If yes, enter the installed capacity of the solar PV system in kilowatt-peak (kWp). For sites with a large shared solar installation, estimate and enter only the portion of total capacity allocated to the PSA plant. The suggested value assumes approximately four peak sun hours per day (i.e., periods of maximum solar generation). Adjust the entered capacity as needed if local solar conditions differ materially from this assumption.</t>
  </si>
  <si>
    <t>Plant/Cylinder Operator</t>
  </si>
  <si>
    <t>2. Repair and Maintenance</t>
  </si>
  <si>
    <t>Enter the cost of grid electricity and diesel in dollars per unit. Country-level average prices can be referenced at www.globalpetrolprices.com; adjust as needed to reflect site-specific rates or contractual agreements.</t>
  </si>
  <si>
    <t>Specify the primary and secondary energy sources used to operate the PSA plant. Enter the corresponding code for each source (1 = grid electricity, 2 = diesel, 3 = solar). Provide the proportion of total energy supplied by the primary source (expressed as a share of the total—e.g., a percentage). The proportion for the secondary source will be automatically calculated as the remainder.</t>
  </si>
  <si>
    <t>% of Energy Needs Met by Primary</t>
  </si>
  <si>
    <t>% of Energy Needs Met by Secondary</t>
  </si>
  <si>
    <t>Or, in Terms of Cylinders of Specified Size</t>
  </si>
  <si>
    <t>Annual OPEX</t>
  </si>
  <si>
    <t>REFERENCES</t>
  </si>
  <si>
    <r>
      <t xml:space="preserve">Enter the number of full-time equivalent (FTE) staff required for each listed position. One FTE represents one individual working a full-time schedule. Use the suggested values provided in column K as a starting point, which are based on the given </t>
    </r>
    <r>
      <rPr>
        <b/>
        <sz val="11"/>
        <color rgb="FF1EAF5F"/>
        <rFont val="Arial"/>
        <family val="2"/>
      </rPr>
      <t>Configuration</t>
    </r>
    <r>
      <rPr>
        <i/>
        <sz val="11"/>
        <color theme="1"/>
        <rFont val="Arial"/>
        <family val="2"/>
      </rPr>
      <t xml:space="preserve">, and adjust as needed to reflect site-specific staffing requirements. </t>
    </r>
  </si>
  <si>
    <r>
      <t>Nm</t>
    </r>
    <r>
      <rPr>
        <vertAlign val="superscript"/>
        <sz val="11"/>
        <color theme="1"/>
        <rFont val="Arial"/>
        <family val="2"/>
      </rPr>
      <t>3</t>
    </r>
    <r>
      <rPr>
        <sz val="11"/>
        <color theme="1"/>
        <rFont val="Arial"/>
        <family val="2"/>
      </rPr>
      <t>/h</t>
    </r>
  </si>
  <si>
    <r>
      <t>m</t>
    </r>
    <r>
      <rPr>
        <vertAlign val="superscript"/>
        <sz val="11"/>
        <color theme="1"/>
        <rFont val="Arial"/>
        <family val="2"/>
      </rPr>
      <t>3</t>
    </r>
  </si>
  <si>
    <r>
      <t>Enter the oxygen volume of the cylinders filled by the PSA plant, expressed in Nm³. As a guide, common cylinder sizes are approximately 0.34 Nm³ (Type D), 0.68 Nm³ (Type E), 1.36 Nm³ (Type F), 3.4 Nm³ (Type G), and 6.8 Nm³ (Type J) based on 2020 guidance by the World Health Organization.</t>
    </r>
    <r>
      <rPr>
        <i/>
        <vertAlign val="superscript"/>
        <sz val="11"/>
        <color theme="1"/>
        <rFont val="Arial"/>
        <family val="2"/>
      </rPr>
      <t>1</t>
    </r>
    <r>
      <rPr>
        <i/>
        <sz val="11"/>
        <color theme="1"/>
        <rFont val="Arial"/>
        <family val="2"/>
      </rPr>
      <t xml:space="preserve"> Next, enter the maximum cylinder filling rate, defined as the number of cylinders of this size that can be filled per hour when the PSA plant's full output is dedicated to cylinder filling.</t>
    </r>
  </si>
  <si>
    <r>
      <t xml:space="preserve">Enter the annual cost for spare parts and maintenance labor for the PSA plant and associated filling station (if applicable). Maintenance labor should include both preventive and corrective maintenance activities. Suggested values provided in column K are averages based on the installed capacity specified under </t>
    </r>
    <r>
      <rPr>
        <b/>
        <sz val="11"/>
        <color rgb="FF1EAF5F"/>
        <rFont val="Arial"/>
        <family val="2"/>
      </rPr>
      <t>Configuration</t>
    </r>
    <r>
      <rPr>
        <i/>
        <sz val="11"/>
        <color theme="1"/>
        <rFont val="Arial"/>
        <family val="2"/>
      </rPr>
      <t>. Costs may vary significantly by plant size, manufacturer, and operating conditions. Users are encouraged to validate these estimates with suppliers or maintenance providers whenever possible.
Suppliers often suggest budgeting approximately 10% of the PSA plant capital cost annually for spare parts, preventive maintenance, and corrective maintenance combined.</t>
    </r>
  </si>
  <si>
    <r>
      <t>Nm</t>
    </r>
    <r>
      <rPr>
        <vertAlign val="superscript"/>
        <sz val="11"/>
        <color theme="1"/>
        <rFont val="Arial"/>
        <family val="2"/>
      </rPr>
      <t>3</t>
    </r>
  </si>
  <si>
    <r>
      <t xml:space="preserve">World Health Organization. </t>
    </r>
    <r>
      <rPr>
        <i/>
        <sz val="11"/>
        <color theme="1"/>
        <rFont val="Arial"/>
        <family val="2"/>
      </rPr>
      <t>Priority Medical Devices List for the COVID-19 Response and Associated Technical psecifications.</t>
    </r>
    <r>
      <rPr>
        <sz val="11"/>
        <color theme="1"/>
        <rFont val="Arial"/>
        <family val="2"/>
      </rPr>
      <t xml:space="preserve"> World Health Organization; 2020. https://www.who.int/publications/i/item/WHO-2019-nCoV-MedDev-TS-O2T.V2</t>
    </r>
  </si>
  <si>
    <r>
      <t xml:space="preserve">International Finance Corporation. </t>
    </r>
    <r>
      <rPr>
        <i/>
        <sz val="11"/>
        <color theme="1"/>
        <rFont val="Arial"/>
        <family val="2"/>
      </rPr>
      <t xml:space="preserve">The Dirty Footprint of the Broken Grid. </t>
    </r>
    <r>
      <rPr>
        <sz val="11"/>
        <color theme="1"/>
        <rFont val="Arial"/>
        <family val="2"/>
      </rPr>
      <t>International Finance Corporation; 2019. https://www.ifc.org/content/dam/ifc/doc/mgrt/20190919-full-report-the-dirty-footprint-of-the-broken-grid.pdf</t>
    </r>
  </si>
  <si>
    <r>
      <t xml:space="preserve">Feldman D, Ramasamy V, Fu R, Ramdas A, Desai J, Margolis R. </t>
    </r>
    <r>
      <rPr>
        <i/>
        <sz val="11"/>
        <color theme="1"/>
        <rFont val="Arial"/>
        <family val="2"/>
      </rPr>
      <t xml:space="preserve">U.S. Solar Photovoltaic System and Energy Storage Cost Benchmark: Q1 2020. </t>
    </r>
    <r>
      <rPr>
        <sz val="11"/>
        <color theme="1"/>
        <rFont val="Arial"/>
        <family val="2"/>
      </rPr>
      <t>National Renewable Energy Laboratory; 2021. https://docs.nlr.gov/docs/fy21osti/77324.pdf</t>
    </r>
  </si>
  <si>
    <r>
      <t>Enter the generator maintenance cost coefficient in dollars per kWh ($/kWh). This value represents the maintenance cost per unit of electricity generated and will be applied proportionally based on system operation. A value of $0.40/kWh is recommended based on a 2019 study conducted by the International Finance Corporation.</t>
    </r>
    <r>
      <rPr>
        <i/>
        <vertAlign val="superscript"/>
        <sz val="11"/>
        <color theme="1"/>
        <rFont val="Arial"/>
        <family val="2"/>
      </rPr>
      <t>2</t>
    </r>
  </si>
  <si>
    <r>
      <t xml:space="preserve">Xie H, Ringler C, Mondal A. Solar or diesel: a comparion of costs for groundwater-fed irrigation in Sub-Saharan Africa under two energy solutions. </t>
    </r>
    <r>
      <rPr>
        <i/>
        <sz val="11"/>
        <color theme="1"/>
        <rFont val="Arial"/>
        <family val="2"/>
      </rPr>
      <t xml:space="preserve">Earth's Future. </t>
    </r>
    <r>
      <rPr>
        <sz val="11"/>
        <color theme="1"/>
        <rFont val="Arial"/>
        <family val="2"/>
      </rPr>
      <t>2021;9(4). https://doi.org/10.1029/2020EF001611</t>
    </r>
  </si>
  <si>
    <r>
      <t xml:space="preserve">Center for Sustainable Systems, University of Michigan. </t>
    </r>
    <r>
      <rPr>
        <i/>
        <sz val="11"/>
        <color theme="1"/>
        <rFont val="Arial"/>
        <family val="2"/>
      </rPr>
      <t xml:space="preserve">Photovoltaic Enegy Factsheet. </t>
    </r>
    <r>
      <rPr>
        <sz val="11"/>
        <color theme="1"/>
        <rFont val="Arial"/>
        <family val="2"/>
      </rPr>
      <t>Center for Sustainable Systems, University of Michigan; 2026. https://css.umich.edu/sites/default/files/2026-08/CSS07-08_0.pdf</t>
    </r>
  </si>
  <si>
    <r>
      <t xml:space="preserve">Enter the PV maintenance coefficient in dollars per kWp per year ($/kWp/year). The value represents the maintenance cost per unit of installed solar capacity and will be scaled based on the system size specified under </t>
    </r>
    <r>
      <rPr>
        <b/>
        <sz val="11"/>
        <color rgb="FF1EAF5F"/>
        <rFont val="Arial"/>
        <family val="2"/>
      </rPr>
      <t>Configuration</t>
    </r>
    <r>
      <rPr>
        <i/>
        <sz val="11"/>
        <color theme="1"/>
        <rFont val="Arial"/>
        <family val="2"/>
      </rPr>
      <t>. A value of $20/kWp/year is recommended based on a 2021 study by the National Renewable Energy Laboratory.</t>
    </r>
    <r>
      <rPr>
        <i/>
        <vertAlign val="superscript"/>
        <sz val="11"/>
        <color theme="1"/>
        <rFont val="Arial"/>
        <family val="2"/>
      </rPr>
      <t>3</t>
    </r>
  </si>
  <si>
    <r>
      <t>Enter the generator efficiency in liters per kWh (L/kWh) and the PV system efficiency as a percentage (%). These values represent the fuel consumption per unit of electricity generated (generator) and the conversion efficiency of solar panels (PV), respectively. A value of 0.40 L/kWh is recommended for generators based on a 2021 study by Xie, Ringler, and Mondal.</t>
    </r>
    <r>
      <rPr>
        <i/>
        <vertAlign val="superscript"/>
        <sz val="11"/>
        <color theme="1"/>
        <rFont val="Arial"/>
        <family val="2"/>
      </rPr>
      <t>4</t>
    </r>
    <r>
      <rPr>
        <i/>
        <sz val="11"/>
        <color theme="1"/>
        <rFont val="Arial"/>
        <family val="2"/>
      </rPr>
      <t xml:space="preserve"> A value of 20% is recommended for PV systems based on a 2026 University of Michigan solar factsheet.</t>
    </r>
    <r>
      <rPr>
        <i/>
        <vertAlign val="superscript"/>
        <sz val="11"/>
        <color theme="1"/>
        <rFont val="Arial"/>
        <family val="2"/>
      </rPr>
      <t>5</t>
    </r>
    <r>
      <rPr>
        <i/>
        <sz val="11"/>
        <color theme="1"/>
        <rFont val="Arial"/>
        <family val="2"/>
      </rPr>
      <t xml:space="preserve"> Adjust as needed to reflect site-specific equipment performance and operating conditions.</t>
    </r>
  </si>
  <si>
    <r>
      <t xml:space="preserve">Users enter information about the PSA plant being assessed in the </t>
    </r>
    <r>
      <rPr>
        <b/>
        <sz val="11"/>
        <color rgb="FF1EAF5F"/>
        <rFont val="Arial"/>
        <family val="2"/>
      </rPr>
      <t>OPEX Estimator</t>
    </r>
    <r>
      <rPr>
        <sz val="11"/>
        <color theme="1"/>
        <rFont val="Arial"/>
        <family val="2"/>
      </rPr>
      <t xml:space="preserve"> tab. All fields requiring user input are highlighted in green and include instructions to guide data entry. Gray-shaded fields are also editable; however, these fields are prepopulated with standard values that are generally appropriate for most assessments and are unlikely to require modification.
The worksheet is organized into two main sections: </t>
    </r>
    <r>
      <rPr>
        <b/>
        <sz val="11"/>
        <color theme="1"/>
        <rFont val="Arial"/>
        <family val="2"/>
      </rPr>
      <t>Data Entry</t>
    </r>
    <r>
      <rPr>
        <sz val="11"/>
        <color theme="1"/>
        <rFont val="Arial"/>
        <family val="2"/>
      </rPr>
      <t xml:space="preserve"> and </t>
    </r>
    <r>
      <rPr>
        <b/>
        <sz val="11"/>
        <color theme="1"/>
        <rFont val="Arial"/>
        <family val="2"/>
      </rPr>
      <t>Results</t>
    </r>
    <r>
      <rPr>
        <sz val="11"/>
        <color theme="1"/>
        <rFont val="Arial"/>
        <family val="2"/>
      </rPr>
      <t>.
The</t>
    </r>
    <r>
      <rPr>
        <b/>
        <sz val="11"/>
        <color theme="1"/>
        <rFont val="Arial"/>
        <family val="2"/>
      </rPr>
      <t xml:space="preserve"> Data Entry </t>
    </r>
    <r>
      <rPr>
        <sz val="11"/>
        <color theme="1"/>
        <rFont val="Arial"/>
        <family val="2"/>
      </rPr>
      <t xml:space="preserve">section is divided into two parts. The first, Configuration, captures basic information about the PSA plant, including its size, technical specifications, and utilization. The second, Operating Assumptions, captures key operational details such as staffing, maintenance practices, and energy costs. Users should complete the Plant Configuration section first, as many of the suggested values and recommendations in the Operating Assumptions section depend on these inputs.
Users are encouraged to review all entered values against the suggested values provided by the tool and to verify all inputs before interpreting the results.
The </t>
    </r>
    <r>
      <rPr>
        <b/>
        <sz val="11"/>
        <color theme="1"/>
        <rFont val="Arial"/>
        <family val="2"/>
      </rPr>
      <t>Results</t>
    </r>
    <r>
      <rPr>
        <sz val="11"/>
        <color theme="1"/>
        <rFont val="Arial"/>
        <family val="2"/>
      </rPr>
      <t xml:space="preserve"> section presents estimated annual operating costs by major cost category, including staffing, repair and maintenance, and energy. It also reports the plant's estimated annual oxygen output in both normal cubic meters (Nm³) and oxygen cylinders of the size specified in the Plant Configuration section.
The Results section also includes a cylinder procurement comparison. Users may enter the local market cost of procuring a cylinder of equivalent size, and the tool will estimate the annual cost of purchasing the same number of cylinders as the PSA plant is expected to produce over a year. This comparison is intended to illustrate the scale of oxygen production and support advocacy discussions regarding oxygen supply investments.</t>
    </r>
  </si>
  <si>
    <r>
      <rPr>
        <b/>
        <sz val="11"/>
        <color theme="1"/>
        <rFont val="Arial"/>
        <family val="2"/>
      </rPr>
      <t>Assess multiplex systems individually.</t>
    </r>
    <r>
      <rPr>
        <sz val="11"/>
        <color theme="1"/>
        <rFont val="Arial"/>
        <family val="2"/>
      </rPr>
      <t xml:space="preserve"> If the facility operates a multiplex PSA configuration with multiple PSA units, estimate each system separately. Operating costs, utilization, and maintenance requirements may differ across units, and assessing them individually will generally produce more accurate results.
</t>
    </r>
    <r>
      <rPr>
        <b/>
        <sz val="11"/>
        <color theme="1"/>
        <rFont val="Arial"/>
        <family val="2"/>
      </rPr>
      <t>Consider local operating conditions carefully</t>
    </r>
    <r>
      <rPr>
        <sz val="11"/>
        <color theme="1"/>
        <rFont val="Arial"/>
        <family val="2"/>
      </rPr>
      <t xml:space="preserve">. Operating costs can vary substantially by country, region, and facility. Users should pay particular attention to assumptions related to labor, maintenance, and energy costs, and adjust default values where reliable local information is available.
</t>
    </r>
    <r>
      <rPr>
        <b/>
        <sz val="11"/>
        <color theme="1"/>
        <rFont val="Arial"/>
        <family val="2"/>
      </rPr>
      <t xml:space="preserve">Interpret estimates cautiously at extreme utilization levels. </t>
    </r>
    <r>
      <rPr>
        <sz val="11"/>
        <color theme="1"/>
        <rFont val="Arial"/>
        <family val="2"/>
      </rPr>
      <t xml:space="preserve">Estimates for plants operating at very low utilization (e.g., 1–2 hours per day) or very high utilization (e.g., more than 20 hours per day) may not fully capture long-term operational effects. These may include accelerated equipment wear, increased maintenance requirements, shortened component lifespans, or deterioration associated with extended idle periods.
</t>
    </r>
    <r>
      <rPr>
        <b/>
        <sz val="11"/>
        <color theme="1"/>
        <rFont val="Arial"/>
        <family val="2"/>
      </rPr>
      <t xml:space="preserve">Results are sensitive to input assumptions. </t>
    </r>
    <r>
      <rPr>
        <sz val="11"/>
        <color theme="1"/>
        <rFont val="Arial"/>
        <family val="2"/>
      </rPr>
      <t xml:space="preserve">Small changes in key assumptions, particularly staffing levels, electricity costs, utilization rates, and maintenance expenditures, can have a meaningful impact on estimated annual operating costs. Users should review all inputs carefully before interpreting results.
</t>
    </r>
    <r>
      <rPr>
        <b/>
        <sz val="11"/>
        <color theme="1"/>
        <rFont val="Arial"/>
        <family val="2"/>
      </rPr>
      <t xml:space="preserve">Use local technical knowledge whenever available. </t>
    </r>
    <r>
      <rPr>
        <sz val="11"/>
        <color theme="1"/>
        <rFont val="Arial"/>
        <family val="2"/>
      </rPr>
      <t>Where plant-specific information is known, it should be used in place of suggested values. Suggested values are intended as reasonable defaults when local data are unavailable, not as universally applicable standards.</t>
    </r>
  </si>
  <si>
    <r>
      <t xml:space="preserve">The cost estimates presented in this tool are intended to capture the major operating and maintenance costs associated with PSA oxygen production and cylinder filling but may not represent all expenditures incurred by a facility. Depending on the site context, additional costs may include:
</t>
    </r>
    <r>
      <rPr>
        <b/>
        <sz val="11"/>
        <color theme="1"/>
        <rFont val="Arial"/>
        <family val="2"/>
      </rPr>
      <t>Tools, Supplies, and Personnel Safety:</t>
    </r>
    <r>
      <rPr>
        <sz val="11"/>
        <color theme="1"/>
        <rFont val="Arial"/>
        <family val="2"/>
      </rPr>
      <t xml:space="preserve"> Replacement tools and equipment; cleaning supplies (including mops, paper towels, and spray detergent); and personal protective equipment (PPE), including goggles, ear plugs, electrical gloves, and work clothes.
</t>
    </r>
    <r>
      <rPr>
        <b/>
        <sz val="11"/>
        <color theme="1"/>
        <rFont val="Arial"/>
        <family val="2"/>
      </rPr>
      <t xml:space="preserve">Oxygen System and Fire Safety Maintenance: </t>
    </r>
    <r>
      <rPr>
        <sz val="11"/>
        <color theme="1"/>
        <rFont val="Arial"/>
        <family val="2"/>
      </rPr>
      <t xml:space="preserve">Maintenance of fire prevention systems, including fire extinguishers; cylinder accessories, including cylinder caps, pigtails, and adapters; maintenance of oxygen distribution pipelines and associated accessories.
</t>
    </r>
    <r>
      <rPr>
        <b/>
        <sz val="11"/>
        <color theme="1"/>
        <rFont val="Arial"/>
        <family val="2"/>
      </rPr>
      <t>Facility and Site Maintenance:</t>
    </r>
    <r>
      <rPr>
        <sz val="11"/>
        <color theme="1"/>
        <rFont val="Arial"/>
        <family val="2"/>
      </rPr>
      <t xml:space="preserve"> Facility and plant house maintenance, including air conditioning maintenance; maintenance of security and safety measures, including fences, alarms, and cameras.
</t>
    </r>
    <r>
      <rPr>
        <b/>
        <sz val="11"/>
        <color theme="1"/>
        <rFont val="Arial"/>
        <family val="2"/>
      </rPr>
      <t>Cylinder Transportation Operations:</t>
    </r>
    <r>
      <rPr>
        <sz val="11"/>
        <color theme="1"/>
        <rFont val="Arial"/>
        <family val="2"/>
      </rPr>
      <t xml:space="preserve"> Operating costs associated with cylinder transportation and distribution, including fuel, vehicle parts, inspections, and related expenses.
Users should review these and other site-specific cost categories to determine whether additional expenditures should be incorporated into the total operating cost estimate.</t>
    </r>
  </si>
  <si>
    <r>
      <t xml:space="preserve">For questions regarding field definitions, data requirements, or any other aspect of the PSA OPEX Estimator, please contact </t>
    </r>
    <r>
      <rPr>
        <b/>
        <sz val="11"/>
        <color theme="1"/>
        <rFont val="Arial"/>
        <family val="2"/>
      </rPr>
      <t>Dr. Alex Rothkopf</t>
    </r>
    <r>
      <rPr>
        <sz val="11"/>
        <color theme="1"/>
        <rFont val="Arial"/>
        <family val="2"/>
      </rPr>
      <t xml:space="preserve">, Data Science and Supply Chain Advisor, PATH (arothkopf@path.org) or </t>
    </r>
    <r>
      <rPr>
        <b/>
        <sz val="11"/>
        <color theme="1"/>
        <rFont val="Arial"/>
        <family val="2"/>
      </rPr>
      <t>Madison Bradley</t>
    </r>
    <r>
      <rPr>
        <sz val="11"/>
        <color theme="1"/>
        <rFont val="Arial"/>
        <family val="2"/>
      </rPr>
      <t>, Data Science Senior Associate, PATH (mbradley@path.org).</t>
    </r>
  </si>
  <si>
    <t>This tool is designed to help global health stakeholders, procurers, and advocates estimate the annual operating expenditures (OPEX) of pressure swing adsorption (PSA) oxygen plants in low- and middle-income countries (LMICs). It is intended to support advocacy, planning, and comparative analysis related to oxygen system investments.
The tool generates approximate operating cost estimates based on key PSA plant specifications and operating assumptions. Users should complete all input fields to the best of their ability using information available for the plant being assessed. Suggested values are provided for selected inputs to support users when site-specific information is unavailable.
The estimates produced by this tool are intended to provide a standardized, evidence-informed basis for discussion and comparison across settings. The tool is not intended to serve as a detailed budgeting, procurement, or financial planning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</si>
</sst>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409]#,##0"/>
    <numFmt numFmtId="165" formatCode="_-[$$-409]* #,##0_ ;_-[$$-409]* \-#,##0\ ;_-[$$-409]* &quot;-&quot;??_ ;_-@_ "/>
    <numFmt numFmtId="166" formatCode="_(&quot;$&quot;* #,##0_);_(&quot;$&quot;* \(#,##0\);_(&quot;$&quot;* &quot;-&quot;??_);_(@_)"/>
    <numFmt numFmtId="167" formatCode="_(&quot;$&quot;* #,##0.000_);_(&quot;$&quot;* \(#,##0.000\);_(&quot;$&quot;* &quot;-&quot;??_);_(@_)"/>
    <numFmt numFmtId="168" formatCode="_(* #,##0_);_(* \(#,##0\);_(* &quot;-&quot;??_);_(@_)"/>
  </numFmts>
  <fonts count="38" x14ac:knownFonts="1">
    <font>
      <sz val="11"/>
      <color theme="1"/>
      <name val="Calibri"/>
      <family val="2"/>
      <scheme val="minor"/>
    </font>
    <font>
      <sz val="11"/>
      <color theme="1"/>
      <name val="Calibri"/>
      <family val="2"/>
      <scheme val="minor"/>
    </font>
    <font>
      <sz val="10"/>
      <name val="Arial"/>
      <family val="2"/>
    </font>
    <font>
      <b/>
      <sz val="11"/>
      <color rgb="FFFF0000"/>
      <name val="Arial"/>
      <family val="2"/>
    </font>
    <font>
      <b/>
      <sz val="11"/>
      <color theme="4"/>
      <name val="Arial"/>
      <family val="2"/>
    </font>
    <font>
      <sz val="11"/>
      <color theme="1"/>
      <name val="Arial"/>
      <family val="2"/>
    </font>
    <font>
      <b/>
      <sz val="14"/>
      <color theme="1"/>
      <name val="Arial"/>
      <family val="2"/>
    </font>
    <font>
      <b/>
      <sz val="10"/>
      <color theme="1"/>
      <name val="Arial"/>
      <family val="2"/>
    </font>
    <font>
      <b/>
      <sz val="12"/>
      <name val="Arial"/>
      <family val="2"/>
    </font>
    <font>
      <b/>
      <vertAlign val="superscript"/>
      <sz val="12"/>
      <color theme="4"/>
      <name val="Arial"/>
      <family val="2"/>
    </font>
    <font>
      <b/>
      <vertAlign val="superscript"/>
      <sz val="11"/>
      <color theme="5"/>
      <name val="Arial"/>
      <family val="2"/>
    </font>
    <font>
      <b/>
      <vertAlign val="superscript"/>
      <sz val="11"/>
      <color theme="4"/>
      <name val="Arial"/>
      <family val="2"/>
    </font>
    <font>
      <b/>
      <sz val="12"/>
      <color rgb="FF1EAF5F"/>
      <name val="Arial"/>
      <family val="2"/>
    </font>
    <font>
      <b/>
      <sz val="11"/>
      <color rgb="FF1EAF5F"/>
      <name val="Arial"/>
      <family val="2"/>
    </font>
    <font>
      <b/>
      <sz val="36"/>
      <color theme="0"/>
      <name val="Arial"/>
      <family val="2"/>
    </font>
    <font>
      <sz val="22"/>
      <color theme="0"/>
      <name val="Arial"/>
      <family val="2"/>
    </font>
    <font>
      <sz val="10"/>
      <color theme="1"/>
      <name val="Arial"/>
      <family val="2"/>
    </font>
    <font>
      <vertAlign val="superscript"/>
      <sz val="10"/>
      <color theme="1"/>
      <name val="Arial"/>
      <family val="2"/>
    </font>
    <font>
      <vertAlign val="superscript"/>
      <sz val="11"/>
      <color theme="1"/>
      <name val="Arial"/>
      <family val="2"/>
    </font>
    <font>
      <b/>
      <sz val="16"/>
      <color rgb="FF1EAF5F"/>
      <name val="Arial"/>
      <family val="2"/>
    </font>
    <font>
      <sz val="11"/>
      <color rgb="FF1EAF5F"/>
      <name val="Arial"/>
      <family val="2"/>
    </font>
    <font>
      <sz val="10"/>
      <color rgb="FF1EAF5F"/>
      <name val="Arial"/>
      <family val="2"/>
    </font>
    <font>
      <vertAlign val="superscript"/>
      <sz val="10"/>
      <color rgb="FF1EAF5F"/>
      <name val="Arial"/>
      <family val="2"/>
    </font>
    <font>
      <vertAlign val="superscript"/>
      <sz val="11"/>
      <color rgb="FF1EAF5F"/>
      <name val="Arial"/>
      <family val="2"/>
    </font>
    <font>
      <sz val="14"/>
      <color theme="1"/>
      <name val="Arial"/>
      <family val="2"/>
    </font>
    <font>
      <vertAlign val="superscript"/>
      <sz val="11"/>
      <color theme="4"/>
      <name val="Arial"/>
      <family val="2"/>
    </font>
    <font>
      <b/>
      <sz val="11"/>
      <color theme="1"/>
      <name val="Arial"/>
      <family val="2"/>
    </font>
    <font>
      <i/>
      <sz val="11"/>
      <color theme="1"/>
      <name val="Arial"/>
      <family val="2"/>
    </font>
    <font>
      <vertAlign val="superscript"/>
      <sz val="11"/>
      <color theme="5"/>
      <name val="Arial"/>
      <family val="2"/>
    </font>
    <font>
      <sz val="11"/>
      <color rgb="FFC00000"/>
      <name val="Arial"/>
      <family val="2"/>
    </font>
    <font>
      <i/>
      <sz val="10"/>
      <name val="Arial"/>
      <family val="2"/>
    </font>
    <font>
      <b/>
      <sz val="11"/>
      <name val="Arial"/>
      <family val="2"/>
    </font>
    <font>
      <b/>
      <sz val="11"/>
      <color rgb="FFC00000"/>
      <name val="Arial"/>
      <family val="2"/>
    </font>
    <font>
      <i/>
      <vertAlign val="superscript"/>
      <sz val="11"/>
      <color theme="1"/>
      <name val="Arial"/>
      <family val="2"/>
    </font>
    <font>
      <sz val="9"/>
      <color theme="1"/>
      <name val="Arial"/>
      <family val="2"/>
    </font>
    <font>
      <i/>
      <sz val="9"/>
      <color theme="1"/>
      <name val="Arial"/>
      <family val="2"/>
    </font>
    <font>
      <vertAlign val="superscript"/>
      <sz val="11"/>
      <name val="Arial"/>
      <family val="2"/>
    </font>
    <font>
      <b/>
      <sz val="16"/>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1EAF5F"/>
        <bgColor indexed="64"/>
      </patternFill>
    </fill>
    <fill>
      <patternFill patternType="solid">
        <fgColor rgb="FFCBF6D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43" fontId="1" fillId="0" borderId="0" applyFont="0" applyFill="0" applyBorder="0" applyAlignment="0" applyProtection="0"/>
  </cellStyleXfs>
  <cellXfs count="134">
    <xf numFmtId="0" fontId="0" fillId="0" borderId="0" xfId="0"/>
    <xf numFmtId="0" fontId="4" fillId="0" borderId="2" xfId="0" applyFont="1" applyBorder="1"/>
    <xf numFmtId="0" fontId="4" fillId="0" borderId="0" xfId="0" applyFont="1"/>
    <xf numFmtId="0" fontId="5" fillId="2" borderId="0" xfId="0" applyFont="1" applyFill="1" applyAlignment="1">
      <alignment horizontal="center" vertical="top"/>
    </xf>
    <xf numFmtId="0" fontId="3" fillId="0" borderId="6" xfId="0" applyFont="1" applyBorder="1" applyAlignment="1">
      <alignment horizontal="right"/>
    </xf>
    <xf numFmtId="0" fontId="7" fillId="0" borderId="0" xfId="0" applyFont="1"/>
    <xf numFmtId="0" fontId="8" fillId="0" borderId="0" xfId="0" applyFont="1" applyAlignment="1" applyProtection="1">
      <alignment horizontal="center" vertical="top"/>
      <protection hidden="1"/>
    </xf>
    <xf numFmtId="0" fontId="9" fillId="0" borderId="0" xfId="0" applyFont="1" applyAlignment="1" applyProtection="1">
      <alignment horizontal="right" vertical="top"/>
      <protection hidden="1"/>
    </xf>
    <xf numFmtId="0" fontId="10" fillId="0" borderId="2" xfId="0" applyFont="1" applyBorder="1" applyAlignment="1">
      <alignment horizontal="right"/>
    </xf>
    <xf numFmtId="0" fontId="11" fillId="0" borderId="0" xfId="0" applyFont="1" applyAlignment="1">
      <alignment horizontal="right"/>
    </xf>
    <xf numFmtId="0" fontId="0" fillId="4" borderId="0" xfId="0" applyFill="1"/>
    <xf numFmtId="0" fontId="0" fillId="4" borderId="0" xfId="0" applyFill="1" applyAlignment="1">
      <alignment wrapText="1"/>
    </xf>
    <xf numFmtId="0" fontId="12" fillId="0" borderId="0" xfId="0" applyFont="1" applyAlignment="1" applyProtection="1">
      <alignment vertical="top"/>
      <protection hidden="1"/>
    </xf>
    <xf numFmtId="0" fontId="0" fillId="5" borderId="0" xfId="0" applyFill="1"/>
    <xf numFmtId="0" fontId="13" fillId="0" borderId="2" xfId="0" applyFont="1" applyBorder="1"/>
    <xf numFmtId="0" fontId="5" fillId="4" borderId="0" xfId="0" applyFont="1" applyFill="1"/>
    <xf numFmtId="0" fontId="14" fillId="4" borderId="0" xfId="0" applyFont="1" applyFill="1"/>
    <xf numFmtId="0" fontId="5" fillId="4" borderId="0" xfId="0" applyFont="1" applyFill="1" applyAlignment="1">
      <alignment wrapText="1"/>
    </xf>
    <xf numFmtId="0" fontId="5" fillId="0" borderId="0" xfId="0" applyFont="1"/>
    <xf numFmtId="0" fontId="15" fillId="4" borderId="0" xfId="0" applyFont="1" applyFill="1" applyAlignment="1">
      <alignment vertical="top"/>
    </xf>
    <xf numFmtId="0" fontId="5" fillId="0" borderId="0" xfId="0" applyFont="1" applyAlignment="1">
      <alignment horizontal="left" vertical="top"/>
    </xf>
    <xf numFmtId="0" fontId="16" fillId="0" borderId="0" xfId="3" applyFont="1" applyAlignment="1">
      <alignment horizontal="left" vertical="top"/>
    </xf>
    <xf numFmtId="0" fontId="16" fillId="0" borderId="0" xfId="3" applyFont="1" applyAlignment="1">
      <alignment horizontal="center" vertical="top"/>
    </xf>
    <xf numFmtId="0" fontId="17" fillId="0" borderId="0" xfId="3" applyFont="1" applyAlignment="1">
      <alignment horizontal="right" vertical="top"/>
    </xf>
    <xf numFmtId="0" fontId="18" fillId="0" borderId="0" xfId="3" applyFont="1" applyAlignment="1">
      <alignment horizontal="right" vertical="top"/>
    </xf>
    <xf numFmtId="0" fontId="19" fillId="5" borderId="0" xfId="0" applyFont="1" applyFill="1" applyAlignment="1">
      <alignment horizontal="left" indent="1"/>
    </xf>
    <xf numFmtId="0" fontId="20" fillId="5" borderId="0" xfId="0" applyFont="1" applyFill="1"/>
    <xf numFmtId="0" fontId="21" fillId="5" borderId="0" xfId="3" applyFont="1" applyFill="1" applyAlignment="1">
      <alignment horizontal="center" vertical="top"/>
    </xf>
    <xf numFmtId="0" fontId="22" fillId="5" borderId="0" xfId="3" applyFont="1" applyFill="1" applyAlignment="1">
      <alignment horizontal="right" vertical="top"/>
    </xf>
    <xf numFmtId="0" fontId="20" fillId="5" borderId="0" xfId="0" applyFont="1" applyFill="1" applyAlignment="1">
      <alignment horizontal="left" vertical="top"/>
    </xf>
    <xf numFmtId="0" fontId="23" fillId="5" borderId="0" xfId="3" applyFont="1" applyFill="1" applyAlignment="1">
      <alignment horizontal="right" vertical="top"/>
    </xf>
    <xf numFmtId="0" fontId="13" fillId="5" borderId="0" xfId="0" applyFont="1" applyFill="1" applyAlignment="1">
      <alignment horizontal="right"/>
    </xf>
    <xf numFmtId="0" fontId="5" fillId="5" borderId="0" xfId="0" applyFont="1" applyFill="1"/>
    <xf numFmtId="0" fontId="24" fillId="0" borderId="0" xfId="0" applyFont="1" applyAlignment="1">
      <alignment horizontal="left" vertical="top"/>
    </xf>
    <xf numFmtId="0" fontId="24" fillId="0" borderId="0" xfId="0" applyFont="1"/>
    <xf numFmtId="0" fontId="16" fillId="0" borderId="3" xfId="3" applyFont="1" applyBorder="1" applyAlignment="1">
      <alignment horizontal="left" vertical="top"/>
    </xf>
    <xf numFmtId="0" fontId="18" fillId="0" borderId="0" xfId="0" applyFont="1" applyAlignment="1">
      <alignment horizontal="right"/>
    </xf>
    <xf numFmtId="0" fontId="7" fillId="0" borderId="0" xfId="3" applyFont="1" applyAlignment="1">
      <alignment horizontal="center" vertical="top"/>
    </xf>
    <xf numFmtId="0" fontId="7" fillId="0" borderId="5" xfId="3" applyFont="1" applyBorder="1" applyAlignment="1">
      <alignment horizontal="center" vertical="top"/>
    </xf>
    <xf numFmtId="0" fontId="7" fillId="5" borderId="3" xfId="3" applyFont="1" applyFill="1" applyBorder="1" applyAlignment="1">
      <alignment horizontal="center" vertical="top"/>
    </xf>
    <xf numFmtId="0" fontId="7" fillId="5" borderId="4" xfId="3" applyFont="1" applyFill="1" applyBorder="1" applyAlignment="1">
      <alignment horizontal="center" vertical="top"/>
    </xf>
    <xf numFmtId="0" fontId="7" fillId="5" borderId="5" xfId="3" applyFont="1" applyFill="1" applyBorder="1" applyAlignment="1">
      <alignment horizontal="center" vertical="top"/>
    </xf>
    <xf numFmtId="0" fontId="5" fillId="0" borderId="6" xfId="0" applyFont="1" applyBorder="1" applyAlignment="1">
      <alignment horizontal="left" vertical="top"/>
    </xf>
    <xf numFmtId="0" fontId="5" fillId="0" borderId="0" xfId="0" applyFont="1" applyAlignment="1">
      <alignment horizontal="center" vertical="top"/>
    </xf>
    <xf numFmtId="0" fontId="25" fillId="0" borderId="0" xfId="0" applyFont="1" applyAlignment="1" applyProtection="1">
      <alignment horizontal="right" vertical="top"/>
      <protection hidden="1"/>
    </xf>
    <xf numFmtId="0" fontId="5" fillId="0" borderId="7" xfId="0" applyFont="1" applyBorder="1" applyAlignment="1">
      <alignment horizontal="left" vertical="top"/>
    </xf>
    <xf numFmtId="0" fontId="5" fillId="5" borderId="6" xfId="0" applyFont="1" applyFill="1" applyBorder="1"/>
    <xf numFmtId="0" fontId="26" fillId="5" borderId="2" xfId="0" applyFont="1" applyFill="1" applyBorder="1"/>
    <xf numFmtId="0" fontId="26" fillId="5" borderId="2" xfId="0" applyFont="1" applyFill="1" applyBorder="1" applyAlignment="1">
      <alignment horizontal="right"/>
    </xf>
    <xf numFmtId="0" fontId="26" fillId="5" borderId="2" xfId="0" applyFont="1" applyFill="1" applyBorder="1" applyAlignment="1">
      <alignment horizontal="left" indent="1"/>
    </xf>
    <xf numFmtId="0" fontId="26" fillId="5" borderId="7" xfId="0" applyFont="1" applyFill="1" applyBorder="1"/>
    <xf numFmtId="0" fontId="18" fillId="0" borderId="0" xfId="0" applyFont="1" applyAlignment="1">
      <alignment horizontal="right" vertical="top"/>
    </xf>
    <xf numFmtId="0" fontId="5" fillId="5" borderId="7" xfId="0" applyFont="1" applyFill="1" applyBorder="1"/>
    <xf numFmtId="0" fontId="5" fillId="0" borderId="2" xfId="0" applyFont="1" applyBorder="1" applyAlignment="1">
      <alignment horizontal="center" vertical="top"/>
    </xf>
    <xf numFmtId="0" fontId="27" fillId="0" borderId="2" xfId="0" applyFont="1" applyBorder="1" applyAlignment="1">
      <alignment horizontal="left" vertical="top"/>
    </xf>
    <xf numFmtId="0" fontId="27" fillId="0" borderId="0" xfId="0" applyFont="1" applyAlignment="1">
      <alignment horizontal="left" vertical="top"/>
    </xf>
    <xf numFmtId="0" fontId="28" fillId="0" borderId="2" xfId="0" applyFont="1" applyBorder="1" applyAlignment="1">
      <alignment horizontal="right"/>
    </xf>
    <xf numFmtId="0" fontId="5" fillId="0" borderId="2" xfId="0" applyFont="1" applyBorder="1" applyAlignment="1">
      <alignment horizontal="left" vertical="top"/>
    </xf>
    <xf numFmtId="0" fontId="26" fillId="5" borderId="0" xfId="0" applyFont="1" applyFill="1"/>
    <xf numFmtId="166" fontId="26" fillId="5" borderId="0" xfId="1" applyNumberFormat="1" applyFont="1" applyFill="1" applyBorder="1"/>
    <xf numFmtId="0" fontId="25" fillId="0" borderId="0" xfId="0" applyFont="1" applyAlignment="1">
      <alignment horizontal="right"/>
    </xf>
    <xf numFmtId="0" fontId="5" fillId="0" borderId="7" xfId="0" applyFont="1" applyBorder="1"/>
    <xf numFmtId="0" fontId="5" fillId="5" borderId="0" xfId="0" applyFont="1" applyFill="1" applyAlignment="1">
      <alignment horizontal="right"/>
    </xf>
    <xf numFmtId="166" fontId="5" fillId="5" borderId="0" xfId="1" applyNumberFormat="1" applyFont="1" applyFill="1" applyBorder="1"/>
    <xf numFmtId="0" fontId="5" fillId="2" borderId="0" xfId="0" applyFont="1" applyFill="1"/>
    <xf numFmtId="0" fontId="26" fillId="0" borderId="0" xfId="0" applyFont="1" applyAlignment="1" applyProtection="1">
      <alignment horizontal="center" vertical="top"/>
      <protection hidden="1"/>
    </xf>
    <xf numFmtId="0" fontId="27" fillId="0" borderId="0" xfId="0" applyFont="1" applyAlignment="1">
      <alignment horizontal="left" vertical="top" wrapText="1"/>
    </xf>
    <xf numFmtId="0" fontId="5" fillId="0" borderId="0" xfId="0" applyFont="1" applyAlignment="1">
      <alignment horizontal="center"/>
    </xf>
    <xf numFmtId="164" fontId="29" fillId="0" borderId="0" xfId="0" applyNumberFormat="1" applyFont="1" applyAlignment="1" applyProtection="1">
      <alignment horizontal="left" vertical="top"/>
      <protection hidden="1"/>
    </xf>
    <xf numFmtId="166" fontId="26" fillId="5" borderId="0" xfId="0" applyNumberFormat="1" applyFont="1" applyFill="1"/>
    <xf numFmtId="0" fontId="5" fillId="0" borderId="0" xfId="0" applyFont="1" applyAlignment="1">
      <alignment horizontal="left"/>
    </xf>
    <xf numFmtId="0" fontId="5" fillId="0" borderId="6" xfId="0" applyFont="1" applyBorder="1"/>
    <xf numFmtId="0" fontId="27" fillId="0" borderId="0" xfId="0" applyFont="1" applyAlignment="1">
      <alignment vertical="top" wrapText="1"/>
    </xf>
    <xf numFmtId="0" fontId="5" fillId="0" borderId="0" xfId="0" applyFont="1" applyAlignment="1">
      <alignment horizontal="right"/>
    </xf>
    <xf numFmtId="0" fontId="5" fillId="5" borderId="1" xfId="0" applyFont="1" applyFill="1" applyBorder="1" applyAlignment="1">
      <alignment horizontal="center"/>
    </xf>
    <xf numFmtId="164" fontId="30" fillId="0" borderId="0" xfId="0" applyNumberFormat="1" applyFont="1" applyAlignment="1" applyProtection="1">
      <alignment horizontal="left" vertical="top"/>
      <protection hidden="1"/>
    </xf>
    <xf numFmtId="164" fontId="5" fillId="0" borderId="0" xfId="0" applyNumberFormat="1" applyFont="1" applyAlignment="1" applyProtection="1">
      <alignment horizontal="center" vertical="top"/>
      <protection hidden="1"/>
    </xf>
    <xf numFmtId="2" fontId="5" fillId="5" borderId="1" xfId="0" applyNumberFormat="1" applyFont="1" applyFill="1" applyBorder="1" applyAlignment="1">
      <alignment horizontal="center"/>
    </xf>
    <xf numFmtId="0" fontId="30" fillId="0" borderId="0" xfId="0" applyFont="1"/>
    <xf numFmtId="167" fontId="31" fillId="0" borderId="0" xfId="1" applyNumberFormat="1" applyFont="1" applyBorder="1"/>
    <xf numFmtId="0" fontId="32" fillId="0" borderId="0" xfId="0" applyFont="1"/>
    <xf numFmtId="9" fontId="5" fillId="0" borderId="0" xfId="2" applyFont="1" applyBorder="1"/>
    <xf numFmtId="0" fontId="5" fillId="2" borderId="7" xfId="0" applyFont="1" applyFill="1" applyBorder="1"/>
    <xf numFmtId="0" fontId="5" fillId="5" borderId="8" xfId="0" applyFont="1" applyFill="1" applyBorder="1" applyAlignment="1">
      <alignment horizontal="right"/>
    </xf>
    <xf numFmtId="166" fontId="5" fillId="5" borderId="8" xfId="1" applyNumberFormat="1" applyFont="1" applyFill="1" applyBorder="1"/>
    <xf numFmtId="165" fontId="5" fillId="0" borderId="0" xfId="0" applyNumberFormat="1" applyFont="1"/>
    <xf numFmtId="0" fontId="5" fillId="2" borderId="0" xfId="0" applyFont="1" applyFill="1" applyAlignment="1">
      <alignment horizontal="left" vertical="top"/>
    </xf>
    <xf numFmtId="168" fontId="26" fillId="5" borderId="0" xfId="5" applyNumberFormat="1" applyFont="1" applyFill="1"/>
    <xf numFmtId="0" fontId="5" fillId="5" borderId="9" xfId="0" applyFont="1" applyFill="1" applyBorder="1"/>
    <xf numFmtId="0" fontId="5" fillId="5" borderId="2" xfId="0" applyFont="1" applyFill="1" applyBorder="1"/>
    <xf numFmtId="168" fontId="5" fillId="5" borderId="2" xfId="0" applyNumberFormat="1" applyFont="1" applyFill="1" applyBorder="1"/>
    <xf numFmtId="0" fontId="5" fillId="5" borderId="10" xfId="0" applyFont="1" applyFill="1" applyBorder="1"/>
    <xf numFmtId="166" fontId="5" fillId="5" borderId="1" xfId="1" applyNumberFormat="1" applyFont="1" applyFill="1" applyBorder="1" applyAlignment="1">
      <alignment horizontal="center"/>
    </xf>
    <xf numFmtId="164" fontId="30" fillId="0" borderId="0" xfId="0" applyNumberFormat="1" applyFont="1" applyAlignment="1" applyProtection="1">
      <alignment horizontal="left" vertical="center"/>
      <protection hidden="1"/>
    </xf>
    <xf numFmtId="166" fontId="5" fillId="5" borderId="1" xfId="1" applyNumberFormat="1" applyFont="1" applyFill="1" applyBorder="1"/>
    <xf numFmtId="0" fontId="30" fillId="0" borderId="0" xfId="0" quotePrefix="1" applyFont="1"/>
    <xf numFmtId="0" fontId="5" fillId="0" borderId="3" xfId="0" applyFont="1" applyBorder="1"/>
    <xf numFmtId="0" fontId="5" fillId="0" borderId="4" xfId="0" applyFont="1" applyBorder="1"/>
    <xf numFmtId="0" fontId="5" fillId="0" borderId="5" xfId="0" applyFont="1" applyBorder="1"/>
    <xf numFmtId="0" fontId="26" fillId="0" borderId="0" xfId="0" applyFont="1"/>
    <xf numFmtId="0" fontId="18" fillId="0" borderId="2" xfId="0" applyFont="1" applyBorder="1" applyAlignment="1">
      <alignment horizontal="right"/>
    </xf>
    <xf numFmtId="0" fontId="5" fillId="0" borderId="2" xfId="0" applyFont="1" applyBorder="1"/>
    <xf numFmtId="0" fontId="27" fillId="0" borderId="0" xfId="0" applyFont="1"/>
    <xf numFmtId="0" fontId="5" fillId="0" borderId="0" xfId="0" applyFont="1" applyAlignment="1">
      <alignment horizontal="right" indent="1"/>
    </xf>
    <xf numFmtId="44" fontId="5" fillId="5" borderId="1" xfId="1" applyFont="1" applyFill="1" applyBorder="1"/>
    <xf numFmtId="166" fontId="5" fillId="0" borderId="1" xfId="1" applyNumberFormat="1" applyFont="1" applyBorder="1"/>
    <xf numFmtId="0" fontId="5" fillId="0" borderId="9" xfId="0" applyFont="1" applyBorder="1"/>
    <xf numFmtId="0" fontId="5" fillId="0" borderId="10" xfId="0" applyFont="1" applyBorder="1"/>
    <xf numFmtId="0" fontId="34" fillId="0" borderId="0" xfId="0" applyFont="1" applyAlignment="1">
      <alignment vertical="top" wrapText="1"/>
    </xf>
    <xf numFmtId="0" fontId="5" fillId="3" borderId="1" xfId="0" applyFont="1" applyFill="1" applyBorder="1" applyAlignment="1">
      <alignment horizontal="center"/>
    </xf>
    <xf numFmtId="0" fontId="5" fillId="0" borderId="0" xfId="0" applyFont="1" applyAlignment="1">
      <alignment vertical="top"/>
    </xf>
    <xf numFmtId="9" fontId="29" fillId="0" borderId="7" xfId="2" applyFont="1" applyBorder="1" applyAlignment="1">
      <alignment horizontal="left" vertical="top"/>
    </xf>
    <xf numFmtId="44" fontId="29" fillId="0" borderId="0" xfId="1" applyFont="1" applyAlignment="1">
      <alignment horizontal="left" vertical="top"/>
    </xf>
    <xf numFmtId="0" fontId="29" fillId="0" borderId="0" xfId="0" applyFont="1"/>
    <xf numFmtId="44" fontId="5" fillId="3" borderId="1" xfId="0" applyNumberFormat="1" applyFont="1" applyFill="1" applyBorder="1" applyAlignment="1" applyProtection="1">
      <alignment horizontal="center" vertical="top"/>
      <protection hidden="1"/>
    </xf>
    <xf numFmtId="0" fontId="5" fillId="0" borderId="0" xfId="0" applyFont="1" applyAlignment="1" applyProtection="1">
      <alignment horizontal="left" vertical="top"/>
      <protection hidden="1"/>
    </xf>
    <xf numFmtId="0" fontId="35" fillId="0" borderId="0" xfId="0" applyFont="1"/>
    <xf numFmtId="2" fontId="5" fillId="3" borderId="1" xfId="1" applyNumberFormat="1" applyFont="1" applyFill="1" applyBorder="1" applyAlignment="1">
      <alignment horizontal="center"/>
    </xf>
    <xf numFmtId="1" fontId="5" fillId="3" borderId="1" xfId="1" applyNumberFormat="1" applyFont="1" applyFill="1" applyBorder="1" applyAlignment="1">
      <alignment horizontal="center"/>
    </xf>
    <xf numFmtId="0" fontId="5" fillId="0" borderId="0" xfId="0" applyFont="1" applyAlignment="1" applyProtection="1">
      <alignment horizontal="right" vertical="top"/>
      <protection hidden="1"/>
    </xf>
    <xf numFmtId="0" fontId="18" fillId="0" borderId="0" xfId="0" applyFont="1" applyAlignment="1" applyProtection="1">
      <alignment horizontal="right" vertical="top"/>
      <protection hidden="1"/>
    </xf>
    <xf numFmtId="0" fontId="5" fillId="5" borderId="1" xfId="0" applyFont="1" applyFill="1" applyBorder="1" applyAlignment="1" applyProtection="1">
      <alignment horizontal="center"/>
      <protection locked="0"/>
    </xf>
    <xf numFmtId="9" fontId="5" fillId="5" borderId="1" xfId="2" applyFont="1" applyFill="1" applyBorder="1" applyAlignment="1" applyProtection="1">
      <alignment horizontal="center"/>
      <protection locked="0"/>
    </xf>
    <xf numFmtId="0" fontId="36" fillId="0" borderId="0" xfId="0" applyFont="1" applyAlignment="1" applyProtection="1">
      <alignment horizontal="right" vertical="top"/>
      <protection hidden="1"/>
    </xf>
    <xf numFmtId="0" fontId="5" fillId="2" borderId="0" xfId="0" applyFont="1" applyFill="1" applyAlignment="1" applyProtection="1">
      <alignment horizontal="right" vertical="top"/>
      <protection hidden="1"/>
    </xf>
    <xf numFmtId="9" fontId="5" fillId="0" borderId="1" xfId="2" applyFont="1" applyFill="1" applyBorder="1" applyAlignment="1" applyProtection="1">
      <alignment horizontal="center"/>
      <protection locked="0"/>
    </xf>
    <xf numFmtId="0" fontId="16" fillId="0" borderId="0" xfId="0" applyFont="1" applyAlignment="1">
      <alignment vertical="center"/>
    </xf>
    <xf numFmtId="0" fontId="5" fillId="0" borderId="0" xfId="0" applyFont="1" applyAlignment="1">
      <alignment vertical="top" wrapText="1"/>
    </xf>
    <xf numFmtId="0" fontId="5" fillId="0" borderId="0" xfId="0" applyFont="1" applyAlignment="1">
      <alignment wrapText="1"/>
    </xf>
    <xf numFmtId="0" fontId="37" fillId="0" borderId="0" xfId="0" applyFont="1" applyAlignment="1">
      <alignment horizontal="left" indent="1"/>
    </xf>
    <xf numFmtId="0" fontId="27" fillId="0" borderId="0" xfId="0" applyFont="1" applyAlignment="1">
      <alignment horizontal="left" vertical="top" wrapText="1"/>
    </xf>
    <xf numFmtId="0" fontId="27" fillId="0" borderId="0" xfId="0" applyFont="1" applyAlignment="1">
      <alignment horizontal="left" wrapText="1"/>
    </xf>
    <xf numFmtId="0" fontId="5" fillId="0" borderId="0" xfId="0" applyFont="1" applyAlignment="1">
      <alignment horizontal="left" vertical="top" wrapText="1"/>
    </xf>
    <xf numFmtId="0" fontId="6" fillId="0" borderId="2" xfId="0" applyFont="1" applyBorder="1" applyAlignment="1">
      <alignment horizontal="center" vertical="top"/>
    </xf>
  </cellXfs>
  <cellStyles count="6">
    <cellStyle name="Comma" xfId="5" builtinId="3"/>
    <cellStyle name="Currency" xfId="1" builtinId="4"/>
    <cellStyle name="Normal" xfId="0" builtinId="0"/>
    <cellStyle name="Normal 2" xfId="3" xr:uid="{A293540B-E4C5-46E4-9F32-FAAAF6E607E5}"/>
    <cellStyle name="Normal 2 2" xfId="4" xr:uid="{E1386877-5D7F-4D15-8A50-56E8064A4D4A}"/>
    <cellStyle name="Percent" xfId="2" builtinId="5"/>
  </cellStyles>
  <dxfs count="0"/>
  <tableStyles count="0" defaultTableStyle="TableStyleMedium2" defaultPivotStyle="PivotStyleLight16"/>
  <colors>
    <mruColors>
      <color rgb="FFFFCCCC"/>
      <color rgb="FF1EAF5F"/>
      <color rgb="FFCBF6DE"/>
      <color rgb="FF63E49D"/>
      <color rgb="FF008C9B"/>
      <color rgb="FFA8001E"/>
      <color rgb="FF5050CD"/>
      <color rgb="FF464F61"/>
      <color rgb="FFD9D9D9"/>
      <color rgb="FF9696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28575</xdr:colOff>
      <xdr:row>0</xdr:row>
      <xdr:rowOff>244475</xdr:rowOff>
    </xdr:from>
    <xdr:to>
      <xdr:col>1</xdr:col>
      <xdr:colOff>1313976</xdr:colOff>
      <xdr:row>1</xdr:row>
      <xdr:rowOff>142875</xdr:rowOff>
    </xdr:to>
    <xdr:pic>
      <xdr:nvPicPr>
        <xdr:cNvPr id="3" name="Picture 2">
          <a:extLst>
            <a:ext uri="{FF2B5EF4-FFF2-40B4-BE49-F238E27FC236}">
              <a16:creationId xmlns:a16="http://schemas.microsoft.com/office/drawing/2014/main" id="{943B1DA5-1147-4399-8140-91CC904829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4475" y="244475"/>
          <a:ext cx="1288576"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63500</xdr:colOff>
      <xdr:row>0</xdr:row>
      <xdr:rowOff>244475</xdr:rowOff>
    </xdr:from>
    <xdr:to>
      <xdr:col>2</xdr:col>
      <xdr:colOff>1164751</xdr:colOff>
      <xdr:row>1</xdr:row>
      <xdr:rowOff>139700</xdr:rowOff>
    </xdr:to>
    <xdr:pic>
      <xdr:nvPicPr>
        <xdr:cNvPr id="2" name="Picture 1">
          <a:extLst>
            <a:ext uri="{FF2B5EF4-FFF2-40B4-BE49-F238E27FC236}">
              <a16:creationId xmlns:a16="http://schemas.microsoft.com/office/drawing/2014/main" id="{88CC6E88-B164-4D06-B2D1-C0F85A70E4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244475"/>
          <a:ext cx="1288576" cy="498475"/>
        </a:xfrm>
        <a:prstGeom prst="rect">
          <a:avLst/>
        </a:prstGeom>
      </xdr:spPr>
    </xdr:pic>
    <xdr:clientData/>
  </xdr:twoCellAnchor>
</xdr:wsDr>
</file>

<file path=xl/theme/theme1.xml><?xml version="1.0" encoding="utf-8"?>
<a:theme xmlns:a="http://schemas.openxmlformats.org/drawingml/2006/main" name="Office Theme">
  <a:themeElements>
    <a:clrScheme name="Blue">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1D167-E534-4C70-B881-D7B8493523A1}">
  <dimension ref="A1:P19"/>
  <sheetViews>
    <sheetView showGridLines="0" tabSelected="1" workbookViewId="0">
      <selection activeCell="D7" sqref="D7"/>
    </sheetView>
  </sheetViews>
  <sheetFormatPr defaultRowHeight="14.5" x14ac:dyDescent="0.35"/>
  <cols>
    <col min="1" max="1" width="3.1796875" style="18" customWidth="1"/>
    <col min="2" max="2" width="123.1796875" style="18" customWidth="1"/>
  </cols>
  <sheetData>
    <row r="1" spans="1:16" ht="47.5" customHeight="1" x14ac:dyDescent="0.9">
      <c r="A1" s="15"/>
      <c r="B1" s="16" t="s">
        <v>70</v>
      </c>
      <c r="C1" s="10"/>
      <c r="D1" s="10"/>
      <c r="E1" s="10"/>
      <c r="F1" s="10"/>
      <c r="G1" s="11"/>
      <c r="H1" s="10"/>
      <c r="I1" s="10"/>
      <c r="J1" s="10"/>
      <c r="K1" s="10"/>
      <c r="L1" s="10"/>
      <c r="M1" s="10"/>
      <c r="N1" s="10"/>
      <c r="O1" s="10"/>
      <c r="P1" s="10"/>
    </row>
    <row r="2" spans="1:16" ht="33" customHeight="1" x14ac:dyDescent="0.35">
      <c r="A2" s="15"/>
      <c r="B2" s="19" t="s">
        <v>85</v>
      </c>
      <c r="C2" s="10"/>
      <c r="D2" s="10"/>
      <c r="E2" s="10"/>
      <c r="F2" s="10"/>
      <c r="G2" s="11"/>
      <c r="H2" s="10"/>
      <c r="I2" s="10"/>
      <c r="J2" s="10"/>
      <c r="K2" s="10"/>
      <c r="L2" s="10"/>
      <c r="M2" s="10"/>
      <c r="N2" s="10"/>
      <c r="O2" s="10"/>
      <c r="P2" s="10"/>
    </row>
    <row r="4" spans="1:16" ht="20" x14ac:dyDescent="0.4">
      <c r="A4" s="129" t="s">
        <v>92</v>
      </c>
    </row>
    <row r="6" spans="1:16" ht="20" x14ac:dyDescent="0.4">
      <c r="A6" s="25" t="s">
        <v>71</v>
      </c>
      <c r="B6" s="26"/>
      <c r="C6" s="13"/>
      <c r="D6" s="13"/>
      <c r="E6" s="13"/>
      <c r="F6" s="13"/>
      <c r="G6" s="13"/>
      <c r="H6" s="13"/>
      <c r="I6" s="13"/>
      <c r="J6" s="13"/>
      <c r="K6" s="13"/>
      <c r="L6" s="13"/>
      <c r="M6" s="13"/>
      <c r="N6" s="13"/>
      <c r="O6" s="13"/>
      <c r="P6" s="13"/>
    </row>
    <row r="7" spans="1:16" ht="158.25" customHeight="1" x14ac:dyDescent="0.35">
      <c r="B7" s="127" t="s">
        <v>125</v>
      </c>
    </row>
    <row r="9" spans="1:16" ht="20" x14ac:dyDescent="0.4">
      <c r="A9" s="25" t="s">
        <v>72</v>
      </c>
      <c r="B9" s="26"/>
      <c r="C9" s="13"/>
      <c r="D9" s="13"/>
      <c r="E9" s="13"/>
      <c r="F9" s="13"/>
      <c r="G9" s="13"/>
      <c r="H9" s="13"/>
      <c r="I9" s="13"/>
      <c r="J9" s="13"/>
      <c r="K9" s="13"/>
      <c r="L9" s="13"/>
      <c r="M9" s="13"/>
      <c r="N9" s="13"/>
      <c r="O9" s="13"/>
      <c r="P9" s="13"/>
    </row>
    <row r="10" spans="1:16" ht="308.5" x14ac:dyDescent="0.35">
      <c r="B10" s="128" t="s">
        <v>121</v>
      </c>
    </row>
    <row r="12" spans="1:16" ht="20" x14ac:dyDescent="0.4">
      <c r="A12" s="25" t="s">
        <v>73</v>
      </c>
      <c r="B12" s="26"/>
      <c r="C12" s="13"/>
      <c r="D12" s="13"/>
      <c r="E12" s="13"/>
      <c r="F12" s="13"/>
      <c r="G12" s="13"/>
      <c r="H12" s="13"/>
      <c r="I12" s="13"/>
      <c r="J12" s="13"/>
      <c r="K12" s="13"/>
      <c r="L12" s="13"/>
      <c r="M12" s="13"/>
      <c r="N12" s="13"/>
      <c r="O12" s="13"/>
      <c r="P12" s="13"/>
    </row>
    <row r="13" spans="1:16" ht="266.5" x14ac:dyDescent="0.35">
      <c r="B13" s="128" t="s">
        <v>122</v>
      </c>
    </row>
    <row r="15" spans="1:16" ht="20" x14ac:dyDescent="0.4">
      <c r="A15" s="25" t="s">
        <v>90</v>
      </c>
      <c r="B15" s="26"/>
      <c r="C15" s="13"/>
      <c r="D15" s="13"/>
      <c r="E15" s="13"/>
      <c r="F15" s="13"/>
      <c r="G15" s="13"/>
      <c r="H15" s="13"/>
      <c r="I15" s="13"/>
      <c r="J15" s="13"/>
      <c r="K15" s="13"/>
      <c r="L15" s="13"/>
      <c r="M15" s="13"/>
      <c r="N15" s="13"/>
      <c r="O15" s="13"/>
      <c r="P15" s="13"/>
    </row>
    <row r="16" spans="1:16" ht="252.5" x14ac:dyDescent="0.35">
      <c r="B16" s="128" t="s">
        <v>123</v>
      </c>
    </row>
    <row r="18" spans="1:16" ht="20" x14ac:dyDescent="0.4">
      <c r="A18" s="25" t="s">
        <v>74</v>
      </c>
      <c r="B18" s="26"/>
      <c r="C18" s="13"/>
      <c r="D18" s="13"/>
      <c r="E18" s="13"/>
      <c r="F18" s="13"/>
      <c r="G18" s="13"/>
      <c r="H18" s="13"/>
      <c r="I18" s="13"/>
      <c r="J18" s="13"/>
      <c r="K18" s="13"/>
      <c r="L18" s="13"/>
      <c r="M18" s="13"/>
      <c r="N18" s="13"/>
      <c r="O18" s="13"/>
      <c r="P18" s="13"/>
    </row>
    <row r="19" spans="1:16" ht="42" x14ac:dyDescent="0.35">
      <c r="B19" s="127" t="s">
        <v>124</v>
      </c>
    </row>
  </sheetData>
  <sheetProtection algorithmName="SHA-512" hashValue="m8UPl0DDrjZnPuSw/YmcYoqipYcU927N+53Y36MCDlf89GpehH6Zy/yF49d7J5hCy8W45gi6ofez9eS0T1/OWQ==" saltValue="k0Ady6fJ+oK5nagvrTYej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EAF5F"/>
  </sheetPr>
  <dimension ref="A1:AJ136"/>
  <sheetViews>
    <sheetView showGridLines="0" view="pageBreakPreview" topLeftCell="A24" zoomScale="60" zoomScaleNormal="80" workbookViewId="0">
      <selection activeCell="N38" sqref="N38:S53"/>
    </sheetView>
  </sheetViews>
  <sheetFormatPr defaultRowHeight="16.5" x14ac:dyDescent="0.3"/>
  <cols>
    <col min="1" max="1" width="2.54296875" style="18" customWidth="1"/>
    <col min="2" max="2" width="2.7265625" style="18" customWidth="1"/>
    <col min="3" max="3" width="35.7265625" style="18" customWidth="1"/>
    <col min="4" max="4" width="2.54296875" style="36" customWidth="1"/>
    <col min="5" max="5" width="20.54296875" style="18" customWidth="1"/>
    <col min="6" max="6" width="16.453125" style="18" customWidth="1"/>
    <col min="7" max="7" width="13.81640625" style="18" customWidth="1"/>
    <col min="8" max="8" width="45" style="18" customWidth="1"/>
    <col min="9" max="9" width="2.54296875" style="36" bestFit="1" customWidth="1"/>
    <col min="10" max="10" width="13" style="18" bestFit="1" customWidth="1"/>
    <col min="11" max="11" width="15.54296875" style="18" customWidth="1"/>
    <col min="12" max="12" width="16.453125" style="18" customWidth="1"/>
    <col min="13" max="13" width="3.81640625" style="18" customWidth="1"/>
    <col min="14" max="14" width="11.1796875" style="18" bestFit="1" customWidth="1"/>
    <col min="15" max="15" width="3.81640625" style="18" customWidth="1"/>
    <col min="16" max="16" width="4.81640625" style="18" customWidth="1"/>
    <col min="17" max="17" width="44.54296875" style="18" customWidth="1"/>
    <col min="18" max="18" width="16.26953125" style="18" customWidth="1"/>
    <col min="19" max="16384" width="8.7265625" style="18"/>
  </cols>
  <sheetData>
    <row r="1" spans="1:32" ht="47.5" customHeight="1" x14ac:dyDescent="0.9">
      <c r="A1" s="15"/>
      <c r="B1" s="16" t="s">
        <v>70</v>
      </c>
      <c r="C1" s="15"/>
      <c r="D1" s="15"/>
      <c r="E1" s="15"/>
      <c r="F1" s="15"/>
      <c r="G1" s="17"/>
      <c r="H1" s="15"/>
      <c r="I1" s="15"/>
      <c r="J1" s="15"/>
      <c r="K1" s="15"/>
      <c r="L1" s="15"/>
      <c r="M1" s="15"/>
      <c r="N1" s="15"/>
      <c r="O1" s="15"/>
      <c r="P1" s="15"/>
      <c r="Q1" s="15"/>
      <c r="R1" s="15"/>
      <c r="S1" s="15"/>
    </row>
    <row r="2" spans="1:32" ht="33" customHeight="1" x14ac:dyDescent="0.3">
      <c r="A2" s="15"/>
      <c r="B2" s="19" t="s">
        <v>85</v>
      </c>
      <c r="C2" s="15"/>
      <c r="D2" s="15"/>
      <c r="E2" s="15"/>
      <c r="F2" s="15"/>
      <c r="G2" s="17"/>
      <c r="H2" s="15"/>
      <c r="I2" s="15"/>
      <c r="J2" s="15"/>
      <c r="K2" s="15"/>
      <c r="L2" s="15"/>
      <c r="M2" s="15"/>
      <c r="N2" s="15"/>
      <c r="O2" s="15"/>
      <c r="P2" s="15"/>
      <c r="Q2" s="15"/>
      <c r="R2" s="15"/>
      <c r="S2" s="15"/>
    </row>
    <row r="3" spans="1:32" ht="14.5" customHeight="1" x14ac:dyDescent="0.3">
      <c r="A3" s="20"/>
      <c r="B3" s="21"/>
      <c r="C3" s="22"/>
      <c r="D3" s="23"/>
      <c r="E3" s="22"/>
      <c r="F3" s="22"/>
      <c r="G3" s="22"/>
      <c r="H3" s="20"/>
      <c r="I3" s="24"/>
      <c r="J3" s="20"/>
      <c r="K3" s="20"/>
      <c r="L3" s="20"/>
      <c r="M3" s="20"/>
      <c r="N3" s="20"/>
    </row>
    <row r="4" spans="1:32" ht="20" x14ac:dyDescent="0.4">
      <c r="A4" s="25" t="s">
        <v>76</v>
      </c>
      <c r="B4" s="26"/>
      <c r="C4" s="27"/>
      <c r="D4" s="28"/>
      <c r="E4" s="27"/>
      <c r="F4" s="27"/>
      <c r="G4" s="27"/>
      <c r="H4" s="29"/>
      <c r="I4" s="30"/>
      <c r="J4" s="29"/>
      <c r="K4" s="29"/>
      <c r="L4" s="29"/>
      <c r="M4" s="31" t="s">
        <v>87</v>
      </c>
      <c r="N4" s="20"/>
      <c r="O4" s="25" t="s">
        <v>77</v>
      </c>
      <c r="P4" s="26"/>
      <c r="Q4" s="32"/>
      <c r="R4" s="32"/>
      <c r="S4" s="32"/>
    </row>
    <row r="5" spans="1:32" ht="14.5" customHeight="1" x14ac:dyDescent="0.3">
      <c r="A5" s="20"/>
      <c r="B5" s="21"/>
      <c r="C5" s="22"/>
      <c r="D5" s="23"/>
      <c r="E5" s="22"/>
      <c r="F5" s="22"/>
      <c r="G5" s="22"/>
      <c r="H5" s="20"/>
      <c r="I5" s="24"/>
      <c r="J5" s="20"/>
      <c r="K5" s="20"/>
      <c r="L5" s="20"/>
      <c r="M5" s="20"/>
      <c r="N5" s="20"/>
    </row>
    <row r="6" spans="1:32" s="34" customFormat="1" ht="18" x14ac:dyDescent="0.35">
      <c r="A6" s="33"/>
      <c r="B6" s="133" t="s">
        <v>0</v>
      </c>
      <c r="C6" s="133"/>
      <c r="D6" s="133"/>
      <c r="E6" s="133"/>
      <c r="F6" s="133"/>
      <c r="G6" s="133"/>
      <c r="H6" s="133"/>
      <c r="I6" s="133"/>
      <c r="J6" s="133"/>
      <c r="K6" s="133"/>
      <c r="L6" s="133"/>
      <c r="M6" s="133"/>
      <c r="N6" s="33"/>
      <c r="O6" s="133" t="s">
        <v>46</v>
      </c>
      <c r="P6" s="133"/>
      <c r="Q6" s="133"/>
      <c r="R6" s="133"/>
      <c r="S6" s="133"/>
      <c r="T6" s="33"/>
      <c r="U6" s="33"/>
      <c r="V6" s="33"/>
      <c r="W6" s="33"/>
      <c r="X6" s="33"/>
      <c r="Y6" s="33"/>
      <c r="Z6" s="33"/>
      <c r="AA6" s="33"/>
      <c r="AB6" s="33"/>
      <c r="AC6" s="33"/>
      <c r="AD6" s="33"/>
      <c r="AE6" s="33"/>
      <c r="AF6" s="33"/>
    </row>
    <row r="7" spans="1:32" ht="14.5" customHeight="1" x14ac:dyDescent="0.3">
      <c r="A7" s="20"/>
      <c r="B7" s="35"/>
      <c r="F7" s="37"/>
      <c r="G7" s="37"/>
      <c r="H7" s="37"/>
      <c r="J7" s="37"/>
      <c r="K7" s="37"/>
      <c r="L7" s="37"/>
      <c r="M7" s="38"/>
      <c r="N7" s="20"/>
      <c r="O7" s="39"/>
      <c r="P7" s="40"/>
      <c r="Q7" s="40"/>
      <c r="R7" s="40"/>
      <c r="S7" s="41"/>
      <c r="T7" s="37"/>
      <c r="U7" s="37"/>
      <c r="V7" s="37"/>
      <c r="W7" s="37"/>
      <c r="X7" s="37"/>
      <c r="Y7" s="37"/>
      <c r="Z7" s="37"/>
      <c r="AA7" s="37"/>
      <c r="AB7" s="37"/>
      <c r="AC7" s="37"/>
      <c r="AD7" s="37"/>
      <c r="AE7" s="37"/>
      <c r="AF7" s="37"/>
    </row>
    <row r="8" spans="1:32" ht="14.5" customHeight="1" x14ac:dyDescent="0.3">
      <c r="A8" s="20"/>
      <c r="B8" s="42"/>
      <c r="C8" s="12" t="s">
        <v>24</v>
      </c>
      <c r="D8" s="7"/>
      <c r="E8" s="43"/>
      <c r="F8" s="3"/>
      <c r="G8" s="3"/>
      <c r="H8" s="12" t="s">
        <v>83</v>
      </c>
      <c r="I8" s="44"/>
      <c r="J8" s="20"/>
      <c r="K8" s="20"/>
      <c r="L8" s="20"/>
      <c r="M8" s="45"/>
      <c r="N8" s="20"/>
      <c r="O8" s="46"/>
      <c r="P8" s="47" t="s">
        <v>105</v>
      </c>
      <c r="Q8" s="48"/>
      <c r="R8" s="49"/>
      <c r="S8" s="50"/>
    </row>
    <row r="9" spans="1:32" ht="14.5" customHeight="1" x14ac:dyDescent="0.3">
      <c r="A9" s="20"/>
      <c r="B9" s="42"/>
      <c r="C9" s="20"/>
      <c r="D9" s="51"/>
      <c r="E9" s="43"/>
      <c r="F9" s="43"/>
      <c r="G9" s="43"/>
      <c r="H9" s="20"/>
      <c r="I9" s="51"/>
      <c r="J9" s="20"/>
      <c r="K9" s="20"/>
      <c r="L9" s="20"/>
      <c r="M9" s="45"/>
      <c r="N9" s="20"/>
      <c r="O9" s="46"/>
      <c r="P9" s="32"/>
      <c r="Q9" s="32"/>
      <c r="R9" s="32"/>
      <c r="S9" s="52"/>
    </row>
    <row r="10" spans="1:32" ht="14.5" customHeight="1" x14ac:dyDescent="0.3">
      <c r="A10" s="20"/>
      <c r="B10" s="4"/>
      <c r="C10" s="14" t="s">
        <v>34</v>
      </c>
      <c r="D10" s="8"/>
      <c r="E10" s="53"/>
      <c r="F10" s="54"/>
      <c r="G10" s="55"/>
      <c r="H10" s="14" t="s">
        <v>2</v>
      </c>
      <c r="I10" s="56"/>
      <c r="J10" s="1"/>
      <c r="K10" s="57"/>
      <c r="L10" s="20"/>
      <c r="M10" s="45"/>
      <c r="N10" s="20"/>
      <c r="O10" s="46"/>
      <c r="P10" s="32"/>
      <c r="Q10" s="58" t="s">
        <v>8</v>
      </c>
      <c r="R10" s="59">
        <f>SUM(R11:R14)</f>
        <v>21300</v>
      </c>
      <c r="S10" s="52"/>
      <c r="T10" s="6"/>
      <c r="U10" s="6"/>
      <c r="V10" s="6"/>
      <c r="W10" s="6"/>
      <c r="X10" s="6"/>
      <c r="Y10" s="6"/>
      <c r="Z10" s="6"/>
      <c r="AA10" s="6"/>
      <c r="AB10" s="6"/>
      <c r="AC10" s="6"/>
      <c r="AD10" s="6"/>
      <c r="AE10" s="6"/>
      <c r="AF10" s="6"/>
    </row>
    <row r="11" spans="1:32" ht="14.5" customHeight="1" x14ac:dyDescent="0.3">
      <c r="B11" s="42"/>
      <c r="C11" s="2"/>
      <c r="D11" s="9"/>
      <c r="E11" s="43"/>
      <c r="F11" s="55"/>
      <c r="G11" s="55"/>
      <c r="H11" s="20"/>
      <c r="I11" s="60"/>
      <c r="J11" s="20"/>
      <c r="K11" s="20"/>
      <c r="L11" s="20"/>
      <c r="M11" s="61"/>
      <c r="O11" s="46"/>
      <c r="P11" s="32"/>
      <c r="Q11" s="62" t="s">
        <v>37</v>
      </c>
      <c r="R11" s="63">
        <f>ROUND($J$18*$J$27*12,IF($J$18*$J$27*12&lt;1000,-2,-3))</f>
        <v>300</v>
      </c>
      <c r="S11" s="52"/>
    </row>
    <row r="12" spans="1:32" ht="14.5" customHeight="1" x14ac:dyDescent="0.3">
      <c r="A12" s="64"/>
      <c r="B12" s="42"/>
      <c r="C12" s="5" t="s">
        <v>36</v>
      </c>
      <c r="D12" s="18"/>
      <c r="G12" s="20"/>
      <c r="H12" s="5" t="s">
        <v>3</v>
      </c>
      <c r="J12" s="65"/>
      <c r="M12" s="61"/>
      <c r="O12" s="46"/>
      <c r="P12" s="32"/>
      <c r="Q12" s="62" t="s">
        <v>38</v>
      </c>
      <c r="R12" s="63">
        <f>ROUND($J$19*$J$28*12,IF($J$19*$J$28*12&lt;1000,-2,-3))</f>
        <v>3000</v>
      </c>
      <c r="S12" s="52"/>
    </row>
    <row r="13" spans="1:32" ht="14.5" customHeight="1" x14ac:dyDescent="0.3">
      <c r="A13" s="64"/>
      <c r="B13" s="42"/>
      <c r="C13" s="130" t="s">
        <v>89</v>
      </c>
      <c r="D13" s="130"/>
      <c r="E13" s="130"/>
      <c r="F13" s="130"/>
      <c r="G13" s="20"/>
      <c r="H13" s="130" t="s">
        <v>107</v>
      </c>
      <c r="I13" s="130"/>
      <c r="J13" s="130"/>
      <c r="K13" s="130"/>
      <c r="M13" s="61"/>
      <c r="O13" s="46"/>
      <c r="P13" s="32"/>
      <c r="Q13" s="62" t="s">
        <v>39</v>
      </c>
      <c r="R13" s="63">
        <f>ROUND($J$20*$J$29*12,IF($J$20*$J$29*12&lt;1000,-2,-3))</f>
        <v>4000</v>
      </c>
      <c r="S13" s="52"/>
    </row>
    <row r="14" spans="1:32" ht="14.5" customHeight="1" x14ac:dyDescent="0.3">
      <c r="A14" s="64"/>
      <c r="B14" s="42"/>
      <c r="C14" s="130"/>
      <c r="D14" s="130"/>
      <c r="E14" s="130"/>
      <c r="F14" s="130"/>
      <c r="G14" s="20"/>
      <c r="H14" s="130"/>
      <c r="I14" s="130"/>
      <c r="J14" s="130"/>
      <c r="K14" s="130"/>
      <c r="M14" s="61"/>
      <c r="O14" s="46"/>
      <c r="P14" s="32"/>
      <c r="Q14" s="62" t="s">
        <v>40</v>
      </c>
      <c r="R14" s="63">
        <f>ROUND($J$21*$J$29*12,IF($J$21*$J$29*12&lt;1000,-2,-3))</f>
        <v>14000</v>
      </c>
      <c r="S14" s="52"/>
      <c r="T14" s="67"/>
      <c r="U14" s="67"/>
      <c r="V14" s="67"/>
      <c r="W14" s="67"/>
      <c r="X14" s="67"/>
      <c r="Y14" s="67"/>
      <c r="Z14" s="67"/>
      <c r="AA14" s="67"/>
      <c r="AB14" s="67"/>
      <c r="AC14" s="67"/>
      <c r="AD14" s="67"/>
      <c r="AE14" s="67"/>
      <c r="AF14" s="67"/>
    </row>
    <row r="15" spans="1:32" ht="14.5" customHeight="1" x14ac:dyDescent="0.3">
      <c r="A15" s="64"/>
      <c r="B15" s="42"/>
      <c r="C15" s="130"/>
      <c r="D15" s="130"/>
      <c r="E15" s="130"/>
      <c r="F15" s="130"/>
      <c r="G15" s="20"/>
      <c r="H15" s="130"/>
      <c r="I15" s="130"/>
      <c r="J15" s="130"/>
      <c r="K15" s="130"/>
      <c r="L15" s="68"/>
      <c r="M15" s="61"/>
      <c r="O15" s="46"/>
      <c r="P15" s="32"/>
      <c r="Q15" s="58" t="s">
        <v>41</v>
      </c>
      <c r="R15" s="69">
        <f>SUM(R16:R18)</f>
        <v>58000</v>
      </c>
      <c r="S15" s="52"/>
      <c r="T15" s="70"/>
      <c r="U15" s="70"/>
      <c r="V15" s="70"/>
      <c r="W15" s="70"/>
      <c r="X15" s="70"/>
      <c r="Y15" s="70"/>
      <c r="Z15" s="70"/>
      <c r="AA15" s="70"/>
      <c r="AB15" s="70"/>
      <c r="AC15" s="70"/>
      <c r="AD15" s="70"/>
      <c r="AE15" s="70"/>
      <c r="AF15" s="70"/>
    </row>
    <row r="16" spans="1:32" ht="14.5" customHeight="1" x14ac:dyDescent="0.3">
      <c r="A16" s="64"/>
      <c r="B16" s="42"/>
      <c r="C16" s="130"/>
      <c r="D16" s="130"/>
      <c r="E16" s="130"/>
      <c r="F16" s="130"/>
      <c r="G16" s="20"/>
      <c r="H16" s="130"/>
      <c r="I16" s="130"/>
      <c r="J16" s="130"/>
      <c r="K16" s="130"/>
      <c r="M16" s="61"/>
      <c r="O16" s="46"/>
      <c r="P16" s="32"/>
      <c r="Q16" s="62" t="s">
        <v>42</v>
      </c>
      <c r="R16" s="63">
        <f>ROUND(SUM($J$44:$J$45),IF(SUM($J$44:$J$45)&lt;1000,-2,-3))</f>
        <v>23000</v>
      </c>
      <c r="S16" s="52"/>
    </row>
    <row r="17" spans="1:36" ht="14.5" customHeight="1" x14ac:dyDescent="0.3">
      <c r="A17" s="64"/>
      <c r="B17" s="42"/>
      <c r="C17" s="130"/>
      <c r="D17" s="130"/>
      <c r="E17" s="130"/>
      <c r="F17" s="130"/>
      <c r="G17" s="20"/>
      <c r="N17" s="71"/>
      <c r="O17" s="46"/>
      <c r="P17" s="32"/>
      <c r="Q17" s="62" t="s">
        <v>13</v>
      </c>
      <c r="R17" s="63">
        <f>ROUND(
IF($J$92=2,
($J$53*$E$62*$J$93*$E$69*($E$27/100)*$E$50)+($J$53*$E$62*$J$93*$E$69*($E$28/100)*($E$50+$E$53)),
IF($J$94=2,
($J$53*$E$62*$J$95*$E$69*($E$27/100)*$E$50)+($J$53*$E$62*$J$95*$E$69*($E$28/100)*($E$50+$E$53)),
0)
),
IF(
IF($J$92=2,
($J$53*$E$62*$J$93*$E$69*($E$27/100)*$E$50)+($J$53*$E$62*$J$93*$E$69*($E$28/100)*($E$50+$E$53)),
IF($J$94=2,
($J$53*$E$62*$J$95*$E$69*($E$27/100)*$E$50)+($J$53*$E$62*$J$95*$E$69*($E$28/100)*($E$50+$E$53)),
0)
)&lt;1000,-2,-3)
)</f>
        <v>35000</v>
      </c>
      <c r="S17" s="52"/>
    </row>
    <row r="18" spans="1:36" ht="14.5" customHeight="1" x14ac:dyDescent="0.3">
      <c r="A18" s="64"/>
      <c r="B18" s="42"/>
      <c r="C18" s="72"/>
      <c r="D18" s="72"/>
      <c r="E18" s="72"/>
      <c r="F18" s="72"/>
      <c r="G18" s="20"/>
      <c r="H18" s="73" t="s">
        <v>4</v>
      </c>
      <c r="J18" s="74">
        <v>0.05</v>
      </c>
      <c r="K18" s="75" t="s">
        <v>88</v>
      </c>
      <c r="L18" s="76"/>
      <c r="N18" s="71"/>
      <c r="O18" s="46"/>
      <c r="P18" s="32"/>
      <c r="Q18" s="62" t="s">
        <v>43</v>
      </c>
      <c r="R18" s="63">
        <f>IF(
IF($J$92=3,($J$61*$E$81),IF($J$94=3,($J$61*$E$81),0))&lt;1000,
ROUND(IF($J$92=3,($J$61*$E$81),IF($J$94=3,($J$61*$E$81),0)),-2),
ROUND(IF($J$92=3,($J$61*$E$81),IF($J$94=3,($J$61*$E$81),0)),-3)
)</f>
        <v>0</v>
      </c>
      <c r="S18" s="52"/>
    </row>
    <row r="19" spans="1:36" ht="14.5" customHeight="1" x14ac:dyDescent="0.3">
      <c r="A19" s="64"/>
      <c r="B19" s="42"/>
      <c r="C19" s="73" t="s">
        <v>36</v>
      </c>
      <c r="E19" s="74">
        <v>25</v>
      </c>
      <c r="F19" s="18" t="s">
        <v>108</v>
      </c>
      <c r="G19" s="43"/>
      <c r="H19" s="73" t="s">
        <v>5</v>
      </c>
      <c r="J19" s="77">
        <f>0.2*ROUNDUP($E$62/8,0)</f>
        <v>0.60000000000000009</v>
      </c>
      <c r="K19" s="78" t="str">
        <f>_xlfn.CONCAT("Suggested Value: ",(0.2*ROUNDUP($E$62/8,0))," FTEs")</f>
        <v>Suggested Value: 0.6 FTEs</v>
      </c>
      <c r="L19" s="76"/>
      <c r="N19" s="71"/>
      <c r="O19" s="46"/>
      <c r="P19" s="32"/>
      <c r="Q19" s="58" t="s">
        <v>11</v>
      </c>
      <c r="R19" s="69">
        <f>SUM(R20:R21)</f>
        <v>89000</v>
      </c>
      <c r="S19" s="52"/>
      <c r="AH19" s="79"/>
      <c r="AI19" s="79"/>
      <c r="AJ19" s="79"/>
    </row>
    <row r="20" spans="1:36" ht="14.5" customHeight="1" x14ac:dyDescent="0.3">
      <c r="A20" s="64"/>
      <c r="B20" s="42"/>
      <c r="G20" s="43"/>
      <c r="H20" s="73" t="s">
        <v>39</v>
      </c>
      <c r="J20" s="77">
        <v>1.73</v>
      </c>
      <c r="K20" s="78" t="str">
        <f>_xlfn.CONCAT("Suggested Value: ",ROUND((0.4*($E$62*($E$27/100))/8)+(0.75*($E$62*($E$28/100))/8),2)," FTEs")</f>
        <v>Suggested Value: 1.73 FTEs</v>
      </c>
      <c r="L20" s="68"/>
      <c r="N20" s="71"/>
      <c r="O20" s="46"/>
      <c r="P20" s="32"/>
      <c r="Q20" s="62" t="s">
        <v>44</v>
      </c>
      <c r="R20" s="63">
        <f>ROUND(
IF($J$92=1,
$J$70*$E$62*$E$69*$J$93*($E$50*MIN(1,($E$27+$E$28)/100)+$E$53*($E$28/100)),
IF($J$92=2,
$J$71*$E$62*$E$69*$J$93*$J$82*($E$50*MIN(1,($E$27+$E$28)/100)+$E$53*($E$28/100)),
0)),
IF(
IF($J$92=1,
$J$70*$E$62*$E$69*$J$93*($E$50*MIN(1,($E$27+$E$28)/100)+$E$53*($E$28/100)),
IF($J$92=2,
$J$71*$E$62*$E$69*$J$93*$J$82*($E$50*MIN(1,($E$27+$E$28)/100)+$E$53*($E$28/100)),
0))&lt;1000,
-2,
-3)
)</f>
        <v>47000</v>
      </c>
      <c r="S20" s="52"/>
      <c r="AG20" s="80"/>
      <c r="AH20" s="81"/>
      <c r="AI20" s="81"/>
      <c r="AJ20" s="81"/>
    </row>
    <row r="21" spans="1:36" ht="14.5" customHeight="1" thickBot="1" x14ac:dyDescent="0.35">
      <c r="A21" s="64"/>
      <c r="B21" s="42"/>
      <c r="C21" s="5" t="s">
        <v>6</v>
      </c>
      <c r="G21" s="43"/>
      <c r="H21" s="73" t="s">
        <v>40</v>
      </c>
      <c r="J21" s="77">
        <v>6</v>
      </c>
      <c r="K21" s="78" t="str">
        <f>_xlfn.CONCAT("Suggested Value: ",TEXT(ROUND(IF($E$27&lt;&gt;100,(IF($E$40&gt;6, 4, IF($E$40&gt;4, 3, IF($E$40&gt;2, 2, IF($E$40&gt;0.5, 1,0))))*(IF($E$62=24, $E$62, $E$62-1)/8)),0),2),"0.00")," FTEs")</f>
        <v>Suggested Value: 6.00 FTEs</v>
      </c>
      <c r="M21" s="82"/>
      <c r="N21" s="64"/>
      <c r="O21" s="46"/>
      <c r="P21" s="32"/>
      <c r="Q21" s="83" t="s">
        <v>45</v>
      </c>
      <c r="R21" s="84">
        <f>ROUND(
IF($J$94=1,
$J$70*$E$62*$E$69*$J$95*($E$50*MIN(1,($E$27+$E$28)/100)+$E$53*($E$28/100)),
IF($J$94=2,
$J$71*$E$62*$E$69*$J$95*$J$82*($E$50*MIN(1,($E$27+$E$28)/100)+$E$53*($E$28/100)),
0)),
IF(
IF($J$94=1,
$J$70*$E$62*$E$69*$J$95*($E$50*MIN(1,($E$27+$E$28)/100)+$E$53*($E$28/100)),
IF($J$94=2,
$J$71*$E$62*$E$69*$J$95*$J$82*($E$50*MIN(1,($E$27+$E$28)/100)+$E$53*($E$28/100)),
0))&lt;1000,
-2,
-3)
)</f>
        <v>42000</v>
      </c>
      <c r="S21" s="52"/>
      <c r="AH21" s="81"/>
      <c r="AI21" s="81"/>
      <c r="AJ21" s="81"/>
    </row>
    <row r="22" spans="1:36" ht="14.5" customHeight="1" thickTop="1" x14ac:dyDescent="0.3">
      <c r="A22" s="64"/>
      <c r="B22" s="42"/>
      <c r="C22" s="131" t="s">
        <v>93</v>
      </c>
      <c r="D22" s="131"/>
      <c r="E22" s="131"/>
      <c r="F22" s="131"/>
      <c r="G22" s="43"/>
      <c r="M22" s="82"/>
      <c r="N22" s="64"/>
      <c r="O22" s="46"/>
      <c r="P22" s="32"/>
      <c r="Q22" s="58" t="s">
        <v>7</v>
      </c>
      <c r="R22" s="69">
        <f>$R$10+$R$15+$R$19</f>
        <v>168300</v>
      </c>
      <c r="S22" s="52"/>
      <c r="AH22" s="81"/>
      <c r="AI22" s="81"/>
      <c r="AJ22" s="81"/>
    </row>
    <row r="23" spans="1:36" ht="14.5" customHeight="1" x14ac:dyDescent="0.3">
      <c r="A23" s="64"/>
      <c r="B23" s="42"/>
      <c r="C23" s="131"/>
      <c r="D23" s="131"/>
      <c r="E23" s="131"/>
      <c r="F23" s="131"/>
      <c r="G23" s="43"/>
      <c r="H23" s="5" t="s">
        <v>56</v>
      </c>
      <c r="K23" s="78"/>
      <c r="L23" s="85"/>
      <c r="M23" s="61"/>
      <c r="O23" s="46"/>
      <c r="P23" s="32"/>
      <c r="Q23" s="32"/>
      <c r="R23" s="32"/>
      <c r="S23" s="52"/>
    </row>
    <row r="24" spans="1:36" x14ac:dyDescent="0.3">
      <c r="A24" s="86"/>
      <c r="B24" s="42"/>
      <c r="C24" s="131"/>
      <c r="D24" s="131"/>
      <c r="E24" s="131"/>
      <c r="F24" s="131"/>
      <c r="G24" s="43"/>
      <c r="H24" s="130" t="s">
        <v>63</v>
      </c>
      <c r="I24" s="130"/>
      <c r="J24" s="130"/>
      <c r="K24" s="130"/>
      <c r="L24" s="85"/>
      <c r="M24" s="45"/>
      <c r="N24" s="20"/>
      <c r="O24" s="46"/>
      <c r="P24" s="32"/>
      <c r="Q24" s="58" t="s">
        <v>47</v>
      </c>
      <c r="R24" s="87">
        <f>$E$69*IF($E$62=24, $E$62, $E$62-1)*$E$19</f>
        <v>219000</v>
      </c>
      <c r="S24" s="52" t="s">
        <v>109</v>
      </c>
    </row>
    <row r="25" spans="1:36" ht="14.5" customHeight="1" x14ac:dyDescent="0.3">
      <c r="A25" s="86"/>
      <c r="B25" s="42"/>
      <c r="C25" s="131"/>
      <c r="D25" s="131"/>
      <c r="E25" s="131"/>
      <c r="F25" s="131"/>
      <c r="G25" s="43"/>
      <c r="H25" s="130"/>
      <c r="I25" s="130"/>
      <c r="J25" s="130"/>
      <c r="K25" s="130"/>
      <c r="L25" s="85"/>
      <c r="M25" s="45"/>
      <c r="N25" s="20"/>
      <c r="O25" s="88"/>
      <c r="P25" s="89"/>
      <c r="Q25" s="47" t="s">
        <v>104</v>
      </c>
      <c r="R25" s="90">
        <f>ROUNDDOWN(R24/E38,0)</f>
        <v>32205</v>
      </c>
      <c r="S25" s="91" t="s">
        <v>69</v>
      </c>
    </row>
    <row r="26" spans="1:36" ht="14.5" customHeight="1" x14ac:dyDescent="0.3">
      <c r="A26" s="86"/>
      <c r="B26" s="42"/>
      <c r="H26" s="72"/>
      <c r="I26" s="72"/>
      <c r="J26" s="72"/>
      <c r="K26" s="72"/>
      <c r="M26" s="45"/>
      <c r="N26" s="20"/>
    </row>
    <row r="27" spans="1:36" ht="20" x14ac:dyDescent="0.4">
      <c r="A27" s="86"/>
      <c r="B27" s="42"/>
      <c r="C27" s="73" t="s">
        <v>53</v>
      </c>
      <c r="E27" s="74">
        <v>50</v>
      </c>
      <c r="F27" s="18" t="s">
        <v>35</v>
      </c>
      <c r="H27" s="73" t="s">
        <v>4</v>
      </c>
      <c r="J27" s="92">
        <v>500</v>
      </c>
      <c r="K27" s="93" t="s">
        <v>62</v>
      </c>
      <c r="M27" s="45"/>
      <c r="N27" s="20"/>
      <c r="O27" s="25" t="s">
        <v>78</v>
      </c>
      <c r="P27" s="26"/>
      <c r="Q27" s="32"/>
      <c r="R27" s="32"/>
      <c r="S27" s="32"/>
    </row>
    <row r="28" spans="1:36" ht="14.5" customHeight="1" x14ac:dyDescent="0.3">
      <c r="A28" s="86"/>
      <c r="B28" s="42"/>
      <c r="C28" s="73" t="s">
        <v>94</v>
      </c>
      <c r="E28" s="74">
        <v>50</v>
      </c>
      <c r="F28" s="18" t="s">
        <v>35</v>
      </c>
      <c r="H28" s="73" t="s">
        <v>5</v>
      </c>
      <c r="J28" s="92">
        <v>350</v>
      </c>
      <c r="K28" s="78" t="s">
        <v>67</v>
      </c>
      <c r="M28" s="45"/>
      <c r="N28" s="20"/>
    </row>
    <row r="29" spans="1:36" ht="14.5" customHeight="1" x14ac:dyDescent="0.3">
      <c r="A29" s="86"/>
      <c r="B29" s="42"/>
      <c r="H29" s="73" t="s">
        <v>98</v>
      </c>
      <c r="J29" s="94">
        <v>200</v>
      </c>
      <c r="K29" s="95" t="s">
        <v>68</v>
      </c>
      <c r="M29" s="45"/>
      <c r="N29" s="20"/>
      <c r="O29" s="96"/>
      <c r="P29" s="97"/>
      <c r="Q29" s="97"/>
      <c r="R29" s="97"/>
      <c r="S29" s="98"/>
    </row>
    <row r="30" spans="1:36" ht="14.5" customHeight="1" x14ac:dyDescent="0.3">
      <c r="A30" s="86"/>
      <c r="B30" s="42"/>
      <c r="C30" s="5" t="s">
        <v>91</v>
      </c>
      <c r="M30" s="45"/>
      <c r="N30" s="20"/>
      <c r="O30" s="71"/>
      <c r="P30" s="99" t="s">
        <v>79</v>
      </c>
      <c r="S30" s="61"/>
    </row>
    <row r="31" spans="1:36" ht="14.5" customHeight="1" x14ac:dyDescent="0.35">
      <c r="A31" s="86"/>
      <c r="B31" s="42"/>
      <c r="C31" s="130" t="s">
        <v>110</v>
      </c>
      <c r="D31" s="130"/>
      <c r="E31" s="130"/>
      <c r="F31" s="130"/>
      <c r="H31" s="14" t="s">
        <v>99</v>
      </c>
      <c r="I31" s="100"/>
      <c r="J31" s="1"/>
      <c r="K31" s="101"/>
      <c r="M31" s="45"/>
      <c r="N31" s="20"/>
      <c r="O31" s="71"/>
      <c r="P31" s="102" t="s">
        <v>80</v>
      </c>
      <c r="S31" s="61"/>
    </row>
    <row r="32" spans="1:36" ht="14" x14ac:dyDescent="0.3">
      <c r="A32" s="86"/>
      <c r="B32" s="42"/>
      <c r="C32" s="130"/>
      <c r="D32" s="130"/>
      <c r="E32" s="130"/>
      <c r="F32" s="130"/>
      <c r="I32" s="18"/>
      <c r="M32" s="45"/>
      <c r="N32" s="20"/>
      <c r="O32" s="71"/>
      <c r="S32" s="61"/>
      <c r="AG32" s="80"/>
    </row>
    <row r="33" spans="1:33" ht="14" x14ac:dyDescent="0.3">
      <c r="A33" s="86"/>
      <c r="B33" s="42"/>
      <c r="C33" s="130"/>
      <c r="D33" s="130"/>
      <c r="E33" s="130"/>
      <c r="F33" s="130"/>
      <c r="H33" s="5" t="s">
        <v>9</v>
      </c>
      <c r="I33" s="18"/>
      <c r="M33" s="45"/>
      <c r="N33" s="20"/>
      <c r="O33" s="71"/>
      <c r="Q33" s="103" t="s">
        <v>81</v>
      </c>
      <c r="R33" s="104">
        <v>0</v>
      </c>
      <c r="S33" s="61"/>
    </row>
    <row r="34" spans="1:33" ht="14" x14ac:dyDescent="0.3">
      <c r="A34" s="86"/>
      <c r="B34" s="42"/>
      <c r="C34" s="130"/>
      <c r="D34" s="130"/>
      <c r="E34" s="130"/>
      <c r="F34" s="130"/>
      <c r="H34" s="130" t="s">
        <v>111</v>
      </c>
      <c r="I34" s="130"/>
      <c r="J34" s="130"/>
      <c r="K34" s="130"/>
      <c r="M34" s="45"/>
      <c r="N34" s="20"/>
      <c r="O34" s="71"/>
      <c r="S34" s="61"/>
    </row>
    <row r="35" spans="1:33" ht="14" x14ac:dyDescent="0.3">
      <c r="A35" s="86"/>
      <c r="B35" s="42"/>
      <c r="C35" s="130"/>
      <c r="D35" s="130"/>
      <c r="E35" s="130"/>
      <c r="F35" s="130"/>
      <c r="H35" s="130"/>
      <c r="I35" s="130"/>
      <c r="J35" s="130"/>
      <c r="K35" s="130"/>
      <c r="M35" s="45"/>
      <c r="N35" s="20"/>
      <c r="O35" s="71"/>
      <c r="Q35" s="73" t="s">
        <v>82</v>
      </c>
      <c r="R35" s="105">
        <f>$R$33*$R$25</f>
        <v>0</v>
      </c>
      <c r="S35" s="61"/>
    </row>
    <row r="36" spans="1:33" ht="16.5" customHeight="1" x14ac:dyDescent="0.3">
      <c r="A36" s="86"/>
      <c r="B36" s="42"/>
      <c r="C36" s="130"/>
      <c r="D36" s="130"/>
      <c r="E36" s="130"/>
      <c r="F36" s="130"/>
      <c r="H36" s="130"/>
      <c r="I36" s="130"/>
      <c r="J36" s="130"/>
      <c r="K36" s="130"/>
      <c r="M36" s="45"/>
      <c r="N36" s="20"/>
      <c r="O36" s="106"/>
      <c r="P36" s="101"/>
      <c r="Q36" s="101"/>
      <c r="R36" s="101"/>
      <c r="S36" s="107"/>
    </row>
    <row r="37" spans="1:33" ht="16.5" customHeight="1" x14ac:dyDescent="0.3">
      <c r="A37" s="86"/>
      <c r="B37" s="42"/>
      <c r="C37" s="108"/>
      <c r="D37" s="108"/>
      <c r="E37" s="108"/>
      <c r="F37" s="108"/>
      <c r="H37" s="130"/>
      <c r="I37" s="130"/>
      <c r="J37" s="130"/>
      <c r="K37" s="130"/>
      <c r="M37" s="45"/>
      <c r="N37" s="20"/>
    </row>
    <row r="38" spans="1:33" ht="20" x14ac:dyDescent="0.4">
      <c r="A38" s="86"/>
      <c r="B38" s="42"/>
      <c r="C38" s="73" t="s">
        <v>23</v>
      </c>
      <c r="E38" s="109">
        <v>6.8</v>
      </c>
      <c r="F38" s="18" t="s">
        <v>112</v>
      </c>
      <c r="H38" s="130"/>
      <c r="I38" s="130"/>
      <c r="J38" s="130"/>
      <c r="K38" s="130"/>
      <c r="M38" s="45"/>
      <c r="N38" s="20"/>
      <c r="O38" s="25" t="s">
        <v>106</v>
      </c>
      <c r="P38" s="26"/>
      <c r="Q38" s="32"/>
      <c r="R38" s="32"/>
      <c r="S38" s="32"/>
    </row>
    <row r="39" spans="1:33" ht="16.5" customHeight="1" x14ac:dyDescent="0.3">
      <c r="A39" s="86"/>
      <c r="B39" s="42"/>
      <c r="H39" s="130"/>
      <c r="I39" s="130"/>
      <c r="J39" s="130"/>
      <c r="K39" s="130"/>
      <c r="M39" s="45"/>
      <c r="N39" s="20"/>
      <c r="O39" s="110">
        <v>1</v>
      </c>
      <c r="P39" s="132" t="s">
        <v>113</v>
      </c>
      <c r="Q39" s="132"/>
      <c r="R39" s="132"/>
      <c r="S39" s="132"/>
    </row>
    <row r="40" spans="1:33" ht="14.5" customHeight="1" x14ac:dyDescent="0.3">
      <c r="A40" s="86"/>
      <c r="B40" s="42"/>
      <c r="C40" s="73" t="s">
        <v>84</v>
      </c>
      <c r="E40" s="77">
        <v>3.68</v>
      </c>
      <c r="F40" s="78" t="str">
        <f>_xlfn.CONCAT("Suggested Value: ",ROUND(($E$19/$E$38),2)," cylinders")</f>
        <v>Suggested Value: 3.68 cylinders</v>
      </c>
      <c r="H40" s="130"/>
      <c r="I40" s="130"/>
      <c r="J40" s="130"/>
      <c r="K40" s="130"/>
      <c r="M40" s="111"/>
      <c r="N40" s="112"/>
      <c r="P40" s="132"/>
      <c r="Q40" s="132"/>
      <c r="R40" s="132"/>
      <c r="S40" s="132"/>
    </row>
    <row r="41" spans="1:33" ht="14.5" customHeight="1" x14ac:dyDescent="0.3">
      <c r="A41" s="86"/>
      <c r="B41" s="42"/>
      <c r="H41" s="130"/>
      <c r="I41" s="130"/>
      <c r="J41" s="130"/>
      <c r="K41" s="130"/>
      <c r="M41" s="111"/>
      <c r="N41" s="112"/>
      <c r="P41" s="132"/>
      <c r="Q41" s="132"/>
      <c r="R41" s="132"/>
      <c r="S41" s="132"/>
    </row>
    <row r="42" spans="1:33" ht="14.5" customHeight="1" x14ac:dyDescent="0.3">
      <c r="A42" s="86"/>
      <c r="B42" s="42"/>
      <c r="C42" s="14" t="s">
        <v>49</v>
      </c>
      <c r="D42" s="8"/>
      <c r="E42" s="53"/>
      <c r="F42" s="54"/>
      <c r="H42" s="130"/>
      <c r="I42" s="130"/>
      <c r="J42" s="130"/>
      <c r="K42" s="130"/>
      <c r="M42" s="111"/>
      <c r="N42" s="112"/>
      <c r="O42" s="110">
        <v>2</v>
      </c>
      <c r="P42" s="132" t="s">
        <v>114</v>
      </c>
      <c r="Q42" s="132"/>
      <c r="R42" s="132"/>
      <c r="S42" s="132"/>
    </row>
    <row r="43" spans="1:33" ht="14.5" customHeight="1" x14ac:dyDescent="0.3">
      <c r="A43" s="86"/>
      <c r="B43" s="42"/>
      <c r="M43" s="111"/>
      <c r="N43" s="112"/>
      <c r="P43" s="132"/>
      <c r="Q43" s="132"/>
      <c r="R43" s="132"/>
      <c r="S43" s="132"/>
    </row>
    <row r="44" spans="1:33" ht="14.5" customHeight="1" x14ac:dyDescent="0.3">
      <c r="A44" s="86"/>
      <c r="B44" s="42"/>
      <c r="C44" s="5" t="s">
        <v>31</v>
      </c>
      <c r="G44" s="43"/>
      <c r="H44" s="73" t="s">
        <v>10</v>
      </c>
      <c r="I44" s="18"/>
      <c r="J44" s="94">
        <v>12500</v>
      </c>
      <c r="K44" s="78" t="str">
        <f>_xlfn.CONCAT("Suggested Value: $",TEXT(500*$E$19,"#,##0"))</f>
        <v>Suggested Value: $12,500</v>
      </c>
      <c r="M44" s="111"/>
      <c r="N44" s="112"/>
      <c r="P44" s="132"/>
      <c r="Q44" s="132"/>
      <c r="R44" s="132"/>
      <c r="S44" s="132"/>
    </row>
    <row r="45" spans="1:33" ht="14.5" customHeight="1" x14ac:dyDescent="0.3">
      <c r="A45" s="86"/>
      <c r="B45" s="42"/>
      <c r="C45" s="130" t="s">
        <v>95</v>
      </c>
      <c r="D45" s="130"/>
      <c r="E45" s="130"/>
      <c r="F45" s="130"/>
      <c r="G45" s="43"/>
      <c r="H45" s="73" t="s">
        <v>12</v>
      </c>
      <c r="I45" s="18"/>
      <c r="J45" s="94">
        <v>10000</v>
      </c>
      <c r="K45" s="78" t="str">
        <f>_xlfn.CONCAT("Suggested Value: $",TEXT(400*$E$19,"#,##0"))</f>
        <v>Suggested Value: $10,000</v>
      </c>
      <c r="M45" s="111"/>
      <c r="N45" s="112"/>
      <c r="O45" s="110">
        <v>3</v>
      </c>
      <c r="P45" s="132" t="s">
        <v>115</v>
      </c>
      <c r="Q45" s="132"/>
      <c r="R45" s="132"/>
      <c r="S45" s="132"/>
      <c r="AG45" s="113"/>
    </row>
    <row r="46" spans="1:33" x14ac:dyDescent="0.3">
      <c r="A46" s="86"/>
      <c r="B46" s="42"/>
      <c r="C46" s="130"/>
      <c r="D46" s="130"/>
      <c r="E46" s="130"/>
      <c r="F46" s="130"/>
      <c r="G46" s="43"/>
      <c r="M46" s="111"/>
      <c r="N46" s="112"/>
      <c r="P46" s="132"/>
      <c r="Q46" s="132"/>
      <c r="R46" s="132"/>
      <c r="S46" s="132"/>
    </row>
    <row r="47" spans="1:33" ht="14.5" customHeight="1" x14ac:dyDescent="0.3">
      <c r="A47" s="86"/>
      <c r="B47" s="42"/>
      <c r="C47" s="130"/>
      <c r="D47" s="130"/>
      <c r="E47" s="130"/>
      <c r="F47" s="130"/>
      <c r="G47" s="43"/>
      <c r="H47" s="5" t="s">
        <v>13</v>
      </c>
      <c r="M47" s="45"/>
      <c r="N47" s="20"/>
      <c r="P47" s="132"/>
      <c r="Q47" s="132"/>
      <c r="R47" s="132"/>
      <c r="S47" s="132"/>
    </row>
    <row r="48" spans="1:33" ht="14.5" customHeight="1" x14ac:dyDescent="0.3">
      <c r="A48" s="86"/>
      <c r="B48" s="42"/>
      <c r="C48" s="72"/>
      <c r="D48" s="72"/>
      <c r="E48" s="72"/>
      <c r="F48" s="72"/>
      <c r="G48" s="43"/>
      <c r="H48" s="130" t="s">
        <v>116</v>
      </c>
      <c r="I48" s="130"/>
      <c r="J48" s="130"/>
      <c r="K48" s="130"/>
      <c r="M48" s="45"/>
      <c r="N48" s="20"/>
      <c r="O48" s="110">
        <v>4</v>
      </c>
      <c r="P48" s="132" t="s">
        <v>117</v>
      </c>
      <c r="Q48" s="132"/>
      <c r="R48" s="132"/>
      <c r="S48" s="132"/>
    </row>
    <row r="49" spans="1:33" ht="14.5" customHeight="1" x14ac:dyDescent="0.3">
      <c r="A49" s="86"/>
      <c r="B49" s="42"/>
      <c r="C49" s="99" t="s">
        <v>48</v>
      </c>
      <c r="G49" s="43"/>
      <c r="H49" s="130"/>
      <c r="I49" s="130"/>
      <c r="J49" s="130"/>
      <c r="K49" s="130"/>
      <c r="M49" s="45"/>
      <c r="N49" s="20"/>
      <c r="P49" s="132"/>
      <c r="Q49" s="132"/>
      <c r="R49" s="132"/>
      <c r="S49" s="132"/>
      <c r="AG49" s="113"/>
    </row>
    <row r="50" spans="1:33" ht="14.5" customHeight="1" x14ac:dyDescent="0.3">
      <c r="A50" s="86"/>
      <c r="B50" s="42"/>
      <c r="C50" s="73" t="s">
        <v>58</v>
      </c>
      <c r="D50" s="18"/>
      <c r="E50" s="74">
        <v>30</v>
      </c>
      <c r="F50" s="18" t="s">
        <v>22</v>
      </c>
      <c r="G50" s="43"/>
      <c r="H50" s="130"/>
      <c r="I50" s="130"/>
      <c r="J50" s="130"/>
      <c r="K50" s="130"/>
      <c r="M50" s="45"/>
      <c r="N50" s="20"/>
      <c r="P50" s="132"/>
      <c r="Q50" s="132"/>
      <c r="R50" s="132"/>
      <c r="S50" s="132"/>
    </row>
    <row r="51" spans="1:33" ht="14.5" customHeight="1" x14ac:dyDescent="0.3">
      <c r="A51" s="86"/>
      <c r="B51" s="42"/>
      <c r="G51" s="43"/>
      <c r="H51" s="130"/>
      <c r="I51" s="130"/>
      <c r="J51" s="130"/>
      <c r="K51" s="130"/>
      <c r="M51" s="45"/>
      <c r="N51" s="20"/>
      <c r="O51" s="110">
        <v>5</v>
      </c>
      <c r="P51" s="132" t="s">
        <v>118</v>
      </c>
      <c r="Q51" s="132"/>
      <c r="R51" s="132"/>
      <c r="S51" s="132"/>
    </row>
    <row r="52" spans="1:33" ht="14.5" customHeight="1" x14ac:dyDescent="0.3">
      <c r="A52" s="86"/>
      <c r="B52" s="42"/>
      <c r="C52" s="99" t="s">
        <v>50</v>
      </c>
      <c r="G52" s="43"/>
      <c r="I52" s="18"/>
      <c r="M52" s="45"/>
      <c r="N52" s="20"/>
      <c r="P52" s="132"/>
      <c r="Q52" s="132"/>
      <c r="R52" s="132"/>
      <c r="S52" s="132"/>
    </row>
    <row r="53" spans="1:33" ht="14.5" customHeight="1" x14ac:dyDescent="0.3">
      <c r="A53" s="86"/>
      <c r="B53" s="42"/>
      <c r="C53" s="73" t="s">
        <v>54</v>
      </c>
      <c r="D53" s="18"/>
      <c r="E53" s="74">
        <v>7</v>
      </c>
      <c r="F53" s="18" t="s">
        <v>22</v>
      </c>
      <c r="G53" s="43"/>
      <c r="H53" s="73" t="s">
        <v>30</v>
      </c>
      <c r="J53" s="114">
        <f>0.4</f>
        <v>0.4</v>
      </c>
      <c r="K53" s="115" t="s">
        <v>14</v>
      </c>
      <c r="M53" s="45"/>
      <c r="N53" s="20"/>
      <c r="P53" s="132"/>
      <c r="Q53" s="132"/>
      <c r="R53" s="132"/>
      <c r="S53" s="132"/>
      <c r="AG53" s="113"/>
    </row>
    <row r="54" spans="1:33" ht="14.5" customHeight="1" x14ac:dyDescent="0.3">
      <c r="A54" s="86"/>
      <c r="B54" s="42"/>
      <c r="G54" s="43"/>
      <c r="I54" s="18"/>
      <c r="M54" s="45"/>
      <c r="N54" s="20"/>
      <c r="O54" s="73"/>
      <c r="P54" s="36"/>
      <c r="AG54" s="113"/>
    </row>
    <row r="55" spans="1:33" ht="14.5" customHeight="1" x14ac:dyDescent="0.3">
      <c r="A55" s="86"/>
      <c r="B55" s="42"/>
      <c r="C55" s="14" t="s">
        <v>51</v>
      </c>
      <c r="D55" s="8"/>
      <c r="E55" s="53"/>
      <c r="F55" s="54"/>
      <c r="H55" s="5" t="s">
        <v>15</v>
      </c>
      <c r="I55" s="18"/>
      <c r="M55" s="45"/>
      <c r="N55" s="20"/>
      <c r="P55" s="36"/>
      <c r="Q55" s="116"/>
    </row>
    <row r="56" spans="1:33" ht="14.5" customHeight="1" x14ac:dyDescent="0.3">
      <c r="A56" s="86"/>
      <c r="B56" s="42"/>
      <c r="H56" s="130" t="s">
        <v>119</v>
      </c>
      <c r="I56" s="130"/>
      <c r="J56" s="130"/>
      <c r="K56" s="130"/>
      <c r="M56" s="45"/>
      <c r="N56" s="20"/>
    </row>
    <row r="57" spans="1:33" ht="14.5" customHeight="1" x14ac:dyDescent="0.3">
      <c r="A57" s="86"/>
      <c r="B57" s="42"/>
      <c r="C57" s="99" t="s">
        <v>32</v>
      </c>
      <c r="H57" s="130"/>
      <c r="I57" s="130"/>
      <c r="J57" s="130"/>
      <c r="K57" s="130"/>
      <c r="M57" s="45"/>
      <c r="N57" s="20"/>
    </row>
    <row r="58" spans="1:33" ht="14.5" customHeight="1" x14ac:dyDescent="0.3">
      <c r="A58" s="86"/>
      <c r="B58" s="42"/>
      <c r="C58" s="130" t="s">
        <v>96</v>
      </c>
      <c r="D58" s="130"/>
      <c r="E58" s="130"/>
      <c r="F58" s="130"/>
      <c r="H58" s="130"/>
      <c r="I58" s="130"/>
      <c r="J58" s="130"/>
      <c r="K58" s="130"/>
      <c r="M58" s="45"/>
      <c r="N58" s="20"/>
    </row>
    <row r="59" spans="1:33" ht="14.5" customHeight="1" x14ac:dyDescent="0.3">
      <c r="A59" s="86"/>
      <c r="B59" s="42"/>
      <c r="C59" s="130"/>
      <c r="D59" s="130"/>
      <c r="E59" s="130"/>
      <c r="F59" s="130"/>
      <c r="H59" s="130"/>
      <c r="I59" s="130"/>
      <c r="J59" s="130"/>
      <c r="K59" s="130"/>
      <c r="M59" s="45"/>
      <c r="N59" s="20"/>
      <c r="AG59" s="113"/>
    </row>
    <row r="60" spans="1:33" ht="14.5" customHeight="1" x14ac:dyDescent="0.3">
      <c r="A60" s="86"/>
      <c r="B60" s="42"/>
      <c r="C60" s="130"/>
      <c r="D60" s="130"/>
      <c r="E60" s="130"/>
      <c r="F60" s="130"/>
      <c r="M60" s="45"/>
      <c r="N60" s="20"/>
    </row>
    <row r="61" spans="1:33" ht="14.5" customHeight="1" x14ac:dyDescent="0.3">
      <c r="A61" s="86"/>
      <c r="B61" s="42"/>
      <c r="H61" s="73" t="s">
        <v>29</v>
      </c>
      <c r="J61" s="114">
        <v>20</v>
      </c>
      <c r="K61" s="115" t="s">
        <v>66</v>
      </c>
      <c r="M61" s="45"/>
      <c r="N61" s="20"/>
    </row>
    <row r="62" spans="1:33" ht="14.5" customHeight="1" x14ac:dyDescent="0.3">
      <c r="A62" s="86"/>
      <c r="B62" s="42"/>
      <c r="C62" s="73" t="s">
        <v>55</v>
      </c>
      <c r="D62" s="18"/>
      <c r="E62" s="74">
        <v>24</v>
      </c>
      <c r="F62" s="18" t="s">
        <v>52</v>
      </c>
      <c r="M62" s="45"/>
      <c r="N62" s="20"/>
    </row>
    <row r="63" spans="1:33" ht="14.5" customHeight="1" x14ac:dyDescent="0.3">
      <c r="A63" s="86"/>
      <c r="B63" s="42"/>
      <c r="H63" s="14" t="s">
        <v>57</v>
      </c>
      <c r="I63" s="100"/>
      <c r="J63" s="1"/>
      <c r="K63" s="101"/>
      <c r="M63" s="45"/>
      <c r="N63" s="20"/>
    </row>
    <row r="64" spans="1:33" ht="14.5" customHeight="1" x14ac:dyDescent="0.3">
      <c r="A64" s="86"/>
      <c r="B64" s="42"/>
      <c r="C64" s="99" t="s">
        <v>61</v>
      </c>
      <c r="I64" s="18"/>
      <c r="M64" s="45"/>
      <c r="N64" s="20"/>
    </row>
    <row r="65" spans="1:14" ht="14.5" customHeight="1" x14ac:dyDescent="0.3">
      <c r="A65" s="86"/>
      <c r="B65" s="42"/>
      <c r="C65" s="130" t="s">
        <v>86</v>
      </c>
      <c r="D65" s="130"/>
      <c r="E65" s="130"/>
      <c r="F65" s="130"/>
      <c r="H65" s="5" t="s">
        <v>16</v>
      </c>
      <c r="I65" s="18"/>
      <c r="L65" s="115"/>
      <c r="M65" s="45"/>
      <c r="N65" s="20"/>
    </row>
    <row r="66" spans="1:14" ht="14.5" customHeight="1" x14ac:dyDescent="0.3">
      <c r="A66" s="86"/>
      <c r="B66" s="42"/>
      <c r="C66" s="130"/>
      <c r="D66" s="130"/>
      <c r="E66" s="130"/>
      <c r="F66" s="130"/>
      <c r="H66" s="130" t="s">
        <v>100</v>
      </c>
      <c r="I66" s="130"/>
      <c r="J66" s="130"/>
      <c r="K66" s="130"/>
      <c r="L66" s="115"/>
      <c r="M66" s="45"/>
      <c r="N66" s="20"/>
    </row>
    <row r="67" spans="1:14" ht="14" x14ac:dyDescent="0.3">
      <c r="A67" s="86"/>
      <c r="B67" s="42"/>
      <c r="C67" s="130"/>
      <c r="D67" s="130"/>
      <c r="E67" s="130"/>
      <c r="F67" s="130"/>
      <c r="H67" s="130"/>
      <c r="I67" s="130"/>
      <c r="J67" s="130"/>
      <c r="K67" s="130"/>
      <c r="M67" s="45"/>
      <c r="N67" s="20"/>
    </row>
    <row r="68" spans="1:14" x14ac:dyDescent="0.3">
      <c r="A68" s="86"/>
      <c r="B68" s="42"/>
      <c r="H68" s="130"/>
      <c r="I68" s="130"/>
      <c r="J68" s="130"/>
      <c r="K68" s="130"/>
      <c r="M68" s="45"/>
      <c r="N68" s="20"/>
    </row>
    <row r="69" spans="1:14" ht="14.5" customHeight="1" x14ac:dyDescent="0.3">
      <c r="A69" s="86"/>
      <c r="B69" s="42"/>
      <c r="C69" s="73" t="s">
        <v>1</v>
      </c>
      <c r="D69" s="18"/>
      <c r="E69" s="74">
        <v>365</v>
      </c>
      <c r="F69" s="18" t="s">
        <v>33</v>
      </c>
      <c r="I69" s="66"/>
      <c r="J69" s="66"/>
      <c r="K69" s="66"/>
      <c r="M69" s="45"/>
      <c r="N69" s="20"/>
    </row>
    <row r="70" spans="1:14" x14ac:dyDescent="0.3">
      <c r="A70" s="86"/>
      <c r="B70" s="42"/>
      <c r="H70" s="73" t="s">
        <v>28</v>
      </c>
      <c r="I70" s="18"/>
      <c r="J70" s="104">
        <v>0.23</v>
      </c>
      <c r="K70" s="18" t="s">
        <v>14</v>
      </c>
      <c r="M70" s="45"/>
      <c r="N70" s="20"/>
    </row>
    <row r="71" spans="1:14" ht="14.5" customHeight="1" x14ac:dyDescent="0.3">
      <c r="A71" s="86"/>
      <c r="B71" s="42"/>
      <c r="C71" s="14" t="s">
        <v>64</v>
      </c>
      <c r="D71" s="8"/>
      <c r="E71" s="53"/>
      <c r="F71" s="54"/>
      <c r="H71" s="73" t="s">
        <v>27</v>
      </c>
      <c r="I71" s="18"/>
      <c r="J71" s="104">
        <v>1.18</v>
      </c>
      <c r="K71" s="18" t="s">
        <v>17</v>
      </c>
      <c r="M71" s="45"/>
      <c r="N71" s="20"/>
    </row>
    <row r="72" spans="1:14" ht="14.5" customHeight="1" x14ac:dyDescent="0.3">
      <c r="A72" s="86"/>
      <c r="B72" s="42"/>
      <c r="M72" s="45"/>
      <c r="N72" s="20"/>
    </row>
    <row r="73" spans="1:14" ht="14.5" customHeight="1" x14ac:dyDescent="0.3">
      <c r="A73" s="86"/>
      <c r="B73" s="42"/>
      <c r="C73" s="99" t="s">
        <v>65</v>
      </c>
      <c r="H73" s="5" t="s">
        <v>59</v>
      </c>
      <c r="M73" s="45"/>
      <c r="N73" s="20"/>
    </row>
    <row r="74" spans="1:14" ht="14.5" customHeight="1" x14ac:dyDescent="0.3">
      <c r="B74" s="71"/>
      <c r="C74" s="130" t="s">
        <v>97</v>
      </c>
      <c r="D74" s="130"/>
      <c r="E74" s="130"/>
      <c r="F74" s="130"/>
      <c r="H74" s="130" t="s">
        <v>120</v>
      </c>
      <c r="I74" s="130"/>
      <c r="J74" s="130"/>
      <c r="K74" s="130"/>
      <c r="M74" s="61"/>
    </row>
    <row r="75" spans="1:14" ht="16.5" customHeight="1" x14ac:dyDescent="0.3">
      <c r="B75" s="71"/>
      <c r="C75" s="130"/>
      <c r="D75" s="130"/>
      <c r="E75" s="130"/>
      <c r="F75" s="130"/>
      <c r="H75" s="130"/>
      <c r="I75" s="130"/>
      <c r="J75" s="130"/>
      <c r="K75" s="130"/>
      <c r="M75" s="61"/>
    </row>
    <row r="76" spans="1:14" ht="14" x14ac:dyDescent="0.3">
      <c r="B76" s="71"/>
      <c r="C76" s="130"/>
      <c r="D76" s="130"/>
      <c r="E76" s="130"/>
      <c r="F76" s="130"/>
      <c r="H76" s="130"/>
      <c r="I76" s="130"/>
      <c r="J76" s="130"/>
      <c r="K76" s="130"/>
      <c r="M76" s="61"/>
    </row>
    <row r="77" spans="1:14" ht="14" x14ac:dyDescent="0.3">
      <c r="B77" s="71"/>
      <c r="C77" s="130"/>
      <c r="D77" s="130"/>
      <c r="E77" s="130"/>
      <c r="F77" s="130"/>
      <c r="H77" s="130"/>
      <c r="I77" s="130"/>
      <c r="J77" s="130"/>
      <c r="K77" s="130"/>
      <c r="M77" s="61"/>
    </row>
    <row r="78" spans="1:14" ht="14" x14ac:dyDescent="0.3">
      <c r="B78" s="71"/>
      <c r="C78" s="130"/>
      <c r="D78" s="130"/>
      <c r="E78" s="130"/>
      <c r="F78" s="130"/>
      <c r="H78" s="130"/>
      <c r="I78" s="130"/>
      <c r="J78" s="130"/>
      <c r="K78" s="130"/>
      <c r="M78" s="61"/>
    </row>
    <row r="79" spans="1:14" ht="14" x14ac:dyDescent="0.3">
      <c r="B79" s="71"/>
      <c r="C79" s="130"/>
      <c r="D79" s="130"/>
      <c r="E79" s="130"/>
      <c r="F79" s="130"/>
      <c r="H79" s="130"/>
      <c r="I79" s="130"/>
      <c r="J79" s="130"/>
      <c r="K79" s="130"/>
      <c r="M79" s="61"/>
    </row>
    <row r="80" spans="1:14" ht="15" customHeight="1" x14ac:dyDescent="0.3">
      <c r="B80" s="71"/>
      <c r="H80" s="130"/>
      <c r="I80" s="130"/>
      <c r="J80" s="130"/>
      <c r="K80" s="130"/>
      <c r="M80" s="61"/>
    </row>
    <row r="81" spans="2:13" ht="14.5" customHeight="1" x14ac:dyDescent="0.3">
      <c r="B81" s="71"/>
      <c r="C81" s="73" t="s">
        <v>75</v>
      </c>
      <c r="D81" s="18"/>
      <c r="E81" s="74">
        <v>0</v>
      </c>
      <c r="F81" s="18" t="s">
        <v>19</v>
      </c>
      <c r="M81" s="61"/>
    </row>
    <row r="82" spans="2:13" x14ac:dyDescent="0.3">
      <c r="B82" s="71"/>
      <c r="E82" s="78" t="str">
        <f>_xlfn.CONCAT("Suggested Value: ",ROUND((IF($J$92=3,(($E$50*$E$62*$J$93*($E$27/100))+(($E$50+$E$53)*$E$62*$J$93*($E$28/100)))/4,IF($J$94=3,(($E$50*$E$62*$J$95*($E$27/100))+(($E$50+$E$53)*$E$62*$J$95*($E$28/100)))/4,0))),2)," kWp")</f>
        <v>Suggested Value: 0 kWp</v>
      </c>
      <c r="H82" s="73" t="s">
        <v>26</v>
      </c>
      <c r="I82" s="18"/>
      <c r="J82" s="117">
        <v>0.4</v>
      </c>
      <c r="K82" s="18" t="s">
        <v>18</v>
      </c>
      <c r="M82" s="61"/>
    </row>
    <row r="83" spans="2:13" ht="14" x14ac:dyDescent="0.3">
      <c r="B83" s="71"/>
      <c r="D83" s="18"/>
      <c r="H83" s="73" t="s">
        <v>25</v>
      </c>
      <c r="I83" s="18"/>
      <c r="J83" s="118">
        <v>20</v>
      </c>
      <c r="K83" s="18" t="s">
        <v>35</v>
      </c>
      <c r="M83" s="61"/>
    </row>
    <row r="84" spans="2:13" x14ac:dyDescent="0.3">
      <c r="B84" s="71"/>
      <c r="D84" s="18"/>
      <c r="M84" s="61"/>
    </row>
    <row r="85" spans="2:13" ht="16.5" customHeight="1" x14ac:dyDescent="0.3">
      <c r="B85" s="71"/>
      <c r="D85" s="18"/>
      <c r="H85" s="5" t="s">
        <v>60</v>
      </c>
      <c r="M85" s="61"/>
    </row>
    <row r="86" spans="2:13" ht="14" x14ac:dyDescent="0.3">
      <c r="B86" s="71"/>
      <c r="D86" s="18"/>
      <c r="H86" s="130" t="s">
        <v>101</v>
      </c>
      <c r="I86" s="130"/>
      <c r="J86" s="130"/>
      <c r="K86" s="130"/>
      <c r="M86" s="61"/>
    </row>
    <row r="87" spans="2:13" ht="14" x14ac:dyDescent="0.3">
      <c r="B87" s="71"/>
      <c r="D87" s="18"/>
      <c r="H87" s="130"/>
      <c r="I87" s="130"/>
      <c r="J87" s="130"/>
      <c r="K87" s="130"/>
      <c r="M87" s="61"/>
    </row>
    <row r="88" spans="2:13" ht="14" x14ac:dyDescent="0.3">
      <c r="B88" s="71"/>
      <c r="D88" s="18"/>
      <c r="H88" s="130"/>
      <c r="I88" s="130"/>
      <c r="J88" s="130"/>
      <c r="K88" s="130"/>
      <c r="M88" s="61"/>
    </row>
    <row r="89" spans="2:13" ht="14" x14ac:dyDescent="0.3">
      <c r="B89" s="71"/>
      <c r="D89" s="18"/>
      <c r="H89" s="130"/>
      <c r="I89" s="130"/>
      <c r="J89" s="130"/>
      <c r="K89" s="130"/>
      <c r="M89" s="61"/>
    </row>
    <row r="90" spans="2:13" ht="14" x14ac:dyDescent="0.3">
      <c r="B90" s="71"/>
      <c r="D90" s="18"/>
      <c r="H90" s="130"/>
      <c r="I90" s="130"/>
      <c r="J90" s="130"/>
      <c r="K90" s="130"/>
      <c r="M90" s="61"/>
    </row>
    <row r="91" spans="2:13" x14ac:dyDescent="0.3">
      <c r="B91" s="71"/>
      <c r="M91" s="61"/>
    </row>
    <row r="92" spans="2:13" ht="14.15" customHeight="1" x14ac:dyDescent="0.3">
      <c r="B92" s="71"/>
      <c r="D92" s="18"/>
      <c r="H92" s="119" t="s">
        <v>20</v>
      </c>
      <c r="I92" s="120"/>
      <c r="J92" s="121">
        <v>1</v>
      </c>
      <c r="M92" s="61"/>
    </row>
    <row r="93" spans="2:13" x14ac:dyDescent="0.3">
      <c r="B93" s="71"/>
      <c r="D93" s="18"/>
      <c r="H93" s="119" t="s">
        <v>102</v>
      </c>
      <c r="I93" s="120"/>
      <c r="J93" s="122">
        <v>0.7</v>
      </c>
      <c r="M93" s="61"/>
    </row>
    <row r="94" spans="2:13" x14ac:dyDescent="0.3">
      <c r="B94" s="71"/>
      <c r="D94" s="18"/>
      <c r="H94" s="119" t="s">
        <v>21</v>
      </c>
      <c r="I94" s="123"/>
      <c r="J94" s="121">
        <v>2</v>
      </c>
      <c r="K94" s="20"/>
      <c r="M94" s="61"/>
    </row>
    <row r="95" spans="2:13" x14ac:dyDescent="0.3">
      <c r="B95" s="71"/>
      <c r="D95" s="18"/>
      <c r="H95" s="124" t="s">
        <v>103</v>
      </c>
      <c r="I95" s="120"/>
      <c r="J95" s="125">
        <f>1-$J$93</f>
        <v>0.30000000000000004</v>
      </c>
      <c r="K95" s="20"/>
      <c r="M95" s="61"/>
    </row>
    <row r="96" spans="2:13" ht="14" x14ac:dyDescent="0.3">
      <c r="B96" s="106"/>
      <c r="C96" s="101"/>
      <c r="D96" s="101"/>
      <c r="E96" s="101"/>
      <c r="F96" s="101"/>
      <c r="G96" s="101"/>
      <c r="H96" s="101"/>
      <c r="I96" s="101"/>
      <c r="J96" s="101"/>
      <c r="K96" s="101"/>
      <c r="L96" s="101"/>
      <c r="M96" s="107"/>
    </row>
    <row r="97" spans="3:9" ht="14" x14ac:dyDescent="0.3">
      <c r="D97" s="18"/>
      <c r="I97" s="18"/>
    </row>
    <row r="98" spans="3:9" ht="14" x14ac:dyDescent="0.3">
      <c r="D98" s="18"/>
      <c r="I98" s="18"/>
    </row>
    <row r="99" spans="3:9" ht="14" x14ac:dyDescent="0.3">
      <c r="D99" s="18"/>
      <c r="I99" s="18"/>
    </row>
    <row r="100" spans="3:9" x14ac:dyDescent="0.3">
      <c r="I100" s="18"/>
    </row>
    <row r="101" spans="3:9" ht="14.5" customHeight="1" x14ac:dyDescent="0.3">
      <c r="I101" s="18"/>
    </row>
    <row r="102" spans="3:9" ht="14.25" customHeight="1" x14ac:dyDescent="0.3">
      <c r="I102" s="18"/>
    </row>
    <row r="103" spans="3:9" x14ac:dyDescent="0.3">
      <c r="I103" s="18"/>
    </row>
    <row r="104" spans="3:9" x14ac:dyDescent="0.3">
      <c r="I104" s="18"/>
    </row>
    <row r="105" spans="3:9" x14ac:dyDescent="0.3">
      <c r="I105" s="18"/>
    </row>
    <row r="107" spans="3:9" x14ac:dyDescent="0.3">
      <c r="F107" s="43"/>
    </row>
    <row r="108" spans="3:9" x14ac:dyDescent="0.3">
      <c r="C108" s="70"/>
      <c r="E108" s="126"/>
      <c r="F108" s="43"/>
    </row>
    <row r="109" spans="3:9" x14ac:dyDescent="0.3">
      <c r="E109" s="126"/>
      <c r="F109" s="43"/>
    </row>
    <row r="110" spans="3:9" x14ac:dyDescent="0.3">
      <c r="E110" s="126"/>
      <c r="F110" s="43"/>
    </row>
    <row r="136" ht="15" customHeight="1" x14ac:dyDescent="0.3"/>
  </sheetData>
  <mergeCells count="22">
    <mergeCell ref="P45:S47"/>
    <mergeCell ref="P48:S50"/>
    <mergeCell ref="P51:S53"/>
    <mergeCell ref="B6:M6"/>
    <mergeCell ref="O6:S6"/>
    <mergeCell ref="H13:K16"/>
    <mergeCell ref="H24:K25"/>
    <mergeCell ref="H34:K42"/>
    <mergeCell ref="P39:S41"/>
    <mergeCell ref="P42:S44"/>
    <mergeCell ref="C74:F79"/>
    <mergeCell ref="H86:K90"/>
    <mergeCell ref="C13:F17"/>
    <mergeCell ref="C22:F25"/>
    <mergeCell ref="H48:K51"/>
    <mergeCell ref="H56:K59"/>
    <mergeCell ref="H66:K68"/>
    <mergeCell ref="H74:K80"/>
    <mergeCell ref="C31:F36"/>
    <mergeCell ref="C45:F47"/>
    <mergeCell ref="C58:F60"/>
    <mergeCell ref="C65:F67"/>
  </mergeCells>
  <dataValidations disablePrompts="1" count="3">
    <dataValidation allowBlank="1" showInputMessage="1" showErrorMessage="1" prompt="If cylinders are rented through the oxygen supplier, cylinder overhead costs are applied to the accessories (regulator, flowmeter, humidifier, etc) only.  " sqref="L66 I8 D8" xr:uid="{30CCA58E-4F01-45D2-9D15-7428EB69EE10}"/>
    <dataValidation allowBlank="1" showInputMessage="1" showErrorMessage="1" prompt="Installation does not include installation of piping.  If a facility is not already piped for central oxygen distribution, this would have to be estimated separately as costs would vary considerably depending on the layout of the facility and/or buildings" sqref="I8 D8" xr:uid="{93EBFE50-F98F-409C-BF30-AD93BED36B2B}"/>
    <dataValidation type="whole" allowBlank="1" showInputMessage="1" showErrorMessage="1" sqref="J92 J94" xr:uid="{A5462052-F53A-481D-BB37-00249DC42731}">
      <formula1>1</formula1>
      <formula2>3</formula2>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C H 3 Y V A p U c G m k A A A A 9 w A A A B I A H A B D b 2 5 m a W c v U G F j a 2 F n Z S 5 4 b W w g o h g A K K A U A A A A A A A A A A A A A A A A A A A A A A A A A A A A h Y 9 N D o I w G E S v Q r q n f 8 b E k F I W b i U x I R q 3 T a n Q C B + G F s v d X H g k r y B G U X c u 5 8 1 b z N y v N 5 G N b R N d T O 9 s B y l i m K L I g O 5 K C 1 W K B n + M V y i T Y q v 0 S V U m m m R w y e j K F N X e n x N C Q g g 4 L H D X V 4 R T y s g h 3 x S 6 N q 1 C H 9 n + l 2 M L z i v Q B k m x f 4 2 R H D O 6 x I x z j q k g M x W 5 h a / B p 8 H P 9 g e K 9 d D 4 o T f S Q L w r B J m j I O 8 T 8 g F Q S w M E F A A C A A g A C H 3 Y 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h 9 2 F Q o i k e 4 D g A A A B E A A A A T A B w A R m 9 y b X V s Y X M v U 2 V j d G l v b j E u b S C i G A A o o B Q A A A A A A A A A A A A A A A A A A A A A A A A A A A A r T k 0 u y c z P U w i G 0 I b W A F B L A Q I t A B Q A A g A I A A h 9 2 F Q K V H B p p A A A A P c A A A A S A A A A A A A A A A A A A A A A A A A A A A B D b 2 5 m a W c v U G F j a 2 F n Z S 5 4 b W x Q S w E C L Q A U A A I A C A A I f d h U D 8 r p q 6 Q A A A D p A A A A E w A A A A A A A A A A A A A A A A D w A A A A W 0 N v b n R l b n R f V H l w Z X N d L n h t b F B L A Q I t A B Q A A g A I A A h 9 2 F 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I 1 T l W m v x i T Z c 9 l R 9 U b F U i A A A A A A I A A A A A A B B m A A A A A Q A A I A A A A K v h E I B U T R P y F t Z s G c M A 3 D S j T y H v G J L Z H w 2 f K w I 9 O z 3 A A A A A A A 6 A A A A A A g A A I A A A A G t I q / f N 5 K t 2 v s t X 5 Y W x H s H e h s k R K J n m V z U O I O h d l K d 3 U A A A A L W m N y t X 2 t p V u C M f q 8 9 B a L 2 o P C 3 m f k t m u N j b s A 1 / 4 5 V I 6 l D m M v a X R 1 L K d K p O d 2 c Q I e q / 0 d c 5 j 7 o U u Z S i W N W z t B I 1 6 p + a 7 p 4 + j o P c f S b e R A B I Q A A A A B y 8 r M c B U I 9 7 P G X G k e t x v Q L B j C S L L Q p D Y E g E r b 1 X O J v N 3 X w 9 G g 8 S 1 k H L Q L h W y I V K J + p 6 c u M u / e 4 a f l m 5 5 e m s 1 e Y = < / D a t a M a s h u p > 
</file>

<file path=customXml/itemProps1.xml><?xml version="1.0" encoding="utf-8"?>
<ds:datastoreItem xmlns:ds="http://schemas.openxmlformats.org/officeDocument/2006/customXml" ds:itemID="{4E42E9B8-93D1-4CE1-AC54-635C03EC748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OPEX Estimator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Rothkopf</dc:creator>
  <cp:keywords/>
  <dc:description/>
  <cp:lastModifiedBy>Carrie Hemminger</cp:lastModifiedBy>
  <cp:revision/>
  <dcterms:created xsi:type="dcterms:W3CDTF">2015-06-05T18:19:34Z</dcterms:created>
  <dcterms:modified xsi:type="dcterms:W3CDTF">2026-08-31T15:19:47Z</dcterms:modified>
  <cp:category/>
  <cp:contentStatus/>
</cp:coreProperties>
</file>