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pi.box.com/wopi/files/2063054954327/WOPIServiceId_TP_BOX_2/WOPIUserId_-/"/>
    </mc:Choice>
  </mc:AlternateContent>
  <xr:revisionPtr revIDLastSave="14" documentId="8_{2212EA81-B171-4BDF-98CE-D02E504D4098}" xr6:coauthVersionLast="47" xr6:coauthVersionMax="47" xr10:uidLastSave="{C181E7C2-207B-4E32-BD22-79CEA2AD6CAD}"/>
  <bookViews>
    <workbookView xWindow="28680" yWindow="-4290" windowWidth="29040" windowHeight="15720" xr2:uid="{00000000-000D-0000-FFFF-FFFF00000000}"/>
  </bookViews>
  <sheets>
    <sheet name="READ ME FIRST" sheetId="15" r:id="rId1"/>
    <sheet name="Inputs" sheetId="16" r:id="rId2"/>
    <sheet name="Dashboard" sheetId="17" r:id="rId3"/>
    <sheet name="Results" sheetId="18" r:id="rId4"/>
    <sheet name="Vaccine options" sheetId="3" state="hidden" r:id="rId5"/>
    <sheet name="Vaccine prices" sheetId="13" state="hidden" r:id="rId6"/>
    <sheet name="Version" sheetId="14" state="hidden" r:id="rId7"/>
  </sheets>
  <definedNames>
    <definedName name="_xlnm.Print_Area" localSheetId="2">Dashboard!$B$3:$M$37</definedName>
    <definedName name="_xlnm.Print_Area" localSheetId="1">Inputs!$E$3:$O$106</definedName>
    <definedName name="_xlnm.Print_Area" localSheetId="3">Results!$B$3:$M$73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4" i="18" l="1"/>
  <c r="L23" i="18"/>
  <c r="L22" i="18"/>
  <c r="L21" i="18"/>
  <c r="L20" i="18"/>
  <c r="J24" i="18"/>
  <c r="J23" i="18"/>
  <c r="J22" i="18"/>
  <c r="J21" i="18"/>
  <c r="J20" i="18"/>
  <c r="H24" i="18"/>
  <c r="H23" i="18"/>
  <c r="H22" i="18"/>
  <c r="H21" i="18"/>
  <c r="H20" i="18"/>
  <c r="F11" i="18" l="1"/>
  <c r="G12" i="16"/>
  <c r="G71" i="16"/>
  <c r="N70" i="16"/>
  <c r="M71" i="16"/>
  <c r="K71" i="16"/>
  <c r="I71" i="16"/>
  <c r="F21" i="3" a="1"/>
  <c r="F21" i="3" s="1"/>
  <c r="A58" i="13"/>
  <c r="A59" i="13"/>
  <c r="A60" i="13"/>
  <c r="A61" i="13"/>
  <c r="A62" i="13"/>
  <c r="A63" i="13"/>
  <c r="A64" i="13"/>
  <c r="A65" i="13"/>
  <c r="A66" i="13"/>
  <c r="A67" i="13"/>
  <c r="A68" i="13"/>
  <c r="A69" i="13"/>
  <c r="A70" i="13"/>
  <c r="A57" i="13"/>
  <c r="A44" i="13"/>
  <c r="A45" i="13"/>
  <c r="A46" i="13"/>
  <c r="A47" i="13"/>
  <c r="A48" i="13"/>
  <c r="A49" i="13"/>
  <c r="A50" i="13"/>
  <c r="A51" i="13"/>
  <c r="A52" i="13"/>
  <c r="A53" i="13"/>
  <c r="A54" i="13"/>
  <c r="A55" i="13"/>
  <c r="A56" i="13"/>
  <c r="A43" i="13"/>
  <c r="A30" i="13"/>
  <c r="A31" i="13"/>
  <c r="A32" i="13"/>
  <c r="A33" i="13"/>
  <c r="A34" i="13"/>
  <c r="A35" i="13"/>
  <c r="A36" i="13"/>
  <c r="A37" i="13"/>
  <c r="A38" i="13"/>
  <c r="A39" i="13"/>
  <c r="A40" i="13"/>
  <c r="A41" i="13"/>
  <c r="A42" i="13"/>
  <c r="A29" i="13"/>
  <c r="A16" i="13"/>
  <c r="A17" i="13"/>
  <c r="A18" i="13"/>
  <c r="A19" i="13"/>
  <c r="A20" i="13"/>
  <c r="A21" i="13"/>
  <c r="A22" i="13"/>
  <c r="A23" i="13"/>
  <c r="A24" i="13"/>
  <c r="A25" i="13"/>
  <c r="A26" i="13"/>
  <c r="A27" i="13"/>
  <c r="A28" i="13"/>
  <c r="A15" i="13"/>
  <c r="A2" i="13"/>
  <c r="A3" i="13"/>
  <c r="A4" i="13"/>
  <c r="A5" i="13"/>
  <c r="A6" i="13"/>
  <c r="A7" i="13"/>
  <c r="A8" i="13"/>
  <c r="A9" i="13"/>
  <c r="A10" i="13"/>
  <c r="A11" i="13"/>
  <c r="A12" i="13"/>
  <c r="A13" i="13"/>
  <c r="A14" i="13"/>
  <c r="A1" i="13"/>
  <c r="A63" i="3" l="1"/>
  <c r="A61" i="3"/>
  <c r="A60" i="3"/>
  <c r="A59" i="3"/>
  <c r="A58" i="3"/>
  <c r="A57" i="3"/>
  <c r="A53" i="3" l="1"/>
  <c r="A51" i="3"/>
  <c r="A50" i="3"/>
  <c r="A49" i="3"/>
  <c r="A48" i="3"/>
  <c r="A47" i="3"/>
  <c r="A45" i="3"/>
  <c r="E38" i="3"/>
  <c r="K55" i="3" s="1"/>
  <c r="D38" i="3"/>
  <c r="H55" i="3" s="1"/>
  <c r="C38" i="3"/>
  <c r="E55" i="3" s="1"/>
  <c r="B38" i="3"/>
  <c r="B55" i="3" s="1"/>
  <c r="A43" i="3"/>
  <c r="A42" i="3"/>
  <c r="A41" i="3"/>
  <c r="A40" i="3"/>
  <c r="A39" i="3"/>
  <c r="G22" i="16"/>
  <c r="F13" i="3" l="1"/>
  <c r="F22" i="3" s="1"/>
  <c r="F23" i="3" s="1"/>
  <c r="F24" i="3" s="1"/>
  <c r="F25" i="3" s="1"/>
  <c r="F26" i="3" s="1"/>
  <c r="F27" i="3" s="1"/>
  <c r="F28" i="3" s="1"/>
  <c r="F29" i="3" s="1"/>
  <c r="D14" i="3"/>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G51" i="16" l="1"/>
  <c r="D72" i="18"/>
  <c r="D71" i="18"/>
  <c r="D70" i="18"/>
  <c r="D69" i="18"/>
  <c r="D68" i="18"/>
  <c r="D63" i="18"/>
  <c r="D62" i="18"/>
  <c r="D61" i="18"/>
  <c r="D60" i="18"/>
  <c r="D59" i="18"/>
  <c r="K75" i="16"/>
  <c r="I75" i="16"/>
  <c r="K74" i="16"/>
  <c r="I74" i="16"/>
  <c r="M74" i="16"/>
  <c r="G74" i="16"/>
  <c r="I72" i="16"/>
  <c r="M72" i="16"/>
  <c r="K72" i="16"/>
  <c r="G72" i="16"/>
  <c r="M51" i="16"/>
  <c r="K51" i="16"/>
  <c r="I51"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F45" i="16"/>
  <c r="F44" i="16"/>
  <c r="F43" i="16"/>
  <c r="F42" i="16"/>
  <c r="F41" i="16"/>
  <c r="G75" i="16"/>
  <c r="M75" i="16"/>
  <c r="I61" i="3" l="1"/>
  <c r="H58" i="3"/>
  <c r="J63" i="3"/>
  <c r="J60" i="3"/>
  <c r="H60" i="3"/>
  <c r="I58" i="3"/>
  <c r="I57" i="3"/>
  <c r="I63" i="3"/>
  <c r="J61" i="3"/>
  <c r="H61" i="3"/>
  <c r="H63" i="3"/>
  <c r="J57" i="3"/>
  <c r="I59" i="3"/>
  <c r="I60" i="3"/>
  <c r="H57" i="3"/>
  <c r="J58" i="3"/>
  <c r="J59" i="3"/>
  <c r="H59" i="3"/>
  <c r="M63" i="3"/>
  <c r="L60" i="3"/>
  <c r="K57" i="3"/>
  <c r="L63" i="3"/>
  <c r="K63" i="3"/>
  <c r="M59" i="3"/>
  <c r="K59" i="3"/>
  <c r="M61" i="3"/>
  <c r="M57" i="3"/>
  <c r="M60" i="3"/>
  <c r="K60" i="3"/>
  <c r="K61" i="3"/>
  <c r="L58" i="3"/>
  <c r="L59" i="3"/>
  <c r="L57" i="3"/>
  <c r="L61" i="3"/>
  <c r="M58" i="3"/>
  <c r="K58" i="3"/>
  <c r="E63" i="3"/>
  <c r="G58" i="3"/>
  <c r="F61" i="3"/>
  <c r="F57" i="3"/>
  <c r="G61" i="3"/>
  <c r="E59" i="3"/>
  <c r="F58" i="3"/>
  <c r="E57" i="3"/>
  <c r="G57" i="3"/>
  <c r="E60" i="3"/>
  <c r="E61" i="3"/>
  <c r="G63" i="3"/>
  <c r="F59" i="3"/>
  <c r="F63" i="3"/>
  <c r="F60" i="3"/>
  <c r="C39" i="3"/>
  <c r="C47" i="3" s="1"/>
  <c r="G59" i="3"/>
  <c r="G60" i="3"/>
  <c r="E58" i="3"/>
  <c r="D63" i="3"/>
  <c r="B63" i="3"/>
  <c r="B45" i="3"/>
  <c r="B53" i="3" s="1"/>
  <c r="C59" i="3"/>
  <c r="C60" i="3"/>
  <c r="C61" i="3"/>
  <c r="C57" i="3"/>
  <c r="D58" i="3"/>
  <c r="B58" i="3"/>
  <c r="D59" i="3"/>
  <c r="B59" i="3"/>
  <c r="D57" i="3"/>
  <c r="B60" i="3"/>
  <c r="C63" i="3"/>
  <c r="D61" i="3"/>
  <c r="B61" i="3"/>
  <c r="C58" i="3"/>
  <c r="B39" i="3"/>
  <c r="B47" i="3" s="1"/>
  <c r="B57" i="3"/>
  <c r="D60" i="3"/>
  <c r="H11" i="18"/>
  <c r="B43" i="3"/>
  <c r="F15" i="18"/>
  <c r="F13" i="18"/>
  <c r="F12" i="18"/>
  <c r="B41" i="3"/>
  <c r="B40" i="3"/>
  <c r="B42" i="3"/>
  <c r="F14" i="18"/>
  <c r="C41" i="3"/>
  <c r="C42" i="3"/>
  <c r="H13" i="18"/>
  <c r="C43" i="3"/>
  <c r="C45" i="3"/>
  <c r="C53" i="3" s="1"/>
  <c r="C40" i="3"/>
  <c r="H15" i="18"/>
  <c r="H12" i="18"/>
  <c r="H14" i="18"/>
  <c r="J11" i="18"/>
  <c r="D45" i="3"/>
  <c r="D53" i="3" s="1"/>
  <c r="D43" i="3"/>
  <c r="J14" i="18"/>
  <c r="D41" i="3"/>
  <c r="D42" i="3"/>
  <c r="J13" i="18"/>
  <c r="J15" i="18"/>
  <c r="D39" i="3"/>
  <c r="D47" i="3" s="1"/>
  <c r="J12" i="18"/>
  <c r="D40" i="3"/>
  <c r="E43" i="3"/>
  <c r="L14" i="18"/>
  <c r="E40" i="3"/>
  <c r="L15" i="18"/>
  <c r="E41" i="3"/>
  <c r="E39" i="3"/>
  <c r="E47" i="3" s="1"/>
  <c r="L12" i="18"/>
  <c r="L11" i="18"/>
  <c r="E45" i="3"/>
  <c r="E53" i="3" s="1"/>
  <c r="E42" i="3"/>
  <c r="L13" i="18"/>
  <c r="F57" i="16"/>
  <c r="I57" i="16" s="1" a="1"/>
  <c r="I57" i="16" s="1"/>
  <c r="E24" i="3"/>
  <c r="F58" i="16"/>
  <c r="M58" i="16" s="1" a="1"/>
  <c r="M58" i="16" s="1"/>
  <c r="E25" i="3"/>
  <c r="F54" i="16"/>
  <c r="G54" i="16" s="1" a="1"/>
  <c r="G54" i="16" s="1"/>
  <c r="G68" i="16" s="1"/>
  <c r="E21" i="3"/>
  <c r="G41" i="16" s="1"/>
  <c r="F55" i="16"/>
  <c r="K55" i="16" s="1" a="1"/>
  <c r="K55" i="16" s="1"/>
  <c r="E22" i="3"/>
  <c r="F56" i="16"/>
  <c r="M56" i="16" s="1" a="1"/>
  <c r="M56" i="16" s="1"/>
  <c r="E23" i="3"/>
  <c r="K58" i="16" a="1"/>
  <c r="K58" i="16" s="1"/>
  <c r="I58" i="16" a="1"/>
  <c r="I58" i="16" s="1"/>
  <c r="F64" i="16"/>
  <c r="F61" i="16"/>
  <c r="F62" i="16"/>
  <c r="F63" i="16"/>
  <c r="F65" i="16"/>
  <c r="G58" i="16" l="1" a="1"/>
  <c r="G58" i="16" s="1"/>
  <c r="M54" i="16" a="1"/>
  <c r="M54" i="16" s="1"/>
  <c r="M68" i="16" s="1"/>
  <c r="B48" i="3"/>
  <c r="C51" i="3"/>
  <c r="D50" i="3"/>
  <c r="C50" i="3"/>
  <c r="C49" i="3"/>
  <c r="E50" i="3"/>
  <c r="B49" i="3"/>
  <c r="E49" i="3"/>
  <c r="E48" i="3"/>
  <c r="D49" i="3"/>
  <c r="E51" i="3"/>
  <c r="B50" i="3"/>
  <c r="B51" i="3"/>
  <c r="D48" i="3"/>
  <c r="D51" i="3"/>
  <c r="C48" i="3"/>
  <c r="L28" i="18"/>
  <c r="J28" i="18"/>
  <c r="F21" i="18"/>
  <c r="L63" i="18"/>
  <c r="L72" i="18" s="1"/>
  <c r="H28" i="18"/>
  <c r="F24" i="18"/>
  <c r="F20" i="18"/>
  <c r="F59" i="18" s="1"/>
  <c r="F68" i="18" s="1"/>
  <c r="F22" i="18"/>
  <c r="L61" i="18"/>
  <c r="L70" i="18" s="1"/>
  <c r="F23" i="18"/>
  <c r="I54" i="16" a="1"/>
  <c r="I54" i="16" s="1"/>
  <c r="I68" i="16" s="1"/>
  <c r="M57" i="16" a="1"/>
  <c r="M57" i="16" s="1"/>
  <c r="K57" i="16" a="1"/>
  <c r="K57" i="16" s="1"/>
  <c r="K56" i="16" a="1"/>
  <c r="K56" i="16" s="1"/>
  <c r="G57" i="16" a="1"/>
  <c r="G57" i="16" s="1"/>
  <c r="I56" i="16" a="1"/>
  <c r="I56" i="16" s="1"/>
  <c r="G56" i="16" a="1"/>
  <c r="G56" i="16" s="1"/>
  <c r="I55" i="16" a="1"/>
  <c r="I55" i="16" s="1"/>
  <c r="M55" i="16" a="1"/>
  <c r="M55" i="16" s="1"/>
  <c r="G55" i="16" a="1"/>
  <c r="G55" i="16" s="1"/>
  <c r="G61" i="16"/>
  <c r="G42" i="16"/>
  <c r="G43" i="16" s="1"/>
  <c r="G44" i="16" s="1"/>
  <c r="G45" i="16" s="1"/>
  <c r="K54" i="16" a="1"/>
  <c r="K54" i="16" s="1"/>
  <c r="L10" i="18"/>
  <c r="J10" i="18"/>
  <c r="F10" i="18"/>
  <c r="H10" i="18"/>
  <c r="M61" i="16" l="1"/>
  <c r="L39" i="18" s="1"/>
  <c r="L48" i="18" s="1"/>
  <c r="F39" i="18"/>
  <c r="F48" i="18" s="1"/>
  <c r="L59" i="18"/>
  <c r="L68" i="18" s="1"/>
  <c r="F28" i="18"/>
  <c r="H59" i="18"/>
  <c r="H68" i="18" s="1"/>
  <c r="I61" i="16"/>
  <c r="H39" i="18" s="1"/>
  <c r="H48" i="18" s="1"/>
  <c r="K61" i="16"/>
  <c r="K68" i="16"/>
  <c r="L62" i="18"/>
  <c r="L71" i="18" s="1"/>
  <c r="M63" i="16"/>
  <c r="L41" i="18" s="1"/>
  <c r="L50" i="18" s="1"/>
  <c r="I63" i="16"/>
  <c r="H41" i="18" s="1"/>
  <c r="H50" i="18" s="1"/>
  <c r="K63" i="16"/>
  <c r="J41" i="18" s="1"/>
  <c r="J50" i="18" s="1"/>
  <c r="G63" i="16"/>
  <c r="F41" i="18" s="1"/>
  <c r="F50" i="18" s="1"/>
  <c r="K65" i="16"/>
  <c r="J43" i="18" s="1"/>
  <c r="J52" i="18" s="1"/>
  <c r="I65" i="16"/>
  <c r="H43" i="18" s="1"/>
  <c r="H52" i="18" s="1"/>
  <c r="M65" i="16"/>
  <c r="L43" i="18" s="1"/>
  <c r="L52" i="18" s="1"/>
  <c r="G65" i="16"/>
  <c r="J59" i="18"/>
  <c r="J68" i="18" s="1"/>
  <c r="M62" i="16"/>
  <c r="L40" i="18" s="1"/>
  <c r="L49" i="18" s="1"/>
  <c r="I62" i="16"/>
  <c r="H40" i="18" s="1"/>
  <c r="H49" i="18" s="1"/>
  <c r="K62" i="16"/>
  <c r="J40" i="18" s="1"/>
  <c r="J49" i="18" s="1"/>
  <c r="G62" i="16"/>
  <c r="F40" i="18" s="1"/>
  <c r="F49" i="18" s="1"/>
  <c r="M64" i="16"/>
  <c r="L42" i="18" s="1"/>
  <c r="L51" i="18" s="1"/>
  <c r="I64" i="16"/>
  <c r="H42" i="18" s="1"/>
  <c r="H51" i="18" s="1"/>
  <c r="K64" i="16"/>
  <c r="J42" i="18" s="1"/>
  <c r="J51" i="18" s="1"/>
  <c r="G64" i="16"/>
  <c r="L60" i="18"/>
  <c r="L69" i="18" s="1"/>
  <c r="F61" i="18"/>
  <c r="F70" i="18" s="1"/>
  <c r="H60" i="18"/>
  <c r="H69" i="18" s="1"/>
  <c r="F63" i="18"/>
  <c r="F72" i="18" s="1"/>
  <c r="J62" i="18"/>
  <c r="J71" i="18" s="1"/>
  <c r="H62" i="18"/>
  <c r="H71" i="18" s="1"/>
  <c r="H63" i="18"/>
  <c r="H72" i="18" s="1"/>
  <c r="F60" i="18"/>
  <c r="F69" i="18" s="1"/>
  <c r="H61" i="18"/>
  <c r="H70" i="18" s="1"/>
  <c r="J63" i="18"/>
  <c r="J72" i="18" s="1"/>
  <c r="J60" i="18"/>
  <c r="J69" i="18" s="1"/>
  <c r="F62" i="18"/>
  <c r="F71" i="18" s="1"/>
  <c r="J61" i="18"/>
  <c r="J70" i="18" s="1"/>
  <c r="J29" i="18"/>
  <c r="J30" i="18"/>
  <c r="L19" i="18"/>
  <c r="L10" i="17" s="1"/>
  <c r="L11" i="17" s="1"/>
  <c r="J31" i="18"/>
  <c r="F29" i="18"/>
  <c r="J32" i="18"/>
  <c r="L29" i="18"/>
  <c r="J19" i="18"/>
  <c r="J10" i="17" s="1"/>
  <c r="J11" i="17" s="1"/>
  <c r="F19" i="18"/>
  <c r="F10" i="17" s="1"/>
  <c r="F11" i="17" s="1"/>
  <c r="F31" i="18"/>
  <c r="H31" i="18"/>
  <c r="F32" i="18"/>
  <c r="H30" i="18"/>
  <c r="H29" i="18"/>
  <c r="F30" i="18"/>
  <c r="L31" i="18"/>
  <c r="H32" i="18"/>
  <c r="L32" i="18"/>
  <c r="H19" i="18"/>
  <c r="H10" i="17" s="1"/>
  <c r="H11" i="17" s="1"/>
  <c r="L30" i="18"/>
  <c r="J39" i="18" l="1"/>
  <c r="J48" i="18" s="1"/>
  <c r="F43" i="18"/>
  <c r="F52" i="18" s="1"/>
  <c r="F42" i="18"/>
  <c r="F51" i="18" s="1"/>
  <c r="L47" i="18"/>
  <c r="L18" i="17" s="1"/>
  <c r="L19" i="17" s="1"/>
  <c r="J13" i="17"/>
  <c r="L58" i="18"/>
  <c r="L38" i="18"/>
  <c r="L15" i="17" s="1"/>
  <c r="L16" i="17" s="1"/>
  <c r="F13" i="17"/>
  <c r="H13" i="17"/>
  <c r="L13" i="17"/>
  <c r="J27" i="17"/>
  <c r="J28" i="17" s="1"/>
  <c r="H27" i="17"/>
  <c r="H28" i="17" s="1"/>
  <c r="H30" i="17"/>
  <c r="J30" i="17"/>
  <c r="F30" i="17"/>
  <c r="H38" i="18"/>
  <c r="F27" i="17"/>
  <c r="F28" i="17" s="1"/>
  <c r="J38" i="18" l="1"/>
  <c r="J15" i="17" s="1"/>
  <c r="F38" i="18"/>
  <c r="F15" i="17" s="1"/>
  <c r="K13" i="17"/>
  <c r="L67" i="18"/>
  <c r="I13" i="17"/>
  <c r="J47" i="18"/>
  <c r="J18" i="17" s="1"/>
  <c r="J19" i="17" s="1"/>
  <c r="H47" i="18"/>
  <c r="H18" i="17" s="1"/>
  <c r="M13" i="17"/>
  <c r="F47" i="18"/>
  <c r="F18" i="17" s="1"/>
  <c r="F19" i="17" s="1"/>
  <c r="M19" i="17" s="1"/>
  <c r="J58" i="18"/>
  <c r="J67" i="18"/>
  <c r="H58" i="18"/>
  <c r="H67" i="18"/>
  <c r="F58" i="18"/>
  <c r="F67" i="18"/>
  <c r="H15" i="17"/>
  <c r="F16" i="17" l="1"/>
  <c r="M16" i="17" s="1"/>
  <c r="K15" i="17"/>
  <c r="J16" i="17"/>
  <c r="F32" i="17"/>
  <c r="F33" i="17" s="1"/>
  <c r="H32" i="17"/>
  <c r="H33" i="17" s="1"/>
  <c r="J32" i="17"/>
  <c r="J33" i="17" s="1"/>
  <c r="M15" i="17"/>
  <c r="K18" i="17"/>
  <c r="K19" i="17"/>
  <c r="J35" i="17"/>
  <c r="J36" i="17" s="1"/>
  <c r="H35" i="17"/>
  <c r="H36" i="17" s="1"/>
  <c r="F35" i="17"/>
  <c r="F36" i="17" s="1"/>
  <c r="M18" i="17"/>
  <c r="I18" i="17"/>
  <c r="H19" i="17"/>
  <c r="I19" i="17" s="1"/>
  <c r="H16" i="17"/>
  <c r="I15" i="17"/>
  <c r="I16" i="17" l="1"/>
  <c r="K16"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<sst xmlns="http://schemas.openxmlformats.org/spreadsheetml/2006/main" count="255" uniqueCount="178">
  <si>
    <t>Wastage rate</t>
  </si>
  <si>
    <t>Price per dose</t>
  </si>
  <si>
    <t>Wastage</t>
  </si>
  <si>
    <t>Start year</t>
  </si>
  <si>
    <t>Vaccine and presentation</t>
  </si>
  <si>
    <t>Annual population growth rate</t>
  </si>
  <si>
    <t>Doses in schedule</t>
  </si>
  <si>
    <t>Number of doses delivered</t>
  </si>
  <si>
    <t>Wastage factor</t>
  </si>
  <si>
    <t>Gavi transition phase</t>
  </si>
  <si>
    <t>Safety box/bag price</t>
  </si>
  <si>
    <t>Safety box/bag volume</t>
  </si>
  <si>
    <t>OPTION 2</t>
  </si>
  <si>
    <t>OPTION 3</t>
  </si>
  <si>
    <t>Incremental cost of delivery per dose</t>
  </si>
  <si>
    <t>Cold chain volume (cm3) per dose</t>
  </si>
  <si>
    <t>OPTION 4</t>
  </si>
  <si>
    <t>annual coverage</t>
  </si>
  <si>
    <t>User guide</t>
  </si>
  <si>
    <t>Gavi detailed product profiles</t>
  </si>
  <si>
    <t>UNICEF website - handling fees</t>
  </si>
  <si>
    <t>UNICEF website - pricing data</t>
  </si>
  <si>
    <t>Vaccination program costs</t>
  </si>
  <si>
    <t>Total
for 5 years</t>
  </si>
  <si>
    <t>IDCC</t>
  </si>
  <si>
    <t>Million doses required</t>
  </si>
  <si>
    <t>CURRENT or PREFERRED OPTION</t>
  </si>
  <si>
    <t>Disclaimer</t>
  </si>
  <si>
    <t>White cells include information that is fixed and cannot be changed by the user.</t>
  </si>
  <si>
    <t>Version</t>
  </si>
  <si>
    <t xml:space="preserve">Date </t>
  </si>
  <si>
    <t>Comment</t>
  </si>
  <si>
    <t>Calculation formulas*</t>
  </si>
  <si>
    <t>Results</t>
  </si>
  <si>
    <t>Dashboard</t>
  </si>
  <si>
    <t>Optional scenario analysis for multi-vaccine use</t>
  </si>
  <si>
    <t>Immunization Delivery Cost Catalogue</t>
  </si>
  <si>
    <t>Resources</t>
  </si>
  <si>
    <t>Supplies cost</t>
  </si>
  <si>
    <t>Handling fees</t>
  </si>
  <si>
    <t>Immunization program</t>
  </si>
  <si>
    <t>Green boxes require user inputs. Example data are included in the model, but this information should be revised to reflect the local immunization program and inputs.</t>
  </si>
  <si>
    <t>Purple boxes indicate a dropdown menu from which the user can select a pre-specified choice. Click on the box and a dropdown arrow will appear. Clicking on the arrow will allow the user to select from a menu of options.</t>
  </si>
  <si>
    <t>Inputs</t>
  </si>
  <si>
    <t>Overview</t>
  </si>
  <si>
    <r>
      <t xml:space="preserve">For questions or support, contact PATH's Health Economics &amp; Outcomes Research team: </t>
    </r>
    <r>
      <rPr>
        <u/>
        <sz val="12"/>
        <color rgb="FF000000"/>
        <rFont val="Arial"/>
        <family val="2"/>
      </rPr>
      <t>HEOR@path.org</t>
    </r>
  </si>
  <si>
    <t>Co-financing</t>
  </si>
  <si>
    <t>* Reminder: Each scenario must involve a combination of two or more products with a total proportion that equals 100%.</t>
  </si>
  <si>
    <t>Proportion of vaccine option in use in the program (%)*</t>
  </si>
  <si>
    <t>SCENARIO C</t>
  </si>
  <si>
    <t>SCENARIO B</t>
  </si>
  <si>
    <t>SCENARIO A</t>
  </si>
  <si>
    <t>Click on the + symbol to the left to display</t>
  </si>
  <si>
    <t>Buffer rate</t>
  </si>
  <si>
    <t>International transportation
(% of vaccine price)</t>
  </si>
  <si>
    <t>International handling
(% of vaccine price)</t>
  </si>
  <si>
    <t>Indicative wastage rate</t>
  </si>
  <si>
    <r>
      <t>Cold chain volume per dose
(in cm</t>
    </r>
    <r>
      <rPr>
        <b/>
        <vertAlign val="superscript"/>
        <sz val="12"/>
        <color theme="1"/>
        <rFont val="Arial"/>
        <family val="2"/>
      </rPr>
      <t>3</t>
    </r>
    <r>
      <rPr>
        <b/>
        <sz val="12"/>
        <color theme="1"/>
        <rFont val="Arial"/>
        <family val="2"/>
      </rPr>
      <t>)</t>
    </r>
  </si>
  <si>
    <t>Select vaccine / presentation &gt;&gt;&gt;</t>
  </si>
  <si>
    <t>Expected introduction or switch year</t>
  </si>
  <si>
    <t>Average per year</t>
  </si>
  <si>
    <t>5 years</t>
  </si>
  <si>
    <t>Total vaccine cost
(in million US$)</t>
  </si>
  <si>
    <t xml:space="preserve">Click on the + symbol to the left to display </t>
  </si>
  <si>
    <t>Dashboard - Optional scenario analysis</t>
  </si>
  <si>
    <t>Percentages indicate the increase or decrease in cold chain volume or cost compared to the current or preferred option.</t>
  </si>
  <si>
    <r>
      <t>Cold chain volume
(in million cm</t>
    </r>
    <r>
      <rPr>
        <b/>
        <vertAlign val="superscript"/>
        <sz val="12"/>
        <color theme="1"/>
        <rFont val="Arial"/>
        <family val="2"/>
      </rPr>
      <t>3</t>
    </r>
    <r>
      <rPr>
        <b/>
        <sz val="12"/>
        <color theme="1"/>
        <rFont val="Arial"/>
        <family val="2"/>
      </rPr>
      <t>)</t>
    </r>
  </si>
  <si>
    <t>Results - Main analysis</t>
  </si>
  <si>
    <t>Total vaccine cost to country
(in million US$)</t>
  </si>
  <si>
    <t>Total vaccination program cost to country
(in million US$)</t>
  </si>
  <si>
    <r>
      <rPr>
        <b/>
        <sz val="20"/>
        <color theme="0"/>
        <rFont val="Arial"/>
        <family val="2"/>
      </rPr>
      <t>Vaccine cost to country</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</si>
  <si>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t>
    </r>
    <r>
      <rPr>
        <b/>
        <sz val="12"/>
        <color theme="0"/>
        <rFont val="Arial"/>
        <family val="2"/>
      </rPr>
      <t xml:space="preserve">
</t>
    </r>
    <r>
      <rPr>
        <i/>
        <sz val="10"/>
        <color theme="0"/>
        <rFont val="Arial"/>
        <family val="2"/>
      </rPr>
      <t>Vaccine cost + cost of delivery</t>
    </r>
  </si>
  <si>
    <r>
      <rPr>
        <b/>
        <sz val="20"/>
        <color theme="0"/>
        <rFont val="Arial"/>
        <family val="2"/>
      </rPr>
      <t>Vaccine cost to country + Gavi</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</si>
  <si>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 + Gavi</t>
    </r>
    <r>
      <rPr>
        <b/>
        <sz val="12"/>
        <color theme="0"/>
        <rFont val="Arial"/>
        <family val="2"/>
      </rPr>
      <t xml:space="preserve">
</t>
    </r>
    <r>
      <rPr>
        <i/>
        <sz val="10"/>
        <color theme="0"/>
        <rFont val="Arial"/>
        <family val="2"/>
      </rPr>
      <t>Vaccine cost + cost of delivery</t>
    </r>
  </si>
  <si>
    <t xml:space="preserve"> </t>
  </si>
  <si>
    <t>Syringe price</t>
  </si>
  <si>
    <t>For Gavi-eligible countries</t>
  </si>
  <si>
    <r>
      <t>Country co-financing share</t>
    </r>
    <r>
      <rPr>
        <b/>
        <sz val="12"/>
        <color theme="1"/>
        <rFont val="Calibri"/>
        <family val="2"/>
        <scheme val="minor"/>
      </rPr>
      <t xml:space="preserve"> </t>
    </r>
  </si>
  <si>
    <t>Supply status</t>
  </si>
  <si>
    <t>Cost to country + Gavi</t>
  </si>
  <si>
    <t>Cost to country</t>
  </si>
  <si>
    <t>persons per year</t>
  </si>
  <si>
    <r>
      <rPr>
        <b/>
        <sz val="11"/>
        <color theme="5"/>
        <rFont val="Arial"/>
        <family val="2"/>
      </rPr>
      <t>Human papillomavirus vaccine</t>
    </r>
    <r>
      <rPr>
        <sz val="11"/>
        <color theme="1"/>
        <rFont val="Arial"/>
        <family val="2"/>
      </rPr>
      <t xml:space="preserve"> cost calculator</t>
    </r>
    <r>
      <rPr>
        <sz val="11"/>
        <color theme="5"/>
        <rFont val="Arial"/>
        <family val="2"/>
      </rPr>
      <t xml:space="preserve"> for Gavi-eligible countries</t>
    </r>
  </si>
  <si>
    <t>CECOLIN 
2 valent, 1 dose/vial, liquid</t>
  </si>
  <si>
    <t>WALRINVAX 
2 valent, 1 dose/vial, liquid</t>
  </si>
  <si>
    <t>CERVARIX 
2 valent, 2 doses/vial, liquid</t>
  </si>
  <si>
    <t>Needs planning</t>
  </si>
  <si>
    <t>Unknown</t>
  </si>
  <si>
    <t>GARDASIL4
 4 valent, 1 dose/vial, liquid</t>
  </si>
  <si>
    <t>Delivery options - routine</t>
  </si>
  <si>
    <t>Delivery options - campaign</t>
  </si>
  <si>
    <t>% reached through the location</t>
  </si>
  <si>
    <t>Preparatory transition</t>
  </si>
  <si>
    <t>Accelerated transition</t>
  </si>
  <si>
    <t>Initial self-financing</t>
  </si>
  <si>
    <t>Co-financing per dose - routine</t>
  </si>
  <si>
    <t>Co-financing per dose - campaign</t>
  </si>
  <si>
    <t>MAC</t>
  </si>
  <si>
    <t>%, applied to the single-aged cohort only</t>
  </si>
  <si>
    <t>campaign coverage</t>
  </si>
  <si>
    <t>Number of doses delivered - routine</t>
  </si>
  <si>
    <t>Number of doses delivered - campaign</t>
  </si>
  <si>
    <t>Number of doses required - routine</t>
  </si>
  <si>
    <t>Number of doses required - campaign</t>
  </si>
  <si>
    <t xml:space="preserve">persons </t>
  </si>
  <si>
    <r>
      <rPr>
        <b/>
        <sz val="11"/>
        <color theme="5"/>
        <rFont val="Arial"/>
        <family val="2"/>
      </rPr>
      <t>Human papillomavirus vaccine</t>
    </r>
    <r>
      <rPr>
        <sz val="11"/>
        <color theme="5"/>
        <rFont val="Arial"/>
        <family val="2"/>
      </rPr>
      <t xml:space="preserve"> </t>
    </r>
    <r>
      <rPr>
        <sz val="11"/>
        <color theme="1"/>
        <rFont val="Arial"/>
        <family val="2"/>
      </rPr>
      <t>cost calculator</t>
    </r>
    <r>
      <rPr>
        <sz val="11"/>
        <color theme="5"/>
        <rFont val="Arial"/>
        <family val="2"/>
      </rPr>
      <t xml:space="preserve"> for Gavi-eligible countries</t>
    </r>
  </si>
  <si>
    <r>
      <rPr>
        <b/>
        <sz val="11"/>
        <color theme="5"/>
        <rFont val="Arial"/>
        <family val="2"/>
      </rPr>
      <t>Human papillomavirus vaccine</t>
    </r>
    <r>
      <rPr>
        <sz val="11"/>
        <color theme="5"/>
        <rFont val="Arial"/>
        <family val="2"/>
      </rPr>
      <t xml:space="preserve"> </t>
    </r>
    <r>
      <rPr>
        <sz val="11"/>
        <color theme="1"/>
        <rFont val="Arial"/>
        <family val="2"/>
      </rPr>
      <t xml:space="preserve">cost calculator </t>
    </r>
    <r>
      <rPr>
        <sz val="11"/>
        <color theme="5"/>
        <rFont val="Arial"/>
        <family val="2"/>
      </rPr>
      <t>for Gavi-eligible countries</t>
    </r>
  </si>
  <si>
    <t>Y1</t>
  </si>
  <si>
    <t>Y2</t>
  </si>
  <si>
    <t>Y3</t>
  </si>
  <si>
    <t>Y4</t>
  </si>
  <si>
    <t>Y5</t>
  </si>
  <si>
    <t>Y6</t>
  </si>
  <si>
    <t>Y7</t>
  </si>
  <si>
    <t>Y8</t>
  </si>
  <si>
    <t>Y9</t>
  </si>
  <si>
    <t>One-time introduction or switch costs for both SAC and MAC cohort
(lump sum or budget in first year)</t>
  </si>
  <si>
    <t>School</t>
  </si>
  <si>
    <t>Facility</t>
  </si>
  <si>
    <t>Outreach</t>
  </si>
  <si>
    <t>Number of doses delivered - routine - by delivery options</t>
  </si>
  <si>
    <t>Number of doses delivered - campaign - by delivery options</t>
  </si>
  <si>
    <t>Introduction/Switch year in accelerated transition phase</t>
  </si>
  <si>
    <t>New introduction or switch product?</t>
  </si>
  <si>
    <t>Price fraction applied to other vaccines in the portfolio in the introduction/switch year</t>
  </si>
  <si>
    <r>
      <t xml:space="preserve">Insert % of vaccine price per dose or "price fraction" that applied to other vaccines in the portfolio in the introduction/switch year.
 If you do not know your country co-financing share, contact your Senior Country Manager at Gavi.
</t>
    </r>
    <r>
      <rPr>
        <b/>
        <sz val="12"/>
        <color theme="1"/>
        <rFont val="Arial"/>
        <family val="2"/>
      </rPr>
      <t>NOTE: This field is not used in results calculations if you selected "Initial self-financing" above.</t>
    </r>
  </si>
  <si>
    <r>
      <rPr>
        <b/>
        <i/>
        <u/>
        <sz val="12"/>
        <color theme="1" tint="-0.499984740745262"/>
        <rFont val="Arial"/>
        <family val="2"/>
      </rPr>
      <t>Disclaimer:</t>
    </r>
    <r>
      <rPr>
        <b/>
        <i/>
        <sz val="12"/>
        <color theme="1" tint="-0.499984740745262"/>
        <rFont val="Arial"/>
        <family val="2"/>
      </rPr>
      <t xml:space="preserve"> The HPV vaccine cost calculator for Gavi-eligible countries </t>
    </r>
    <r>
      <rPr>
        <i/>
        <sz val="12"/>
        <color theme="1" tint="-0.499984740745262"/>
        <rFont val="Arial"/>
        <family val="2"/>
      </rPr>
      <t xml:space="preserve">is a tool that aims to inform vaccine introduction or switch decision-making and product selection. It is important to note that cost is only one consideration, and users involved in decision-making around new vaccine introduction/switch or product selection should always consider other dimensions as well. This model is meant to provide insights into the </t>
    </r>
    <r>
      <rPr>
        <b/>
        <i/>
        <sz val="12"/>
        <color theme="1" tint="-0.499984740745262"/>
        <rFont val="Arial"/>
        <family val="2"/>
      </rPr>
      <t>potential</t>
    </r>
    <r>
      <rPr>
        <i/>
        <sz val="12"/>
        <color theme="1" tint="-0.499984740745262"/>
        <rFont val="Arial"/>
        <family val="2"/>
      </rPr>
      <t xml:space="preserve"> costs of alternative product choices and should not replace detailed budget planning once a product has been selected.</t>
    </r>
  </si>
  <si>
    <t>HPV vaccine options and cost</t>
  </si>
  <si>
    <r>
      <t xml:space="preserve">Target population - routine
</t>
    </r>
    <r>
      <rPr>
        <sz val="12"/>
        <color theme="1"/>
        <rFont val="Arial"/>
        <family val="2"/>
      </rPr>
      <t>Single-age cohort (SAC)</t>
    </r>
  </si>
  <si>
    <r>
      <t xml:space="preserve">Target population - campaign
</t>
    </r>
    <r>
      <rPr>
        <sz val="12"/>
        <color theme="1"/>
        <rFont val="Arial"/>
        <family val="2"/>
      </rPr>
      <t>Multi-age cohort (MAC)</t>
    </r>
  </si>
  <si>
    <t>Expected coverage dose 1 from School - routine</t>
  </si>
  <si>
    <t>Expected coverage dose 2 from School - routine</t>
  </si>
  <si>
    <t>Expected coverage dose 1 from Facility - routine</t>
  </si>
  <si>
    <t>Expected coverage dose 2 from Facility - routine</t>
  </si>
  <si>
    <t>Expected coverage dose 1 from Outreach - routine</t>
  </si>
  <si>
    <t>Expected coverage dose 2 from Outreach - routine</t>
  </si>
  <si>
    <t>Expected coverage dose 1 from School - campaign</t>
  </si>
  <si>
    <t>Expected coverage dose 2 from School - campaign</t>
  </si>
  <si>
    <t>Expected coverage dose 1 from Facility - campaign</t>
  </si>
  <si>
    <t>Expected coverage dose 2 from Facility - campaign</t>
  </si>
  <si>
    <t>Expected coverage dose 1 from Outreach - campaign</t>
  </si>
  <si>
    <t>Expected coverage dose 2 from Outreach - campaign</t>
  </si>
  <si>
    <t>Are you planning a new HPV vaccine introduction or a product switch?</t>
  </si>
  <si>
    <t>New introduction</t>
  </si>
  <si>
    <t>Product switch</t>
  </si>
  <si>
    <r>
      <t xml:space="preserve">If you selected "Accelerated transition," indicate which year your country will be in this phase when starting the HPV vaccination program or switching products. This value should be from 1 to 8. 
</t>
    </r>
    <r>
      <rPr>
        <b/>
        <sz val="12"/>
        <color theme="1"/>
        <rFont val="Arial"/>
        <family val="2"/>
      </rPr>
      <t>NOTE:</t>
    </r>
    <r>
      <rPr>
        <sz val="12"/>
        <color theme="1"/>
        <rFont val="Arial"/>
        <family val="2"/>
      </rPr>
      <t xml:space="preserve"> </t>
    </r>
    <r>
      <rPr>
        <b/>
        <sz val="12"/>
        <color theme="1"/>
        <rFont val="Arial"/>
        <family val="2"/>
      </rPr>
      <t>This field is not used in the results calculations if you selected "Initial self-financing" or "Preparatory transition" above.</t>
    </r>
    <r>
      <rPr>
        <sz val="12"/>
        <color theme="1"/>
        <rFont val="Arial"/>
        <family val="2"/>
      </rPr>
      <t xml:space="preserve">   </t>
    </r>
  </si>
  <si>
    <t>*If your country is scheduled to move from one transition phase to another during the five-year period, contact HEOR@path.org to discuss how to set up the model.</t>
  </si>
  <si>
    <t>Pending UNICEF Supply Division agreement</t>
  </si>
  <si>
    <t>Placeholder for new vaccine</t>
  </si>
  <si>
    <t xml:space="preserve">Note: For adding new vaccine, please update reference cells for vaccine options in the "Inputs" sheet, update this row and input the new vaccine price in C57-C70 in "Vaccine prices" sheet </t>
  </si>
  <si>
    <t>Indicative number of doses in schedule</t>
  </si>
  <si>
    <t>If you selected "Preparatory transition" or "Accelerated transition," please complete the country co-financing share below (cell E40).*</t>
  </si>
  <si>
    <t>Sufficient supply</t>
  </si>
  <si>
    <t>This option allows for analyzing the cost of programs involving multiple HPV vaccine products used at once in the country by adjusting the proportion for a number of options. For countries using or anticipating using more than one product, the calculator offers the possibility to define three scenarios (A, B, and C) with different combinations of proportion of vaccine use. Each scenario should involve a combination of two or more products with a total proportion that equals 100%.</t>
  </si>
  <si>
    <t>Vaccination program costs include vaccine costs and cost of delivery. Cost of delivery should capture additional expenditures required to administer vaccines, other than the direct cost of vaccine procurement and commodities. This encompasses expenditures such as per diem, travel allowances, cold chain equipment, vehicles, transport, and fuel, and can vary by delivery location. Any cost already incurred by the immunization system (shared costs) can be excluded. For example, the cost of transporting HPV vaccine should not be included if this is part of the same transport used to deliver other vaccines. You can separately enter introduction or switch costs (lump sum in the first year) and/or a cost per dose delivered (applied every year).</t>
  </si>
  <si>
    <t>HPV vaccine    options and cost</t>
  </si>
  <si>
    <t>Vaccination    program costs</t>
  </si>
  <si>
    <r>
      <rPr>
        <b/>
        <sz val="32"/>
        <color theme="5"/>
        <rFont val="Arial"/>
        <family val="2"/>
      </rPr>
      <t>Human papillomavirus vaccine</t>
    </r>
    <r>
      <rPr>
        <b/>
        <sz val="36"/>
        <color theme="5"/>
        <rFont val="Arial"/>
        <family val="2"/>
      </rPr>
      <t xml:space="preserve"> 
</t>
    </r>
    <r>
      <rPr>
        <sz val="26"/>
        <color rgb="FF000000"/>
        <rFont val="Arial"/>
        <family val="2"/>
      </rPr>
      <t>Cost calculator</t>
    </r>
  </si>
  <si>
    <r>
      <t xml:space="preserve">% delivered at </t>
    </r>
    <r>
      <rPr>
        <b/>
        <i/>
        <sz val="12"/>
        <color theme="4"/>
        <rFont val="Arial"/>
        <family val="2"/>
      </rPr>
      <t>School</t>
    </r>
    <r>
      <rPr>
        <b/>
        <i/>
        <sz val="12"/>
        <color theme="1"/>
        <rFont val="Arial"/>
        <family val="2"/>
      </rPr>
      <t xml:space="preserve"> - routine</t>
    </r>
  </si>
  <si>
    <r>
      <t xml:space="preserve">% delivered at </t>
    </r>
    <r>
      <rPr>
        <b/>
        <i/>
        <sz val="12"/>
        <color theme="4"/>
        <rFont val="Arial"/>
        <family val="2"/>
      </rPr>
      <t>Facility</t>
    </r>
    <r>
      <rPr>
        <b/>
        <i/>
        <sz val="12"/>
        <color theme="1"/>
        <rFont val="Arial"/>
        <family val="2"/>
      </rPr>
      <t xml:space="preserve"> - routine</t>
    </r>
  </si>
  <si>
    <r>
      <t xml:space="preserve">% delivered in </t>
    </r>
    <r>
      <rPr>
        <b/>
        <i/>
        <sz val="12"/>
        <color theme="4"/>
        <rFont val="Arial"/>
        <family val="2"/>
      </rPr>
      <t>Outreach</t>
    </r>
    <r>
      <rPr>
        <b/>
        <i/>
        <sz val="12"/>
        <color theme="1"/>
        <rFont val="Arial"/>
        <family val="2"/>
      </rPr>
      <t xml:space="preserve"> - routine</t>
    </r>
  </si>
  <si>
    <r>
      <t xml:space="preserve">% delivered at </t>
    </r>
    <r>
      <rPr>
        <b/>
        <i/>
        <sz val="12"/>
        <color theme="4"/>
        <rFont val="Arial"/>
        <family val="2"/>
      </rPr>
      <t>School</t>
    </r>
    <r>
      <rPr>
        <b/>
        <i/>
        <sz val="12"/>
        <color theme="1"/>
        <rFont val="Arial"/>
        <family val="2"/>
      </rPr>
      <t xml:space="preserve"> - campaign</t>
    </r>
  </si>
  <si>
    <r>
      <t xml:space="preserve">% delivered at </t>
    </r>
    <r>
      <rPr>
        <b/>
        <i/>
        <sz val="12"/>
        <color theme="4"/>
        <rFont val="Arial"/>
        <family val="2"/>
      </rPr>
      <t>Facility</t>
    </r>
    <r>
      <rPr>
        <b/>
        <i/>
        <sz val="12"/>
        <color theme="1"/>
        <rFont val="Arial"/>
        <family val="2"/>
      </rPr>
      <t xml:space="preserve"> - campaign</t>
    </r>
  </si>
  <si>
    <r>
      <t xml:space="preserve">% delivered at </t>
    </r>
    <r>
      <rPr>
        <b/>
        <i/>
        <sz val="12"/>
        <color theme="4"/>
        <rFont val="Arial"/>
        <family val="2"/>
      </rPr>
      <t>Outreach</t>
    </r>
    <r>
      <rPr>
        <b/>
        <i/>
        <sz val="12"/>
        <color theme="1"/>
        <rFont val="Arial"/>
        <family val="2"/>
      </rPr>
      <t xml:space="preserve"> - campaign</t>
    </r>
  </si>
  <si>
    <t>Indicate whether you are planning a new HPV vaccine introduction or a product switch in an existing HPV vaccination program.</t>
  </si>
  <si>
    <r>
      <t xml:space="preserve">Must total 100% by completing % delivered at each </t>
    </r>
    <r>
      <rPr>
        <b/>
        <i/>
        <sz val="12"/>
        <color theme="4"/>
        <rFont val="Arial"/>
        <family val="2"/>
      </rPr>
      <t xml:space="preserve">location </t>
    </r>
    <r>
      <rPr>
        <sz val="12"/>
        <color theme="1"/>
        <rFont val="Arial"/>
        <family val="2"/>
      </rPr>
      <t xml:space="preserve">using fields in </t>
    </r>
    <r>
      <rPr>
        <b/>
        <i/>
        <sz val="12"/>
        <color theme="1"/>
        <rFont val="Arial"/>
        <family val="2"/>
      </rPr>
      <t>bold</t>
    </r>
    <r>
      <rPr>
        <sz val="12"/>
        <color theme="1"/>
        <rFont val="Arial"/>
        <family val="2"/>
      </rPr>
      <t xml:space="preserve"> below </t>
    </r>
    <r>
      <rPr>
        <b/>
        <sz val="12"/>
        <color theme="1"/>
        <rFont val="Arial"/>
        <family val="2"/>
      </rPr>
      <t>(NOTE: Dose 2 coverage fields must be completed if assessing a vaccine not yet approved for single-dose use)</t>
    </r>
    <r>
      <rPr>
        <sz val="12"/>
        <color theme="1"/>
        <rFont val="Arial"/>
        <family val="2"/>
      </rPr>
      <t>.</t>
    </r>
  </si>
  <si>
    <r>
      <t xml:space="preserve">Dashboard </t>
    </r>
    <r>
      <rPr>
        <b/>
        <sz val="24"/>
        <color theme="0"/>
        <rFont val="Aptos Narrow"/>
        <family val="2"/>
      </rPr>
      <t>—</t>
    </r>
    <r>
      <rPr>
        <b/>
        <sz val="24"/>
        <color theme="0"/>
        <rFont val="Arial"/>
        <family val="2"/>
      </rPr>
      <t xml:space="preserve"> Main analysis</t>
    </r>
  </si>
  <si>
    <r>
      <rPr>
        <b/>
        <sz val="20"/>
        <color theme="0"/>
        <rFont val="Arial"/>
        <family val="2"/>
      </rPr>
      <t>Number of doses required</t>
    </r>
    <r>
      <rPr>
        <b/>
        <sz val="12"/>
        <color theme="0"/>
        <rFont val="Arial"/>
        <family val="2"/>
      </rPr>
      <t xml:space="preserve">
</t>
    </r>
    <r>
      <rPr>
        <i/>
        <sz val="10"/>
        <color theme="0"/>
        <rFont val="Arial"/>
        <family val="2"/>
      </rPr>
      <t>Includes buffer doses and doses wasted</t>
    </r>
    <r>
      <rPr>
        <b/>
        <sz val="12"/>
        <color theme="0"/>
        <rFont val="Arial"/>
        <family val="2"/>
      </rPr>
      <t xml:space="preserve"> </t>
    </r>
  </si>
  <si>
    <r>
      <rPr>
        <b/>
        <sz val="20"/>
        <color theme="0"/>
        <rFont val="Arial"/>
        <family val="2"/>
      </rPr>
      <t>Cold chain volume required</t>
    </r>
    <r>
      <rPr>
        <b/>
        <sz val="12"/>
        <color theme="0"/>
        <rFont val="Arial"/>
        <family val="2"/>
      </rPr>
      <t xml:space="preserve">
</t>
    </r>
    <r>
      <rPr>
        <i/>
        <sz val="10"/>
        <color theme="0"/>
        <rFont val="Arial"/>
        <family val="2"/>
      </rPr>
      <t>cm</t>
    </r>
    <r>
      <rPr>
        <i/>
        <vertAlign val="superscript"/>
        <sz val="10"/>
        <color theme="0"/>
        <rFont val="Arial"/>
        <family val="2"/>
      </rPr>
      <t>3</t>
    </r>
  </si>
  <si>
    <t xml:space="preserve">Indicate if your country is currently in the Gavi initial self-financing phase, preparatory transition phase, or accelerated transition phase.
► If your country is in the Gavi initial self-financing phase, calculations of co-financing will be automatic, displaying co-financing per dose as per Gavi's ELTRACO policy which starts in 2026 (i.e., 4% of HPV vaccine price per dose).
► If your country is in the preparatory transition or accelerated transition phase, enter your country’s co-financing share applied to other vaccines of the portfolio in the introduction or switch year. If you are not aware of your country co-financing share, please contact your Senior Country Manager at Gavi for this information.
► If your country is in the accelerated transition phase, indicate whether your country is planning for a new HPV vaccine introduction or product switch for an existing HPV vaccination program. Then, enter the year your country will be in the accelerated transition phase when starting the new HPV vaccination program or switching products. </t>
  </si>
  <si>
    <r>
      <rPr>
        <b/>
        <sz val="12"/>
        <color theme="1"/>
        <rFont val="Arial"/>
        <family val="2"/>
      </rPr>
      <t xml:space="preserve">Number of doses delivered </t>
    </r>
    <r>
      <rPr>
        <sz val="12"/>
        <color theme="1"/>
        <rFont val="Arial"/>
        <family val="2"/>
      </rPr>
      <t xml:space="preserve">= Target SAC/MAC population x coverage D1 of each delivery option x proportion of each delivery option + target SAC/MAC population x coverage D2 of each delivery option x proportion of each delivery option (if applicable)
</t>
    </r>
    <r>
      <rPr>
        <b/>
        <sz val="12"/>
        <color theme="1"/>
        <rFont val="Arial"/>
        <family val="2"/>
      </rPr>
      <t>Total doses required</t>
    </r>
    <r>
      <rPr>
        <sz val="12"/>
        <color theme="1"/>
        <rFont val="Arial"/>
        <family val="2"/>
      </rPr>
      <t xml:space="preserve"> = Number of doses delivered x wastage factor + optional buffer doses
</t>
    </r>
    <r>
      <rPr>
        <b/>
        <sz val="12"/>
        <color theme="1"/>
        <rFont val="Arial"/>
        <family val="2"/>
      </rPr>
      <t>Total cold chain volume required</t>
    </r>
    <r>
      <rPr>
        <sz val="12"/>
        <color theme="1"/>
        <rFont val="Arial"/>
        <family val="2"/>
      </rPr>
      <t xml:space="preserve"> = Cold chain volume per dose in cm</t>
    </r>
    <r>
      <rPr>
        <vertAlign val="superscript"/>
        <sz val="12"/>
        <color theme="1"/>
        <rFont val="Arial"/>
        <family val="2"/>
      </rPr>
      <t>3</t>
    </r>
    <r>
      <rPr>
        <sz val="12"/>
        <color theme="1"/>
        <rFont val="Arial"/>
        <family val="2"/>
      </rPr>
      <t xml:space="preserve"> x total doses required
</t>
    </r>
    <r>
      <rPr>
        <b/>
        <sz val="12"/>
        <color theme="1"/>
        <rFont val="Arial"/>
        <family val="2"/>
      </rPr>
      <t>Wastage factor</t>
    </r>
    <r>
      <rPr>
        <sz val="12"/>
        <color theme="1"/>
        <rFont val="Arial"/>
        <family val="2"/>
      </rPr>
      <t xml:space="preserve"> = (1 / (1 - wastage rate))
</t>
    </r>
    <r>
      <rPr>
        <b/>
        <sz val="12"/>
        <color theme="1"/>
        <rFont val="Arial"/>
        <family val="2"/>
      </rPr>
      <t>Vaccine cost (country cost)</t>
    </r>
    <r>
      <rPr>
        <sz val="12"/>
        <color theme="1"/>
        <rFont val="Arial"/>
        <family val="2"/>
      </rPr>
      <t xml:space="preserve"> = Total doses required x (co-financing amount per dose + co-financing amount per dose x international handling + co-financing amount per dose x international transportation) + (number of doses delivered / volume of safety box/bag x price of safety box/bag) + (number of doses administered x price of a syringe)
</t>
    </r>
    <r>
      <rPr>
        <b/>
        <sz val="12"/>
        <color theme="1"/>
        <rFont val="Arial"/>
        <family val="2"/>
      </rPr>
      <t>Vaccine cost (country + Gavi cost)</t>
    </r>
    <r>
      <rPr>
        <sz val="12"/>
        <color theme="1"/>
        <rFont val="Arial"/>
        <family val="2"/>
      </rPr>
      <t xml:space="preserve"> = Total doses required x (price per dose + price per dose x international handling + price per dose x international transportation) + (number of doses delivered / volume of safety box/bag x price of safety box/bag) + (number of doses administered x price of a syringe)
</t>
    </r>
    <r>
      <rPr>
        <b/>
        <sz val="12"/>
        <color theme="1"/>
        <rFont val="Arial"/>
        <family val="2"/>
      </rPr>
      <t>Vaccination program cost (country cost)</t>
    </r>
    <r>
      <rPr>
        <sz val="12"/>
        <color theme="1"/>
        <rFont val="Arial"/>
        <family val="2"/>
      </rPr>
      <t xml:space="preserve"> = Vaccine cost + number of doses delivered x incremental cost of delivery per dose + introduction or switching costs (only in Year 1)
</t>
    </r>
    <r>
      <rPr>
        <b/>
        <sz val="12"/>
        <color theme="1"/>
        <rFont val="Arial"/>
        <family val="2"/>
      </rPr>
      <t>Vaccination program cost (country + Gavi cost)</t>
    </r>
    <r>
      <rPr>
        <sz val="12"/>
        <color theme="1"/>
        <rFont val="Arial"/>
        <family val="2"/>
      </rPr>
      <t xml:space="preserve"> = Vaccine cost + number of doses delivered x incremental cost of delivery per dose + introduction or switching costs (only in Year 1)
* x = multiply</t>
    </r>
  </si>
  <si>
    <r>
      <t xml:space="preserve">The </t>
    </r>
    <r>
      <rPr>
        <b/>
        <sz val="14"/>
        <color theme="1" tint="-0.499984740745262"/>
        <rFont val="Arial"/>
        <family val="2"/>
      </rPr>
      <t xml:space="preserve">Human papillomavirus (HPV) vaccine cost calculator for Gavi-eligible countries </t>
    </r>
    <r>
      <rPr>
        <sz val="14"/>
        <color theme="1" tint="-0.499984740745262"/>
        <rFont val="Arial"/>
        <family val="2"/>
      </rPr>
      <t>is a simple tool for assessing and comparing financial costs of HPV vaccination programs with each HPV vaccine product supported by Gavi, the Vaccine Alliance. It aims to help national-level policymakers in countries eligible for Gavi support to compare products and estimate vaccination program costs for different HPV vaccines, exploring up to four different product options at a time. 
The tool calculates costs and cold chain volume annually and for a total period of five years.  Cost estimates are composed of vaccine cost (i.e., vaccine and supplies procurement and international shipping) and vaccination program costs (i.e., vaccine cost plus cost of delivery). Cost estimates are provided separately for two perspectives: (1) the country perspective and (2) the combined country and Gavi perspective. The country perspective accounts only for what is paid from the country budget, while the country and Gavi perspective also accounts for Gavi co-financing of vaccines. Cold chain volume estimates are calculated from total doses required and World Health Organization prequalification information on cold chain volume per dose, which account for buffer and wastage but not necessarily "dead" space or space needed at different levels.</t>
    </r>
  </si>
  <si>
    <t>The results worksheet presents cost information annually, as well as a total over five years, for each vaccine option indicated in the inputs worksheet, and for both perspectives. Results are provided separately for cold chain volume requirements, for vaccine cost (i.e., vaccine and supplies procurement and international shipping), and for vaccination program costs (i.e., vaccine cost plus cost of delivery). Estimates are provided separately for country cost and for country + Gavi cost.</t>
  </si>
  <si>
    <t>Enter data related to your immunization program: annual target population for single-age cohort (SAC) and/or multi-age cohort (MAC), annual population growth rate, and expected coverage for each dose in the vaccine schedule. If there is no plan for a MAC campaign, please put zero for the MAC population.</t>
  </si>
  <si>
    <t>The dashboard provides summary results for the country perspective and for scenarios A, B, and C if the optional scenario analysis for multi-vaccine use is populated. Conditional formatting is used to highlight potential savings (green color) and potential losses (red color). Summary results are provided separately for vaccine cost to the country (i.e., vaccine and supplies procurement and international shipping, without Gavi contribution), for vaccination program costs to the country (i.e., vaccine cost plus cost of delivery, without Gavi contribution), and for cold chain volume requirements.</t>
  </si>
  <si>
    <t>Version 1.0 / December 2025</t>
  </si>
  <si>
    <r>
      <t xml:space="preserve">Number of doses in schedule
</t>
    </r>
    <r>
      <rPr>
        <b/>
        <sz val="11"/>
        <color theme="1"/>
        <rFont val="Arial"/>
        <family val="2"/>
      </rPr>
      <t xml:space="preserve">
</t>
    </r>
    <r>
      <rPr>
        <b/>
        <sz val="12"/>
        <color theme="1"/>
        <rFont val="Arial"/>
        <family val="2"/>
      </rPr>
      <t>NOTE:</t>
    </r>
    <r>
      <rPr>
        <sz val="12"/>
        <color theme="1"/>
        <rFont val="Arial"/>
        <family val="2"/>
      </rPr>
      <t xml:space="preserve"> If you are planning to use a two-dose schedule, contact your Senior Country Manager at Gavi for guidance given uncertainty about Gavi's future support for multi-dose HPV vaccination programs.</t>
    </r>
  </si>
  <si>
    <r>
      <t xml:space="preserve">► Select your vaccines of interest from the dropdown menu (option 1 to 4). 
► All default vaccine characteristics are from Gavi's detailed product profiles, including price per dose, number of doses in the schedule, and indicative wastage rate. 
► Annual co-financing amount per dose cannot be changed as these are the results of calculations based on the vaccine price and co-financing share provided earlier.
► </t>
    </r>
    <r>
      <rPr>
        <b/>
        <sz val="12"/>
        <color theme="1"/>
        <rFont val="Arial"/>
        <family val="2"/>
      </rPr>
      <t>NOTE:</t>
    </r>
    <r>
      <rPr>
        <sz val="12"/>
        <color theme="1"/>
        <rFont val="Arial"/>
        <family val="2"/>
      </rPr>
      <t xml:space="preserve"> If you are planning to use a two-dose schedule, contact your Senior Country Manager at Gavi for guidance given uncertainty about Gavi's future support for multi-dose HPV vaccination programs.
► Enter the expected wastage rate for each presentation and, where applicable, the expected cost of handling, international transportation, and supplies.
► Enter a buffer rate if applicable.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</si>
</sst>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409]#,##0.00"/>
    <numFmt numFmtId="168" formatCode="0.0"/>
  </numFmts>
  <fonts count="98"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theme="5"/>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sz val="8"/>
      <name val="Calibri"/>
      <family val="2"/>
      <scheme val="minor"/>
    </font>
    <font>
      <u/>
      <sz val="11"/>
      <color rgb="FF0000FF"/>
      <name val="Arial"/>
      <family val="2"/>
    </font>
    <font>
      <i/>
      <sz val="11"/>
      <color theme="1"/>
      <name val="Calibri"/>
      <family val="2"/>
      <scheme val="minor"/>
    </font>
    <font>
      <sz val="14"/>
      <color theme="1"/>
      <name val="Arial"/>
      <family val="2"/>
    </font>
    <font>
      <b/>
      <sz val="8"/>
      <color rgb="FFFF0000"/>
      <name val="Arial"/>
      <family val="2"/>
    </font>
    <font>
      <b/>
      <sz val="32"/>
      <color theme="5"/>
      <name val="Arial"/>
      <family val="2"/>
    </font>
    <font>
      <b/>
      <i/>
      <sz val="12"/>
      <color theme="4"/>
      <name val="Arial"/>
      <family val="2"/>
    </font>
    <font>
      <b/>
      <i/>
      <sz val="14"/>
      <color theme="1"/>
      <name val="Arial"/>
      <family val="2"/>
    </font>
    <font>
      <sz val="10"/>
      <name val="Arial"/>
      <family val="2"/>
    </font>
    <font>
      <i/>
      <sz val="16"/>
      <name val="Arial"/>
      <family val="2"/>
    </font>
    <font>
      <b/>
      <sz val="24"/>
      <color theme="0"/>
      <name val="Aptos Narrow"/>
      <family val="2"/>
    </font>
    <font>
      <vertAlign val="superscript"/>
      <sz val="12"/>
      <color theme="1"/>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theme="0"/>
      </right>
      <top style="thin">
        <color indexed="64"/>
      </top>
      <bottom style="thin">
        <color indexed="64"/>
      </bottom>
      <diagonal/>
    </border>
    <border>
      <left style="thin">
        <color theme="1"/>
      </left>
      <right style="thin">
        <color theme="0"/>
      </right>
      <top style="thin">
        <color theme="1"/>
      </top>
      <bottom style="thin">
        <color theme="1"/>
      </bottom>
      <diagonal/>
    </border>
    <border>
      <left style="thin">
        <color theme="1"/>
      </left>
      <right style="thin">
        <color theme="0"/>
      </right>
      <top style="thin">
        <color theme="1"/>
      </top>
      <bottom/>
      <diagonal/>
    </border>
    <border>
      <left/>
      <right style="thin">
        <color theme="0"/>
      </right>
      <top style="thin">
        <color indexed="6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63">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8" fontId="0" fillId="0" borderId="0" xfId="0" applyNumberFormat="1" applyAlignment="1">
      <alignment horizontal="center" vertical="center"/>
    </xf>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2" borderId="0" xfId="0" applyFont="1" applyFill="1" applyAlignment="1">
      <alignment horizontal="left" vertical="top" wrapText="1"/>
    </xf>
    <xf numFmtId="0" fontId="7" fillId="5" borderId="1" xfId="0" applyFont="1" applyFill="1" applyBorder="1" applyAlignment="1">
      <alignment vertical="center" wrapText="1"/>
    </xf>
    <xf numFmtId="0" fontId="11" fillId="14" borderId="0" xfId="0" applyFont="1" applyFill="1" applyAlignment="1">
      <alignment horizontal="center" vertical="center"/>
    </xf>
    <xf numFmtId="0" fontId="7" fillId="14" borderId="0" xfId="0" applyFont="1" applyFill="1"/>
    <xf numFmtId="0" fontId="15" fillId="15" borderId="0" xfId="0" applyFont="1" applyFill="1"/>
    <xf numFmtId="0" fontId="16" fillId="15" borderId="0" xfId="0" applyFont="1" applyFill="1" applyAlignment="1">
      <alignment horizontal="center" vertical="center"/>
    </xf>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0" fontId="20" fillId="4" borderId="0" xfId="0" applyFont="1" applyFill="1" applyAlignment="1">
      <alignment horizontal="lef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2" fillId="2" borderId="0" xfId="0" applyFont="1" applyFill="1" applyAlignment="1" applyProtection="1">
      <alignment horizontal="center" vertical="center"/>
      <protection hidden="1"/>
    </xf>
    <xf numFmtId="9" fontId="33" fillId="2" borderId="0" xfId="0" applyNumberFormat="1"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9" fontId="33" fillId="2" borderId="0" xfId="2" applyFont="1" applyFill="1" applyBorder="1" applyAlignment="1" applyProtection="1">
      <alignment horizontal="center" vertical="center"/>
      <protection hidden="1"/>
    </xf>
    <xf numFmtId="0" fontId="34" fillId="2"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protection hidden="1"/>
    </xf>
    <xf numFmtId="0" fontId="35" fillId="10" borderId="0" xfId="0" applyFont="1" applyFill="1" applyAlignment="1" applyProtection="1">
      <alignment horizontal="left" vertical="center" wrapText="1"/>
      <protection hidden="1"/>
    </xf>
    <xf numFmtId="9" fontId="37" fillId="5" borderId="1" xfId="0" applyNumberFormat="1" applyFont="1" applyFill="1" applyBorder="1" applyAlignment="1" applyProtection="1">
      <alignment horizontal="center" vertical="center"/>
      <protection locked="0"/>
    </xf>
    <xf numFmtId="0" fontId="37" fillId="10" borderId="0" xfId="0" applyFont="1" applyFill="1" applyAlignment="1" applyProtection="1">
      <alignment horizontal="center" vertical="center"/>
      <protection hidden="1"/>
    </xf>
    <xf numFmtId="9" fontId="37" fillId="5" borderId="1" xfId="2"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9" fontId="33" fillId="10" borderId="0" xfId="0" applyNumberFormat="1" applyFont="1" applyFill="1" applyAlignment="1" applyProtection="1">
      <alignment horizontal="center" vertical="center"/>
      <protection hidden="1"/>
    </xf>
    <xf numFmtId="0" fontId="33" fillId="10" borderId="0" xfId="0" applyFont="1" applyFill="1" applyAlignment="1" applyProtection="1">
      <alignment horizontal="center" vertical="center"/>
      <protection hidden="1"/>
    </xf>
    <xf numFmtId="9" fontId="33" fillId="10" borderId="0" xfId="2" applyFont="1" applyFill="1" applyBorder="1" applyAlignment="1" applyProtection="1">
      <alignment horizontal="center" vertical="center"/>
      <protection hidden="1"/>
    </xf>
    <xf numFmtId="0" fontId="34" fillId="10" borderId="0" xfId="0" applyFont="1" applyFill="1" applyAlignment="1" applyProtection="1">
      <alignment horizontal="center" vertical="center" wrapText="1"/>
      <protection hidden="1"/>
    </xf>
    <xf numFmtId="0" fontId="38" fillId="10" borderId="0" xfId="0" applyFont="1" applyFill="1" applyAlignment="1" applyProtection="1">
      <alignment horizontal="center" vertical="center"/>
      <protection hidden="1"/>
    </xf>
    <xf numFmtId="164" fontId="32" fillId="2"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hidden="1"/>
    </xf>
    <xf numFmtId="0" fontId="39" fillId="10" borderId="0" xfId="0" applyFont="1" applyFill="1" applyAlignment="1" applyProtection="1">
      <alignment horizontal="center" vertical="center"/>
      <protection hidden="1"/>
    </xf>
    <xf numFmtId="0" fontId="40"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1" fillId="10" borderId="2" xfId="0" applyFont="1" applyFill="1" applyBorder="1" applyAlignment="1" applyProtection="1">
      <alignment horizontal="left"/>
      <protection hidden="1"/>
    </xf>
    <xf numFmtId="0" fontId="32"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2" fillId="11" borderId="0" xfId="0" applyFont="1" applyFill="1" applyAlignment="1" applyProtection="1">
      <alignment horizontal="center" vertical="center"/>
      <protection hidden="1"/>
    </xf>
    <xf numFmtId="0" fontId="32"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3"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8" fillId="2" borderId="6" xfId="0"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3" fillId="10" borderId="0" xfId="0" applyNumberFormat="1" applyFont="1" applyFill="1" applyAlignment="1" applyProtection="1">
      <alignment horizontal="center" vertical="center" wrapText="1"/>
      <protection locked="0"/>
    </xf>
    <xf numFmtId="165" fontId="9" fillId="13" borderId="6" xfId="0" applyNumberFormat="1" applyFont="1" applyFill="1" applyBorder="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165" fontId="9" fillId="13" borderId="1" xfId="0" applyNumberFormat="1"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3" fillId="10" borderId="0" xfId="0" applyFont="1" applyFill="1" applyAlignment="1" applyProtection="1">
      <alignment vertical="center"/>
      <protection hidden="1"/>
    </xf>
    <xf numFmtId="0" fontId="44" fillId="10" borderId="0" xfId="0" applyFont="1" applyFill="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3"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3" fillId="10" borderId="12" xfId="2" applyNumberFormat="1" applyFont="1" applyFill="1" applyBorder="1" applyAlignment="1" applyProtection="1">
      <alignment horizontal="center" vertical="center"/>
      <protection locked="0"/>
    </xf>
    <xf numFmtId="164" fontId="9" fillId="13" borderId="1"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164" fontId="9" fillId="13" borderId="4" xfId="2" applyNumberFormat="1" applyFont="1" applyFill="1" applyBorder="1" applyAlignment="1" applyProtection="1">
      <alignment horizontal="center" vertical="center"/>
      <protection locked="0"/>
    </xf>
    <xf numFmtId="164" fontId="9" fillId="13" borderId="3"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3"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3"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3" fillId="10" borderId="0" xfId="0" applyNumberFormat="1" applyFont="1" applyFill="1" applyAlignment="1" applyProtection="1">
      <alignment horizontal="center" vertical="center"/>
      <protection hidden="1"/>
    </xf>
    <xf numFmtId="2" fontId="37" fillId="2" borderId="1" xfId="0" applyNumberFormat="1" applyFont="1" applyFill="1" applyBorder="1" applyAlignment="1" applyProtection="1">
      <alignment horizontal="center" vertical="center"/>
      <protection hidden="1"/>
    </xf>
    <xf numFmtId="2" fontId="37" fillId="10" borderId="0" xfId="0" applyNumberFormat="1" applyFont="1" applyFill="1" applyAlignment="1" applyProtection="1">
      <alignment horizontal="center" vertical="center"/>
      <protection hidden="1"/>
    </xf>
    <xf numFmtId="0" fontId="32" fillId="0" borderId="0" xfId="0" applyFont="1" applyAlignment="1" applyProtection="1">
      <alignment horizontal="center" vertical="center"/>
      <protection hidden="1"/>
    </xf>
    <xf numFmtId="9" fontId="45" fillId="10" borderId="12" xfId="2" applyFont="1" applyFill="1" applyBorder="1" applyAlignment="1" applyProtection="1">
      <alignment horizontal="center" vertical="center"/>
      <protection hidden="1"/>
    </xf>
    <xf numFmtId="9" fontId="46" fillId="0" borderId="8" xfId="2" applyFont="1" applyFill="1" applyBorder="1" applyAlignment="1" applyProtection="1">
      <alignment horizontal="center" vertical="center"/>
      <protection hidden="1"/>
    </xf>
    <xf numFmtId="9" fontId="46" fillId="10" borderId="7" xfId="2" applyFont="1" applyFill="1" applyBorder="1" applyAlignment="1" applyProtection="1">
      <alignment horizontal="center" vertical="center"/>
      <protection hidden="1"/>
    </xf>
    <xf numFmtId="9" fontId="46" fillId="0" borderId="15" xfId="2" applyFont="1" applyFill="1" applyBorder="1" applyAlignment="1" applyProtection="1">
      <alignment horizontal="center" vertical="center"/>
      <protection hidden="1"/>
    </xf>
    <xf numFmtId="9" fontId="46" fillId="0" borderId="14" xfId="2" applyFont="1" applyFill="1" applyBorder="1" applyAlignment="1" applyProtection="1">
      <alignment horizontal="center" vertical="center"/>
      <protection hidden="1"/>
    </xf>
    <xf numFmtId="0" fontId="47"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3" fillId="10" borderId="12" xfId="2" applyNumberFormat="1" applyFont="1" applyFill="1" applyBorder="1" applyAlignment="1" applyProtection="1">
      <alignment horizontal="center" vertical="center"/>
      <protection locked="0"/>
    </xf>
    <xf numFmtId="2" fontId="37" fillId="10" borderId="7" xfId="2" applyNumberFormat="1" applyFont="1" applyFill="1" applyBorder="1" applyAlignment="1" applyProtection="1">
      <alignment horizontal="center" vertical="center"/>
      <protection hidden="1"/>
    </xf>
    <xf numFmtId="1" fontId="37"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3"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0" fontId="43"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3" fillId="10" borderId="0" xfId="0" applyFont="1" applyFill="1" applyAlignment="1" applyProtection="1">
      <alignment horizontal="center" vertical="center" wrapText="1"/>
      <protection locked="0"/>
    </xf>
    <xf numFmtId="0" fontId="37" fillId="10" borderId="0" xfId="0" applyFont="1" applyFill="1" applyAlignment="1" applyProtection="1">
      <alignment vertical="center" wrapText="1"/>
      <protection hidden="1"/>
    </xf>
    <xf numFmtId="0" fontId="37" fillId="5" borderId="1" xfId="0" applyFont="1" applyFill="1" applyBorder="1" applyAlignment="1" applyProtection="1">
      <alignment horizontal="center" vertical="center" wrapText="1"/>
      <protection locked="0"/>
    </xf>
    <xf numFmtId="0" fontId="42"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2" fillId="2" borderId="0" xfId="0" applyFont="1" applyFill="1" applyAlignment="1" applyProtection="1">
      <alignment vertical="center" wrapText="1"/>
      <protection hidden="1"/>
    </xf>
    <xf numFmtId="0" fontId="32" fillId="10" borderId="0" xfId="0" applyFont="1" applyFill="1" applyAlignment="1" applyProtection="1">
      <alignment vertical="center" wrapText="1"/>
      <protection hidden="1"/>
    </xf>
    <xf numFmtId="0" fontId="50" fillId="10" borderId="0" xfId="0" applyFont="1" applyFill="1" applyAlignment="1" applyProtection="1">
      <alignment horizontal="center" vertical="center" wrapText="1"/>
      <protection hidden="1"/>
    </xf>
    <xf numFmtId="9" fontId="51" fillId="10" borderId="0" xfId="2" applyFont="1" applyFill="1" applyBorder="1" applyAlignment="1" applyProtection="1">
      <alignment horizontal="center" vertical="center"/>
      <protection hidden="1"/>
    </xf>
    <xf numFmtId="0" fontId="52" fillId="10"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3" fillId="10" borderId="0" xfId="0" applyFont="1" applyFill="1" applyAlignment="1" applyProtection="1">
      <alignment horizontal="left" vertical="center" wrapText="1"/>
      <protection hidden="1"/>
    </xf>
    <xf numFmtId="9" fontId="33"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3"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3" fillId="10" borderId="0" xfId="0" applyFont="1" applyFill="1" applyAlignment="1" applyProtection="1">
      <alignment horizontal="left" vertical="center"/>
      <protection hidden="1"/>
    </xf>
    <xf numFmtId="0" fontId="33"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3" fillId="2" borderId="0" xfId="0" applyFont="1" applyFill="1" applyAlignment="1" applyProtection="1">
      <alignment horizontal="center" vertical="center"/>
      <protection hidden="1"/>
    </xf>
    <xf numFmtId="0" fontId="43" fillId="10" borderId="0" xfId="0" applyFont="1" applyFill="1" applyAlignment="1" applyProtection="1">
      <alignment horizontal="center" vertical="center"/>
      <protection hidden="1"/>
    </xf>
    <xf numFmtId="0" fontId="43" fillId="10" borderId="0" xfId="0" applyFont="1" applyFill="1" applyAlignment="1" applyProtection="1">
      <alignment horizontal="left" vertical="center"/>
      <protection hidden="1"/>
    </xf>
    <xf numFmtId="0" fontId="38" fillId="2" borderId="0" xfId="0" applyFont="1" applyFill="1" applyAlignment="1" applyProtection="1">
      <alignment horizontal="right" vertical="center"/>
      <protection hidden="1"/>
    </xf>
    <xf numFmtId="0" fontId="38" fillId="10" borderId="0" xfId="0" applyFont="1" applyFill="1" applyAlignment="1" applyProtection="1">
      <alignment horizontal="right" vertical="center"/>
      <protection hidden="1"/>
    </xf>
    <xf numFmtId="0" fontId="38" fillId="10" borderId="0" xfId="0" applyFont="1" applyFill="1" applyAlignment="1" applyProtection="1">
      <alignment vertical="center"/>
      <protection hidden="1"/>
    </xf>
    <xf numFmtId="0" fontId="54" fillId="14" borderId="0" xfId="0" applyFont="1" applyFill="1" applyAlignment="1" applyProtection="1">
      <alignment horizontal="center" vertical="center"/>
      <protection hidden="1"/>
    </xf>
    <xf numFmtId="0" fontId="32" fillId="14" borderId="0" xfId="0" applyFont="1" applyFill="1" applyAlignment="1" applyProtection="1">
      <alignment horizontal="center" vertical="center"/>
      <protection hidden="1"/>
    </xf>
    <xf numFmtId="0" fontId="56" fillId="2" borderId="0" xfId="0" applyFont="1" applyFill="1" applyAlignment="1" applyProtection="1">
      <alignment horizontal="left" vertical="center" wrapText="1"/>
      <protection hidden="1"/>
    </xf>
    <xf numFmtId="0" fontId="57" fillId="10" borderId="0" xfId="0" applyFont="1" applyFill="1" applyAlignment="1" applyProtection="1">
      <alignment vertical="center"/>
      <protection hidden="1"/>
    </xf>
    <xf numFmtId="0" fontId="46" fillId="10" borderId="0" xfId="0" applyFont="1" applyFill="1" applyAlignment="1" applyProtection="1">
      <alignment horizontal="left" vertical="center"/>
      <protection hidden="1"/>
    </xf>
    <xf numFmtId="0" fontId="46" fillId="2" borderId="0" xfId="0" applyFont="1" applyFill="1" applyAlignment="1" applyProtection="1">
      <alignment horizontal="left" vertical="center"/>
      <protection hidden="1"/>
    </xf>
    <xf numFmtId="164" fontId="7"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hidden="1"/>
    </xf>
    <xf numFmtId="0" fontId="8" fillId="8" borderId="0" xfId="0" applyFont="1" applyFill="1" applyAlignment="1" applyProtection="1">
      <alignment horizontal="center" vertical="center" wrapText="1"/>
      <protection hidden="1"/>
    </xf>
    <xf numFmtId="0" fontId="59" fillId="2" borderId="1" xfId="0" applyFont="1" applyFill="1" applyBorder="1" applyAlignment="1" applyProtection="1">
      <alignment horizontal="center" vertical="center" wrapText="1"/>
      <protection hidden="1"/>
    </xf>
    <xf numFmtId="0" fontId="59" fillId="8" borderId="0" xfId="0" applyFont="1" applyFill="1" applyAlignment="1" applyProtection="1">
      <alignment horizontal="center" vertical="center" wrapText="1"/>
      <protection hidden="1"/>
    </xf>
    <xf numFmtId="0" fontId="8" fillId="8" borderId="0" xfId="0" applyFont="1" applyFill="1" applyAlignment="1" applyProtection="1">
      <alignment vertical="center" wrapText="1"/>
      <protection hidden="1"/>
    </xf>
    <xf numFmtId="164" fontId="39" fillId="8" borderId="0" xfId="0" applyNumberFormat="1" applyFont="1" applyFill="1" applyAlignment="1" applyProtection="1">
      <alignment horizontal="center" vertical="center"/>
      <protection hidden="1"/>
    </xf>
    <xf numFmtId="164" fontId="39" fillId="2" borderId="0" xfId="0" applyNumberFormat="1" applyFont="1" applyFill="1" applyAlignment="1" applyProtection="1">
      <alignment horizontal="center" vertical="center"/>
      <protection hidden="1"/>
    </xf>
    <xf numFmtId="0" fontId="60"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2" fillId="8" borderId="0" xfId="2" applyFont="1" applyFill="1" applyBorder="1" applyAlignment="1" applyProtection="1">
      <alignment horizontal="left" vertical="center"/>
      <protection hidden="1"/>
    </xf>
    <xf numFmtId="9" fontId="63" fillId="8" borderId="0" xfId="2" applyFont="1" applyFill="1" applyBorder="1" applyAlignment="1" applyProtection="1">
      <alignment horizontal="left" vertical="center"/>
      <protection hidden="1"/>
    </xf>
    <xf numFmtId="0" fontId="59" fillId="8" borderId="0" xfId="0" applyFont="1" applyFill="1" applyAlignment="1" applyProtection="1">
      <alignment horizontal="right" vertical="center" wrapText="1"/>
      <protection hidden="1"/>
    </xf>
    <xf numFmtId="2" fontId="35" fillId="8" borderId="0" xfId="0" applyNumberFormat="1" applyFont="1" applyFill="1" applyAlignment="1" applyProtection="1">
      <alignment horizontal="center" vertical="center"/>
      <protection hidden="1"/>
    </xf>
    <xf numFmtId="2" fontId="7" fillId="8" borderId="0" xfId="0" applyNumberFormat="1" applyFont="1" applyFill="1" applyAlignment="1" applyProtection="1">
      <alignment horizontal="center" vertical="center"/>
      <protection hidden="1"/>
    </xf>
    <xf numFmtId="0" fontId="65"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6" fillId="8" borderId="0" xfId="0" applyFont="1" applyFill="1" applyAlignment="1" applyProtection="1">
      <alignment horizontal="center" vertical="center" wrapText="1"/>
      <protection hidden="1"/>
    </xf>
    <xf numFmtId="0" fontId="67"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wrapText="1"/>
      <protection hidden="1"/>
    </xf>
    <xf numFmtId="0" fontId="68" fillId="8" borderId="0" xfId="0" applyFont="1" applyFill="1" applyAlignment="1" applyProtection="1">
      <alignment vertical="center" wrapText="1"/>
      <protection hidden="1"/>
    </xf>
    <xf numFmtId="0" fontId="69" fillId="8" borderId="0" xfId="0" applyFont="1" applyFill="1" applyAlignment="1" applyProtection="1">
      <alignment vertical="center" wrapText="1"/>
      <protection hidden="1"/>
    </xf>
    <xf numFmtId="0" fontId="69" fillId="8" borderId="0" xfId="0" applyFont="1" applyFill="1" applyAlignment="1" applyProtection="1">
      <alignment horizontal="center" vertical="center" wrapText="1"/>
      <protection hidden="1"/>
    </xf>
    <xf numFmtId="0" fontId="70" fillId="8" borderId="0" xfId="0" applyFont="1" applyFill="1" applyAlignment="1" applyProtection="1">
      <alignment horizontal="left" vertical="center" wrapText="1"/>
      <protection hidden="1"/>
    </xf>
    <xf numFmtId="0" fontId="32" fillId="2" borderId="0" xfId="0" applyFont="1" applyFill="1" applyProtection="1">
      <protection hidden="1"/>
    </xf>
    <xf numFmtId="0" fontId="32" fillId="3" borderId="0" xfId="0" applyFont="1" applyFill="1" applyProtection="1">
      <protection hidden="1"/>
    </xf>
    <xf numFmtId="165" fontId="7" fillId="2" borderId="1" xfId="0" applyNumberFormat="1" applyFont="1" applyFill="1" applyBorder="1" applyAlignment="1" applyProtection="1">
      <alignment horizontal="center" vertical="center"/>
      <protection hidden="1"/>
    </xf>
    <xf numFmtId="165" fontId="7" fillId="3" borderId="0" xfId="0" applyNumberFormat="1" applyFont="1" applyFill="1" applyAlignment="1" applyProtection="1">
      <alignment horizontal="center" vertical="center"/>
      <protection hidden="1"/>
    </xf>
    <xf numFmtId="0" fontId="59" fillId="3" borderId="0" xfId="0" applyFont="1" applyFill="1" applyAlignment="1" applyProtection="1">
      <alignment horizontal="right" vertical="center" wrapText="1"/>
      <protection hidden="1"/>
    </xf>
    <xf numFmtId="0" fontId="59" fillId="2" borderId="1" xfId="0" applyFont="1" applyFill="1" applyBorder="1" applyAlignment="1" applyProtection="1">
      <alignment horizontal="right" vertical="center" wrapText="1"/>
      <protection hidden="1"/>
    </xf>
    <xf numFmtId="0" fontId="32" fillId="3" borderId="0" xfId="0" applyFont="1" applyFill="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7" fillId="3" borderId="0" xfId="0" applyFont="1" applyFill="1" applyAlignment="1" applyProtection="1">
      <alignment horizontal="right" vertical="center" wrapText="1"/>
      <protection hidden="1"/>
    </xf>
    <xf numFmtId="0" fontId="4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3" fillId="3" borderId="10" xfId="0" applyNumberFormat="1" applyFont="1" applyFill="1" applyBorder="1" applyAlignment="1" applyProtection="1">
      <alignment horizontal="center" vertical="center"/>
      <protection hidden="1"/>
    </xf>
    <xf numFmtId="165" fontId="73" fillId="3" borderId="0" xfId="0" applyNumberFormat="1" applyFont="1" applyFill="1" applyAlignment="1" applyProtection="1">
      <alignment horizontal="center" vertical="center"/>
      <protection hidden="1"/>
    </xf>
    <xf numFmtId="0" fontId="59" fillId="3" borderId="10" xfId="0" applyFont="1" applyFill="1" applyBorder="1" applyAlignment="1" applyProtection="1">
      <alignment horizontal="right" vertical="center" wrapText="1"/>
      <protection hidden="1"/>
    </xf>
    <xf numFmtId="165" fontId="73" fillId="2" borderId="1" xfId="0" applyNumberFormat="1" applyFont="1" applyFill="1" applyBorder="1" applyAlignment="1" applyProtection="1">
      <alignment horizontal="center" vertical="center"/>
      <protection hidden="1"/>
    </xf>
    <xf numFmtId="0" fontId="9" fillId="3" borderId="0" xfId="0" applyFont="1" applyFill="1" applyAlignment="1" applyProtection="1">
      <alignment horizontal="center" vertical="center"/>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4" fillId="2" borderId="0" xfId="0" applyFont="1" applyFill="1" applyProtection="1">
      <protection hidden="1"/>
    </xf>
    <xf numFmtId="0" fontId="75" fillId="3" borderId="0" xfId="0" applyFont="1" applyFill="1" applyAlignment="1" applyProtection="1">
      <alignment vertical="center" wrapText="1"/>
      <protection hidden="1"/>
    </xf>
    <xf numFmtId="0" fontId="74"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7" fillId="2" borderId="1" xfId="0" applyNumberFormat="1" applyFont="1" applyFill="1" applyBorder="1" applyAlignment="1" applyProtection="1">
      <alignment horizontal="center" vertical="center"/>
      <protection hidden="1"/>
    </xf>
    <xf numFmtId="3" fontId="77" fillId="3" borderId="0" xfId="0" applyNumberFormat="1" applyFont="1" applyFill="1" applyAlignment="1" applyProtection="1">
      <alignment horizontal="center" vertical="center"/>
      <protection hidden="1"/>
    </xf>
    <xf numFmtId="0" fontId="78" fillId="3" borderId="0" xfId="0" applyFont="1" applyFill="1" applyAlignment="1" applyProtection="1">
      <alignment horizontal="right" vertical="center" wrapText="1"/>
      <protection hidden="1"/>
    </xf>
    <xf numFmtId="0" fontId="78"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2" fillId="2" borderId="0" xfId="0" applyFont="1" applyFill="1" applyAlignment="1" applyProtection="1">
      <alignment wrapText="1"/>
      <protection hidden="1"/>
    </xf>
    <xf numFmtId="0" fontId="32" fillId="3" borderId="0" xfId="0" applyFont="1" applyFill="1" applyAlignment="1" applyProtection="1">
      <alignment wrapText="1"/>
      <protection hidden="1"/>
    </xf>
    <xf numFmtId="0" fontId="39" fillId="3" borderId="0" xfId="0" applyFont="1" applyFill="1" applyAlignment="1" applyProtection="1">
      <alignment vertical="center" wrapText="1"/>
      <protection hidden="1"/>
    </xf>
    <xf numFmtId="0" fontId="32" fillId="3"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7" fontId="37" fillId="10" borderId="0" xfId="1" applyNumberFormat="1" applyFont="1" applyFill="1" applyBorder="1" applyAlignment="1" applyProtection="1">
      <alignment horizontal="center" vertical="center"/>
      <protection hidden="1"/>
    </xf>
    <xf numFmtId="0" fontId="32" fillId="2" borderId="0" xfId="0" applyFont="1" applyFill="1" applyAlignment="1" applyProtection="1">
      <alignment horizontal="right" vertical="center"/>
      <protection hidden="1"/>
    </xf>
    <xf numFmtId="165" fontId="32"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3" fillId="10" borderId="0"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0" fontId="37"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2" fillId="7" borderId="0" xfId="0" applyFont="1" applyFill="1" applyAlignment="1" applyProtection="1">
      <alignment horizontal="center" vertical="center"/>
      <protection hidden="1"/>
    </xf>
    <xf numFmtId="0" fontId="41" fillId="7" borderId="0" xfId="0" applyFont="1" applyFill="1" applyAlignment="1" applyProtection="1">
      <alignment horizontal="center" vertical="center"/>
      <protection hidden="1"/>
    </xf>
    <xf numFmtId="0" fontId="32" fillId="18" borderId="0" xfId="0" applyFont="1" applyFill="1" applyAlignment="1" applyProtection="1">
      <alignment horizontal="center"/>
      <protection hidden="1"/>
    </xf>
    <xf numFmtId="0" fontId="7" fillId="18" borderId="0" xfId="0" applyFont="1" applyFill="1"/>
    <xf numFmtId="0" fontId="84" fillId="10" borderId="0" xfId="0" applyFont="1" applyFill="1" applyAlignment="1" applyProtection="1">
      <alignment vertical="center" wrapText="1"/>
      <protection hidden="1"/>
    </xf>
    <xf numFmtId="0" fontId="37" fillId="2" borderId="1" xfId="0" applyFont="1" applyFill="1" applyBorder="1" applyAlignment="1" applyProtection="1">
      <alignment horizontal="center" vertical="center" wrapText="1"/>
      <protection hidden="1"/>
    </xf>
    <xf numFmtId="0" fontId="85" fillId="18" borderId="0" xfId="0" applyFont="1" applyFill="1" applyAlignment="1" applyProtection="1">
      <alignment horizontal="center" vertical="center"/>
      <protection hidden="1"/>
    </xf>
    <xf numFmtId="0" fontId="32" fillId="18" borderId="0" xfId="0" applyFont="1" applyFill="1" applyAlignment="1" applyProtection="1">
      <alignment horizontal="center" vertical="center"/>
      <protection hidden="1"/>
    </xf>
    <xf numFmtId="2" fontId="35" fillId="2" borderId="1" xfId="1" applyNumberFormat="1" applyFont="1" applyFill="1" applyBorder="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0" fontId="39" fillId="2" borderId="1" xfId="0" applyFont="1" applyFill="1" applyBorder="1" applyAlignment="1" applyProtection="1">
      <alignment horizontal="center" vertical="center"/>
      <protection hidden="1"/>
    </xf>
    <xf numFmtId="0" fontId="39" fillId="2" borderId="1" xfId="0" applyFont="1" applyFill="1" applyBorder="1" applyAlignment="1" applyProtection="1">
      <alignment horizontal="center" vertical="center" wrapText="1"/>
      <protection hidden="1"/>
    </xf>
    <xf numFmtId="164" fontId="49" fillId="10" borderId="0" xfId="0" applyNumberFormat="1" applyFont="1" applyFill="1" applyAlignment="1" applyProtection="1">
      <alignment horizontal="center" vertical="center" wrapText="1"/>
      <protection hidden="1"/>
    </xf>
    <xf numFmtId="164" fontId="49" fillId="10" borderId="0" xfId="0" applyNumberFormat="1" applyFont="1" applyFill="1" applyAlignment="1" applyProtection="1">
      <alignment vertical="center"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2" borderId="1" xfId="0" applyFont="1" applyFill="1" applyBorder="1" applyAlignment="1" applyProtection="1">
      <alignment horizontal="center" vertical="center" wrapText="1"/>
      <protection hidden="1"/>
    </xf>
    <xf numFmtId="168" fontId="37" fillId="2" borderId="14" xfId="2"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32" fillId="2" borderId="5" xfId="0" applyFont="1" applyFill="1" applyBorder="1" applyAlignment="1" applyProtection="1">
      <alignment horizontal="center" vertical="center"/>
      <protection hidden="1"/>
    </xf>
    <xf numFmtId="0" fontId="32" fillId="2" borderId="9" xfId="0" applyFont="1" applyFill="1" applyBorder="1" applyAlignment="1" applyProtection="1">
      <alignment horizontal="center" vertical="center"/>
      <protection hidden="1"/>
    </xf>
    <xf numFmtId="0" fontId="0" fillId="0" borderId="0" xfId="2" applyNumberFormat="1" applyFont="1" applyAlignment="1">
      <alignment horizontal="right" vertical="center"/>
    </xf>
    <xf numFmtId="1" fontId="0" fillId="0" borderId="0" xfId="0" applyNumberFormat="1"/>
    <xf numFmtId="9" fontId="0" fillId="0" borderId="0" xfId="2" applyFont="1"/>
    <xf numFmtId="166" fontId="0" fillId="0" borderId="0" xfId="0" applyNumberFormat="1"/>
    <xf numFmtId="10" fontId="0" fillId="0" borderId="0" xfId="0" applyNumberFormat="1"/>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164" fontId="9" fillId="13" borderId="7" xfId="0" applyNumberFormat="1"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wrapText="1"/>
      <protection hidden="1"/>
    </xf>
    <xf numFmtId="0" fontId="0" fillId="0" borderId="9" xfId="0" applyBorder="1"/>
    <xf numFmtId="0" fontId="0" fillId="0" borderId="10" xfId="0" applyBorder="1"/>
    <xf numFmtId="0" fontId="0" fillId="0" borderId="11" xfId="0" applyBorder="1"/>
    <xf numFmtId="0" fontId="0" fillId="0" borderId="12" xfId="0" applyBorder="1"/>
    <xf numFmtId="1" fontId="0" fillId="0" borderId="13" xfId="0" applyNumberFormat="1" applyBorder="1"/>
    <xf numFmtId="0" fontId="0" fillId="0" borderId="13" xfId="0" applyBorder="1"/>
    <xf numFmtId="0" fontId="0" fillId="0" borderId="14" xfId="0" applyBorder="1"/>
    <xf numFmtId="1" fontId="0" fillId="0" borderId="2" xfId="0" applyNumberFormat="1" applyBorder="1"/>
    <xf numFmtId="1" fontId="0" fillId="0" borderId="15" xfId="0" applyNumberFormat="1" applyBorder="1"/>
    <xf numFmtId="0" fontId="32" fillId="2" borderId="10" xfId="0" applyFont="1" applyFill="1" applyBorder="1" applyAlignment="1" applyProtection="1">
      <alignment horizontal="center" vertical="center"/>
      <protection hidden="1"/>
    </xf>
    <xf numFmtId="0" fontId="1" fillId="0" borderId="0" xfId="0" applyFont="1" applyAlignment="1">
      <alignment horizontal="left" vertical="center"/>
    </xf>
    <xf numFmtId="0" fontId="1" fillId="0" borderId="0" xfId="0" applyFont="1"/>
    <xf numFmtId="0" fontId="87" fillId="2" borderId="8" xfId="3"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88" fillId="0" borderId="0" xfId="0" applyFont="1" applyAlignment="1">
      <alignment horizontal="left" vertical="center" wrapText="1"/>
    </xf>
    <xf numFmtId="0" fontId="8" fillId="2" borderId="9" xfId="0" applyFont="1" applyFill="1" applyBorder="1" applyAlignment="1" applyProtection="1">
      <alignment horizontal="center" vertical="center" wrapText="1"/>
      <protection hidden="1"/>
    </xf>
    <xf numFmtId="0" fontId="47" fillId="2" borderId="14" xfId="0" applyFont="1" applyFill="1" applyBorder="1" applyAlignment="1" applyProtection="1">
      <alignment horizontal="center" vertical="center" wrapText="1"/>
      <protection hidden="1"/>
    </xf>
    <xf numFmtId="1" fontId="37" fillId="10" borderId="13" xfId="2" applyNumberFormat="1" applyFont="1" applyFill="1" applyBorder="1" applyAlignment="1" applyProtection="1">
      <alignment horizontal="center" vertical="center"/>
      <protection hidden="1"/>
    </xf>
    <xf numFmtId="1" fontId="37" fillId="2" borderId="8" xfId="2" applyNumberFormat="1" applyFont="1" applyFill="1" applyBorder="1" applyAlignment="1" applyProtection="1">
      <alignment horizontal="center" vertical="center"/>
      <protection hidden="1"/>
    </xf>
    <xf numFmtId="1" fontId="89" fillId="2" borderId="8" xfId="2" applyNumberFormat="1"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37" fillId="2" borderId="9" xfId="0" applyFont="1" applyFill="1" applyBorder="1" applyAlignment="1" applyProtection="1">
      <alignment horizontal="center" vertical="center"/>
      <protection hidden="1"/>
    </xf>
    <xf numFmtId="0" fontId="32" fillId="12" borderId="0" xfId="0" applyFont="1" applyFill="1" applyAlignment="1" applyProtection="1">
      <alignment horizontal="center" vertical="center"/>
      <protection hidden="1"/>
    </xf>
    <xf numFmtId="0" fontId="32" fillId="2" borderId="16" xfId="0" applyFont="1" applyFill="1" applyBorder="1" applyAlignment="1" applyProtection="1">
      <alignment horizontal="center" vertical="center"/>
      <protection hidden="1"/>
    </xf>
    <xf numFmtId="0" fontId="32" fillId="2" borderId="17" xfId="0" applyFont="1" applyFill="1" applyBorder="1" applyAlignment="1" applyProtection="1">
      <alignment horizontal="center" vertical="center"/>
      <protection hidden="1"/>
    </xf>
    <xf numFmtId="9" fontId="33" fillId="4" borderId="3" xfId="2" applyFont="1" applyFill="1" applyBorder="1" applyAlignment="1" applyProtection="1">
      <alignment horizontal="center" vertical="center"/>
      <protection hidden="1"/>
    </xf>
    <xf numFmtId="0" fontId="32" fillId="2" borderId="18" xfId="0" applyFont="1" applyFill="1" applyBorder="1" applyAlignment="1" applyProtection="1">
      <alignment horizontal="center" vertical="center"/>
      <protection hidden="1"/>
    </xf>
    <xf numFmtId="0" fontId="32" fillId="2" borderId="19"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wrapText="1"/>
      <protection hidden="1"/>
    </xf>
    <xf numFmtId="0" fontId="32" fillId="4" borderId="20" xfId="0" applyFont="1" applyFill="1" applyBorder="1" applyAlignment="1" applyProtection="1">
      <alignment horizontal="center" vertical="center"/>
      <protection hidden="1"/>
    </xf>
    <xf numFmtId="9" fontId="53" fillId="4" borderId="3" xfId="2" applyFont="1" applyFill="1" applyBorder="1" applyAlignment="1" applyProtection="1">
      <alignment horizontal="center" vertical="center"/>
      <protection hidden="1"/>
    </xf>
    <xf numFmtId="0" fontId="32"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wrapText="1"/>
      <protection hidden="1"/>
    </xf>
    <xf numFmtId="0" fontId="32" fillId="2" borderId="20" xfId="0" applyFont="1" applyFill="1" applyBorder="1" applyAlignment="1" applyProtection="1">
      <alignment horizontal="center" vertical="center"/>
      <protection hidden="1"/>
    </xf>
    <xf numFmtId="0" fontId="47" fillId="2" borderId="24" xfId="0" applyFont="1" applyFill="1" applyBorder="1" applyAlignment="1" applyProtection="1">
      <alignment horizontal="center" vertical="center" wrapText="1"/>
      <protection hidden="1"/>
    </xf>
    <xf numFmtId="0" fontId="47" fillId="2" borderId="21" xfId="0" applyFont="1" applyFill="1" applyBorder="1" applyAlignment="1" applyProtection="1">
      <alignment horizontal="center" vertical="center" wrapText="1"/>
      <protection hidden="1"/>
    </xf>
    <xf numFmtId="9" fontId="93" fillId="13" borderId="1" xfId="2" applyFont="1" applyFill="1" applyBorder="1" applyAlignment="1" applyProtection="1">
      <alignment horizontal="center" vertical="center"/>
      <protection locked="0"/>
    </xf>
    <xf numFmtId="9" fontId="45" fillId="2" borderId="5" xfId="2" applyFont="1" applyFill="1" applyBorder="1" applyAlignment="1" applyProtection="1">
      <alignment horizontal="center" vertical="center"/>
      <protection hidden="1"/>
    </xf>
    <xf numFmtId="0" fontId="56" fillId="2" borderId="8" xfId="0" applyFont="1" applyFill="1" applyBorder="1" applyAlignment="1" applyProtection="1">
      <alignment horizontal="center" vertical="center" wrapText="1"/>
      <protection hidden="1"/>
    </xf>
    <xf numFmtId="9" fontId="56" fillId="13" borderId="14" xfId="2" applyFont="1" applyFill="1" applyBorder="1" applyAlignment="1" applyProtection="1">
      <alignment horizontal="center" vertical="center"/>
      <protection locked="0"/>
    </xf>
    <xf numFmtId="9" fontId="56" fillId="2" borderId="3" xfId="2" applyFont="1" applyFill="1" applyBorder="1" applyAlignment="1" applyProtection="1">
      <alignment horizontal="center" vertical="center"/>
      <protection hidden="1"/>
    </xf>
    <xf numFmtId="0" fontId="56" fillId="2" borderId="6" xfId="0" applyFont="1" applyFill="1" applyBorder="1" applyAlignment="1" applyProtection="1">
      <alignment horizontal="center" vertical="center" wrapText="1"/>
      <protection hidden="1"/>
    </xf>
    <xf numFmtId="9" fontId="56" fillId="13" borderId="9" xfId="2" applyFont="1" applyFill="1" applyBorder="1" applyAlignment="1" applyProtection="1">
      <alignment horizontal="center" vertical="center"/>
      <protection locked="0"/>
    </xf>
    <xf numFmtId="9" fontId="94" fillId="2" borderId="3" xfId="2" applyFont="1" applyFill="1" applyBorder="1" applyAlignment="1" applyProtection="1">
      <alignment horizontal="center" vertical="center"/>
      <protection hidden="1"/>
    </xf>
    <xf numFmtId="9" fontId="56" fillId="13" borderId="3" xfId="2" applyFont="1" applyFill="1" applyBorder="1" applyAlignment="1" applyProtection="1">
      <alignment horizontal="center" vertical="center"/>
      <protection locked="0"/>
    </xf>
    <xf numFmtId="0" fontId="56" fillId="2" borderId="1" xfId="0" applyFont="1" applyFill="1" applyBorder="1" applyAlignment="1" applyProtection="1">
      <alignment horizontal="center" vertical="center" wrapText="1"/>
      <protection hidden="1"/>
    </xf>
    <xf numFmtId="9" fontId="93" fillId="13" borderId="5" xfId="2" applyFont="1" applyFill="1" applyBorder="1" applyAlignment="1" applyProtection="1">
      <alignment horizontal="center" vertical="center"/>
      <protection locked="0"/>
    </xf>
    <xf numFmtId="9" fontId="95" fillId="2" borderId="3" xfId="2" applyFont="1" applyFill="1" applyBorder="1" applyAlignment="1" applyProtection="1">
      <alignment horizontal="center" vertical="center"/>
      <protection hidden="1"/>
    </xf>
    <xf numFmtId="168" fontId="0" fillId="0" borderId="0" xfId="0" applyNumberFormat="1"/>
    <xf numFmtId="14" fontId="0" fillId="0" borderId="0" xfId="0" applyNumberFormat="1"/>
    <xf numFmtId="9" fontId="9" fillId="2" borderId="10" xfId="2" applyFont="1" applyFill="1" applyBorder="1" applyAlignment="1" applyProtection="1">
      <alignment horizontal="center" vertical="center"/>
      <protection hidden="1"/>
    </xf>
    <xf numFmtId="9" fontId="9" fillId="2" borderId="5" xfId="2" applyFont="1" applyFill="1" applyBorder="1" applyAlignment="1" applyProtection="1">
      <alignment horizontal="center" vertical="center"/>
      <protection hidden="1"/>
    </xf>
    <xf numFmtId="0" fontId="7" fillId="5" borderId="1" xfId="0" applyFont="1" applyFill="1" applyBorder="1" applyAlignment="1" applyProtection="1">
      <alignment horizontal="center" vertical="center" wrapText="1"/>
      <protection locked="0"/>
    </xf>
    <xf numFmtId="0" fontId="37" fillId="13" borderId="1" xfId="0" applyFont="1" applyFill="1" applyBorder="1" applyAlignment="1" applyProtection="1">
      <alignment horizontal="center" vertical="center"/>
      <protection locked="0"/>
    </xf>
    <xf numFmtId="9" fontId="37" fillId="13" borderId="5" xfId="0" applyNumberFormat="1" applyFont="1" applyFill="1" applyBorder="1" applyAlignment="1" applyProtection="1">
      <alignment horizontal="center" vertical="center"/>
      <protection locked="0"/>
    </xf>
    <xf numFmtId="9" fontId="37" fillId="0" borderId="1" xfId="0" applyNumberFormat="1" applyFont="1" applyBorder="1" applyAlignment="1" applyProtection="1">
      <alignment horizontal="center" vertical="center"/>
      <protection hidden="1"/>
    </xf>
    <xf numFmtId="0" fontId="84" fillId="2" borderId="1" xfId="0" applyFont="1" applyFill="1" applyBorder="1" applyAlignment="1" applyProtection="1">
      <alignment horizontal="center" vertical="center" wrapText="1"/>
      <protection hidden="1"/>
    </xf>
    <xf numFmtId="1" fontId="37" fillId="13" borderId="6" xfId="2" applyNumberFormat="1" applyFont="1" applyFill="1" applyBorder="1" applyAlignment="1" applyProtection="1">
      <alignment horizontal="center" vertical="center"/>
      <protection locked="0"/>
    </xf>
    <xf numFmtId="1" fontId="89" fillId="13" borderId="6" xfId="2" applyNumberFormat="1" applyFont="1" applyFill="1" applyBorder="1" applyAlignment="1" applyProtection="1">
      <alignment horizontal="center" vertical="center"/>
      <protection locked="0"/>
    </xf>
    <xf numFmtId="7" fontId="37" fillId="2" borderId="1" xfId="1" applyNumberFormat="1" applyFont="1" applyFill="1" applyBorder="1" applyAlignment="1" applyProtection="1">
      <alignment horizontal="center" vertical="center"/>
      <protection hidden="1"/>
    </xf>
    <xf numFmtId="0" fontId="32" fillId="0" borderId="0" xfId="0" applyFont="1" applyProtection="1">
      <protection hidden="1"/>
    </xf>
    <xf numFmtId="0" fontId="7" fillId="8" borderId="0" xfId="0" applyFont="1" applyFill="1" applyAlignment="1" applyProtection="1">
      <alignment vertical="center" wrapText="1"/>
      <protection hidden="1"/>
    </xf>
    <xf numFmtId="0" fontId="64" fillId="8" borderId="0" xfId="0" applyFont="1" applyFill="1" applyAlignment="1" applyProtection="1">
      <alignment vertical="center" wrapText="1"/>
      <protection hidden="1"/>
    </xf>
    <xf numFmtId="0" fontId="32" fillId="8" borderId="0" xfId="0" applyFont="1" applyFill="1" applyProtection="1">
      <protection hidden="1"/>
    </xf>
    <xf numFmtId="0" fontId="39" fillId="0" borderId="0" xfId="0" applyFont="1" applyProtection="1">
      <protection hidden="1"/>
    </xf>
    <xf numFmtId="2" fontId="7" fillId="8" borderId="0" xfId="1" applyNumberFormat="1" applyFont="1" applyFill="1" applyBorder="1" applyAlignment="1" applyProtection="1">
      <alignment horizontal="center" vertical="center"/>
      <protection hidden="1"/>
    </xf>
    <xf numFmtId="2" fontId="64" fillId="8" borderId="0" xfId="1" applyNumberFormat="1" applyFont="1" applyFill="1" applyBorder="1" applyAlignment="1" applyProtection="1">
      <alignment horizontal="center" vertical="center"/>
      <protection hidden="1"/>
    </xf>
    <xf numFmtId="2" fontId="32" fillId="0" borderId="0" xfId="0" applyNumberFormat="1" applyFont="1" applyProtection="1">
      <protection hidden="1"/>
    </xf>
    <xf numFmtId="2" fontId="35" fillId="2" borderId="1" xfId="2" applyNumberFormat="1" applyFont="1" applyFill="1" applyBorder="1" applyAlignment="1" applyProtection="1">
      <alignment horizontal="center" vertical="center"/>
      <protection hidden="1"/>
    </xf>
    <xf numFmtId="9" fontId="7" fillId="8" borderId="0" xfId="2" applyFont="1" applyFill="1" applyBorder="1" applyAlignment="1" applyProtection="1">
      <alignment horizontal="center" vertical="center"/>
      <protection hidden="1"/>
    </xf>
    <xf numFmtId="2" fontId="35" fillId="8" borderId="0" xfId="2" applyNumberFormat="1" applyFont="1" applyFill="1" applyBorder="1" applyAlignment="1" applyProtection="1">
      <alignment horizontal="center" vertical="center"/>
      <protection hidden="1"/>
    </xf>
    <xf numFmtId="2" fontId="63" fillId="8" borderId="0" xfId="1" applyNumberFormat="1" applyFont="1" applyFill="1" applyBorder="1" applyAlignment="1" applyProtection="1">
      <alignment horizontal="left" vertical="center"/>
      <protection hidden="1"/>
    </xf>
    <xf numFmtId="166" fontId="7" fillId="8" borderId="0" xfId="2" applyNumberFormat="1" applyFont="1" applyFill="1" applyBorder="1" applyAlignment="1" applyProtection="1">
      <alignment horizontal="center" vertical="center"/>
      <protection hidden="1"/>
    </xf>
    <xf numFmtId="165" fontId="7" fillId="8" borderId="0" xfId="0" applyNumberFormat="1" applyFont="1" applyFill="1" applyAlignment="1" applyProtection="1">
      <alignment horizontal="center" vertical="center" wrapText="1"/>
      <protection hidden="1"/>
    </xf>
    <xf numFmtId="4" fontId="23" fillId="2" borderId="2" xfId="0" applyNumberFormat="1" applyFont="1" applyFill="1" applyBorder="1" applyAlignment="1" applyProtection="1">
      <alignment horizontal="center" vertical="center"/>
      <protection hidden="1"/>
    </xf>
    <xf numFmtId="4" fontId="23" fillId="2" borderId="0" xfId="0" applyNumberFormat="1" applyFont="1" applyFill="1" applyAlignment="1" applyProtection="1">
      <alignment horizontal="center" vertical="center"/>
      <protection hidden="1"/>
    </xf>
    <xf numFmtId="4" fontId="23" fillId="8" borderId="0" xfId="0" applyNumberFormat="1" applyFont="1" applyFill="1" applyAlignment="1" applyProtection="1">
      <alignment horizontal="center" vertical="center"/>
      <protection hidden="1"/>
    </xf>
    <xf numFmtId="164" fontId="23" fillId="2" borderId="0" xfId="0" applyNumberFormat="1" applyFont="1" applyFill="1" applyAlignment="1" applyProtection="1">
      <alignment horizontal="center" vertical="center"/>
      <protection hidden="1"/>
    </xf>
    <xf numFmtId="164" fontId="23" fillId="2" borderId="2" xfId="0" applyNumberFormat="1" applyFont="1" applyFill="1" applyBorder="1" applyAlignment="1" applyProtection="1">
      <alignment horizontal="center" vertical="center"/>
      <protection hidden="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12" fillId="10" borderId="2" xfId="3" applyFont="1" applyFill="1" applyBorder="1" applyAlignment="1">
      <alignment horizontal="left" vertical="center" wrapText="1"/>
    </xf>
    <xf numFmtId="0" fontId="12" fillId="10" borderId="15" xfId="3" applyFont="1" applyFill="1" applyBorder="1" applyAlignment="1">
      <alignment horizontal="left" vertical="center" wrapText="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3"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6" fillId="2" borderId="0" xfId="0" applyNumberFormat="1" applyFont="1" applyFill="1" applyAlignment="1">
      <alignment horizontal="right" vertical="center" wrapText="1"/>
    </xf>
    <xf numFmtId="0" fontId="7" fillId="4" borderId="5" xfId="0" applyFont="1" applyFill="1" applyBorder="1" applyAlignment="1" applyProtection="1">
      <alignment horizontal="left" vertical="center" wrapText="1"/>
      <protection hidden="1"/>
    </xf>
    <xf numFmtId="0" fontId="7" fillId="4" borderId="4" xfId="0" applyFont="1" applyFill="1" applyBorder="1" applyAlignment="1" applyProtection="1">
      <alignment horizontal="left" vertical="center" wrapText="1"/>
      <protection hidden="1"/>
    </xf>
    <xf numFmtId="0" fontId="56" fillId="2" borderId="5" xfId="0" applyFont="1" applyFill="1" applyBorder="1" applyAlignment="1" applyProtection="1">
      <alignment horizontal="left" vertical="center" wrapText="1"/>
      <protection hidden="1"/>
    </xf>
    <xf numFmtId="0" fontId="56" fillId="2" borderId="4" xfId="0" applyFont="1" applyFill="1" applyBorder="1" applyAlignment="1" applyProtection="1">
      <alignment horizontal="left" vertical="center" wrapText="1"/>
      <protection hidden="1"/>
    </xf>
    <xf numFmtId="0" fontId="59" fillId="2" borderId="5" xfId="0" applyFont="1" applyFill="1" applyBorder="1" applyAlignment="1" applyProtection="1">
      <alignment horizontal="left" vertical="center" wrapText="1"/>
      <protection hidden="1"/>
    </xf>
    <xf numFmtId="0" fontId="59" fillId="2" borderId="4" xfId="0" applyFont="1" applyFill="1" applyBorder="1" applyAlignment="1" applyProtection="1">
      <alignment horizontal="left" vertical="center" wrapText="1"/>
      <protection hidden="1"/>
    </xf>
    <xf numFmtId="0" fontId="32" fillId="2" borderId="0" xfId="0" applyFont="1" applyFill="1" applyAlignment="1" applyProtection="1">
      <alignment horizontal="right" vertical="center"/>
      <protection hidden="1"/>
    </xf>
    <xf numFmtId="0" fontId="55" fillId="14" borderId="0" xfId="0" applyFont="1" applyFill="1" applyAlignment="1" applyProtection="1">
      <alignment horizontal="center" vertical="center"/>
      <protection hidden="1"/>
    </xf>
    <xf numFmtId="0" fontId="42" fillId="12"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8"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36"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1" fontId="90" fillId="10" borderId="12" xfId="2" applyNumberFormat="1" applyFont="1" applyFill="1" applyBorder="1" applyAlignment="1" applyProtection="1">
      <alignment horizontal="center" vertical="center" wrapText="1"/>
      <protection hidden="1"/>
    </xf>
    <xf numFmtId="1" fontId="90" fillId="10" borderId="0" xfId="2" applyNumberFormat="1" applyFont="1" applyFill="1" applyBorder="1" applyAlignment="1" applyProtection="1">
      <alignment horizontal="center" vertical="center" wrapText="1"/>
      <protection hidden="1"/>
    </xf>
    <xf numFmtId="0" fontId="7" fillId="2" borderId="12"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2" borderId="13"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hidden="1"/>
    </xf>
    <xf numFmtId="0" fontId="7" fillId="2" borderId="15" xfId="0" applyFont="1" applyFill="1" applyBorder="1" applyAlignment="1" applyProtection="1">
      <alignment horizontal="center" vertical="center" wrapText="1"/>
      <protection hidden="1"/>
    </xf>
    <xf numFmtId="0" fontId="9" fillId="10" borderId="2" xfId="0" applyFont="1" applyFill="1" applyBorder="1" applyAlignment="1" applyProtection="1">
      <alignment horizontal="left"/>
      <protection hidden="1"/>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2" fillId="8" borderId="0" xfId="0" applyFont="1" applyFill="1" applyAlignment="1" applyProtection="1">
      <alignment horizontal="center"/>
      <protection hidden="1"/>
    </xf>
    <xf numFmtId="0" fontId="57" fillId="8" borderId="0" xfId="0" applyFont="1" applyFill="1" applyAlignment="1" applyProtection="1">
      <alignment horizontal="left" vertical="center" wrapText="1"/>
      <protection hidden="1"/>
    </xf>
    <xf numFmtId="0" fontId="61"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5" fillId="9" borderId="0" xfId="0" applyFont="1" applyFill="1" applyAlignment="1" applyProtection="1">
      <alignment horizontal="center" vertical="center" wrapText="1"/>
      <protection hidden="1"/>
    </xf>
    <xf numFmtId="0" fontId="42" fillId="16" borderId="0" xfId="0" applyFont="1" applyFill="1" applyAlignment="1" applyProtection="1">
      <alignment horizontal="center" vertical="center" wrapText="1"/>
      <protection hidden="1"/>
    </xf>
    <xf numFmtId="0" fontId="71" fillId="19" borderId="0" xfId="0" applyFont="1" applyFill="1" applyAlignment="1" applyProtection="1">
      <alignment horizontal="center" vertical="center" wrapText="1"/>
      <protection hidden="1"/>
    </xf>
    <xf numFmtId="0" fontId="3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1" fillId="17"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0" fontId="42" fillId="17" borderId="0" xfId="0" applyFont="1" applyFill="1" applyAlignment="1" applyProtection="1">
      <alignment horizontal="center" vertical="center"/>
      <protection hidden="1"/>
    </xf>
    <xf numFmtId="0" fontId="55"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66BAC3"/>
      <color rgb="FFDFE382"/>
      <color rgb="FFD2E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1171575</xdr:colOff>
      <xdr:row>1</xdr:row>
      <xdr:rowOff>161925</xdr:rowOff>
    </xdr:from>
    <xdr:ext cx="1162050" cy="47625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7391400" y="352425"/>
          <a:ext cx="1162050" cy="476250"/>
        </a:xfrm>
        <a:prstGeom prst="rect">
          <a:avLst/>
        </a:prstGeom>
      </xdr:spPr>
    </xdr:pic>
    <xdr:clientData/>
  </xdr:oneCellAnchor>
  <xdr:twoCellAnchor>
    <xdr:from>
      <xdr:col>0</xdr:col>
      <xdr:colOff>50800</xdr:colOff>
      <xdr:row>1</xdr:row>
      <xdr:rowOff>361112</xdr:rowOff>
    </xdr:from>
    <xdr:to>
      <xdr:col>3</xdr:col>
      <xdr:colOff>660400</xdr:colOff>
      <xdr:row>2</xdr:row>
      <xdr:rowOff>176099</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50800" y="551612"/>
          <a:ext cx="1409700" cy="1364387"/>
        </a:xfrm>
        <a:prstGeom prst="ellips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2000" b="1">
              <a:latin typeface="Arial" panose="020B0604020202020204" pitchFamily="34" charset="0"/>
              <a:cs typeface="Arial" panose="020B0604020202020204" pitchFamily="34" charset="0"/>
            </a:rPr>
            <a:t>HPV</a:t>
          </a:r>
        </a:p>
      </xdr:txBody>
    </xdr:sp>
    <xdr:clientData/>
  </xdr:twoCellAnchor>
  <xdr:oneCellAnchor>
    <xdr:from>
      <xdr:col>22</xdr:col>
      <xdr:colOff>0</xdr:colOff>
      <xdr:row>5</xdr:row>
      <xdr:rowOff>476250</xdr:rowOff>
    </xdr:from>
    <xdr:ext cx="184731" cy="264560"/>
    <xdr:sp macro="" textlink="">
      <xdr:nvSpPr>
        <xdr:cNvPr id="3" name="TextBox 2">
          <a:extLst>
            <a:ext uri="{FF2B5EF4-FFF2-40B4-BE49-F238E27FC236}">
              <a16:creationId xmlns:a16="http://schemas.microsoft.com/office/drawing/2014/main" id="{7407ED3B-CBF1-E08B-EB3C-94DEEF4DBAA8}"/>
            </a:ext>
          </a:extLst>
        </xdr:cNvPr>
        <xdr:cNvSpPr txBox="1"/>
      </xdr:nvSpPr>
      <xdr:spPr>
        <a:xfrm>
          <a:off x="128682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Lower volume or cost</a:t>
          </a:r>
          <a:endParaRPr lang="en-CH" sz="1000">
            <a:latin typeface="Arial" panose="020B0604020202020204" pitchFamily="34" charset="0"/>
            <a:cs typeface="Arial" panose="020B0604020202020204" pitchFamily="34" charset="0"/>
          </a:endParaRP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Higher volume or cost</a:t>
          </a:r>
          <a:endParaRPr lang="en-CH" sz="10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248283</xdr:rowOff>
    </xdr:from>
    <xdr:to>
      <xdr:col>4</xdr:col>
      <xdr:colOff>76200</xdr:colOff>
      <xdr:row>5</xdr:row>
      <xdr:rowOff>422274</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461767" y="1105533"/>
          <a:ext cx="462283" cy="254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Lower volume or cost</a:t>
          </a:r>
          <a:endParaRPr lang="en-CH" sz="800">
            <a:latin typeface="Arial" panose="020B0604020202020204" pitchFamily="34" charset="0"/>
            <a:cs typeface="Arial" panose="020B0604020202020204" pitchFamily="34" charset="0"/>
          </a:endParaRPr>
        </a:p>
      </xdr:txBody>
    </xdr:sp>
    <xdr:clientData/>
  </xdr:twoCellAnchor>
  <xdr:twoCellAnchor>
    <xdr:from>
      <xdr:col>3</xdr:col>
      <xdr:colOff>236220</xdr:colOff>
      <xdr:row>5</xdr:row>
      <xdr:rowOff>767081</xdr:rowOff>
    </xdr:from>
    <xdr:to>
      <xdr:col>4</xdr:col>
      <xdr:colOff>53341</xdr:colOff>
      <xdr:row>5</xdr:row>
      <xdr:rowOff>965201</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468120" y="1103631"/>
          <a:ext cx="433071" cy="127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Higher volume or cost</a:t>
          </a:r>
          <a:endParaRPr lang="en-CH" sz="8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avi.org/our-alliance/market-shaping/product-information-vaccines-cold-chain-equipment" TargetMode="External"/><Relationship Id="rId2" Type="http://schemas.openxmlformats.org/officeDocument/2006/relationships/hyperlink" Target="https://immunizationeconomics.org/thinkwell-idcc/" TargetMode="External"/><Relationship Id="rId1" Type="http://schemas.openxmlformats.org/officeDocument/2006/relationships/hyperlink" Target="https://www.unicef.org/supply/documents/syringe-and-safety-box-bundles-price-data"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unicef.org/supply/handling-fe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88671875" defaultRowHeight="15" x14ac:dyDescent="0.25"/>
  <cols>
    <col min="1" max="1" width="4.109375" style="11" customWidth="1"/>
    <col min="2" max="3" width="3.109375" style="11" customWidth="1"/>
    <col min="4" max="4" width="8.88671875" style="11" customWidth="1"/>
    <col min="5" max="6" width="7.109375" style="11" customWidth="1"/>
    <col min="7" max="11" width="8.88671875" style="11"/>
    <col min="12" max="12" width="11.44140625" style="11" customWidth="1"/>
    <col min="13" max="13" width="32" style="11" customWidth="1"/>
    <col min="14" max="15" width="3.109375" style="11" customWidth="1"/>
    <col min="16" max="16" width="4.109375" style="11" customWidth="1"/>
    <col min="17" max="16384" width="8.88671875" style="11"/>
  </cols>
  <sheetData>
    <row r="1" spans="1:16" ht="15" customHeight="1" x14ac:dyDescent="0.25">
      <c r="A1" s="12"/>
      <c r="B1" s="259"/>
      <c r="C1" s="259"/>
      <c r="D1" s="259"/>
      <c r="E1" s="259"/>
      <c r="F1" s="259"/>
      <c r="G1" s="259"/>
      <c r="H1" s="259"/>
      <c r="I1" s="259"/>
      <c r="J1" s="259"/>
      <c r="K1" s="259"/>
      <c r="L1" s="259"/>
      <c r="M1" s="259"/>
      <c r="N1" s="259"/>
      <c r="O1" s="259"/>
      <c r="P1" s="12"/>
    </row>
    <row r="2" spans="1:16" ht="122.1" customHeight="1" x14ac:dyDescent="0.25">
      <c r="A2" s="12"/>
      <c r="C2" s="46"/>
      <c r="D2" s="46"/>
      <c r="E2" s="405" t="s">
        <v>157</v>
      </c>
      <c r="F2" s="405"/>
      <c r="G2" s="405"/>
      <c r="H2" s="405"/>
      <c r="I2" s="405"/>
      <c r="J2" s="405"/>
      <c r="K2" s="405"/>
      <c r="L2" s="405"/>
      <c r="M2" s="45"/>
      <c r="N2" s="45"/>
      <c r="P2" s="12"/>
    </row>
    <row r="3" spans="1:16" ht="54" customHeight="1" x14ac:dyDescent="0.25">
      <c r="A3" s="12"/>
      <c r="C3" s="44"/>
      <c r="D3" s="44"/>
      <c r="E3" s="406" t="s">
        <v>76</v>
      </c>
      <c r="F3" s="406"/>
      <c r="G3" s="406"/>
      <c r="H3" s="406"/>
      <c r="I3" s="406"/>
      <c r="J3" s="406"/>
      <c r="K3" s="406"/>
      <c r="L3" s="406"/>
      <c r="M3" s="410" t="s">
        <v>175</v>
      </c>
      <c r="N3" s="410"/>
      <c r="P3" s="12"/>
    </row>
    <row r="4" spans="1:16" ht="35.1" customHeight="1" x14ac:dyDescent="0.25">
      <c r="A4" s="12"/>
      <c r="B4" s="12"/>
      <c r="C4" s="402" t="s">
        <v>45</v>
      </c>
      <c r="D4" s="402"/>
      <c r="E4" s="402"/>
      <c r="F4" s="402"/>
      <c r="G4" s="402"/>
      <c r="H4" s="402"/>
      <c r="I4" s="402"/>
      <c r="J4" s="402"/>
      <c r="K4" s="402"/>
      <c r="L4" s="402"/>
      <c r="M4" s="402"/>
      <c r="N4" s="43"/>
      <c r="O4" s="12"/>
      <c r="P4" s="12"/>
    </row>
    <row r="5" spans="1:16" ht="8.1" customHeight="1" x14ac:dyDescent="0.25">
      <c r="A5" s="12"/>
      <c r="B5" s="12"/>
      <c r="C5" s="12"/>
      <c r="D5" s="42"/>
      <c r="E5" s="42"/>
      <c r="F5" s="42"/>
      <c r="G5" s="42"/>
      <c r="H5" s="42"/>
      <c r="I5" s="42"/>
      <c r="J5" s="42"/>
      <c r="K5" s="42"/>
      <c r="L5" s="42"/>
      <c r="M5" s="42"/>
      <c r="N5" s="42"/>
      <c r="O5" s="12"/>
      <c r="P5" s="12"/>
    </row>
    <row r="6" spans="1:16" ht="46.35" customHeight="1" x14ac:dyDescent="0.25">
      <c r="A6" s="12"/>
      <c r="B6" s="37"/>
      <c r="C6" s="41"/>
      <c r="D6" s="404" t="s">
        <v>44</v>
      </c>
      <c r="E6" s="404"/>
      <c r="F6" s="404"/>
      <c r="G6" s="404"/>
      <c r="H6" s="404"/>
      <c r="I6" s="404"/>
      <c r="J6" s="404"/>
      <c r="K6" s="404"/>
      <c r="L6" s="404"/>
      <c r="M6" s="404"/>
      <c r="N6" s="36"/>
      <c r="O6" s="41"/>
      <c r="P6" s="12"/>
    </row>
    <row r="7" spans="1:16" ht="8.1" customHeight="1" x14ac:dyDescent="0.25">
      <c r="A7" s="12"/>
      <c r="B7" s="12"/>
      <c r="C7" s="12"/>
      <c r="D7" s="12"/>
      <c r="E7" s="12"/>
      <c r="F7" s="12"/>
      <c r="G7" s="12"/>
      <c r="H7" s="12"/>
      <c r="I7" s="12"/>
      <c r="J7" s="12"/>
      <c r="K7" s="12"/>
      <c r="L7" s="12"/>
      <c r="M7" s="12"/>
      <c r="N7" s="12"/>
      <c r="O7" s="12"/>
      <c r="P7" s="12"/>
    </row>
    <row r="8" spans="1:16" ht="321" customHeight="1" x14ac:dyDescent="0.25">
      <c r="A8" s="12"/>
      <c r="B8" s="12"/>
      <c r="D8" s="407" t="s">
        <v>171</v>
      </c>
      <c r="E8" s="407"/>
      <c r="F8" s="407"/>
      <c r="G8" s="407"/>
      <c r="H8" s="407"/>
      <c r="I8" s="407"/>
      <c r="J8" s="407"/>
      <c r="K8" s="407"/>
      <c r="L8" s="407"/>
      <c r="M8" s="407"/>
      <c r="N8" s="40"/>
      <c r="O8" s="12"/>
      <c r="P8" s="12"/>
    </row>
    <row r="9" spans="1:16" ht="8.1" customHeight="1" x14ac:dyDescent="0.25">
      <c r="A9" s="12"/>
      <c r="B9" s="12"/>
      <c r="C9" s="12"/>
      <c r="D9" s="39"/>
      <c r="E9" s="39"/>
      <c r="F9" s="39"/>
      <c r="G9" s="39"/>
      <c r="H9" s="39"/>
      <c r="I9" s="39"/>
      <c r="J9" s="39"/>
      <c r="K9" s="39"/>
      <c r="L9" s="39"/>
      <c r="M9" s="39"/>
      <c r="N9" s="39"/>
      <c r="O9" s="12"/>
      <c r="P9" s="12"/>
    </row>
    <row r="10" spans="1:16" ht="99" customHeight="1" x14ac:dyDescent="0.25">
      <c r="A10" s="12"/>
      <c r="B10" s="12"/>
      <c r="C10" s="12"/>
      <c r="D10" s="408" t="s">
        <v>126</v>
      </c>
      <c r="E10" s="409"/>
      <c r="F10" s="409"/>
      <c r="G10" s="409"/>
      <c r="H10" s="409"/>
      <c r="I10" s="409"/>
      <c r="J10" s="409"/>
      <c r="K10" s="409"/>
      <c r="L10" s="409"/>
      <c r="M10" s="409"/>
      <c r="N10" s="38"/>
      <c r="O10" s="12"/>
      <c r="P10" s="12"/>
    </row>
    <row r="11" spans="1:16" ht="8.1" customHeight="1" x14ac:dyDescent="0.25">
      <c r="A11" s="12"/>
      <c r="B11" s="12"/>
      <c r="C11" s="12"/>
      <c r="D11" s="12"/>
      <c r="E11" s="12"/>
      <c r="F11" s="12"/>
      <c r="G11" s="12"/>
      <c r="H11" s="12"/>
      <c r="I11" s="12"/>
      <c r="J11" s="12"/>
      <c r="K11" s="12"/>
      <c r="L11" s="12"/>
      <c r="M11" s="12"/>
      <c r="N11" s="12"/>
      <c r="O11" s="12"/>
      <c r="P11" s="12"/>
    </row>
    <row r="12" spans="1:16" ht="49.35" customHeight="1" x14ac:dyDescent="0.25">
      <c r="A12" s="12"/>
      <c r="B12" s="37"/>
      <c r="C12" s="35"/>
      <c r="D12" s="404" t="s">
        <v>18</v>
      </c>
      <c r="E12" s="404"/>
      <c r="F12" s="404"/>
      <c r="G12" s="404"/>
      <c r="H12" s="404"/>
      <c r="I12" s="404"/>
      <c r="J12" s="404"/>
      <c r="K12" s="404"/>
      <c r="L12" s="404"/>
      <c r="M12" s="404"/>
      <c r="N12" s="36"/>
      <c r="O12" s="35"/>
      <c r="P12" s="12"/>
    </row>
    <row r="13" spans="1:16" ht="5.0999999999999996" customHeight="1" x14ac:dyDescent="0.25">
      <c r="A13" s="12"/>
      <c r="B13" s="12"/>
      <c r="C13" s="12"/>
      <c r="D13" s="12"/>
      <c r="E13" s="12"/>
      <c r="F13" s="12"/>
      <c r="G13" s="12"/>
      <c r="H13" s="12"/>
      <c r="I13" s="12"/>
      <c r="J13" s="12"/>
      <c r="K13" s="12"/>
      <c r="L13" s="12"/>
      <c r="M13" s="12"/>
      <c r="N13" s="12"/>
      <c r="O13" s="12"/>
      <c r="P13" s="12"/>
    </row>
    <row r="14" spans="1:16" ht="29.1" customHeight="1" x14ac:dyDescent="0.25">
      <c r="A14" s="12"/>
      <c r="B14" s="12"/>
      <c r="C14" s="34"/>
      <c r="D14" s="403" t="s">
        <v>43</v>
      </c>
      <c r="E14" s="403"/>
      <c r="F14" s="403"/>
      <c r="G14" s="403"/>
      <c r="H14" s="403"/>
      <c r="I14" s="403"/>
      <c r="J14" s="403"/>
      <c r="K14" s="403"/>
      <c r="L14" s="403"/>
      <c r="M14" s="403"/>
      <c r="N14" s="33"/>
      <c r="O14" s="12"/>
      <c r="P14" s="12"/>
    </row>
    <row r="15" spans="1:16" ht="8.1" customHeight="1" x14ac:dyDescent="0.25">
      <c r="A15" s="12"/>
      <c r="B15" s="12"/>
      <c r="O15" s="12"/>
      <c r="P15" s="12"/>
    </row>
    <row r="16" spans="1:16" ht="15.6" customHeight="1" x14ac:dyDescent="0.25">
      <c r="A16" s="12"/>
      <c r="B16" s="12"/>
      <c r="D16" s="32"/>
      <c r="E16" s="383" t="s">
        <v>42</v>
      </c>
      <c r="F16" s="383"/>
      <c r="G16" s="383"/>
      <c r="H16" s="383"/>
      <c r="I16" s="383"/>
      <c r="J16" s="383"/>
      <c r="K16" s="383"/>
      <c r="L16" s="383"/>
      <c r="M16" s="383"/>
      <c r="N16" s="31"/>
      <c r="O16" s="12"/>
      <c r="P16" s="12"/>
    </row>
    <row r="17" spans="1:16" ht="13.35" customHeight="1" x14ac:dyDescent="0.25">
      <c r="A17" s="12"/>
      <c r="B17" s="12"/>
      <c r="D17" s="29"/>
      <c r="E17" s="383"/>
      <c r="F17" s="383"/>
      <c r="G17" s="383"/>
      <c r="H17" s="383"/>
      <c r="I17" s="383"/>
      <c r="J17" s="383"/>
      <c r="K17" s="383"/>
      <c r="L17" s="383"/>
      <c r="M17" s="383"/>
      <c r="N17" s="31"/>
      <c r="O17" s="12"/>
      <c r="P17" s="12"/>
    </row>
    <row r="18" spans="1:16" ht="20.100000000000001" customHeight="1" x14ac:dyDescent="0.25">
      <c r="A18" s="12"/>
      <c r="B18" s="12"/>
      <c r="D18" s="29"/>
      <c r="E18" s="383"/>
      <c r="F18" s="383"/>
      <c r="G18" s="383"/>
      <c r="H18" s="383"/>
      <c r="I18" s="383"/>
      <c r="J18" s="383"/>
      <c r="K18" s="383"/>
      <c r="L18" s="383"/>
      <c r="M18" s="383"/>
      <c r="N18" s="31"/>
      <c r="O18" s="12"/>
      <c r="P18" s="12"/>
    </row>
    <row r="19" spans="1:16" ht="6" customHeight="1" x14ac:dyDescent="0.25">
      <c r="A19" s="12"/>
      <c r="B19" s="12"/>
      <c r="D19" s="29"/>
      <c r="E19" s="29"/>
      <c r="F19" s="22"/>
      <c r="G19" s="22"/>
      <c r="H19" s="22"/>
      <c r="I19" s="22"/>
      <c r="J19" s="22"/>
      <c r="K19" s="22"/>
      <c r="L19" s="22"/>
      <c r="M19" s="22"/>
      <c r="O19" s="12"/>
      <c r="P19" s="12"/>
    </row>
    <row r="20" spans="1:16" ht="15.6" customHeight="1" x14ac:dyDescent="0.25">
      <c r="A20" s="12"/>
      <c r="B20" s="12"/>
      <c r="D20" s="30"/>
      <c r="E20" s="383" t="s">
        <v>41</v>
      </c>
      <c r="F20" s="383"/>
      <c r="G20" s="383"/>
      <c r="H20" s="383"/>
      <c r="I20" s="383"/>
      <c r="J20" s="383"/>
      <c r="K20" s="383"/>
      <c r="L20" s="383"/>
      <c r="M20" s="383"/>
      <c r="N20" s="25"/>
      <c r="O20" s="12"/>
      <c r="P20" s="12"/>
    </row>
    <row r="21" spans="1:16" ht="17.100000000000001" customHeight="1" x14ac:dyDescent="0.25">
      <c r="A21" s="12"/>
      <c r="B21" s="12"/>
      <c r="D21" s="29"/>
      <c r="E21" s="383"/>
      <c r="F21" s="383"/>
      <c r="G21" s="383"/>
      <c r="H21" s="383"/>
      <c r="I21" s="383"/>
      <c r="J21" s="383"/>
      <c r="K21" s="383"/>
      <c r="L21" s="383"/>
      <c r="M21" s="383"/>
      <c r="N21" s="25"/>
      <c r="O21" s="12"/>
      <c r="P21" s="12"/>
    </row>
    <row r="22" spans="1:16" ht="6" customHeight="1" x14ac:dyDescent="0.25">
      <c r="A22" s="12"/>
      <c r="B22" s="12"/>
      <c r="D22" s="29"/>
      <c r="E22" s="29"/>
      <c r="F22" s="22"/>
      <c r="G22" s="22"/>
      <c r="H22" s="22"/>
      <c r="I22" s="22"/>
      <c r="J22" s="22"/>
      <c r="K22" s="22"/>
      <c r="L22" s="22"/>
      <c r="M22" s="22"/>
      <c r="O22" s="12"/>
      <c r="P22" s="12"/>
    </row>
    <row r="23" spans="1:16" x14ac:dyDescent="0.25">
      <c r="A23" s="12"/>
      <c r="B23" s="12"/>
      <c r="D23" s="28"/>
      <c r="E23" s="381" t="s">
        <v>28</v>
      </c>
      <c r="F23" s="382"/>
      <c r="G23" s="382"/>
      <c r="H23" s="382"/>
      <c r="I23" s="382"/>
      <c r="J23" s="382"/>
      <c r="K23" s="382"/>
      <c r="L23" s="382"/>
      <c r="M23" s="382"/>
      <c r="N23" s="25"/>
      <c r="O23" s="12"/>
      <c r="P23" s="12"/>
    </row>
    <row r="24" spans="1:16" ht="10.35" customHeight="1" x14ac:dyDescent="0.25">
      <c r="A24" s="12"/>
      <c r="B24" s="12"/>
      <c r="D24" s="22"/>
      <c r="E24" s="22"/>
      <c r="F24" s="22"/>
      <c r="G24" s="22"/>
      <c r="H24" s="22"/>
      <c r="I24" s="22"/>
      <c r="J24" s="22"/>
      <c r="K24" s="22"/>
      <c r="L24" s="22"/>
      <c r="M24" s="22"/>
      <c r="O24" s="12"/>
      <c r="P24" s="12"/>
    </row>
    <row r="25" spans="1:16" ht="66" customHeight="1" x14ac:dyDescent="0.25">
      <c r="A25" s="12"/>
      <c r="B25" s="12"/>
      <c r="D25" s="384" t="s">
        <v>40</v>
      </c>
      <c r="E25" s="384"/>
      <c r="F25" s="384"/>
      <c r="G25" s="385" t="s">
        <v>173</v>
      </c>
      <c r="H25" s="385"/>
      <c r="I25" s="385"/>
      <c r="J25" s="385"/>
      <c r="K25" s="385"/>
      <c r="L25" s="385"/>
      <c r="M25" s="385"/>
      <c r="N25" s="25"/>
      <c r="O25" s="12"/>
      <c r="P25" s="12"/>
    </row>
    <row r="26" spans="1:16" ht="8.1" customHeight="1" x14ac:dyDescent="0.25">
      <c r="A26" s="12"/>
      <c r="B26" s="12"/>
      <c r="D26" s="22"/>
      <c r="E26" s="22"/>
      <c r="F26" s="22"/>
      <c r="G26" s="22"/>
      <c r="H26" s="22"/>
      <c r="I26" s="22"/>
      <c r="J26" s="22"/>
      <c r="K26" s="22"/>
      <c r="L26" s="22"/>
      <c r="M26" s="22"/>
      <c r="O26" s="12"/>
      <c r="P26" s="12"/>
    </row>
    <row r="27" spans="1:16" ht="207" customHeight="1" x14ac:dyDescent="0.25">
      <c r="A27" s="12"/>
      <c r="B27" s="12"/>
      <c r="D27" s="384" t="s">
        <v>46</v>
      </c>
      <c r="E27" s="384"/>
      <c r="F27" s="384"/>
      <c r="G27" s="385" t="s">
        <v>169</v>
      </c>
      <c r="H27" s="385"/>
      <c r="I27" s="385"/>
      <c r="J27" s="385"/>
      <c r="K27" s="385"/>
      <c r="L27" s="385"/>
      <c r="M27" s="385"/>
      <c r="O27" s="12"/>
      <c r="P27" s="12"/>
    </row>
    <row r="28" spans="1:16" ht="8.1" customHeight="1" x14ac:dyDescent="0.25">
      <c r="A28" s="12"/>
      <c r="B28" s="12"/>
      <c r="D28" s="22"/>
      <c r="E28" s="22"/>
      <c r="F28" s="22"/>
      <c r="G28" s="22"/>
      <c r="H28" s="22"/>
      <c r="I28" s="22"/>
      <c r="J28" s="22"/>
      <c r="K28" s="22"/>
      <c r="L28" s="22"/>
      <c r="M28" s="22"/>
      <c r="O28" s="12"/>
      <c r="P28" s="12"/>
    </row>
    <row r="29" spans="1:16" ht="175.2" customHeight="1" x14ac:dyDescent="0.25">
      <c r="A29" s="12"/>
      <c r="B29" s="12"/>
      <c r="D29" s="384" t="s">
        <v>155</v>
      </c>
      <c r="E29" s="384"/>
      <c r="F29" s="384"/>
      <c r="G29" s="385" t="s">
        <v>177</v>
      </c>
      <c r="H29" s="385"/>
      <c r="I29" s="385"/>
      <c r="J29" s="385"/>
      <c r="K29" s="385"/>
      <c r="L29" s="385"/>
      <c r="M29" s="385"/>
      <c r="N29" s="25"/>
      <c r="O29" s="12"/>
      <c r="P29" s="12"/>
    </row>
    <row r="30" spans="1:16" ht="24.6" customHeight="1" x14ac:dyDescent="0.25">
      <c r="A30" s="12"/>
      <c r="B30" s="12"/>
      <c r="D30" s="395" t="s">
        <v>37</v>
      </c>
      <c r="E30" s="396"/>
      <c r="F30" s="396"/>
      <c r="G30" s="396"/>
      <c r="H30" s="396"/>
      <c r="I30" s="396"/>
      <c r="J30" s="396"/>
      <c r="K30" s="396"/>
      <c r="L30" s="396"/>
      <c r="M30" s="397"/>
      <c r="N30" s="27"/>
      <c r="O30" s="12"/>
      <c r="P30" s="12"/>
    </row>
    <row r="31" spans="1:16" ht="32.1" customHeight="1" x14ac:dyDescent="0.25">
      <c r="A31" s="12"/>
      <c r="B31" s="12"/>
      <c r="D31" s="393" t="s">
        <v>19</v>
      </c>
      <c r="E31" s="394"/>
      <c r="F31" s="394"/>
      <c r="G31" s="398" t="s">
        <v>19</v>
      </c>
      <c r="H31" s="398"/>
      <c r="I31" s="398"/>
      <c r="J31" s="398"/>
      <c r="K31" s="398"/>
      <c r="L31" s="398"/>
      <c r="M31" s="399"/>
      <c r="N31" s="26"/>
      <c r="O31" s="12"/>
      <c r="P31" s="12"/>
    </row>
    <row r="32" spans="1:16" ht="27.6" customHeight="1" x14ac:dyDescent="0.25">
      <c r="A32" s="12"/>
      <c r="B32" s="12"/>
      <c r="D32" s="393" t="s">
        <v>39</v>
      </c>
      <c r="E32" s="394"/>
      <c r="F32" s="394"/>
      <c r="G32" s="398" t="s">
        <v>20</v>
      </c>
      <c r="H32" s="398"/>
      <c r="I32" s="398"/>
      <c r="J32" s="398"/>
      <c r="K32" s="398"/>
      <c r="L32" s="398"/>
      <c r="M32" s="399"/>
      <c r="N32" s="25"/>
      <c r="O32" s="12"/>
      <c r="P32" s="12"/>
    </row>
    <row r="33" spans="1:16" ht="29.85" customHeight="1" x14ac:dyDescent="0.25">
      <c r="A33" s="12"/>
      <c r="B33" s="12"/>
      <c r="D33" s="365" t="s">
        <v>38</v>
      </c>
      <c r="E33" s="366"/>
      <c r="F33" s="366"/>
      <c r="G33" s="400" t="s">
        <v>21</v>
      </c>
      <c r="H33" s="400"/>
      <c r="I33" s="400"/>
      <c r="J33" s="400"/>
      <c r="K33" s="400"/>
      <c r="L33" s="400"/>
      <c r="M33" s="401"/>
      <c r="N33" s="25"/>
      <c r="O33" s="12"/>
      <c r="P33" s="12"/>
    </row>
    <row r="34" spans="1:16" ht="8.1" customHeight="1" x14ac:dyDescent="0.25">
      <c r="A34" s="12"/>
      <c r="B34" s="12"/>
      <c r="D34" s="22"/>
      <c r="E34" s="22"/>
      <c r="F34" s="22"/>
      <c r="G34" s="22"/>
      <c r="H34" s="22"/>
      <c r="I34" s="22"/>
      <c r="J34" s="22"/>
      <c r="K34" s="22"/>
      <c r="L34" s="22"/>
      <c r="M34" s="22"/>
      <c r="O34" s="12"/>
      <c r="P34" s="12"/>
    </row>
    <row r="35" spans="1:16" ht="147.75" customHeight="1" x14ac:dyDescent="0.25">
      <c r="A35" s="12"/>
      <c r="B35" s="12"/>
      <c r="D35" s="389" t="s">
        <v>156</v>
      </c>
      <c r="E35" s="389"/>
      <c r="F35" s="389"/>
      <c r="G35" s="390" t="s">
        <v>154</v>
      </c>
      <c r="H35" s="391"/>
      <c r="I35" s="391"/>
      <c r="J35" s="391"/>
      <c r="K35" s="391"/>
      <c r="L35" s="391"/>
      <c r="M35" s="392"/>
      <c r="N35" s="25"/>
      <c r="O35" s="12"/>
      <c r="P35" s="12"/>
    </row>
    <row r="36" spans="1:16" ht="18" customHeight="1" x14ac:dyDescent="0.25">
      <c r="A36" s="12"/>
      <c r="B36" s="12"/>
      <c r="D36" s="386" t="s">
        <v>37</v>
      </c>
      <c r="E36" s="387"/>
      <c r="F36" s="387"/>
      <c r="G36" s="387"/>
      <c r="H36" s="387"/>
      <c r="I36" s="387"/>
      <c r="J36" s="387"/>
      <c r="K36" s="387"/>
      <c r="L36" s="387"/>
      <c r="M36" s="388"/>
      <c r="N36" s="24"/>
      <c r="O36" s="12"/>
      <c r="P36" s="12"/>
    </row>
    <row r="37" spans="1:16" ht="36" customHeight="1" x14ac:dyDescent="0.25">
      <c r="A37" s="12"/>
      <c r="B37" s="12"/>
      <c r="D37" s="365" t="s">
        <v>14</v>
      </c>
      <c r="E37" s="366"/>
      <c r="F37" s="366"/>
      <c r="G37" s="367" t="s">
        <v>36</v>
      </c>
      <c r="H37" s="367"/>
      <c r="I37" s="367"/>
      <c r="J37" s="367"/>
      <c r="K37" s="367"/>
      <c r="L37" s="367"/>
      <c r="M37" s="368"/>
      <c r="N37" s="23"/>
      <c r="O37" s="12"/>
      <c r="P37" s="12"/>
    </row>
    <row r="38" spans="1:16" ht="8.1" customHeight="1" x14ac:dyDescent="0.25">
      <c r="A38" s="12"/>
      <c r="B38" s="12"/>
      <c r="D38" s="22"/>
      <c r="E38" s="22"/>
      <c r="F38" s="22"/>
      <c r="G38" s="22"/>
      <c r="H38" s="22"/>
      <c r="I38" s="22"/>
      <c r="J38" s="22"/>
      <c r="K38" s="22"/>
      <c r="L38" s="22"/>
      <c r="M38" s="22"/>
      <c r="O38" s="12"/>
      <c r="P38" s="12"/>
    </row>
    <row r="39" spans="1:16" ht="25.35" customHeight="1" x14ac:dyDescent="0.4">
      <c r="A39" s="12"/>
      <c r="B39" s="12"/>
      <c r="D39" s="373" t="s">
        <v>35</v>
      </c>
      <c r="E39" s="374"/>
      <c r="F39" s="374"/>
      <c r="G39" s="374"/>
      <c r="H39" s="374"/>
      <c r="I39" s="374"/>
      <c r="J39" s="374"/>
      <c r="K39" s="374"/>
      <c r="L39" s="374"/>
      <c r="M39" s="375"/>
      <c r="N39" s="14"/>
      <c r="O39" s="12"/>
      <c r="P39" s="12"/>
    </row>
    <row r="40" spans="1:16" ht="8.1" customHeight="1" x14ac:dyDescent="0.25">
      <c r="A40" s="12"/>
      <c r="B40" s="12"/>
      <c r="D40" s="22"/>
      <c r="E40" s="22"/>
      <c r="F40" s="22"/>
      <c r="G40" s="22"/>
      <c r="H40" s="22"/>
      <c r="I40" s="22"/>
      <c r="J40" s="22"/>
      <c r="K40" s="22"/>
      <c r="L40" s="22"/>
      <c r="M40" s="22"/>
      <c r="O40" s="12"/>
      <c r="P40" s="12"/>
    </row>
    <row r="41" spans="1:16" ht="87.6" customHeight="1" x14ac:dyDescent="0.25">
      <c r="A41" s="12"/>
      <c r="B41" s="12"/>
      <c r="D41" s="376" t="s">
        <v>153</v>
      </c>
      <c r="E41" s="377"/>
      <c r="F41" s="377"/>
      <c r="G41" s="377"/>
      <c r="H41" s="377"/>
      <c r="I41" s="377"/>
      <c r="J41" s="377"/>
      <c r="K41" s="377"/>
      <c r="L41" s="377"/>
      <c r="M41" s="378"/>
      <c r="N41" s="17"/>
      <c r="O41" s="12"/>
      <c r="P41" s="12"/>
    </row>
    <row r="42" spans="1:16" ht="8.1" customHeight="1" x14ac:dyDescent="0.25">
      <c r="A42" s="12"/>
      <c r="B42" s="12"/>
      <c r="O42" s="12"/>
      <c r="P42" s="12"/>
    </row>
    <row r="43" spans="1:16" ht="34.35" customHeight="1" x14ac:dyDescent="0.4">
      <c r="A43" s="12"/>
      <c r="B43" s="12"/>
      <c r="C43" s="21"/>
      <c r="D43" s="370" t="s">
        <v>34</v>
      </c>
      <c r="E43" s="370"/>
      <c r="F43" s="370"/>
      <c r="G43" s="370"/>
      <c r="H43" s="370"/>
      <c r="I43" s="370"/>
      <c r="J43" s="370"/>
      <c r="K43" s="370"/>
      <c r="L43" s="370"/>
      <c r="M43" s="370"/>
      <c r="N43" s="20"/>
      <c r="O43" s="12"/>
      <c r="P43" s="12"/>
    </row>
    <row r="44" spans="1:16" ht="8.1" customHeight="1" x14ac:dyDescent="0.25">
      <c r="A44" s="12"/>
      <c r="B44" s="12"/>
      <c r="O44" s="12"/>
      <c r="P44" s="12"/>
    </row>
    <row r="45" spans="1:16" ht="96.6" customHeight="1" x14ac:dyDescent="0.25">
      <c r="A45" s="12"/>
      <c r="B45" s="12"/>
      <c r="D45" s="379" t="s">
        <v>174</v>
      </c>
      <c r="E45" s="379"/>
      <c r="F45" s="379"/>
      <c r="G45" s="379"/>
      <c r="H45" s="379"/>
      <c r="I45" s="379"/>
      <c r="J45" s="379"/>
      <c r="K45" s="379"/>
      <c r="L45" s="379"/>
      <c r="M45" s="379"/>
      <c r="N45" s="17"/>
      <c r="O45" s="12"/>
      <c r="P45" s="12"/>
    </row>
    <row r="46" spans="1:16" ht="8.1" customHeight="1" x14ac:dyDescent="0.25">
      <c r="A46" s="12"/>
      <c r="B46" s="12"/>
      <c r="O46" s="12"/>
      <c r="P46" s="12"/>
    </row>
    <row r="47" spans="1:16" ht="35.1" customHeight="1" x14ac:dyDescent="0.3">
      <c r="A47" s="12"/>
      <c r="B47" s="12"/>
      <c r="C47" s="19"/>
      <c r="D47" s="371" t="s">
        <v>33</v>
      </c>
      <c r="E47" s="371"/>
      <c r="F47" s="371"/>
      <c r="G47" s="371"/>
      <c r="H47" s="371"/>
      <c r="I47" s="371"/>
      <c r="J47" s="371"/>
      <c r="K47" s="371"/>
      <c r="L47" s="371"/>
      <c r="M47" s="371"/>
      <c r="N47" s="18"/>
      <c r="O47" s="12"/>
      <c r="P47" s="12"/>
    </row>
    <row r="48" spans="1:16" ht="8.1" customHeight="1" x14ac:dyDescent="0.3">
      <c r="A48" s="12"/>
      <c r="B48" s="12"/>
      <c r="D48" s="14"/>
      <c r="E48" s="14"/>
      <c r="F48" s="14"/>
      <c r="G48" s="14"/>
      <c r="H48" s="14"/>
      <c r="I48" s="14"/>
      <c r="J48" s="14"/>
      <c r="K48" s="14"/>
      <c r="L48" s="14"/>
      <c r="M48" s="14"/>
      <c r="N48" s="14"/>
      <c r="O48" s="12"/>
      <c r="P48" s="12"/>
    </row>
    <row r="49" spans="1:16" ht="84" customHeight="1" x14ac:dyDescent="0.25">
      <c r="A49" s="12"/>
      <c r="B49" s="12"/>
      <c r="D49" s="380" t="s">
        <v>172</v>
      </c>
      <c r="E49" s="380"/>
      <c r="F49" s="380"/>
      <c r="G49" s="380"/>
      <c r="H49" s="380"/>
      <c r="I49" s="380"/>
      <c r="J49" s="380"/>
      <c r="K49" s="380"/>
      <c r="L49" s="380"/>
      <c r="M49" s="380"/>
      <c r="N49" s="17"/>
      <c r="O49" s="12"/>
      <c r="P49" s="12"/>
    </row>
    <row r="50" spans="1:16" ht="8.1" customHeight="1" x14ac:dyDescent="0.3">
      <c r="A50" s="12"/>
      <c r="B50" s="12"/>
      <c r="D50" s="14"/>
      <c r="E50" s="14"/>
      <c r="F50" s="14"/>
      <c r="G50" s="14"/>
      <c r="H50" s="14"/>
      <c r="I50" s="14"/>
      <c r="J50" s="14"/>
      <c r="K50" s="14"/>
      <c r="L50" s="14"/>
      <c r="M50" s="14"/>
      <c r="N50" s="14"/>
      <c r="O50" s="12"/>
      <c r="P50" s="12"/>
    </row>
    <row r="51" spans="1:16" ht="25.35" customHeight="1" x14ac:dyDescent="0.3">
      <c r="A51" s="12"/>
      <c r="B51" s="12"/>
      <c r="C51" s="16"/>
      <c r="D51" s="372" t="s">
        <v>32</v>
      </c>
      <c r="E51" s="372"/>
      <c r="F51" s="372"/>
      <c r="G51" s="372"/>
      <c r="H51" s="372"/>
      <c r="I51" s="372"/>
      <c r="J51" s="372"/>
      <c r="K51" s="372"/>
      <c r="L51" s="372"/>
      <c r="M51" s="372"/>
      <c r="N51" s="15"/>
      <c r="O51" s="12"/>
      <c r="P51" s="12"/>
    </row>
    <row r="52" spans="1:16" ht="8.1" customHeight="1" x14ac:dyDescent="0.3">
      <c r="A52" s="12"/>
      <c r="B52" s="12"/>
      <c r="D52" s="14"/>
      <c r="E52" s="14"/>
      <c r="F52" s="14"/>
      <c r="G52" s="14"/>
      <c r="H52" s="14"/>
      <c r="I52" s="14"/>
      <c r="J52" s="14"/>
      <c r="K52" s="14"/>
      <c r="L52" s="14"/>
      <c r="M52" s="14"/>
      <c r="N52" s="14"/>
      <c r="O52" s="12"/>
      <c r="P52" s="12"/>
    </row>
    <row r="53" spans="1:16" ht="301.2" customHeight="1" x14ac:dyDescent="0.25">
      <c r="A53" s="12"/>
      <c r="B53" s="12"/>
      <c r="D53" s="369" t="s">
        <v>170</v>
      </c>
      <c r="E53" s="369"/>
      <c r="F53" s="369"/>
      <c r="G53" s="369"/>
      <c r="H53" s="369"/>
      <c r="I53" s="369"/>
      <c r="J53" s="369"/>
      <c r="K53" s="369"/>
      <c r="L53" s="369"/>
      <c r="M53" s="369"/>
      <c r="N53" s="13"/>
      <c r="O53" s="12"/>
      <c r="P53" s="12"/>
    </row>
    <row r="54" spans="1:16" ht="8.1" customHeight="1" x14ac:dyDescent="0.25">
      <c r="A54" s="12"/>
      <c r="B54" s="12"/>
      <c r="C54" s="12"/>
      <c r="D54" s="12"/>
      <c r="E54" s="12"/>
      <c r="F54" s="12"/>
      <c r="G54" s="12"/>
      <c r="H54" s="12"/>
      <c r="I54" s="12"/>
      <c r="J54" s="12"/>
      <c r="K54" s="12"/>
      <c r="L54" s="12"/>
      <c r="M54" s="12"/>
      <c r="N54" s="12"/>
      <c r="O54" s="12"/>
      <c r="P54" s="12"/>
    </row>
    <row r="56" spans="1:16" x14ac:dyDescent="0.25">
      <c r="D56" s="6"/>
    </row>
    <row r="57" spans="1:16" x14ac:dyDescent="0.25">
      <c r="D57" s="6"/>
    </row>
    <row r="58" spans="1:16" x14ac:dyDescent="0.25">
      <c r="D58" s="6"/>
    </row>
    <row r="59" spans="1:16" x14ac:dyDescent="0.25">
      <c r="D59" s="6"/>
    </row>
  </sheetData>
  <sheetProtection algorithmName="SHA-512" hashValue="wzgeMv5cqsFO2DBqkzcw3NAzVP2wRUdH1EGAec7gFFHE06m9narhCy+gzL5vilIDJ42t2TddlH4rNXgN4isyHg==" saltValue="PwWhuWVMoPRj3xeSqJNYrg==" spinCount="100000" sheet="1" objects="1" scenarios="1"/>
  <mergeCells count="38">
    <mergeCell ref="C4:M4"/>
    <mergeCell ref="D14:M14"/>
    <mergeCell ref="D6:M6"/>
    <mergeCell ref="E2:L2"/>
    <mergeCell ref="E3:L3"/>
    <mergeCell ref="D12:M12"/>
    <mergeCell ref="D8:M8"/>
    <mergeCell ref="D10:M10"/>
    <mergeCell ref="M3:N3"/>
    <mergeCell ref="D36:M36"/>
    <mergeCell ref="D25:F25"/>
    <mergeCell ref="G25:M25"/>
    <mergeCell ref="D29:F29"/>
    <mergeCell ref="G29:M29"/>
    <mergeCell ref="D35:F35"/>
    <mergeCell ref="G35:M35"/>
    <mergeCell ref="D32:F32"/>
    <mergeCell ref="D33:F33"/>
    <mergeCell ref="D31:F31"/>
    <mergeCell ref="D30:M30"/>
    <mergeCell ref="G31:M31"/>
    <mergeCell ref="G32:M32"/>
    <mergeCell ref="G33:M33"/>
    <mergeCell ref="E23:M23"/>
    <mergeCell ref="E16:M18"/>
    <mergeCell ref="E20:M21"/>
    <mergeCell ref="D27:F27"/>
    <mergeCell ref="G27:M27"/>
    <mergeCell ref="D37:F37"/>
    <mergeCell ref="G37:M37"/>
    <mergeCell ref="D53:M53"/>
    <mergeCell ref="D43:M43"/>
    <mergeCell ref="D47:M47"/>
    <mergeCell ref="D51:M51"/>
    <mergeCell ref="D39:M39"/>
    <mergeCell ref="D41:M41"/>
    <mergeCell ref="D45:M45"/>
    <mergeCell ref="D49:M49"/>
  </mergeCells>
  <hyperlinks>
    <hyperlink ref="G33" r:id="rId1" xr:uid="{F103155F-0ECD-42B8-BDF2-276001A1689B}"/>
    <hyperlink ref="G37:M37" r:id="rId2" display="Immunization Delivery Cost Catalogue" xr:uid="{0FC6E934-9AFB-46EB-A28E-9A236A6521A7}"/>
    <hyperlink ref="G31:M31" r:id="rId3" display="Gavi detailed product profiles" xr:uid="{D372C2BC-CCE2-45ED-ADB4-B443E7A6268C}"/>
    <hyperlink ref="G32" r:id="rId4" xr:uid="{87471D11-F6F7-4195-8440-65361C4D0DA4}"/>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Q178"/>
  <sheetViews>
    <sheetView zoomScaleNormal="100" workbookViewId="0"/>
  </sheetViews>
  <sheetFormatPr defaultColWidth="8.88671875" defaultRowHeight="13.8" outlineLevelRow="1" x14ac:dyDescent="0.3"/>
  <cols>
    <col min="1" max="1" width="1.88671875" style="47" customWidth="1"/>
    <col min="2" max="4" width="3.109375" style="47" customWidth="1"/>
    <col min="5" max="5" width="4" style="47" customWidth="1"/>
    <col min="6" max="6" width="43.44140625" style="47" customWidth="1"/>
    <col min="7" max="7" width="22.88671875" style="47" customWidth="1"/>
    <col min="8" max="8" width="1.44140625" style="47" customWidth="1"/>
    <col min="9" max="9" width="22.88671875" style="47" customWidth="1"/>
    <col min="10" max="10" width="1.44140625" style="47" customWidth="1"/>
    <col min="11" max="11" width="22.88671875" style="47" customWidth="1"/>
    <col min="12" max="12" width="2.109375" style="47" customWidth="1"/>
    <col min="13" max="13" width="22.88671875" style="47" customWidth="1"/>
    <col min="14" max="14" width="4.109375" style="47" customWidth="1"/>
    <col min="15" max="15" width="4.33203125" style="47" customWidth="1"/>
    <col min="16" max="16" width="4.88671875" style="47" customWidth="1"/>
    <col min="17" max="16384" width="8.88671875" style="47"/>
  </cols>
  <sheetData>
    <row r="1" spans="1:16" ht="8.1" customHeight="1" x14ac:dyDescent="0.3">
      <c r="B1" s="262"/>
      <c r="C1" s="262"/>
      <c r="D1" s="262"/>
      <c r="E1" s="262"/>
      <c r="F1" s="262"/>
      <c r="G1" s="262"/>
      <c r="H1" s="262"/>
      <c r="I1" s="262"/>
      <c r="J1" s="262"/>
      <c r="K1" s="262"/>
      <c r="L1" s="262"/>
      <c r="M1" s="262"/>
      <c r="N1" s="262"/>
      <c r="O1" s="262"/>
    </row>
    <row r="2" spans="1:16" ht="19.350000000000001" customHeight="1" x14ac:dyDescent="0.3">
      <c r="B2" s="417" t="s">
        <v>82</v>
      </c>
      <c r="C2" s="417"/>
      <c r="D2" s="417"/>
      <c r="E2" s="417"/>
      <c r="F2" s="417"/>
      <c r="G2" s="417"/>
      <c r="H2" s="417"/>
      <c r="I2" s="417"/>
      <c r="J2" s="417"/>
      <c r="K2" s="417"/>
      <c r="L2" s="417"/>
      <c r="M2" s="417"/>
      <c r="N2" s="417"/>
      <c r="O2" s="417"/>
    </row>
    <row r="3" spans="1:16" ht="14.85" customHeight="1" x14ac:dyDescent="0.3">
      <c r="A3" s="182"/>
      <c r="B3" s="181"/>
      <c r="C3" s="181"/>
      <c r="D3" s="181"/>
      <c r="E3" s="52"/>
      <c r="F3" s="52"/>
      <c r="G3" s="52"/>
      <c r="H3" s="52"/>
      <c r="I3" s="52"/>
      <c r="J3" s="52"/>
      <c r="K3" s="52"/>
      <c r="L3" s="52"/>
      <c r="M3" s="180"/>
      <c r="N3" s="180"/>
      <c r="O3" s="52"/>
      <c r="P3" s="179"/>
    </row>
    <row r="4" spans="1:16" ht="60" customHeight="1" x14ac:dyDescent="0.3">
      <c r="B4" s="52"/>
      <c r="C4" s="178"/>
      <c r="D4" s="178"/>
      <c r="E4" s="178"/>
      <c r="F4" s="418" t="s">
        <v>43</v>
      </c>
      <c r="G4" s="418"/>
      <c r="H4" s="418"/>
      <c r="I4" s="418"/>
      <c r="J4" s="418"/>
      <c r="K4" s="418"/>
      <c r="L4" s="418"/>
      <c r="M4" s="418"/>
      <c r="N4" s="177"/>
      <c r="O4" s="175"/>
      <c r="P4" s="174"/>
    </row>
    <row r="5" spans="1:16" ht="8.1" customHeight="1" x14ac:dyDescent="0.3">
      <c r="B5" s="52"/>
      <c r="C5" s="52"/>
      <c r="D5" s="52"/>
      <c r="E5" s="52"/>
      <c r="F5" s="176"/>
      <c r="G5" s="175"/>
      <c r="H5" s="175"/>
      <c r="I5" s="52"/>
      <c r="J5" s="175"/>
      <c r="K5" s="52"/>
      <c r="L5" s="52"/>
      <c r="M5" s="52"/>
      <c r="N5" s="52"/>
      <c r="O5" s="175"/>
      <c r="P5" s="174"/>
    </row>
    <row r="6" spans="1:16" ht="46.35" customHeight="1" x14ac:dyDescent="0.3">
      <c r="B6" s="52"/>
      <c r="C6" s="52"/>
      <c r="D6" s="308"/>
      <c r="E6" s="308"/>
      <c r="F6" s="419" t="s">
        <v>40</v>
      </c>
      <c r="G6" s="419"/>
      <c r="H6" s="419"/>
      <c r="I6" s="419"/>
      <c r="J6" s="419"/>
      <c r="K6" s="419"/>
      <c r="L6" s="419"/>
      <c r="M6" s="419"/>
      <c r="N6" s="88"/>
      <c r="O6" s="161"/>
      <c r="P6" s="171"/>
    </row>
    <row r="7" spans="1:16" ht="8.1" customHeight="1" x14ac:dyDescent="0.3">
      <c r="B7" s="52"/>
      <c r="C7" s="52"/>
      <c r="D7" s="52"/>
      <c r="E7" s="52"/>
      <c r="F7" s="173"/>
      <c r="G7" s="173"/>
      <c r="H7" s="173"/>
      <c r="I7" s="173"/>
      <c r="J7" s="173"/>
      <c r="K7" s="173"/>
      <c r="L7" s="172"/>
      <c r="M7" s="161"/>
      <c r="N7" s="161"/>
      <c r="O7" s="161"/>
      <c r="P7" s="171"/>
    </row>
    <row r="8" spans="1:16" ht="42" customHeight="1" x14ac:dyDescent="0.3">
      <c r="B8" s="52"/>
      <c r="C8" s="52"/>
      <c r="D8" s="310"/>
      <c r="E8" s="309"/>
      <c r="F8" s="306" t="s">
        <v>3</v>
      </c>
      <c r="G8" s="170">
        <v>2026</v>
      </c>
      <c r="H8" s="169"/>
      <c r="I8" s="420" t="s">
        <v>59</v>
      </c>
      <c r="J8" s="420"/>
      <c r="K8" s="420"/>
      <c r="L8" s="420"/>
      <c r="M8" s="421"/>
      <c r="N8" s="168"/>
      <c r="O8" s="161"/>
      <c r="P8" s="167"/>
    </row>
    <row r="9" spans="1:16" ht="42" customHeight="1" x14ac:dyDescent="0.3">
      <c r="B9" s="52"/>
      <c r="C9" s="52"/>
      <c r="D9" s="310"/>
      <c r="E9" s="309"/>
      <c r="F9" s="153" t="s">
        <v>128</v>
      </c>
      <c r="G9" s="166">
        <v>100000</v>
      </c>
      <c r="H9" s="165"/>
      <c r="I9" s="427" t="s">
        <v>81</v>
      </c>
      <c r="J9" s="427"/>
      <c r="K9" s="427"/>
      <c r="L9" s="427"/>
      <c r="M9" s="428"/>
      <c r="N9" s="162"/>
      <c r="O9" s="161"/>
      <c r="P9" s="164"/>
    </row>
    <row r="10" spans="1:16" ht="42" customHeight="1" x14ac:dyDescent="0.3">
      <c r="B10" s="52"/>
      <c r="C10" s="52"/>
      <c r="D10" s="310"/>
      <c r="E10" s="309"/>
      <c r="F10" s="153" t="s">
        <v>129</v>
      </c>
      <c r="G10" s="166">
        <v>400000</v>
      </c>
      <c r="H10" s="165"/>
      <c r="I10" s="270" t="s">
        <v>104</v>
      </c>
      <c r="J10" s="270"/>
      <c r="K10" s="270"/>
      <c r="L10" s="270"/>
      <c r="M10" s="271"/>
      <c r="N10" s="162"/>
      <c r="O10" s="161"/>
      <c r="P10" s="164"/>
    </row>
    <row r="11" spans="1:16" ht="42" customHeight="1" x14ac:dyDescent="0.3">
      <c r="B11" s="52"/>
      <c r="C11" s="52"/>
      <c r="D11" s="312"/>
      <c r="E11" s="313"/>
      <c r="F11" s="314" t="s">
        <v>5</v>
      </c>
      <c r="G11" s="110">
        <v>0.02</v>
      </c>
      <c r="H11" s="163"/>
      <c r="I11" s="427" t="s">
        <v>98</v>
      </c>
      <c r="J11" s="427"/>
      <c r="K11" s="427"/>
      <c r="L11" s="427"/>
      <c r="M11" s="428"/>
      <c r="N11" s="162"/>
      <c r="O11" s="161"/>
      <c r="P11" s="160"/>
    </row>
    <row r="12" spans="1:16" ht="62.25" customHeight="1" x14ac:dyDescent="0.3">
      <c r="B12" s="52"/>
      <c r="C12" s="52"/>
      <c r="D12" s="315"/>
      <c r="E12" s="317"/>
      <c r="F12" s="318" t="s">
        <v>89</v>
      </c>
      <c r="G12" s="336">
        <f>SUM(G13,G16,G19)</f>
        <v>1</v>
      </c>
      <c r="H12" s="311"/>
      <c r="I12" s="411" t="s">
        <v>165</v>
      </c>
      <c r="J12" s="411"/>
      <c r="K12" s="411"/>
      <c r="L12" s="411"/>
      <c r="M12" s="412"/>
      <c r="N12" s="162"/>
      <c r="O12" s="161"/>
      <c r="P12" s="160"/>
    </row>
    <row r="13" spans="1:16" ht="42" customHeight="1" x14ac:dyDescent="0.3">
      <c r="B13" s="52"/>
      <c r="C13" s="52"/>
      <c r="D13" s="52"/>
      <c r="E13" s="319"/>
      <c r="F13" s="320" t="s">
        <v>158</v>
      </c>
      <c r="G13" s="322">
        <v>0.25</v>
      </c>
      <c r="H13" s="323"/>
      <c r="I13" s="415" t="s">
        <v>91</v>
      </c>
      <c r="J13" s="415"/>
      <c r="K13" s="415"/>
      <c r="L13" s="415"/>
      <c r="M13" s="416"/>
      <c r="N13" s="162"/>
      <c r="O13" s="161"/>
      <c r="P13" s="160"/>
    </row>
    <row r="14" spans="1:16" ht="42" customHeight="1" x14ac:dyDescent="0.3">
      <c r="B14" s="52"/>
      <c r="C14" s="52"/>
      <c r="D14" s="52"/>
      <c r="E14" s="52"/>
      <c r="F14" s="324" t="s">
        <v>130</v>
      </c>
      <c r="G14" s="325">
        <v>0.8</v>
      </c>
      <c r="H14" s="326"/>
      <c r="I14" s="413" t="s">
        <v>17</v>
      </c>
      <c r="J14" s="413"/>
      <c r="K14" s="413"/>
      <c r="L14" s="413"/>
      <c r="M14" s="414"/>
      <c r="N14" s="162"/>
      <c r="O14" s="161"/>
      <c r="P14" s="160"/>
    </row>
    <row r="15" spans="1:16" ht="42" customHeight="1" x14ac:dyDescent="0.3">
      <c r="B15" s="52"/>
      <c r="C15" s="52"/>
      <c r="D15" s="52"/>
      <c r="E15" s="52"/>
      <c r="F15" s="327" t="s">
        <v>131</v>
      </c>
      <c r="G15" s="328">
        <v>0.7</v>
      </c>
      <c r="H15" s="326"/>
      <c r="I15" s="413" t="s">
        <v>17</v>
      </c>
      <c r="J15" s="413"/>
      <c r="K15" s="413"/>
      <c r="L15" s="413"/>
      <c r="M15" s="414"/>
      <c r="N15" s="162"/>
      <c r="O15" s="161"/>
      <c r="P15" s="160"/>
    </row>
    <row r="16" spans="1:16" ht="42" customHeight="1" x14ac:dyDescent="0.3">
      <c r="B16" s="52"/>
      <c r="C16" s="52"/>
      <c r="D16" s="52"/>
      <c r="E16" s="319"/>
      <c r="F16" s="320" t="s">
        <v>159</v>
      </c>
      <c r="G16" s="322">
        <v>0.25</v>
      </c>
      <c r="H16" s="323"/>
      <c r="I16" s="415" t="s">
        <v>91</v>
      </c>
      <c r="J16" s="415"/>
      <c r="K16" s="415"/>
      <c r="L16" s="415"/>
      <c r="M16" s="416"/>
      <c r="N16" s="162"/>
      <c r="O16" s="161"/>
      <c r="P16" s="160"/>
    </row>
    <row r="17" spans="2:16" ht="42" customHeight="1" x14ac:dyDescent="0.3">
      <c r="B17" s="52"/>
      <c r="C17" s="52"/>
      <c r="D17" s="52"/>
      <c r="E17" s="52"/>
      <c r="F17" s="324" t="s">
        <v>132</v>
      </c>
      <c r="G17" s="325">
        <v>0.8</v>
      </c>
      <c r="H17" s="326"/>
      <c r="I17" s="413" t="s">
        <v>17</v>
      </c>
      <c r="J17" s="413"/>
      <c r="K17" s="413"/>
      <c r="L17" s="413"/>
      <c r="M17" s="414"/>
      <c r="N17" s="162"/>
      <c r="O17" s="161"/>
      <c r="P17" s="160"/>
    </row>
    <row r="18" spans="2:16" ht="42" customHeight="1" x14ac:dyDescent="0.3">
      <c r="B18" s="52"/>
      <c r="C18" s="52"/>
      <c r="D18" s="52"/>
      <c r="E18" s="52"/>
      <c r="F18" s="327" t="s">
        <v>133</v>
      </c>
      <c r="G18" s="328">
        <v>0.7</v>
      </c>
      <c r="H18" s="326"/>
      <c r="I18" s="413" t="s">
        <v>17</v>
      </c>
      <c r="J18" s="413"/>
      <c r="K18" s="413"/>
      <c r="L18" s="413"/>
      <c r="M18" s="414"/>
      <c r="N18" s="162"/>
      <c r="O18" s="161"/>
      <c r="P18" s="160"/>
    </row>
    <row r="19" spans="2:16" ht="42" customHeight="1" x14ac:dyDescent="0.3">
      <c r="B19" s="52"/>
      <c r="C19" s="52"/>
      <c r="D19" s="52"/>
      <c r="E19" s="319"/>
      <c r="F19" s="320" t="s">
        <v>160</v>
      </c>
      <c r="G19" s="322">
        <v>0.5</v>
      </c>
      <c r="H19" s="323"/>
      <c r="I19" s="415" t="s">
        <v>91</v>
      </c>
      <c r="J19" s="415"/>
      <c r="K19" s="415"/>
      <c r="L19" s="415"/>
      <c r="M19" s="416"/>
      <c r="N19" s="162"/>
      <c r="O19" s="161"/>
      <c r="P19" s="160"/>
    </row>
    <row r="20" spans="2:16" ht="42" customHeight="1" x14ac:dyDescent="0.3">
      <c r="B20" s="52"/>
      <c r="C20" s="52"/>
      <c r="D20" s="52"/>
      <c r="E20" s="52"/>
      <c r="F20" s="324" t="s">
        <v>134</v>
      </c>
      <c r="G20" s="325">
        <v>0.8</v>
      </c>
      <c r="H20" s="329"/>
      <c r="I20" s="413" t="s">
        <v>17</v>
      </c>
      <c r="J20" s="413"/>
      <c r="K20" s="413"/>
      <c r="L20" s="413"/>
      <c r="M20" s="414"/>
      <c r="N20" s="162"/>
      <c r="O20" s="161"/>
      <c r="P20" s="160"/>
    </row>
    <row r="21" spans="2:16" ht="42" customHeight="1" x14ac:dyDescent="0.3">
      <c r="B21" s="52"/>
      <c r="C21" s="52"/>
      <c r="D21" s="52"/>
      <c r="E21" s="52"/>
      <c r="F21" s="327" t="s">
        <v>135</v>
      </c>
      <c r="G21" s="330">
        <v>0.75</v>
      </c>
      <c r="H21" s="329"/>
      <c r="I21" s="413" t="s">
        <v>17</v>
      </c>
      <c r="J21" s="413"/>
      <c r="K21" s="413"/>
      <c r="L21" s="413"/>
      <c r="M21" s="414"/>
      <c r="N21" s="162"/>
      <c r="O21" s="161"/>
      <c r="P21" s="160"/>
    </row>
    <row r="22" spans="2:16" ht="60.75" customHeight="1" x14ac:dyDescent="0.3">
      <c r="B22" s="52"/>
      <c r="C22" s="52"/>
      <c r="D22" s="315"/>
      <c r="E22" s="317"/>
      <c r="F22" s="318" t="s">
        <v>90</v>
      </c>
      <c r="G22" s="337">
        <f>SUM(G23,G26,G29)</f>
        <v>1</v>
      </c>
      <c r="H22" s="316"/>
      <c r="I22" s="411" t="s">
        <v>165</v>
      </c>
      <c r="J22" s="411"/>
      <c r="K22" s="411"/>
      <c r="L22" s="411"/>
      <c r="M22" s="412"/>
      <c r="N22" s="162"/>
      <c r="O22" s="161"/>
      <c r="P22" s="160"/>
    </row>
    <row r="23" spans="2:16" ht="42" customHeight="1" x14ac:dyDescent="0.3">
      <c r="B23" s="52"/>
      <c r="C23" s="52"/>
      <c r="D23" s="52"/>
      <c r="E23" s="319"/>
      <c r="F23" s="321" t="s">
        <v>161</v>
      </c>
      <c r="G23" s="332">
        <v>0.9</v>
      </c>
      <c r="H23" s="333"/>
      <c r="I23" s="415" t="s">
        <v>91</v>
      </c>
      <c r="J23" s="415"/>
      <c r="K23" s="415"/>
      <c r="L23" s="415"/>
      <c r="M23" s="416"/>
      <c r="N23" s="162"/>
      <c r="O23" s="161"/>
      <c r="P23" s="160"/>
    </row>
    <row r="24" spans="2:16" ht="42" customHeight="1" x14ac:dyDescent="0.3">
      <c r="B24" s="52"/>
      <c r="C24" s="52"/>
      <c r="D24" s="52"/>
      <c r="E24" s="52"/>
      <c r="F24" s="324" t="s">
        <v>136</v>
      </c>
      <c r="G24" s="330">
        <v>0.9</v>
      </c>
      <c r="H24" s="329"/>
      <c r="I24" s="413" t="s">
        <v>99</v>
      </c>
      <c r="J24" s="413"/>
      <c r="K24" s="413"/>
      <c r="L24" s="413"/>
      <c r="M24" s="414"/>
      <c r="N24" s="162"/>
      <c r="O24" s="161"/>
      <c r="P24" s="160"/>
    </row>
    <row r="25" spans="2:16" ht="42" customHeight="1" x14ac:dyDescent="0.3">
      <c r="B25" s="52"/>
      <c r="C25" s="52"/>
      <c r="D25" s="52"/>
      <c r="E25" s="52"/>
      <c r="F25" s="327" t="s">
        <v>137</v>
      </c>
      <c r="G25" s="330">
        <v>0.8</v>
      </c>
      <c r="H25" s="329"/>
      <c r="I25" s="413" t="s">
        <v>99</v>
      </c>
      <c r="J25" s="413"/>
      <c r="K25" s="413"/>
      <c r="L25" s="413"/>
      <c r="M25" s="414"/>
      <c r="N25" s="162"/>
      <c r="O25" s="161"/>
      <c r="P25" s="160"/>
    </row>
    <row r="26" spans="2:16" ht="42" customHeight="1" x14ac:dyDescent="0.3">
      <c r="B26" s="52"/>
      <c r="C26" s="52"/>
      <c r="D26" s="52"/>
      <c r="E26" s="319"/>
      <c r="F26" s="321" t="s">
        <v>162</v>
      </c>
      <c r="G26" s="332">
        <v>0.1</v>
      </c>
      <c r="H26" s="333"/>
      <c r="I26" s="415" t="s">
        <v>91</v>
      </c>
      <c r="J26" s="415"/>
      <c r="K26" s="415"/>
      <c r="L26" s="415"/>
      <c r="M26" s="416"/>
      <c r="N26" s="162"/>
      <c r="O26" s="161"/>
      <c r="P26" s="160"/>
    </row>
    <row r="27" spans="2:16" ht="42" customHeight="1" x14ac:dyDescent="0.3">
      <c r="B27" s="52"/>
      <c r="C27" s="52"/>
      <c r="D27" s="52"/>
      <c r="E27" s="52"/>
      <c r="F27" s="324" t="s">
        <v>138</v>
      </c>
      <c r="G27" s="330">
        <v>0.9</v>
      </c>
      <c r="H27" s="329"/>
      <c r="I27" s="413" t="s">
        <v>99</v>
      </c>
      <c r="J27" s="413"/>
      <c r="K27" s="413"/>
      <c r="L27" s="413"/>
      <c r="M27" s="414"/>
      <c r="N27" s="162"/>
      <c r="O27" s="161"/>
      <c r="P27" s="160"/>
    </row>
    <row r="28" spans="2:16" ht="42" customHeight="1" x14ac:dyDescent="0.3">
      <c r="B28" s="52"/>
      <c r="C28" s="52"/>
      <c r="D28" s="52"/>
      <c r="E28" s="52"/>
      <c r="F28" s="327" t="s">
        <v>139</v>
      </c>
      <c r="G28" s="330">
        <v>0.8</v>
      </c>
      <c r="H28" s="329"/>
      <c r="I28" s="413" t="s">
        <v>99</v>
      </c>
      <c r="J28" s="413"/>
      <c r="K28" s="413"/>
      <c r="L28" s="413"/>
      <c r="M28" s="414"/>
      <c r="N28" s="162"/>
      <c r="O28" s="161"/>
      <c r="P28" s="160"/>
    </row>
    <row r="29" spans="2:16" ht="42" customHeight="1" x14ac:dyDescent="0.3">
      <c r="B29" s="52"/>
      <c r="C29" s="52"/>
      <c r="D29" s="52"/>
      <c r="E29" s="319"/>
      <c r="F29" s="321" t="s">
        <v>163</v>
      </c>
      <c r="G29" s="332">
        <v>0</v>
      </c>
      <c r="H29" s="333"/>
      <c r="I29" s="415" t="s">
        <v>91</v>
      </c>
      <c r="J29" s="415"/>
      <c r="K29" s="415"/>
      <c r="L29" s="415"/>
      <c r="M29" s="416"/>
      <c r="N29" s="162"/>
      <c r="O29" s="161"/>
      <c r="P29" s="160"/>
    </row>
    <row r="30" spans="2:16" ht="42" customHeight="1" x14ac:dyDescent="0.3">
      <c r="B30" s="52"/>
      <c r="C30" s="52"/>
      <c r="D30" s="52"/>
      <c r="E30" s="52"/>
      <c r="F30" s="324" t="s">
        <v>140</v>
      </c>
      <c r="G30" s="330">
        <v>0</v>
      </c>
      <c r="H30" s="329"/>
      <c r="I30" s="413" t="s">
        <v>99</v>
      </c>
      <c r="J30" s="413"/>
      <c r="K30" s="413"/>
      <c r="L30" s="413"/>
      <c r="M30" s="414"/>
      <c r="N30" s="162"/>
      <c r="O30" s="161"/>
      <c r="P30" s="160"/>
    </row>
    <row r="31" spans="2:16" ht="42" customHeight="1" x14ac:dyDescent="0.3">
      <c r="B31" s="52"/>
      <c r="C31" s="52"/>
      <c r="D31" s="52"/>
      <c r="E31" s="52"/>
      <c r="F31" s="331" t="s">
        <v>141</v>
      </c>
      <c r="G31" s="330">
        <v>0</v>
      </c>
      <c r="H31" s="329"/>
      <c r="I31" s="413" t="s">
        <v>99</v>
      </c>
      <c r="J31" s="413"/>
      <c r="K31" s="413"/>
      <c r="L31" s="413"/>
      <c r="M31" s="414"/>
      <c r="N31" s="162"/>
      <c r="O31" s="161"/>
      <c r="P31" s="160"/>
    </row>
    <row r="32" spans="2:16" ht="14.1" customHeight="1" x14ac:dyDescent="0.3">
      <c r="B32" s="52"/>
      <c r="C32" s="52"/>
      <c r="D32" s="52"/>
      <c r="E32" s="52"/>
      <c r="F32" s="156"/>
      <c r="G32" s="156"/>
      <c r="H32" s="156"/>
      <c r="I32" s="159"/>
      <c r="J32" s="156"/>
      <c r="K32" s="158"/>
      <c r="L32" s="158"/>
      <c r="M32" s="157"/>
      <c r="N32" s="157"/>
      <c r="O32" s="156"/>
      <c r="P32" s="155"/>
    </row>
    <row r="33" spans="2:16" ht="46.35" customHeight="1" x14ac:dyDescent="0.3">
      <c r="B33" s="52"/>
      <c r="C33" s="52"/>
      <c r="D33" s="52"/>
      <c r="E33" s="52"/>
      <c r="F33" s="419" t="s">
        <v>46</v>
      </c>
      <c r="G33" s="419"/>
      <c r="H33" s="419"/>
      <c r="I33" s="419"/>
      <c r="J33" s="419"/>
      <c r="K33" s="419"/>
      <c r="L33" s="419"/>
      <c r="M33" s="419"/>
      <c r="N33" s="157"/>
      <c r="O33" s="156"/>
      <c r="P33" s="155"/>
    </row>
    <row r="34" spans="2:16" ht="8.1" customHeight="1" x14ac:dyDescent="0.3">
      <c r="B34" s="52"/>
      <c r="C34" s="52"/>
      <c r="D34" s="52"/>
      <c r="E34" s="52"/>
      <c r="F34" s="156"/>
      <c r="G34" s="156"/>
      <c r="H34" s="156"/>
      <c r="I34" s="159"/>
      <c r="J34" s="156"/>
      <c r="K34" s="158"/>
      <c r="L34" s="158"/>
      <c r="M34" s="157"/>
      <c r="N34" s="157"/>
      <c r="O34" s="156"/>
      <c r="P34" s="155"/>
    </row>
    <row r="35" spans="2:16" ht="52.5" customHeight="1" x14ac:dyDescent="0.3">
      <c r="B35" s="52"/>
      <c r="C35" s="52"/>
      <c r="D35" s="52"/>
      <c r="E35" s="52"/>
      <c r="F35" s="57" t="s">
        <v>9</v>
      </c>
      <c r="G35" s="338" t="s">
        <v>94</v>
      </c>
      <c r="H35" s="276"/>
      <c r="I35" s="424" t="s">
        <v>151</v>
      </c>
      <c r="J35" s="424"/>
      <c r="K35" s="424"/>
      <c r="L35" s="424"/>
      <c r="M35" s="425"/>
      <c r="N35" s="157"/>
      <c r="O35" s="156"/>
      <c r="P35" s="155"/>
    </row>
    <row r="36" spans="2:16" ht="52.5" customHeight="1" x14ac:dyDescent="0.3">
      <c r="B36" s="52"/>
      <c r="C36" s="52"/>
      <c r="D36" s="52"/>
      <c r="E36" s="52"/>
      <c r="F36" s="57" t="s">
        <v>142</v>
      </c>
      <c r="G36" s="338" t="s">
        <v>143</v>
      </c>
      <c r="H36" s="295"/>
      <c r="I36" s="424" t="s">
        <v>164</v>
      </c>
      <c r="J36" s="424"/>
      <c r="K36" s="424"/>
      <c r="L36" s="424"/>
      <c r="M36" s="425"/>
      <c r="N36" s="157"/>
      <c r="O36" s="156"/>
      <c r="P36" s="155"/>
    </row>
    <row r="37" spans="2:16" ht="87" customHeight="1" x14ac:dyDescent="0.3">
      <c r="B37" s="52"/>
      <c r="C37" s="52"/>
      <c r="D37" s="52"/>
      <c r="E37" s="52"/>
      <c r="F37" s="272" t="s">
        <v>122</v>
      </c>
      <c r="G37" s="339">
        <v>3</v>
      </c>
      <c r="H37" s="275"/>
      <c r="I37" s="424" t="s">
        <v>145</v>
      </c>
      <c r="J37" s="424"/>
      <c r="K37" s="424"/>
      <c r="L37" s="424"/>
      <c r="M37" s="425"/>
      <c r="N37" s="157"/>
      <c r="O37" s="156"/>
      <c r="P37" s="155"/>
    </row>
    <row r="38" spans="2:16" ht="8.1" customHeight="1" x14ac:dyDescent="0.3">
      <c r="B38" s="52"/>
      <c r="C38" s="52"/>
      <c r="D38" s="52"/>
      <c r="E38" s="52"/>
      <c r="F38" s="156"/>
      <c r="G38" s="156"/>
      <c r="H38" s="156"/>
      <c r="I38" s="159"/>
      <c r="J38" s="156"/>
      <c r="K38" s="158"/>
      <c r="L38" s="158"/>
      <c r="M38" s="157"/>
      <c r="N38" s="157"/>
      <c r="O38" s="156"/>
      <c r="P38" s="155"/>
    </row>
    <row r="39" spans="2:16" ht="36.9" customHeight="1" x14ac:dyDescent="0.3">
      <c r="B39" s="52"/>
      <c r="C39" s="52"/>
      <c r="D39" s="52"/>
      <c r="E39" s="52"/>
      <c r="F39" s="422" t="s">
        <v>77</v>
      </c>
      <c r="G39" s="423"/>
      <c r="H39" s="157"/>
      <c r="I39" s="426" t="s">
        <v>146</v>
      </c>
      <c r="J39" s="426"/>
      <c r="K39" s="426"/>
      <c r="L39" s="426"/>
      <c r="M39" s="426"/>
      <c r="N39" s="157"/>
      <c r="O39" s="156"/>
      <c r="P39" s="155"/>
    </row>
    <row r="40" spans="2:16" ht="99" customHeight="1" x14ac:dyDescent="0.3">
      <c r="B40" s="52"/>
      <c r="C40" s="52"/>
      <c r="D40" s="52"/>
      <c r="E40" s="52"/>
      <c r="F40" s="272" t="s">
        <v>124</v>
      </c>
      <c r="G40" s="340">
        <v>0.15</v>
      </c>
      <c r="H40" s="307"/>
      <c r="I40" s="443" t="s">
        <v>125</v>
      </c>
      <c r="J40" s="443"/>
      <c r="K40" s="443"/>
      <c r="L40" s="443"/>
      <c r="M40" s="444"/>
      <c r="N40" s="157"/>
      <c r="O40" s="156"/>
      <c r="P40" s="155"/>
    </row>
    <row r="41" spans="2:16" ht="25.35" customHeight="1" x14ac:dyDescent="0.3">
      <c r="B41" s="52"/>
      <c r="C41" s="52"/>
      <c r="D41" s="52"/>
      <c r="E41" s="52"/>
      <c r="F41" s="253">
        <f>G8</f>
        <v>2026</v>
      </c>
      <c r="G41" s="341">
        <f>IF($G$35="Preparatory transition",MIN(0.8,G40),IF($G$35="Accelerated transition",_xlfn.XLOOKUP(F41,'Vaccine options'!$E$21:$E$25,'Vaccine options'!$F$21:$F$25),0.04))</f>
        <v>0.04</v>
      </c>
      <c r="H41" s="436"/>
      <c r="I41" s="437"/>
      <c r="J41" s="437"/>
      <c r="K41" s="437"/>
      <c r="L41" s="437"/>
      <c r="M41" s="438"/>
      <c r="N41" s="157"/>
      <c r="O41" s="156"/>
      <c r="P41" s="155"/>
    </row>
    <row r="42" spans="2:16" ht="25.35" customHeight="1" x14ac:dyDescent="0.3">
      <c r="B42" s="52"/>
      <c r="C42" s="52"/>
      <c r="D42" s="52"/>
      <c r="E42" s="52"/>
      <c r="F42" s="253">
        <f>$G$8+1</f>
        <v>2027</v>
      </c>
      <c r="G42" s="341">
        <f>IF($G$35="Preparatory transition",MIN(0.8,G41*1.15),IF($G$35="Accelerated transition",_xlfn.XLOOKUP(F42,'Vaccine options'!$E$21:$E$25,'Vaccine options'!$F$21:$F$25),0.04))</f>
        <v>0.04</v>
      </c>
      <c r="H42" s="436"/>
      <c r="I42" s="437"/>
      <c r="J42" s="437"/>
      <c r="K42" s="437"/>
      <c r="L42" s="437"/>
      <c r="M42" s="438"/>
      <c r="N42" s="157"/>
      <c r="O42" s="156"/>
      <c r="P42" s="155"/>
    </row>
    <row r="43" spans="2:16" ht="25.35" customHeight="1" x14ac:dyDescent="0.3">
      <c r="B43" s="52"/>
      <c r="C43" s="52"/>
      <c r="D43" s="52"/>
      <c r="E43" s="52"/>
      <c r="F43" s="253">
        <f>$G$8+2</f>
        <v>2028</v>
      </c>
      <c r="G43" s="341">
        <f>IF($G$35="Preparatory transition",MIN(0.8,G42*1.15),IF($G$35="Accelerated transition",_xlfn.XLOOKUP(F43,'Vaccine options'!$E$21:$E$25,'Vaccine options'!$F$21:$F$25),0.04))</f>
        <v>0.04</v>
      </c>
      <c r="H43" s="436"/>
      <c r="I43" s="437"/>
      <c r="J43" s="437"/>
      <c r="K43" s="437"/>
      <c r="L43" s="437"/>
      <c r="M43" s="438"/>
      <c r="N43" s="157"/>
      <c r="O43" s="156"/>
      <c r="P43" s="155"/>
    </row>
    <row r="44" spans="2:16" ht="25.35" customHeight="1" x14ac:dyDescent="0.3">
      <c r="B44" s="52"/>
      <c r="C44" s="52"/>
      <c r="D44" s="52"/>
      <c r="E44" s="52"/>
      <c r="F44" s="253">
        <f>$G$8+3</f>
        <v>2029</v>
      </c>
      <c r="G44" s="341">
        <f>IF($G$35="Preparatory transition",MIN(0.8,G43*1.15),IF($G$35="Accelerated transition",_xlfn.XLOOKUP(F44,'Vaccine options'!$E$21:$E$25,'Vaccine options'!$F$21:$F$25),0.04))</f>
        <v>0.04</v>
      </c>
      <c r="H44" s="436"/>
      <c r="I44" s="437"/>
      <c r="J44" s="437"/>
      <c r="K44" s="437"/>
      <c r="L44" s="437"/>
      <c r="M44" s="438"/>
      <c r="N44" s="157"/>
      <c r="O44" s="156"/>
      <c r="P44" s="155"/>
    </row>
    <row r="45" spans="2:16" ht="25.35" customHeight="1" x14ac:dyDescent="0.3">
      <c r="B45" s="52"/>
      <c r="C45" s="52"/>
      <c r="D45" s="52"/>
      <c r="E45" s="52"/>
      <c r="F45" s="253">
        <f>$G$8+4</f>
        <v>2030</v>
      </c>
      <c r="G45" s="341">
        <f>IF($G$35="Preparatory transition",MIN(0.8,G44*1.15),IF($G$35="Accelerated transition",_xlfn.XLOOKUP(F45,'Vaccine options'!$E$21:$E$25,'Vaccine options'!$F$21:$F$25),0.04))</f>
        <v>0.04</v>
      </c>
      <c r="H45" s="439"/>
      <c r="I45" s="440"/>
      <c r="J45" s="440"/>
      <c r="K45" s="440"/>
      <c r="L45" s="440"/>
      <c r="M45" s="441"/>
      <c r="N45" s="157"/>
      <c r="O45" s="156"/>
      <c r="P45" s="155"/>
    </row>
    <row r="46" spans="2:16" ht="8.1" customHeight="1" x14ac:dyDescent="0.3">
      <c r="B46" s="52"/>
      <c r="C46" s="52"/>
      <c r="D46" s="52"/>
      <c r="E46" s="52"/>
      <c r="F46" s="156"/>
      <c r="G46" s="156"/>
      <c r="H46" s="156"/>
      <c r="I46" s="159"/>
      <c r="J46" s="156"/>
      <c r="K46" s="158"/>
      <c r="L46" s="158"/>
      <c r="M46" s="157"/>
      <c r="N46" s="157"/>
      <c r="O46" s="156"/>
      <c r="P46" s="155"/>
    </row>
    <row r="47" spans="2:16" ht="45" customHeight="1" x14ac:dyDescent="0.3">
      <c r="B47" s="52"/>
      <c r="C47" s="52"/>
      <c r="D47" s="52"/>
      <c r="E47" s="52"/>
      <c r="F47" s="419" t="s">
        <v>127</v>
      </c>
      <c r="G47" s="419"/>
      <c r="H47" s="419"/>
      <c r="I47" s="419"/>
      <c r="J47" s="419"/>
      <c r="K47" s="419"/>
      <c r="L47" s="419"/>
      <c r="M47" s="419"/>
      <c r="N47" s="88"/>
      <c r="O47" s="87"/>
      <c r="P47" s="85"/>
    </row>
    <row r="48" spans="2:16" ht="8.1" customHeight="1" x14ac:dyDescent="0.3">
      <c r="B48" s="52"/>
      <c r="C48" s="52"/>
      <c r="D48" s="52"/>
      <c r="E48" s="52"/>
      <c r="F48" s="52"/>
      <c r="G48" s="52"/>
      <c r="H48" s="52"/>
      <c r="I48" s="52"/>
      <c r="J48" s="52"/>
      <c r="K48" s="52"/>
      <c r="L48" s="52"/>
      <c r="M48" s="52"/>
      <c r="N48" s="52"/>
      <c r="O48" s="52"/>
    </row>
    <row r="49" spans="2:16" ht="58.35" customHeight="1" x14ac:dyDescent="0.3">
      <c r="B49" s="52"/>
      <c r="C49" s="52"/>
      <c r="D49" s="52"/>
      <c r="E49" s="52"/>
      <c r="F49" s="154"/>
      <c r="G49" s="153" t="s">
        <v>26</v>
      </c>
      <c r="H49" s="151"/>
      <c r="I49" s="152" t="s">
        <v>12</v>
      </c>
      <c r="J49" s="151"/>
      <c r="K49" s="152" t="s">
        <v>13</v>
      </c>
      <c r="L49" s="151"/>
      <c r="M49" s="57" t="s">
        <v>16</v>
      </c>
      <c r="N49" s="146"/>
      <c r="O49" s="52"/>
    </row>
    <row r="50" spans="2:16" ht="147" customHeight="1" x14ac:dyDescent="0.3">
      <c r="B50" s="52"/>
      <c r="C50" s="52"/>
      <c r="D50" s="52"/>
      <c r="E50" s="52"/>
      <c r="F50" s="150" t="s">
        <v>58</v>
      </c>
      <c r="G50" s="149" t="s">
        <v>83</v>
      </c>
      <c r="H50" s="148"/>
      <c r="I50" s="149" t="s">
        <v>84</v>
      </c>
      <c r="J50" s="148"/>
      <c r="K50" s="149" t="s">
        <v>85</v>
      </c>
      <c r="L50" s="148"/>
      <c r="M50" s="149" t="s">
        <v>88</v>
      </c>
      <c r="N50" s="147"/>
      <c r="O50" s="146"/>
      <c r="P50" s="145"/>
    </row>
    <row r="51" spans="2:16" ht="84.6" customHeight="1" x14ac:dyDescent="0.3">
      <c r="B51" s="52"/>
      <c r="C51" s="52"/>
      <c r="D51" s="52"/>
      <c r="E51" s="52"/>
      <c r="F51" s="254" t="s">
        <v>78</v>
      </c>
      <c r="G51" s="342" t="str">
        <f>VLOOKUP(G50,'Vaccine options'!$A$3:$E$7,5,FALSE)</f>
        <v>Sufficient supply</v>
      </c>
      <c r="H51" s="260"/>
      <c r="I51" s="342" t="str">
        <f>VLOOKUP(I50,'Vaccine options'!$A$3:$E$7,5,FALSE)</f>
        <v>Pending UNICEF Supply Division agreement</v>
      </c>
      <c r="J51" s="260"/>
      <c r="K51" s="342" t="str">
        <f>VLOOKUP(K50,'Vaccine options'!$A$3:$E$7,5,FALSE)</f>
        <v>Needs planning</v>
      </c>
      <c r="L51" s="260"/>
      <c r="M51" s="342" t="str">
        <f>VLOOKUP(M50,'Vaccine options'!$A$3:$E$7,5,FALSE)</f>
        <v>Needs planning</v>
      </c>
      <c r="N51" s="147"/>
      <c r="O51" s="146"/>
      <c r="P51" s="145"/>
    </row>
    <row r="52" spans="2:16" ht="8.25" customHeight="1" x14ac:dyDescent="0.3">
      <c r="B52" s="52"/>
      <c r="C52" s="52"/>
      <c r="D52" s="52"/>
      <c r="E52" s="52"/>
      <c r="F52" s="144"/>
      <c r="G52" s="143"/>
      <c r="H52" s="139"/>
      <c r="I52" s="143"/>
      <c r="J52" s="139"/>
      <c r="K52" s="143"/>
      <c r="L52" s="139"/>
      <c r="M52" s="143"/>
      <c r="N52" s="143"/>
      <c r="O52" s="142"/>
      <c r="P52" s="141"/>
    </row>
    <row r="53" spans="2:16" ht="39" customHeight="1" x14ac:dyDescent="0.3">
      <c r="B53" s="52"/>
      <c r="C53" s="52"/>
      <c r="D53" s="52"/>
      <c r="E53" s="52"/>
      <c r="F53" s="254" t="s">
        <v>1</v>
      </c>
      <c r="G53" s="148"/>
      <c r="H53" s="148"/>
      <c r="I53" s="148"/>
      <c r="J53" s="148"/>
      <c r="K53" s="148"/>
      <c r="L53" s="148"/>
      <c r="M53" s="148"/>
      <c r="N53" s="140"/>
      <c r="O53" s="139"/>
      <c r="P53" s="138"/>
    </row>
    <row r="54" spans="2:16" ht="25.35" customHeight="1" x14ac:dyDescent="0.3">
      <c r="B54" s="52"/>
      <c r="C54" s="52"/>
      <c r="D54" s="52"/>
      <c r="E54" s="52"/>
      <c r="F54" s="261">
        <f>F41</f>
        <v>2026</v>
      </c>
      <c r="G54" s="345" cm="1">
        <f t="array" ref="G54">INDEX('Vaccine prices'!$C$1:$C$70,MATCH(1,(G50='Vaccine prices'!$A$1:$A$70)*(F54='Vaccine prices'!$B$1:$B$70),0))</f>
        <v>2.9</v>
      </c>
      <c r="H54" s="247"/>
      <c r="I54" s="345" cm="1">
        <f t="array" ref="I54">INDEX('Vaccine prices'!$C$1:$C$70,MATCH(1,(I50='Vaccine prices'!$A$1:$A$70)*(F54='Vaccine prices'!$B$1:$B$70),0))</f>
        <v>2.8</v>
      </c>
      <c r="J54" s="247"/>
      <c r="K54" s="345" cm="1">
        <f t="array" ref="K54">INDEX('Vaccine prices'!$C$1:$C$70,MATCH(1,(K50='Vaccine prices'!$A$1:$A$70)*(F54='Vaccine prices'!$B$1:$B$70),0))</f>
        <v>5.18</v>
      </c>
      <c r="L54" s="247"/>
      <c r="M54" s="345" cm="1">
        <f t="array" ref="M54">INDEX('Vaccine prices'!$C$1:$C$70,MATCH(1,(M50='Vaccine prices'!$A$1:$A$70)*(F54='Vaccine prices'!$B$1:$B$70),0))</f>
        <v>4.5</v>
      </c>
      <c r="N54" s="140"/>
      <c r="O54" s="139"/>
      <c r="P54" s="138"/>
    </row>
    <row r="55" spans="2:16" ht="25.35" customHeight="1" x14ac:dyDescent="0.3">
      <c r="B55" s="52"/>
      <c r="C55" s="52"/>
      <c r="D55" s="52"/>
      <c r="E55" s="52"/>
      <c r="F55" s="261">
        <f>F42</f>
        <v>2027</v>
      </c>
      <c r="G55" s="345" cm="1">
        <f t="array" ref="G55">INDEX('Vaccine prices'!$C$1:$C$70,MATCH(1,(G50='Vaccine prices'!$A$1:$A$70)*(F55='Vaccine prices'!$B$1:$B$70),0))</f>
        <v>2.9</v>
      </c>
      <c r="H55" s="247"/>
      <c r="I55" s="345" cm="1">
        <f t="array" ref="I55">INDEX('Vaccine prices'!$C$1:$C$70,MATCH(1,(I50='Vaccine prices'!$A$1:$A$70)*(F55='Vaccine prices'!$B$1:$B$70),0))</f>
        <v>2.8</v>
      </c>
      <c r="J55" s="247"/>
      <c r="K55" s="345" cm="1">
        <f t="array" ref="K55">INDEX('Vaccine prices'!$C$1:$C$70,MATCH(1,(K50='Vaccine prices'!$A$1:$A$70)*(F55='Vaccine prices'!$B$1:$B$70),0))</f>
        <v>5.18</v>
      </c>
      <c r="L55" s="247"/>
      <c r="M55" s="345" cm="1">
        <f t="array" ref="M55">INDEX('Vaccine prices'!$C$1:$C$70,MATCH(1,(M50='Vaccine prices'!$A$1:$A$70)*(F55='Vaccine prices'!$B$1:$B$70),0))</f>
        <v>4.5</v>
      </c>
      <c r="N55" s="140"/>
      <c r="O55" s="139"/>
      <c r="P55" s="138"/>
    </row>
    <row r="56" spans="2:16" ht="25.35" customHeight="1" x14ac:dyDescent="0.3">
      <c r="B56" s="52"/>
      <c r="C56" s="52"/>
      <c r="D56" s="52"/>
      <c r="E56" s="52"/>
      <c r="F56" s="261">
        <f>F43</f>
        <v>2028</v>
      </c>
      <c r="G56" s="345" cm="1">
        <f t="array" ref="G56">INDEX('Vaccine prices'!$C$1:$C$70,MATCH(1,(G50='Vaccine prices'!$A$1:$A$70)*(F56='Vaccine prices'!$B$1:$B$70),0))</f>
        <v>2.9</v>
      </c>
      <c r="H56" s="247"/>
      <c r="I56" s="345" cm="1">
        <f t="array" ref="I56">INDEX('Vaccine prices'!$C$1:$C$70,MATCH(1,(I50='Vaccine prices'!$A$1:$A$70)*(F56='Vaccine prices'!$B$1:$B$70),0))</f>
        <v>2.8</v>
      </c>
      <c r="J56" s="247"/>
      <c r="K56" s="345" cm="1">
        <f t="array" ref="K56">INDEX('Vaccine prices'!$C$1:$C$70,MATCH(1,(K50='Vaccine prices'!$A$1:$A$70)*(F56='Vaccine prices'!$B$1:$B$70),0))</f>
        <v>5.18</v>
      </c>
      <c r="L56" s="247"/>
      <c r="M56" s="345" cm="1">
        <f t="array" ref="M56">INDEX('Vaccine prices'!$C$1:$C$70,MATCH(1,(M50='Vaccine prices'!$A$1:$A$70)*(F56='Vaccine prices'!$B$1:$B$70),0))</f>
        <v>4.5</v>
      </c>
      <c r="N56" s="140"/>
      <c r="O56" s="139"/>
      <c r="P56" s="138"/>
    </row>
    <row r="57" spans="2:16" ht="25.35" customHeight="1" x14ac:dyDescent="0.3">
      <c r="B57" s="52"/>
      <c r="C57" s="52"/>
      <c r="D57" s="52"/>
      <c r="E57" s="52"/>
      <c r="F57" s="261">
        <f>F44</f>
        <v>2029</v>
      </c>
      <c r="G57" s="345" cm="1">
        <f t="array" ref="G57">INDEX('Vaccine prices'!$C$1:$C$70,MATCH(1,(G50='Vaccine prices'!$A$1:$A$70)*(F57='Vaccine prices'!$B$1:$B$70),0))</f>
        <v>2.9</v>
      </c>
      <c r="H57" s="247"/>
      <c r="I57" s="345" cm="1">
        <f t="array" ref="I57">INDEX('Vaccine prices'!$C$1:$C$70,MATCH(1,(I50='Vaccine prices'!$A$1:$A$70)*(F57='Vaccine prices'!$B$1:$B$70),0))</f>
        <v>2.8</v>
      </c>
      <c r="J57" s="247"/>
      <c r="K57" s="345" cm="1">
        <f t="array" ref="K57">INDEX('Vaccine prices'!$C$1:$C$70,MATCH(1,(K50='Vaccine prices'!$A$1:$A$70)*(F57='Vaccine prices'!$B$1:$B$70),0))</f>
        <v>5.18</v>
      </c>
      <c r="L57" s="247"/>
      <c r="M57" s="345" cm="1">
        <f t="array" ref="M57">INDEX('Vaccine prices'!$C$1:$C$70,MATCH(1,(M50='Vaccine prices'!$A$1:$A$70)*(F57='Vaccine prices'!$B$1:$B$70),0))</f>
        <v>4.5</v>
      </c>
      <c r="N57" s="140"/>
      <c r="O57" s="139"/>
      <c r="P57" s="138"/>
    </row>
    <row r="58" spans="2:16" ht="25.35" customHeight="1" x14ac:dyDescent="0.3">
      <c r="B58" s="52"/>
      <c r="C58" s="52"/>
      <c r="D58" s="52"/>
      <c r="E58" s="52"/>
      <c r="F58" s="261">
        <f>F45</f>
        <v>2030</v>
      </c>
      <c r="G58" s="345" cm="1">
        <f t="array" ref="G58">INDEX('Vaccine prices'!$C$1:$C$70,MATCH(1,(G50='Vaccine prices'!$A$1:$A$70)*(F58='Vaccine prices'!$B$1:$B$70),0))</f>
        <v>2.9</v>
      </c>
      <c r="H58" s="247"/>
      <c r="I58" s="345" cm="1">
        <f t="array" ref="I58">INDEX('Vaccine prices'!$C$1:$C$70,MATCH(1,(I50='Vaccine prices'!$A$1:$A$70)*(F58='Vaccine prices'!$B$1:$B$70),0))</f>
        <v>2.8</v>
      </c>
      <c r="J58" s="247"/>
      <c r="K58" s="345" cm="1">
        <f t="array" ref="K58">INDEX('Vaccine prices'!$C$1:$C$70,MATCH(1,(K50='Vaccine prices'!$A$1:$A$70)*(F58='Vaccine prices'!$B$1:$B$70),0))</f>
        <v>5.18</v>
      </c>
      <c r="L58" s="247"/>
      <c r="M58" s="345" cm="1">
        <f t="array" ref="M58">INDEX('Vaccine prices'!$C$1:$C$70,MATCH(1,(M50='Vaccine prices'!$A$1:$A$70)*(F58='Vaccine prices'!$B$1:$B$70),0))</f>
        <v>4.5</v>
      </c>
      <c r="N58" s="140"/>
      <c r="O58" s="139"/>
      <c r="P58" s="138"/>
    </row>
    <row r="59" spans="2:16" ht="8.25" customHeight="1" x14ac:dyDescent="0.3">
      <c r="B59" s="52"/>
      <c r="C59" s="52"/>
      <c r="D59" s="52"/>
      <c r="E59" s="52"/>
      <c r="F59" s="146"/>
      <c r="G59" s="146"/>
      <c r="H59" s="146"/>
      <c r="I59" s="146"/>
      <c r="J59" s="146"/>
      <c r="K59" s="146"/>
      <c r="L59" s="146"/>
      <c r="M59" s="146"/>
      <c r="N59" s="140"/>
      <c r="O59" s="139"/>
      <c r="P59" s="138"/>
    </row>
    <row r="60" spans="2:16" ht="42" customHeight="1" x14ac:dyDescent="0.3">
      <c r="B60" s="52"/>
      <c r="C60" s="52"/>
      <c r="D60" s="52"/>
      <c r="E60" s="52"/>
      <c r="F60" s="254" t="s">
        <v>95</v>
      </c>
      <c r="G60" s="148"/>
      <c r="H60" s="148"/>
      <c r="I60" s="148"/>
      <c r="J60" s="148"/>
      <c r="K60" s="148"/>
      <c r="L60" s="148"/>
      <c r="M60" s="148"/>
      <c r="N60" s="140"/>
      <c r="O60" s="139"/>
      <c r="P60" s="138"/>
    </row>
    <row r="61" spans="2:16" ht="25.35" customHeight="1" x14ac:dyDescent="0.3">
      <c r="B61" s="52"/>
      <c r="C61" s="52"/>
      <c r="D61" s="52"/>
      <c r="E61" s="52"/>
      <c r="F61" s="261">
        <f>F41</f>
        <v>2026</v>
      </c>
      <c r="G61" s="345">
        <f>G41*G54</f>
        <v>0.11599999999999999</v>
      </c>
      <c r="H61" s="247"/>
      <c r="I61" s="345">
        <f>G41*I54</f>
        <v>0.11199999999999999</v>
      </c>
      <c r="J61" s="247"/>
      <c r="K61" s="345">
        <f>G41*K54</f>
        <v>0.2072</v>
      </c>
      <c r="L61" s="247"/>
      <c r="M61" s="345">
        <f>G41*M54</f>
        <v>0.18</v>
      </c>
      <c r="N61" s="140"/>
      <c r="O61" s="139"/>
      <c r="P61" s="138"/>
    </row>
    <row r="62" spans="2:16" ht="25.35" customHeight="1" x14ac:dyDescent="0.3">
      <c r="B62" s="52"/>
      <c r="C62" s="52"/>
      <c r="D62" s="52"/>
      <c r="E62" s="52"/>
      <c r="F62" s="261">
        <f>F42</f>
        <v>2027</v>
      </c>
      <c r="G62" s="345">
        <f t="shared" ref="G62:G65" si="0">G42*G55</f>
        <v>0.11599999999999999</v>
      </c>
      <c r="H62" s="247"/>
      <c r="I62" s="345">
        <f t="shared" ref="I62:I65" si="1">G42*I55</f>
        <v>0.11199999999999999</v>
      </c>
      <c r="J62" s="247"/>
      <c r="K62" s="345">
        <f t="shared" ref="K62:K65" si="2">G42*K55</f>
        <v>0.2072</v>
      </c>
      <c r="L62" s="247"/>
      <c r="M62" s="345">
        <f t="shared" ref="M62:M65" si="3">G42*M55</f>
        <v>0.18</v>
      </c>
      <c r="N62" s="140"/>
      <c r="O62" s="139"/>
      <c r="P62" s="138"/>
    </row>
    <row r="63" spans="2:16" ht="25.35" customHeight="1" x14ac:dyDescent="0.3">
      <c r="B63" s="52"/>
      <c r="C63" s="52"/>
      <c r="D63" s="52"/>
      <c r="E63" s="52"/>
      <c r="F63" s="261">
        <f>F43</f>
        <v>2028</v>
      </c>
      <c r="G63" s="345">
        <f t="shared" si="0"/>
        <v>0.11599999999999999</v>
      </c>
      <c r="H63" s="247"/>
      <c r="I63" s="345">
        <f t="shared" si="1"/>
        <v>0.11199999999999999</v>
      </c>
      <c r="J63" s="247"/>
      <c r="K63" s="345">
        <f t="shared" si="2"/>
        <v>0.2072</v>
      </c>
      <c r="L63" s="247"/>
      <c r="M63" s="345">
        <f t="shared" si="3"/>
        <v>0.18</v>
      </c>
      <c r="N63" s="140"/>
      <c r="O63" s="139"/>
      <c r="P63" s="138"/>
    </row>
    <row r="64" spans="2:16" ht="25.35" customHeight="1" x14ac:dyDescent="0.3">
      <c r="B64" s="52"/>
      <c r="C64" s="52"/>
      <c r="D64" s="52"/>
      <c r="E64" s="52"/>
      <c r="F64" s="261">
        <f>F44</f>
        <v>2029</v>
      </c>
      <c r="G64" s="345">
        <f t="shared" si="0"/>
        <v>0.11599999999999999</v>
      </c>
      <c r="H64" s="247"/>
      <c r="I64" s="345">
        <f t="shared" si="1"/>
        <v>0.11199999999999999</v>
      </c>
      <c r="J64" s="247"/>
      <c r="K64" s="345">
        <f t="shared" si="2"/>
        <v>0.2072</v>
      </c>
      <c r="L64" s="247"/>
      <c r="M64" s="345">
        <f t="shared" si="3"/>
        <v>0.18</v>
      </c>
      <c r="N64" s="140"/>
      <c r="O64" s="139"/>
      <c r="P64" s="138"/>
    </row>
    <row r="65" spans="2:17" ht="25.35" customHeight="1" x14ac:dyDescent="0.3">
      <c r="B65" s="52"/>
      <c r="C65" s="52"/>
      <c r="D65" s="52"/>
      <c r="E65" s="52"/>
      <c r="F65" s="261">
        <f>F45</f>
        <v>2030</v>
      </c>
      <c r="G65" s="345">
        <f t="shared" si="0"/>
        <v>0.11599999999999999</v>
      </c>
      <c r="H65" s="247"/>
      <c r="I65" s="345">
        <f t="shared" si="1"/>
        <v>0.11199999999999999</v>
      </c>
      <c r="J65" s="247"/>
      <c r="K65" s="345">
        <f t="shared" si="2"/>
        <v>0.2072</v>
      </c>
      <c r="L65" s="247"/>
      <c r="M65" s="345">
        <f t="shared" si="3"/>
        <v>0.18</v>
      </c>
      <c r="N65" s="140"/>
      <c r="O65" s="139"/>
      <c r="P65" s="138"/>
    </row>
    <row r="66" spans="2:17" ht="8.25" customHeight="1" x14ac:dyDescent="0.3">
      <c r="B66" s="52"/>
      <c r="C66" s="52"/>
      <c r="D66" s="52"/>
      <c r="E66" s="52"/>
      <c r="F66" s="146"/>
      <c r="G66" s="146"/>
      <c r="H66" s="146"/>
      <c r="I66" s="146"/>
      <c r="J66" s="146"/>
      <c r="K66" s="146"/>
      <c r="L66" s="146"/>
      <c r="M66" s="146"/>
      <c r="N66" s="140"/>
      <c r="O66" s="139"/>
      <c r="P66" s="138"/>
    </row>
    <row r="67" spans="2:17" ht="42" customHeight="1" x14ac:dyDescent="0.3">
      <c r="B67" s="52"/>
      <c r="C67" s="52"/>
      <c r="D67" s="52"/>
      <c r="E67" s="52"/>
      <c r="F67" s="254" t="s">
        <v>96</v>
      </c>
      <c r="G67" s="148"/>
      <c r="H67" s="148"/>
      <c r="I67" s="148"/>
      <c r="J67" s="148"/>
      <c r="K67" s="148"/>
      <c r="L67" s="148"/>
      <c r="M67" s="148"/>
      <c r="N67" s="140"/>
      <c r="O67" s="139"/>
      <c r="P67" s="138"/>
    </row>
    <row r="68" spans="2:17" ht="25.35" customHeight="1" x14ac:dyDescent="0.3">
      <c r="B68" s="52"/>
      <c r="C68" s="52"/>
      <c r="D68" s="52"/>
      <c r="E68" s="52"/>
      <c r="F68" s="261" t="s">
        <v>97</v>
      </c>
      <c r="G68" s="345">
        <f>IF($G$35="Preparatory transition",0.1*G54,IF($G$35="Accelerated transition",0.2*G54,0.05*G54))</f>
        <v>0.14499999999999999</v>
      </c>
      <c r="H68" s="247"/>
      <c r="I68" s="345">
        <f>IF($G$35="Preparatory transition",0.1*I54,IF($G$35="Accelerated transition",0.2*I54,0.05*I54))</f>
        <v>0.13999999999999999</v>
      </c>
      <c r="J68" s="247"/>
      <c r="K68" s="345">
        <f>IF($G$35="Preparatory transition",0.1*K54,IF($G$35="Accelerated transition",0.2*K54,0.05*K54))</f>
        <v>0.25900000000000001</v>
      </c>
      <c r="L68" s="247"/>
      <c r="M68" s="345">
        <f>IF($G$35="Preparatory transition",0.1*M54,IF($G$35="Accelerated transition",0.2*M54,0.05*M54))</f>
        <v>0.22500000000000001</v>
      </c>
      <c r="N68" s="140"/>
      <c r="O68" s="139"/>
      <c r="P68" s="138"/>
    </row>
    <row r="69" spans="2:17" ht="8.25" customHeight="1" x14ac:dyDescent="0.3">
      <c r="B69" s="52"/>
      <c r="C69" s="52"/>
      <c r="D69" s="52"/>
      <c r="E69" s="52"/>
      <c r="F69" s="144"/>
      <c r="G69" s="144"/>
      <c r="H69" s="144"/>
      <c r="I69" s="144"/>
      <c r="J69" s="144"/>
      <c r="K69" s="144"/>
      <c r="L69" s="144"/>
      <c r="M69" s="144"/>
      <c r="N69" s="140"/>
      <c r="O69" s="139"/>
      <c r="P69" s="138"/>
    </row>
    <row r="70" spans="2:17" ht="127.05" customHeight="1" x14ac:dyDescent="0.3">
      <c r="B70" s="52"/>
      <c r="C70" s="52"/>
      <c r="D70" s="52"/>
      <c r="E70" s="52"/>
      <c r="F70" s="301" t="s">
        <v>176</v>
      </c>
      <c r="G70" s="343">
        <v>1</v>
      </c>
      <c r="H70" s="303"/>
      <c r="I70" s="344">
        <v>2</v>
      </c>
      <c r="J70" s="137"/>
      <c r="K70" s="344">
        <v>1</v>
      </c>
      <c r="L70" s="137"/>
      <c r="M70" s="344">
        <v>1</v>
      </c>
      <c r="N70" s="434" t="str">
        <f>IF(OR(AND(G50='Vaccine options'!$A$4,Inputs!G70&lt;2),AND(I50='Vaccine options'!$A$4,Inputs!I70&lt;2),AND(K50='Vaccine options'!$A$4,Inputs!K70&lt;2),AND(M50='Vaccine options'!$A$4,Inputs!M70&lt;2)),"!! Walrinvax requires 2 doses","")</f>
        <v/>
      </c>
      <c r="O70" s="435"/>
      <c r="P70" s="90"/>
    </row>
    <row r="71" spans="2:17" ht="30.75" customHeight="1" x14ac:dyDescent="0.3">
      <c r="B71" s="52"/>
      <c r="C71" s="52"/>
      <c r="D71" s="52"/>
      <c r="E71" s="52"/>
      <c r="F71" s="302" t="s">
        <v>150</v>
      </c>
      <c r="G71" s="304">
        <f>IFERROR(INDEX('Vaccine options'!$A$3:$D$7,MATCH(G50,'Vaccine options'!$A$3:$A$7,0),2),"-")</f>
        <v>2</v>
      </c>
      <c r="H71" s="303"/>
      <c r="I71" s="305">
        <f>IFERROR(INDEX('Vaccine options'!$A$3:$D$7,MATCH(I50,'Vaccine options'!$A$3:$A$7,0),2),"-")</f>
        <v>2</v>
      </c>
      <c r="J71" s="137"/>
      <c r="K71" s="305">
        <f>IFERROR(INDEX('Vaccine options'!$A$3:$D$7,MATCH(K50,'Vaccine options'!$A$3:$A$7,0),2),"-")</f>
        <v>2</v>
      </c>
      <c r="L71" s="137"/>
      <c r="M71" s="305">
        <f>IFERROR(INDEX('Vaccine options'!$A$3:$D$7,MATCH(M50,'Vaccine options'!$A$3:$A$7,0),2),"-")</f>
        <v>2</v>
      </c>
      <c r="N71" s="92"/>
      <c r="O71" s="91"/>
      <c r="P71" s="90"/>
    </row>
    <row r="72" spans="2:17" ht="39" customHeight="1" x14ac:dyDescent="0.3">
      <c r="B72" s="52"/>
      <c r="C72" s="52"/>
      <c r="D72" s="52"/>
      <c r="E72" s="52"/>
      <c r="F72" s="299" t="s">
        <v>57</v>
      </c>
      <c r="G72" s="273">
        <f>IFERROR(INDEX('Vaccine options'!$A$3:$D$7,MATCH(G50,'Vaccine options'!$A$3:$A$7,0),4),"-")</f>
        <v>14.6</v>
      </c>
      <c r="H72" s="136"/>
      <c r="I72" s="273">
        <f>IFERROR(INDEX('Vaccine options'!$A$3:$D$7,MATCH(I50,'Vaccine options'!$A$3:$A$7,0),4),"-")</f>
        <v>11.8</v>
      </c>
      <c r="J72" s="136"/>
      <c r="K72" s="273">
        <f>IFERROR(INDEX('Vaccine options'!$A$3:$D$7,MATCH(K50,'Vaccine options'!$A$3:$A$7,0),4),"-")</f>
        <v>4.8</v>
      </c>
      <c r="L72" s="136"/>
      <c r="M72" s="273">
        <f>IFERROR(INDEX('Vaccine options'!$A$3:$D$7,MATCH(M50,'Vaccine options'!$A$3:$A$7,0),4),"-")</f>
        <v>15</v>
      </c>
      <c r="N72" s="135"/>
      <c r="O72" s="134"/>
      <c r="P72" s="133"/>
    </row>
    <row r="73" spans="2:17" ht="39" customHeight="1" x14ac:dyDescent="0.3">
      <c r="B73" s="52"/>
      <c r="C73" s="52"/>
      <c r="D73" s="52"/>
      <c r="E73" s="52"/>
      <c r="F73" s="78" t="s">
        <v>0</v>
      </c>
      <c r="G73" s="132">
        <v>0.05</v>
      </c>
      <c r="H73" s="108"/>
      <c r="I73" s="131">
        <v>0.05</v>
      </c>
      <c r="J73" s="108"/>
      <c r="K73" s="130">
        <v>0.1</v>
      </c>
      <c r="L73" s="108"/>
      <c r="M73" s="130">
        <v>0.05</v>
      </c>
      <c r="N73" s="106"/>
      <c r="O73" s="105"/>
      <c r="P73" s="104"/>
    </row>
    <row r="74" spans="2:17" ht="20.100000000000001" customHeight="1" x14ac:dyDescent="0.3">
      <c r="B74" s="52"/>
      <c r="C74" s="52"/>
      <c r="D74" s="52"/>
      <c r="E74" s="52"/>
      <c r="F74" s="129" t="s">
        <v>56</v>
      </c>
      <c r="G74" s="128">
        <f>IFERROR(INDEX('Vaccine options'!$A$3:$D$7,MATCH(G50,'Vaccine options'!$A$3:$A$7,0),3),"-")</f>
        <v>0.05</v>
      </c>
      <c r="H74" s="126"/>
      <c r="I74" s="127">
        <f>IFERROR(INDEX('Vaccine options'!$A$3:$D$7,MATCH(I50,'Vaccine options'!$A$3:$A$7,0),3),"-")</f>
        <v>0.05</v>
      </c>
      <c r="J74" s="126"/>
      <c r="K74" s="125">
        <f>IFERROR(INDEX('Vaccine options'!$A$3:$D$7,MATCH(K50,'Vaccine options'!$A$3:$A$7,0),3),"-")</f>
        <v>0.1</v>
      </c>
      <c r="L74" s="126"/>
      <c r="M74" s="125">
        <f>IFERROR(INDEX('Vaccine options'!$A$3:$D$7,MATCH(G50,'Vaccine options'!$A$3:$A$7,0),3),"-")</f>
        <v>0.05</v>
      </c>
      <c r="N74" s="124"/>
      <c r="O74" s="105"/>
      <c r="P74" s="104"/>
      <c r="Q74" s="123"/>
    </row>
    <row r="75" spans="2:17" ht="39" customHeight="1" x14ac:dyDescent="0.3">
      <c r="B75" s="52"/>
      <c r="C75" s="52"/>
      <c r="D75" s="52"/>
      <c r="E75" s="52"/>
      <c r="F75" s="57" t="s">
        <v>8</v>
      </c>
      <c r="G75" s="121">
        <f>(1/(1-G73))</f>
        <v>1.0526315789473684</v>
      </c>
      <c r="H75" s="122"/>
      <c r="I75" s="121">
        <f>(1/(1-I73))</f>
        <v>1.0526315789473684</v>
      </c>
      <c r="J75" s="122"/>
      <c r="K75" s="121">
        <f>(1/(1-K73))</f>
        <v>1.1111111111111112</v>
      </c>
      <c r="L75" s="122"/>
      <c r="M75" s="121">
        <f>(1/(1-M73))</f>
        <v>1.0526315789473684</v>
      </c>
      <c r="N75" s="120"/>
      <c r="O75" s="119"/>
      <c r="P75" s="118"/>
    </row>
    <row r="76" spans="2:17" ht="39" customHeight="1" x14ac:dyDescent="0.3">
      <c r="B76" s="52"/>
      <c r="C76" s="52"/>
      <c r="D76" s="52"/>
      <c r="E76" s="52"/>
      <c r="F76" s="57" t="s">
        <v>55</v>
      </c>
      <c r="G76" s="117">
        <v>0.05</v>
      </c>
      <c r="H76" s="115"/>
      <c r="I76" s="116">
        <v>0.05</v>
      </c>
      <c r="J76" s="115"/>
      <c r="K76" s="114">
        <v>0.05</v>
      </c>
      <c r="L76" s="115"/>
      <c r="M76" s="114">
        <v>0.05</v>
      </c>
      <c r="N76" s="113"/>
      <c r="O76" s="112"/>
      <c r="P76" s="111"/>
    </row>
    <row r="77" spans="2:17" ht="39" customHeight="1" x14ac:dyDescent="0.3">
      <c r="B77" s="52"/>
      <c r="C77" s="52"/>
      <c r="D77" s="52"/>
      <c r="E77" s="52"/>
      <c r="F77" s="57" t="s">
        <v>54</v>
      </c>
      <c r="G77" s="110">
        <v>7.0000000000000007E-2</v>
      </c>
      <c r="H77" s="108"/>
      <c r="I77" s="109">
        <v>7.0000000000000007E-2</v>
      </c>
      <c r="J77" s="108"/>
      <c r="K77" s="107">
        <v>7.0000000000000007E-2</v>
      </c>
      <c r="L77" s="108"/>
      <c r="M77" s="107">
        <v>7.0000000000000007E-2</v>
      </c>
      <c r="N77" s="106"/>
      <c r="O77" s="105"/>
      <c r="P77" s="104"/>
    </row>
    <row r="78" spans="2:17" ht="39" customHeight="1" x14ac:dyDescent="0.3">
      <c r="B78" s="52"/>
      <c r="C78" s="52"/>
      <c r="D78" s="52"/>
      <c r="E78" s="52"/>
      <c r="F78" s="57" t="s">
        <v>53</v>
      </c>
      <c r="G78" s="110">
        <v>0.25</v>
      </c>
      <c r="H78" s="108"/>
      <c r="I78" s="109">
        <v>0.25</v>
      </c>
      <c r="J78" s="108"/>
      <c r="K78" s="107">
        <v>0.25</v>
      </c>
      <c r="L78" s="108"/>
      <c r="M78" s="107">
        <v>0.25</v>
      </c>
      <c r="N78" s="106"/>
      <c r="O78" s="105"/>
      <c r="P78" s="104"/>
    </row>
    <row r="79" spans="2:17" ht="39" customHeight="1" x14ac:dyDescent="0.3">
      <c r="B79" s="52"/>
      <c r="C79" s="52"/>
      <c r="D79" s="52"/>
      <c r="E79" s="52"/>
      <c r="F79" s="57" t="s">
        <v>10</v>
      </c>
      <c r="G79" s="103">
        <v>0.8</v>
      </c>
      <c r="H79" s="101"/>
      <c r="I79" s="102">
        <v>0.8</v>
      </c>
      <c r="J79" s="101"/>
      <c r="K79" s="100">
        <v>0.8</v>
      </c>
      <c r="L79" s="101"/>
      <c r="M79" s="100">
        <v>0.8</v>
      </c>
      <c r="N79" s="99"/>
      <c r="O79" s="98"/>
      <c r="P79" s="97"/>
    </row>
    <row r="80" spans="2:17" ht="39" customHeight="1" x14ac:dyDescent="0.3">
      <c r="B80" s="52"/>
      <c r="C80" s="52"/>
      <c r="D80" s="52"/>
      <c r="E80" s="52"/>
      <c r="F80" s="57" t="s">
        <v>11</v>
      </c>
      <c r="G80" s="96">
        <v>100</v>
      </c>
      <c r="H80" s="94"/>
      <c r="I80" s="95">
        <v>100</v>
      </c>
      <c r="J80" s="94"/>
      <c r="K80" s="93">
        <v>100</v>
      </c>
      <c r="L80" s="94"/>
      <c r="M80" s="93">
        <v>100</v>
      </c>
      <c r="N80" s="92"/>
      <c r="O80" s="91"/>
      <c r="P80" s="90"/>
    </row>
    <row r="81" spans="2:16" ht="39" customHeight="1" x14ac:dyDescent="0.3">
      <c r="B81" s="52"/>
      <c r="C81" s="52"/>
      <c r="D81" s="52"/>
      <c r="E81" s="52"/>
      <c r="F81" s="57" t="s">
        <v>75</v>
      </c>
      <c r="G81" s="252">
        <v>0.04</v>
      </c>
      <c r="H81" s="250"/>
      <c r="I81" s="252">
        <v>0.04</v>
      </c>
      <c r="J81" s="250"/>
      <c r="K81" s="252">
        <v>0.04</v>
      </c>
      <c r="L81" s="250"/>
      <c r="M81" s="252">
        <v>0.04</v>
      </c>
      <c r="N81" s="251"/>
      <c r="O81" s="91"/>
      <c r="P81" s="90"/>
    </row>
    <row r="82" spans="2:16" ht="8.1" customHeight="1" x14ac:dyDescent="0.3">
      <c r="B82" s="52"/>
      <c r="C82" s="52"/>
      <c r="D82" s="52"/>
      <c r="E82" s="52"/>
      <c r="F82" s="89"/>
      <c r="G82" s="52"/>
      <c r="H82" s="52"/>
      <c r="I82" s="52"/>
      <c r="J82" s="52"/>
      <c r="K82" s="52"/>
      <c r="L82" s="52"/>
      <c r="M82" s="89"/>
      <c r="N82" s="89"/>
      <c r="O82" s="52"/>
    </row>
    <row r="83" spans="2:16" ht="45" customHeight="1" x14ac:dyDescent="0.3">
      <c r="B83" s="52"/>
      <c r="C83" s="52"/>
      <c r="D83" s="52"/>
      <c r="E83" s="52"/>
      <c r="F83" s="419" t="s">
        <v>22</v>
      </c>
      <c r="G83" s="419"/>
      <c r="H83" s="419"/>
      <c r="I83" s="419"/>
      <c r="J83" s="419"/>
      <c r="K83" s="419"/>
      <c r="L83" s="419"/>
      <c r="M83" s="419"/>
      <c r="N83" s="88"/>
      <c r="O83" s="87"/>
      <c r="P83" s="85"/>
    </row>
    <row r="84" spans="2:16" ht="8.1" customHeight="1" x14ac:dyDescent="0.3">
      <c r="B84" s="52"/>
      <c r="C84" s="52"/>
      <c r="D84" s="52"/>
      <c r="E84" s="52"/>
      <c r="F84" s="86"/>
      <c r="G84" s="86"/>
      <c r="H84" s="86"/>
      <c r="I84" s="86"/>
      <c r="J84" s="86"/>
      <c r="K84" s="52"/>
      <c r="L84" s="52"/>
      <c r="M84" s="86"/>
      <c r="N84" s="86"/>
      <c r="O84" s="86"/>
      <c r="P84" s="85"/>
    </row>
    <row r="85" spans="2:16" ht="51.9" customHeight="1" x14ac:dyDescent="0.3">
      <c r="B85" s="52"/>
      <c r="C85" s="52"/>
      <c r="D85" s="52"/>
      <c r="E85" s="52"/>
      <c r="F85" s="57" t="s">
        <v>116</v>
      </c>
      <c r="G85" s="84">
        <v>0</v>
      </c>
      <c r="H85" s="83"/>
      <c r="I85" s="82">
        <v>0</v>
      </c>
      <c r="J85" s="83"/>
      <c r="K85" s="84">
        <v>0</v>
      </c>
      <c r="L85" s="83"/>
      <c r="M85" s="82">
        <v>0</v>
      </c>
      <c r="N85" s="81"/>
      <c r="O85" s="80"/>
      <c r="P85" s="79"/>
    </row>
    <row r="86" spans="2:16" ht="25.35" customHeight="1" x14ac:dyDescent="0.3">
      <c r="B86" s="52"/>
      <c r="C86" s="52"/>
      <c r="D86" s="52"/>
      <c r="E86" s="52"/>
      <c r="F86" s="78" t="s">
        <v>14</v>
      </c>
      <c r="G86" s="282"/>
      <c r="H86" s="77"/>
      <c r="I86" s="282"/>
      <c r="J86" s="77"/>
      <c r="K86" s="282"/>
      <c r="L86" s="77"/>
      <c r="M86" s="282"/>
      <c r="N86" s="76"/>
      <c r="O86" s="75"/>
      <c r="P86" s="74"/>
    </row>
    <row r="87" spans="2:16" ht="25.35" customHeight="1" x14ac:dyDescent="0.3">
      <c r="B87" s="52"/>
      <c r="C87" s="52"/>
      <c r="D87" s="52"/>
      <c r="E87" s="52"/>
      <c r="F87" s="285" t="s">
        <v>117</v>
      </c>
      <c r="G87" s="284">
        <v>1</v>
      </c>
      <c r="H87" s="77"/>
      <c r="I87" s="284">
        <v>1</v>
      </c>
      <c r="J87" s="77"/>
      <c r="K87" s="284">
        <v>1</v>
      </c>
      <c r="L87" s="77"/>
      <c r="M87" s="284">
        <v>1</v>
      </c>
      <c r="N87" s="76"/>
      <c r="O87" s="75"/>
      <c r="P87" s="74"/>
    </row>
    <row r="88" spans="2:16" ht="25.35" customHeight="1" x14ac:dyDescent="0.3">
      <c r="B88" s="52"/>
      <c r="C88" s="52"/>
      <c r="D88" s="52"/>
      <c r="E88" s="52"/>
      <c r="F88" s="285" t="s">
        <v>118</v>
      </c>
      <c r="G88" s="284">
        <v>1</v>
      </c>
      <c r="H88" s="77"/>
      <c r="I88" s="284">
        <v>1</v>
      </c>
      <c r="J88" s="77"/>
      <c r="K88" s="284">
        <v>1</v>
      </c>
      <c r="L88" s="77"/>
      <c r="M88" s="284">
        <v>1</v>
      </c>
      <c r="N88" s="76"/>
      <c r="O88" s="75"/>
      <c r="P88" s="74"/>
    </row>
    <row r="89" spans="2:16" ht="25.35" customHeight="1" x14ac:dyDescent="0.3">
      <c r="B89" s="52"/>
      <c r="C89" s="52"/>
      <c r="D89" s="52"/>
      <c r="E89" s="52"/>
      <c r="F89" s="285" t="s">
        <v>119</v>
      </c>
      <c r="G89" s="284">
        <v>1</v>
      </c>
      <c r="H89" s="77"/>
      <c r="I89" s="284">
        <v>1</v>
      </c>
      <c r="J89" s="77"/>
      <c r="K89" s="284">
        <v>1</v>
      </c>
      <c r="L89" s="77"/>
      <c r="M89" s="284">
        <v>1</v>
      </c>
      <c r="N89" s="76"/>
      <c r="O89" s="75"/>
      <c r="P89" s="74"/>
    </row>
    <row r="90" spans="2:16" ht="20.25" customHeight="1" x14ac:dyDescent="0.3">
      <c r="B90" s="52"/>
      <c r="C90" s="52"/>
      <c r="D90" s="52"/>
      <c r="E90" s="52"/>
      <c r="F90" s="298" t="s">
        <v>24</v>
      </c>
      <c r="G90" s="283"/>
      <c r="H90" s="77"/>
      <c r="I90" s="283"/>
      <c r="J90" s="77"/>
      <c r="K90" s="283"/>
      <c r="L90" s="77"/>
      <c r="M90" s="283"/>
      <c r="N90" s="76"/>
      <c r="O90" s="75"/>
      <c r="P90" s="74"/>
    </row>
    <row r="91" spans="2:16" ht="18.600000000000001" customHeight="1" x14ac:dyDescent="0.3">
      <c r="B91" s="52"/>
      <c r="C91" s="52"/>
      <c r="D91" s="52"/>
      <c r="E91" s="52"/>
      <c r="F91" s="52"/>
      <c r="G91" s="268"/>
      <c r="H91" s="269"/>
      <c r="I91" s="268"/>
      <c r="J91" s="269"/>
      <c r="K91" s="268"/>
      <c r="L91" s="269"/>
      <c r="M91" s="268"/>
      <c r="N91" s="52"/>
      <c r="O91" s="71"/>
      <c r="P91" s="67"/>
    </row>
    <row r="92" spans="2:16" ht="60" customHeight="1" x14ac:dyDescent="0.3">
      <c r="B92" s="52"/>
      <c r="C92" s="52"/>
      <c r="D92" s="52"/>
      <c r="E92" s="73"/>
      <c r="F92" s="433" t="s">
        <v>35</v>
      </c>
      <c r="G92" s="433"/>
      <c r="H92" s="433"/>
      <c r="I92" s="433"/>
      <c r="J92" s="433"/>
      <c r="K92" s="433"/>
      <c r="L92" s="433"/>
      <c r="M92" s="433"/>
      <c r="N92" s="72"/>
      <c r="O92" s="71"/>
      <c r="P92" s="67"/>
    </row>
    <row r="93" spans="2:16" ht="32.1" customHeight="1" x14ac:dyDescent="0.4">
      <c r="B93" s="52"/>
      <c r="C93" s="52"/>
      <c r="D93" s="52"/>
      <c r="E93" s="70"/>
      <c r="F93" s="442" t="s">
        <v>52</v>
      </c>
      <c r="G93" s="442"/>
      <c r="H93" s="442"/>
      <c r="I93" s="442"/>
      <c r="J93" s="442"/>
      <c r="K93" s="442"/>
      <c r="L93" s="442"/>
      <c r="M93" s="442"/>
      <c r="N93" s="69"/>
      <c r="O93" s="68"/>
      <c r="P93" s="67"/>
    </row>
    <row r="94" spans="2:16" ht="8.1" hidden="1" customHeight="1" outlineLevel="1" x14ac:dyDescent="0.3">
      <c r="B94" s="52"/>
      <c r="C94" s="52"/>
      <c r="D94" s="52"/>
      <c r="E94" s="52"/>
      <c r="F94" s="65"/>
      <c r="G94" s="64"/>
      <c r="H94" s="64"/>
      <c r="I94" s="66"/>
      <c r="J94" s="64"/>
      <c r="K94" s="52"/>
      <c r="L94" s="52"/>
      <c r="M94" s="65"/>
      <c r="N94" s="65"/>
      <c r="O94" s="64"/>
      <c r="P94" s="63"/>
    </row>
    <row r="95" spans="2:16" ht="24" hidden="1" customHeight="1" outlineLevel="1" x14ac:dyDescent="0.3">
      <c r="B95" s="52"/>
      <c r="C95" s="52"/>
      <c r="D95" s="52"/>
      <c r="E95" s="52"/>
      <c r="F95" s="430" t="s">
        <v>51</v>
      </c>
      <c r="G95" s="431"/>
      <c r="H95" s="431"/>
      <c r="I95" s="431"/>
      <c r="J95" s="431"/>
      <c r="K95" s="431"/>
      <c r="L95" s="431"/>
      <c r="M95" s="432"/>
      <c r="N95" s="62"/>
      <c r="O95" s="64"/>
      <c r="P95" s="63"/>
    </row>
    <row r="96" spans="2:16" ht="8.1" hidden="1" customHeight="1" outlineLevel="1" x14ac:dyDescent="0.3">
      <c r="B96" s="52"/>
      <c r="C96" s="52"/>
      <c r="D96" s="52"/>
      <c r="E96" s="52"/>
      <c r="F96" s="65"/>
      <c r="G96" s="64"/>
      <c r="H96" s="64"/>
      <c r="I96" s="66"/>
      <c r="J96" s="64"/>
      <c r="K96" s="52"/>
      <c r="L96" s="52"/>
      <c r="M96" s="65"/>
      <c r="N96" s="65"/>
      <c r="O96" s="64"/>
      <c r="P96" s="63"/>
    </row>
    <row r="97" spans="2:15" ht="50.85" hidden="1" customHeight="1" outlineLevel="1" x14ac:dyDescent="0.3">
      <c r="B97" s="52"/>
      <c r="C97" s="52"/>
      <c r="D97" s="52"/>
      <c r="E97" s="52"/>
      <c r="F97" s="57" t="s">
        <v>48</v>
      </c>
      <c r="G97" s="56">
        <v>0.2</v>
      </c>
      <c r="H97" s="55"/>
      <c r="I97" s="54">
        <v>0.3</v>
      </c>
      <c r="J97" s="55"/>
      <c r="K97" s="54">
        <v>0.25</v>
      </c>
      <c r="L97" s="55"/>
      <c r="M97" s="54">
        <v>0.25</v>
      </c>
      <c r="N97" s="58"/>
      <c r="O97" s="52"/>
    </row>
    <row r="98" spans="2:15" ht="8.1" hidden="1" customHeight="1" outlineLevel="1" x14ac:dyDescent="0.3">
      <c r="B98" s="52"/>
      <c r="C98" s="52"/>
      <c r="D98" s="52"/>
      <c r="E98" s="52"/>
      <c r="F98" s="52"/>
      <c r="G98" s="52"/>
      <c r="H98" s="52"/>
      <c r="I98" s="52"/>
      <c r="J98" s="52"/>
      <c r="K98" s="52"/>
      <c r="L98" s="52"/>
      <c r="M98" s="52"/>
      <c r="N98" s="52"/>
      <c r="O98" s="52"/>
    </row>
    <row r="99" spans="2:15" ht="24" hidden="1" customHeight="1" outlineLevel="1" x14ac:dyDescent="0.3">
      <c r="B99" s="52"/>
      <c r="C99" s="52"/>
      <c r="D99" s="52"/>
      <c r="E99" s="52"/>
      <c r="F99" s="430" t="s">
        <v>50</v>
      </c>
      <c r="G99" s="431"/>
      <c r="H99" s="431"/>
      <c r="I99" s="431"/>
      <c r="J99" s="431"/>
      <c r="K99" s="431"/>
      <c r="L99" s="431"/>
      <c r="M99" s="432"/>
      <c r="N99" s="62"/>
      <c r="O99" s="52"/>
    </row>
    <row r="100" spans="2:15" ht="8.1" hidden="1" customHeight="1" outlineLevel="1" x14ac:dyDescent="0.3">
      <c r="B100" s="52"/>
      <c r="C100" s="52"/>
      <c r="D100" s="52"/>
      <c r="E100" s="52"/>
      <c r="F100" s="52"/>
      <c r="G100" s="52"/>
      <c r="H100" s="52"/>
      <c r="I100" s="52"/>
      <c r="J100" s="52"/>
      <c r="K100" s="52"/>
      <c r="L100" s="52"/>
      <c r="M100" s="52"/>
      <c r="N100" s="52"/>
      <c r="O100" s="52"/>
    </row>
    <row r="101" spans="2:15" ht="50.85" hidden="1" customHeight="1" outlineLevel="1" x14ac:dyDescent="0.3">
      <c r="B101" s="52"/>
      <c r="C101" s="52"/>
      <c r="D101" s="52"/>
      <c r="E101" s="52"/>
      <c r="F101" s="57" t="s">
        <v>48</v>
      </c>
      <c r="G101" s="56">
        <v>0.2</v>
      </c>
      <c r="H101" s="55"/>
      <c r="I101" s="54">
        <v>0.3</v>
      </c>
      <c r="J101" s="55"/>
      <c r="K101" s="54">
        <v>0.5</v>
      </c>
      <c r="L101" s="55"/>
      <c r="M101" s="54">
        <v>0</v>
      </c>
      <c r="N101" s="58"/>
      <c r="O101" s="52"/>
    </row>
    <row r="102" spans="2:15" ht="8.1" hidden="1" customHeight="1" outlineLevel="1" x14ac:dyDescent="0.3">
      <c r="B102" s="52"/>
      <c r="C102" s="52"/>
      <c r="D102" s="52"/>
      <c r="E102" s="52"/>
      <c r="F102" s="61"/>
      <c r="G102" s="60"/>
      <c r="H102" s="59"/>
      <c r="I102" s="58"/>
      <c r="J102" s="59"/>
      <c r="K102" s="58"/>
      <c r="L102" s="59"/>
      <c r="M102" s="58"/>
      <c r="N102" s="58"/>
      <c r="O102" s="52"/>
    </row>
    <row r="103" spans="2:15" ht="24" hidden="1" customHeight="1" outlineLevel="1" x14ac:dyDescent="0.3">
      <c r="B103" s="52"/>
      <c r="C103" s="52"/>
      <c r="D103" s="52"/>
      <c r="E103" s="52"/>
      <c r="F103" s="430" t="s">
        <v>49</v>
      </c>
      <c r="G103" s="431"/>
      <c r="H103" s="431"/>
      <c r="I103" s="431"/>
      <c r="J103" s="431"/>
      <c r="K103" s="431"/>
      <c r="L103" s="431"/>
      <c r="M103" s="432"/>
      <c r="N103" s="62"/>
      <c r="O103" s="52"/>
    </row>
    <row r="104" spans="2:15" ht="8.1" hidden="1" customHeight="1" outlineLevel="1" x14ac:dyDescent="0.3">
      <c r="B104" s="52"/>
      <c r="C104" s="52"/>
      <c r="D104" s="52"/>
      <c r="E104" s="52"/>
      <c r="F104" s="61"/>
      <c r="G104" s="60"/>
      <c r="H104" s="59"/>
      <c r="I104" s="58"/>
      <c r="J104" s="59"/>
      <c r="K104" s="58"/>
      <c r="L104" s="59"/>
      <c r="M104" s="58"/>
      <c r="N104" s="58"/>
      <c r="O104" s="52"/>
    </row>
    <row r="105" spans="2:15" ht="50.85" hidden="1" customHeight="1" outlineLevel="1" x14ac:dyDescent="0.3">
      <c r="B105" s="52"/>
      <c r="C105" s="52"/>
      <c r="D105" s="52"/>
      <c r="E105" s="52"/>
      <c r="F105" s="57" t="s">
        <v>48</v>
      </c>
      <c r="G105" s="56">
        <v>0.5</v>
      </c>
      <c r="H105" s="55"/>
      <c r="I105" s="54">
        <v>0</v>
      </c>
      <c r="J105" s="55"/>
      <c r="K105" s="54">
        <v>0.5</v>
      </c>
      <c r="L105" s="55"/>
      <c r="M105" s="54">
        <v>0</v>
      </c>
      <c r="N105" s="58"/>
      <c r="O105" s="52"/>
    </row>
    <row r="106" spans="2:15" ht="28.35" hidden="1" customHeight="1" outlineLevel="1" x14ac:dyDescent="0.3">
      <c r="B106" s="52"/>
      <c r="C106" s="52"/>
      <c r="D106" s="52"/>
      <c r="E106" s="52"/>
      <c r="F106" s="429" t="s">
        <v>47</v>
      </c>
      <c r="G106" s="429"/>
      <c r="H106" s="429"/>
      <c r="I106" s="429"/>
      <c r="J106" s="429"/>
      <c r="K106" s="429"/>
      <c r="L106" s="429"/>
      <c r="M106" s="429"/>
      <c r="N106" s="53"/>
      <c r="O106" s="52"/>
    </row>
    <row r="107" spans="2:15" ht="14.85" customHeight="1" collapsed="1" x14ac:dyDescent="0.3">
      <c r="F107" s="51"/>
      <c r="G107" s="50"/>
      <c r="H107" s="49"/>
      <c r="I107" s="48"/>
      <c r="J107" s="49"/>
      <c r="K107" s="48"/>
      <c r="L107" s="49"/>
      <c r="M107" s="48"/>
      <c r="N107" s="48"/>
    </row>
    <row r="108" spans="2:15" ht="20.100000000000001" customHeight="1" x14ac:dyDescent="0.3"/>
    <row r="109" spans="2:15" ht="20.100000000000001" customHeight="1" x14ac:dyDescent="0.3"/>
    <row r="110" spans="2:15" ht="20.100000000000001" customHeight="1" x14ac:dyDescent="0.3"/>
    <row r="111" spans="2:15" ht="20.100000000000001" customHeight="1" x14ac:dyDescent="0.3"/>
    <row r="112" spans="2:15"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9.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18" customHeight="1" x14ac:dyDescent="0.3"/>
    <row r="130" ht="25.35" customHeight="1" x14ac:dyDescent="0.3"/>
    <row r="131" ht="18"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5" ht="25.35" customHeight="1" x14ac:dyDescent="0.3"/>
    <row r="157" ht="36" customHeight="1" x14ac:dyDescent="0.3"/>
    <row r="158" ht="20.100000000000001" customHeight="1" x14ac:dyDescent="0.3"/>
    <row r="159" ht="20.100000000000001" customHeight="1" x14ac:dyDescent="0.3"/>
    <row r="160" ht="20.100000000000001" customHeight="1" x14ac:dyDescent="0.3"/>
    <row r="161" ht="20.100000000000001" customHeight="1" x14ac:dyDescent="0.3"/>
    <row r="162" ht="20.100000000000001" customHeight="1" x14ac:dyDescent="0.3"/>
    <row r="163" ht="20.100000000000001" customHeight="1" x14ac:dyDescent="0.3"/>
    <row r="164" ht="20.100000000000001" customHeight="1" x14ac:dyDescent="0.3"/>
    <row r="165" ht="20.100000000000001" customHeight="1" x14ac:dyDescent="0.3"/>
    <row r="166" ht="20.100000000000001" customHeight="1" x14ac:dyDescent="0.3"/>
    <row r="167" ht="20.100000000000001" customHeight="1" x14ac:dyDescent="0.3"/>
    <row r="169" ht="20.100000000000001" customHeight="1" x14ac:dyDescent="0.3"/>
    <row r="170" ht="20.100000000000001" customHeight="1" x14ac:dyDescent="0.3"/>
    <row r="171" ht="20.100000000000001" customHeight="1" x14ac:dyDescent="0.3"/>
    <row r="172" ht="20.100000000000001" customHeight="1" x14ac:dyDescent="0.3"/>
    <row r="173" ht="20.100000000000001" customHeight="1" x14ac:dyDescent="0.3"/>
    <row r="174" ht="20.100000000000001" customHeight="1" x14ac:dyDescent="0.3"/>
    <row r="175" ht="20.100000000000001" customHeight="1" x14ac:dyDescent="0.3"/>
    <row r="176" ht="20.100000000000001" customHeight="1" x14ac:dyDescent="0.3"/>
    <row r="177" ht="20.100000000000001" customHeight="1" x14ac:dyDescent="0.3"/>
    <row r="178" ht="20.100000000000001" customHeight="1" x14ac:dyDescent="0.3"/>
  </sheetData>
  <sheetProtection algorithmName="SHA-512" hashValue="ogaPb/mvYuZdNVPw+cW5UrYQSgZzGTe1f6n8ELsPuvq64KAH5CTOzGpscmcUOw8Rkg207YwIBFu+COvS09Va2g==" saltValue="gz2d/j2gp+iCkaZAPpcKPQ==" spinCount="100000" sheet="1" formatRows="0"/>
  <protectedRanges>
    <protectedRange sqref="A107:XFD107" name="Range2"/>
    <protectedRange sqref="A94:XFD94" name="Range1"/>
  </protectedRanges>
  <mergeCells count="43">
    <mergeCell ref="N70:O70"/>
    <mergeCell ref="H41:M45"/>
    <mergeCell ref="F83:M83"/>
    <mergeCell ref="F93:M93"/>
    <mergeCell ref="I37:M37"/>
    <mergeCell ref="I40:M40"/>
    <mergeCell ref="I28:M28"/>
    <mergeCell ref="I17:M17"/>
    <mergeCell ref="I18:M18"/>
    <mergeCell ref="I36:M36"/>
    <mergeCell ref="F106:M106"/>
    <mergeCell ref="F103:M103"/>
    <mergeCell ref="F92:M92"/>
    <mergeCell ref="F95:M95"/>
    <mergeCell ref="F99:M99"/>
    <mergeCell ref="I19:M19"/>
    <mergeCell ref="I26:M26"/>
    <mergeCell ref="I21:M21"/>
    <mergeCell ref="I23:M23"/>
    <mergeCell ref="B2:O2"/>
    <mergeCell ref="F4:M4"/>
    <mergeCell ref="F6:M6"/>
    <mergeCell ref="F47:M47"/>
    <mergeCell ref="I8:M8"/>
    <mergeCell ref="F39:G39"/>
    <mergeCell ref="I35:M35"/>
    <mergeCell ref="I39:M39"/>
    <mergeCell ref="I9:M9"/>
    <mergeCell ref="I11:M11"/>
    <mergeCell ref="I20:M20"/>
    <mergeCell ref="I29:M29"/>
    <mergeCell ref="F33:M33"/>
    <mergeCell ref="I30:M30"/>
    <mergeCell ref="I31:M31"/>
    <mergeCell ref="I14:M14"/>
    <mergeCell ref="I12:M12"/>
    <mergeCell ref="I22:M22"/>
    <mergeCell ref="I24:M24"/>
    <mergeCell ref="I25:M25"/>
    <mergeCell ref="I27:M27"/>
    <mergeCell ref="I13:M13"/>
    <mergeCell ref="I16:M16"/>
    <mergeCell ref="I15:M15"/>
  </mergeCells>
  <hyperlinks>
    <hyperlink ref="F90" r:id="rId1" xr:uid="{ADAC4FE8-4F70-426A-99A6-F84A3D8EAE52}"/>
  </hyperlinks>
  <printOptions horizontalCentered="1" verticalCentered="1"/>
  <pageMargins left="0.25" right="0.25" top="0.75" bottom="0.75" header="0.3" footer="0.3"/>
  <pageSetup scale="70" orientation="landscape" r:id="rId2"/>
  <rowBreaks count="4" manualBreakCount="4">
    <brk id="45" min="4" max="14" man="1"/>
    <brk id="69" min="4" max="14" man="1"/>
    <brk id="90" min="4" max="13" man="1"/>
    <brk id="156" max="16383" man="1"/>
  </rowBreaks>
  <ignoredErrors>
    <ignoredError sqref="G41:G45 G22 G12" unlockedFormula="1"/>
  </ignoredErrors>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667EF9F5-8DBF-49CA-9EB7-F92030615BA0}">
          <x14:formula1>
            <xm:f>'Vaccine options'!$A$9:$A$11</xm:f>
          </x14:formula1>
          <xm:sqref>G35</xm:sqref>
        </x14:dataValidation>
        <x14:dataValidation type="list" allowBlank="1" showInputMessage="1" showErrorMessage="1" xr:uid="{AC6AB85C-DE0E-4E96-A382-15160659D437}">
          <x14:formula1>
            <xm:f>'Vaccine options'!$B$13:$B$33</xm:f>
          </x14:formula1>
          <xm:sqref>G97 M105 K105 I105 G105 M101 K101 I101 G101 M97 K97 I97</xm:sqref>
        </x14:dataValidation>
        <x14:dataValidation type="list" allowBlank="1" showInputMessage="1" showErrorMessage="1" xr:uid="{7F244FE7-AB34-4E03-85C6-219C43C0F3F0}">
          <x14:formula1>
            <xm:f>'Vaccine options'!$B$9:$B$10</xm:f>
          </x14:formula1>
          <xm:sqref>G36</xm:sqref>
        </x14:dataValidation>
        <x14:dataValidation type="list" allowBlank="1" showInputMessage="1" showErrorMessage="1" xr:uid="{7D635E66-60DC-492C-BEBE-5A0171D9CD77}">
          <x14:formula1>
            <xm:f>'Vaccine options'!$A$3:$A$6</xm:f>
          </x14:formula1>
          <xm:sqref>G50 I50 K50 M50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88671875" defaultRowHeight="13.8" outlineLevelRow="1" x14ac:dyDescent="0.25"/>
  <cols>
    <col min="1" max="1" width="1.88671875" style="346" customWidth="1"/>
    <col min="2" max="2" width="5.109375" style="346" customWidth="1"/>
    <col min="3" max="3" width="18.88671875" style="346" customWidth="1"/>
    <col min="4" max="4" width="12.88671875" style="346" customWidth="1"/>
    <col min="5" max="5" width="2.44140625" style="346" customWidth="1"/>
    <col min="6" max="6" width="20.44140625" style="346" customWidth="1"/>
    <col min="7" max="7" width="7" style="346" customWidth="1"/>
    <col min="8" max="8" width="20.44140625" style="346" customWidth="1"/>
    <col min="9" max="9" width="6.88671875" style="346" customWidth="1"/>
    <col min="10" max="10" width="20.44140625" style="346" customWidth="1"/>
    <col min="11" max="11" width="6.88671875" style="346" customWidth="1"/>
    <col min="12" max="12" width="20.44140625" style="346" customWidth="1"/>
    <col min="13" max="13" width="8.88671875" style="346" bestFit="1" customWidth="1"/>
    <col min="14" max="16384" width="8.88671875" style="346"/>
  </cols>
  <sheetData>
    <row r="1" spans="2:15" ht="8.1" customHeight="1" x14ac:dyDescent="0.25">
      <c r="B1" s="263"/>
      <c r="C1" s="263"/>
      <c r="D1" s="263"/>
      <c r="E1" s="263"/>
      <c r="F1" s="263"/>
      <c r="G1" s="263"/>
      <c r="H1" s="263"/>
      <c r="I1" s="263"/>
      <c r="J1" s="263"/>
      <c r="K1" s="263"/>
      <c r="L1" s="263"/>
      <c r="M1" s="263"/>
    </row>
    <row r="2" spans="2:15" ht="19.350000000000001" customHeight="1" x14ac:dyDescent="0.25">
      <c r="B2" s="417" t="s">
        <v>105</v>
      </c>
      <c r="C2" s="417"/>
      <c r="D2" s="417"/>
      <c r="E2" s="417"/>
      <c r="F2" s="417"/>
      <c r="G2" s="417"/>
      <c r="H2" s="417"/>
      <c r="I2" s="417"/>
      <c r="J2" s="417"/>
      <c r="K2" s="417"/>
      <c r="L2" s="417"/>
      <c r="M2" s="417"/>
    </row>
    <row r="3" spans="2:15" ht="8.1" customHeight="1" x14ac:dyDescent="0.25">
      <c r="B3" s="209"/>
      <c r="C3" s="448"/>
      <c r="D3" s="448"/>
      <c r="E3" s="448"/>
      <c r="F3" s="448"/>
      <c r="G3" s="448"/>
      <c r="H3" s="448"/>
      <c r="I3" s="448"/>
      <c r="J3" s="448"/>
      <c r="K3" s="448"/>
      <c r="L3" s="448"/>
      <c r="M3" s="448"/>
    </row>
    <row r="4" spans="2:15" ht="60" customHeight="1" x14ac:dyDescent="0.25">
      <c r="B4" s="209"/>
      <c r="C4" s="452" t="s">
        <v>166</v>
      </c>
      <c r="D4" s="452"/>
      <c r="E4" s="452"/>
      <c r="F4" s="452"/>
      <c r="G4" s="452"/>
      <c r="H4" s="452"/>
      <c r="I4" s="452"/>
      <c r="J4" s="452"/>
      <c r="K4" s="452"/>
      <c r="L4" s="452"/>
      <c r="M4" s="211"/>
    </row>
    <row r="5" spans="2:15" ht="8.1" customHeight="1" x14ac:dyDescent="0.25">
      <c r="B5" s="210"/>
      <c r="C5" s="210"/>
      <c r="D5" s="210"/>
      <c r="E5" s="210"/>
      <c r="F5" s="209"/>
      <c r="G5" s="209"/>
      <c r="H5" s="209"/>
      <c r="I5" s="209"/>
      <c r="J5" s="209"/>
      <c r="K5" s="209"/>
      <c r="L5" s="209"/>
      <c r="M5" s="208"/>
    </row>
    <row r="6" spans="2:15" ht="46.35" customHeight="1" x14ac:dyDescent="0.25">
      <c r="B6" s="447"/>
      <c r="C6" s="188"/>
      <c r="D6" s="188"/>
      <c r="E6" s="185"/>
      <c r="F6" s="267" t="s">
        <v>26</v>
      </c>
      <c r="G6" s="207"/>
      <c r="H6" s="266" t="s">
        <v>12</v>
      </c>
      <c r="I6" s="206"/>
      <c r="J6" s="266" t="s">
        <v>13</v>
      </c>
      <c r="K6" s="206"/>
      <c r="L6" s="267" t="s">
        <v>16</v>
      </c>
      <c r="M6" s="203"/>
    </row>
    <row r="7" spans="2:15" ht="8.1" customHeight="1" x14ac:dyDescent="0.25">
      <c r="B7" s="447"/>
      <c r="C7" s="188"/>
      <c r="D7" s="188"/>
      <c r="E7" s="185"/>
      <c r="F7" s="204"/>
      <c r="G7" s="204"/>
      <c r="H7" s="205"/>
      <c r="I7" s="205"/>
      <c r="J7" s="205"/>
      <c r="K7" s="205"/>
      <c r="L7" s="204"/>
      <c r="M7" s="203"/>
    </row>
    <row r="8" spans="2:15" ht="110.1" customHeight="1" x14ac:dyDescent="0.25">
      <c r="B8" s="447"/>
      <c r="C8" s="202"/>
      <c r="D8" s="188"/>
      <c r="E8" s="185"/>
      <c r="F8" s="57" t="str">
        <f>Results!F6</f>
        <v>CECOLIN 
2 valent, 1 dose/vial, liquid</v>
      </c>
      <c r="G8" s="347"/>
      <c r="H8" s="57" t="str">
        <f>Results!H6</f>
        <v>WALRINVAX 
2 valent, 1 dose/vial, liquid</v>
      </c>
      <c r="I8" s="347"/>
      <c r="J8" s="57" t="str">
        <f>Results!J6</f>
        <v>CERVARIX 
2 valent, 2 doses/vial, liquid</v>
      </c>
      <c r="K8" s="347"/>
      <c r="L8" s="57" t="str">
        <f>Results!L6</f>
        <v>GARDASIL4
 4 valent, 1 dose/vial, liquid</v>
      </c>
      <c r="M8" s="348"/>
    </row>
    <row r="9" spans="2:15" ht="8.1" customHeight="1" x14ac:dyDescent="0.25">
      <c r="B9" s="349"/>
      <c r="C9" s="200"/>
      <c r="D9" s="200"/>
      <c r="E9" s="200"/>
      <c r="F9" s="201" t="s">
        <v>74</v>
      </c>
      <c r="G9" s="200"/>
      <c r="H9" s="199" t="s">
        <v>74</v>
      </c>
      <c r="I9" s="200"/>
      <c r="J9" s="199" t="s">
        <v>74</v>
      </c>
      <c r="K9" s="200"/>
      <c r="L9" s="199" t="s">
        <v>74</v>
      </c>
      <c r="M9" s="198"/>
      <c r="O9" s="350"/>
    </row>
    <row r="10" spans="2:15" s="353" customFormat="1" ht="40.35" customHeight="1" x14ac:dyDescent="0.25">
      <c r="B10" s="349"/>
      <c r="C10" s="450" t="s">
        <v>25</v>
      </c>
      <c r="D10" s="186" t="s">
        <v>61</v>
      </c>
      <c r="E10" s="195"/>
      <c r="F10" s="264">
        <f>Results!F19/1000000</f>
        <v>0.83883097246315774</v>
      </c>
      <c r="G10" s="351"/>
      <c r="H10" s="264">
        <f>Results!H19/1000000</f>
        <v>1.5924425938894735</v>
      </c>
      <c r="I10" s="351"/>
      <c r="J10" s="264">
        <f>Results!J19/1000000</f>
        <v>0.88422999075555564</v>
      </c>
      <c r="K10" s="351"/>
      <c r="L10" s="264">
        <f>IF(Dashboard!L8&lt;&gt;0, Results!L19/1000000," " )</f>
        <v>0.83883097246315774</v>
      </c>
      <c r="M10" s="352"/>
    </row>
    <row r="11" spans="2:15" s="353" customFormat="1" ht="40.35" customHeight="1" x14ac:dyDescent="0.25">
      <c r="B11" s="349"/>
      <c r="C11" s="451"/>
      <c r="D11" s="186" t="s">
        <v>60</v>
      </c>
      <c r="E11" s="195"/>
      <c r="F11" s="265">
        <f>F10/5</f>
        <v>0.16776619449263155</v>
      </c>
      <c r="G11" s="197"/>
      <c r="H11" s="265">
        <f>H10/5</f>
        <v>0.31848851877789469</v>
      </c>
      <c r="I11" s="351"/>
      <c r="J11" s="265">
        <f>J10/5</f>
        <v>0.17684599815111113</v>
      </c>
      <c r="K11" s="351"/>
      <c r="L11" s="265">
        <f>IF(Dashboard!L8&lt;&gt;0,L10/5, " ")</f>
        <v>0.16776619449263155</v>
      </c>
      <c r="M11" s="352"/>
    </row>
    <row r="12" spans="2:15" s="353" customFormat="1" ht="8.1" customHeight="1" x14ac:dyDescent="0.25">
      <c r="B12" s="349"/>
      <c r="C12" s="185"/>
      <c r="D12" s="187"/>
      <c r="E12" s="195"/>
      <c r="F12" s="196"/>
      <c r="G12" s="197"/>
      <c r="H12" s="196"/>
      <c r="I12" s="351"/>
      <c r="J12" s="196"/>
      <c r="K12" s="351"/>
      <c r="L12" s="196"/>
      <c r="M12" s="352"/>
    </row>
    <row r="13" spans="2:15" ht="72" customHeight="1" x14ac:dyDescent="0.25">
      <c r="B13" s="349"/>
      <c r="C13" s="57" t="s">
        <v>66</v>
      </c>
      <c r="D13" s="186" t="s">
        <v>60</v>
      </c>
      <c r="E13" s="195"/>
      <c r="F13" s="354">
        <f>AVERAGE(Results!F28:F32)/1000000</f>
        <v>2.4493864395924212</v>
      </c>
      <c r="G13" s="355"/>
      <c r="H13" s="354">
        <f>AVERAGE(Results!H28:H32)/1000000</f>
        <v>3.7581645215791575</v>
      </c>
      <c r="I13" s="194">
        <f>(H13-F13)/F13</f>
        <v>0.53432894900998862</v>
      </c>
      <c r="J13" s="354">
        <f>AVERAGE(Results!J28:J32)/1000000</f>
        <v>0.8488607911253333</v>
      </c>
      <c r="K13" s="194">
        <f>(J13-F13)/F13</f>
        <v>-0.65343941756018531</v>
      </c>
      <c r="L13" s="354">
        <f>IF(Dashboard!L8&lt;&gt;0,AVERAGE(Results!L28:L32)/1000000," ")</f>
        <v>2.5164929173894737</v>
      </c>
      <c r="M13" s="193">
        <f>(L13-F13)/F13</f>
        <v>2.7397260273972539E-2</v>
      </c>
    </row>
    <row r="14" spans="2:15" ht="8.1" customHeight="1" x14ac:dyDescent="0.25">
      <c r="B14" s="349"/>
      <c r="C14" s="188"/>
      <c r="D14" s="187"/>
      <c r="E14" s="195"/>
      <c r="F14" s="356"/>
      <c r="G14" s="355"/>
      <c r="H14" s="356"/>
      <c r="I14" s="357"/>
      <c r="J14" s="356"/>
      <c r="K14" s="194"/>
      <c r="L14" s="356"/>
      <c r="M14" s="193"/>
    </row>
    <row r="15" spans="2:15" ht="40.35" customHeight="1" x14ac:dyDescent="0.25">
      <c r="B15" s="349"/>
      <c r="C15" s="450" t="s">
        <v>68</v>
      </c>
      <c r="D15" s="186" t="s">
        <v>61</v>
      </c>
      <c r="E15" s="195"/>
      <c r="F15" s="354">
        <f>Results!F38/1000000</f>
        <v>0.15855264468312921</v>
      </c>
      <c r="G15" s="358"/>
      <c r="H15" s="354">
        <f>Results!H38/1000000</f>
        <v>0.29293673084343241</v>
      </c>
      <c r="I15" s="194">
        <f>(H15-F15)/F15</f>
        <v>0.84756761029671013</v>
      </c>
      <c r="J15" s="354">
        <f>Results!J38/1000000</f>
        <v>0.26566786278909726</v>
      </c>
      <c r="K15" s="194">
        <f>(J15-F15)/F15</f>
        <v>0.67558140275767753</v>
      </c>
      <c r="L15" s="354">
        <f>IF(Dashboard!L8&lt;&gt;0,Results!L38/1000000," ")</f>
        <v>0.22547078563139369</v>
      </c>
      <c r="M15" s="193">
        <f>(L15-F15)/F15</f>
        <v>0.42205628977051624</v>
      </c>
    </row>
    <row r="16" spans="2:15" ht="40.35" customHeight="1" x14ac:dyDescent="0.25">
      <c r="B16" s="349"/>
      <c r="C16" s="451"/>
      <c r="D16" s="186" t="s">
        <v>60</v>
      </c>
      <c r="E16" s="195"/>
      <c r="F16" s="354">
        <f>F15/5</f>
        <v>3.1710528936625841E-2</v>
      </c>
      <c r="G16" s="355"/>
      <c r="H16" s="354">
        <f>H15/5</f>
        <v>5.858734616868648E-2</v>
      </c>
      <c r="I16" s="194">
        <f>(H16-F16)/F16</f>
        <v>0.84756761029671002</v>
      </c>
      <c r="J16" s="354">
        <f>J15/5</f>
        <v>5.3133572557819454E-2</v>
      </c>
      <c r="K16" s="194">
        <f>(J16-F16)/F16</f>
        <v>0.67558140275767764</v>
      </c>
      <c r="L16" s="354">
        <f>IF(Dashboard!L8&lt;&gt;0,L15/5," ")</f>
        <v>4.509415712627874E-2</v>
      </c>
      <c r="M16" s="193">
        <f>(L16-F16)/F16</f>
        <v>0.42205628977051635</v>
      </c>
    </row>
    <row r="17" spans="2:13" ht="8.1" customHeight="1" x14ac:dyDescent="0.25">
      <c r="B17" s="349"/>
      <c r="C17" s="185"/>
      <c r="D17" s="187"/>
      <c r="E17" s="195"/>
      <c r="F17" s="356"/>
      <c r="G17" s="355"/>
      <c r="H17" s="356"/>
      <c r="I17" s="357"/>
      <c r="J17" s="356"/>
      <c r="K17" s="194"/>
      <c r="L17" s="356"/>
      <c r="M17" s="193"/>
    </row>
    <row r="18" spans="2:13" ht="40.35" customHeight="1" x14ac:dyDescent="0.25">
      <c r="B18" s="349"/>
      <c r="C18" s="450" t="s">
        <v>69</v>
      </c>
      <c r="D18" s="186" t="s">
        <v>61</v>
      </c>
      <c r="E18" s="195"/>
      <c r="F18" s="354">
        <f>Results!F47/1000000</f>
        <v>0.93487585748312929</v>
      </c>
      <c r="G18" s="355"/>
      <c r="H18" s="354">
        <f>Results!H47/1000000</f>
        <v>1.7665528552434324</v>
      </c>
      <c r="I18" s="194">
        <f>(H18-F18)/F18</f>
        <v>0.88961223150990565</v>
      </c>
      <c r="J18" s="354">
        <f>Results!J47/1000000</f>
        <v>1.0419910755890973</v>
      </c>
      <c r="K18" s="194">
        <f>(J18-F18)/F18</f>
        <v>0.11457694328992876</v>
      </c>
      <c r="L18" s="354">
        <f>IF(Dashboard!L8&lt;&gt;0,Results!L47/1000000," ")</f>
        <v>1.0017939984313937</v>
      </c>
      <c r="M18" s="193">
        <f>(L18-F18)/F18</f>
        <v>7.157970805709038E-2</v>
      </c>
    </row>
    <row r="19" spans="2:13" ht="40.35" customHeight="1" x14ac:dyDescent="0.25">
      <c r="B19" s="349"/>
      <c r="C19" s="451"/>
      <c r="D19" s="186" t="s">
        <v>60</v>
      </c>
      <c r="E19" s="195"/>
      <c r="F19" s="354">
        <f>F18/5</f>
        <v>0.18697517149662585</v>
      </c>
      <c r="G19" s="355"/>
      <c r="H19" s="354">
        <f>H18/5</f>
        <v>0.35331057104868646</v>
      </c>
      <c r="I19" s="194">
        <f>(H19-F19)/F19</f>
        <v>0.88961223150990554</v>
      </c>
      <c r="J19" s="354">
        <f>J18/5</f>
        <v>0.20839821511781947</v>
      </c>
      <c r="K19" s="194">
        <f>(J19-F19)/F19</f>
        <v>0.11457694328992889</v>
      </c>
      <c r="L19" s="354">
        <f>IF(Dashboard!L8&lt;&gt;0,L18/5," ")</f>
        <v>0.20035879968627873</v>
      </c>
      <c r="M19" s="193">
        <f>(L19-F19)/F19</f>
        <v>7.157970805709038E-2</v>
      </c>
    </row>
    <row r="20" spans="2:13" ht="21" customHeight="1" x14ac:dyDescent="0.25">
      <c r="B20" s="349"/>
      <c r="C20" s="449" t="s">
        <v>65</v>
      </c>
      <c r="D20" s="449"/>
      <c r="E20" s="449"/>
      <c r="F20" s="449"/>
      <c r="G20" s="449"/>
      <c r="H20" s="449"/>
      <c r="I20" s="449"/>
      <c r="J20" s="449"/>
      <c r="K20" s="449"/>
      <c r="L20" s="449"/>
      <c r="M20" s="449"/>
    </row>
    <row r="21" spans="2:13" ht="17.399999999999999" x14ac:dyDescent="0.25">
      <c r="C21" s="192"/>
      <c r="D21" s="192"/>
      <c r="E21" s="192"/>
      <c r="F21" s="192"/>
      <c r="G21" s="192"/>
      <c r="H21" s="192"/>
      <c r="I21" s="192"/>
      <c r="J21" s="123"/>
      <c r="K21" s="123"/>
      <c r="L21" s="192"/>
      <c r="M21" s="192"/>
    </row>
    <row r="22" spans="2:13" ht="15.6" x14ac:dyDescent="0.25">
      <c r="B22" s="349"/>
      <c r="C22" s="191"/>
      <c r="D22" s="191"/>
      <c r="E22" s="191"/>
      <c r="F22" s="359"/>
      <c r="G22" s="359"/>
      <c r="H22" s="359"/>
      <c r="I22" s="359"/>
      <c r="J22" s="359"/>
      <c r="K22" s="359"/>
      <c r="L22" s="359"/>
      <c r="M22" s="359"/>
    </row>
    <row r="23" spans="2:13" ht="32.1" customHeight="1" x14ac:dyDescent="0.25">
      <c r="B23" s="349"/>
      <c r="C23" s="453" t="s">
        <v>64</v>
      </c>
      <c r="D23" s="453"/>
      <c r="E23" s="453"/>
      <c r="F23" s="453"/>
      <c r="G23" s="453"/>
      <c r="H23" s="453"/>
      <c r="I23" s="453"/>
      <c r="J23" s="453"/>
      <c r="K23" s="453"/>
      <c r="L23" s="453"/>
      <c r="M23" s="183"/>
    </row>
    <row r="24" spans="2:13" ht="27" customHeight="1" x14ac:dyDescent="0.25">
      <c r="B24" s="349"/>
      <c r="C24" s="446" t="s">
        <v>63</v>
      </c>
      <c r="D24" s="446"/>
      <c r="E24" s="446"/>
      <c r="F24" s="446"/>
      <c r="G24" s="446"/>
      <c r="H24" s="446"/>
      <c r="I24" s="446"/>
      <c r="J24" s="446"/>
      <c r="K24" s="183"/>
      <c r="L24" s="183"/>
      <c r="M24" s="183"/>
    </row>
    <row r="25" spans="2:13" ht="34.35" hidden="1" customHeight="1" outlineLevel="1" x14ac:dyDescent="0.25">
      <c r="B25" s="349"/>
      <c r="C25" s="185"/>
      <c r="D25" s="185"/>
      <c r="E25" s="185"/>
      <c r="F25" s="190" t="s">
        <v>51</v>
      </c>
      <c r="G25" s="189"/>
      <c r="H25" s="190" t="s">
        <v>50</v>
      </c>
      <c r="I25" s="189"/>
      <c r="J25" s="190" t="s">
        <v>49</v>
      </c>
      <c r="K25" s="183"/>
      <c r="L25" s="183"/>
      <c r="M25" s="183"/>
    </row>
    <row r="26" spans="2:13" ht="8.1" hidden="1" customHeight="1" outlineLevel="1" x14ac:dyDescent="0.25">
      <c r="B26" s="349"/>
      <c r="C26" s="185"/>
      <c r="D26" s="185"/>
      <c r="E26" s="185"/>
      <c r="F26" s="183"/>
      <c r="G26" s="183"/>
      <c r="H26" s="183"/>
      <c r="I26" s="183"/>
      <c r="J26" s="183"/>
      <c r="K26" s="183"/>
      <c r="L26" s="183"/>
      <c r="M26" s="183"/>
    </row>
    <row r="27" spans="2:13" ht="40.35" hidden="1" customHeight="1" outlineLevel="1" x14ac:dyDescent="0.25">
      <c r="B27" s="349"/>
      <c r="C27" s="445" t="s">
        <v>25</v>
      </c>
      <c r="D27" s="186" t="s">
        <v>61</v>
      </c>
      <c r="E27" s="185"/>
      <c r="F27" s="360">
        <f>(Inputs!$G97*Results!$F19+Inputs!$I97*Results!$H19+Inputs!$K97*Results!$J19+Inputs!$M97*Results!$L19)/1000000</f>
        <v>1.0762642134641518</v>
      </c>
      <c r="G27" s="184"/>
      <c r="H27" s="360">
        <f>(Inputs!$G101*Results!$F19+Inputs!$I101*Results!$H19+Inputs!$K101*Results!$J19+Inputs!$M101*Results!$L19)/1000000</f>
        <v>1.0876139680372514</v>
      </c>
      <c r="I27" s="184"/>
      <c r="J27" s="360">
        <f>(Inputs!$G105*Results!$F19+Inputs!$I105*Results!$H19+Inputs!$K105*Results!$J19+Inputs!$M105*Results!$L19)/1000000</f>
        <v>0.86153048160935675</v>
      </c>
      <c r="K27" s="183"/>
      <c r="L27" s="183"/>
      <c r="M27" s="183"/>
    </row>
    <row r="28" spans="2:13" ht="40.35" hidden="1" customHeight="1" outlineLevel="1" x14ac:dyDescent="0.25">
      <c r="B28" s="349"/>
      <c r="C28" s="445"/>
      <c r="D28" s="186" t="s">
        <v>60</v>
      </c>
      <c r="E28" s="185"/>
      <c r="F28" s="361">
        <f>F27/5</f>
        <v>0.21525284269283035</v>
      </c>
      <c r="G28" s="184"/>
      <c r="H28" s="361">
        <f>H27/5</f>
        <v>0.21752279360745028</v>
      </c>
      <c r="I28" s="184"/>
      <c r="J28" s="361">
        <f>J27/5</f>
        <v>0.17230609632187135</v>
      </c>
      <c r="K28" s="183"/>
      <c r="L28" s="183"/>
      <c r="M28" s="183"/>
    </row>
    <row r="29" spans="2:13" ht="8.1" hidden="1" customHeight="1" outlineLevel="1" x14ac:dyDescent="0.25">
      <c r="B29" s="349"/>
      <c r="C29" s="185"/>
      <c r="D29" s="187"/>
      <c r="E29" s="185"/>
      <c r="F29" s="362"/>
      <c r="G29" s="184"/>
      <c r="H29" s="362"/>
      <c r="I29" s="184"/>
      <c r="J29" s="362"/>
      <c r="K29" s="183"/>
      <c r="L29" s="183"/>
      <c r="M29" s="183"/>
    </row>
    <row r="30" spans="2:13" ht="72" hidden="1" customHeight="1" outlineLevel="1" x14ac:dyDescent="0.25">
      <c r="B30" s="349"/>
      <c r="C30" s="57" t="s">
        <v>66</v>
      </c>
      <c r="D30" s="186" t="s">
        <v>60</v>
      </c>
      <c r="E30" s="185"/>
      <c r="F30" s="361">
        <f>(Inputs!$G97*SUM(Results!$F28:$F32)/5+Inputs!$I97*SUM(Results!$H28:$H32)/5+Inputs!$K97*SUM(Results!$J28:$J32)/5+Inputs!$M97*SUM(Results!$L28:$L32)/5)/1000000</f>
        <v>2.4586650715209331</v>
      </c>
      <c r="G30" s="184"/>
      <c r="H30" s="361">
        <f>(Inputs!$G101*SUM(Results!$F28:$F32)/5+Inputs!$I101*SUM(Results!$H28:$H32)/5+Inputs!$K101*SUM(Results!$J28:$J32)/5+Inputs!$M101*SUM(Results!$L28:$L32)/5)/1000000</f>
        <v>2.0417570399548981</v>
      </c>
      <c r="I30" s="184"/>
      <c r="J30" s="361">
        <f>(Inputs!$G105*SUM(Results!$F28:$F32)/5+Inputs!$I105*SUM(Results!$H28:$H32)/5+Inputs!$K105*SUM(Results!$J28:$J32)/5+Inputs!$M105*SUM(Results!$L28:$L32)/5)/1000000</f>
        <v>1.6491236153588773</v>
      </c>
      <c r="K30" s="183"/>
      <c r="L30" s="183"/>
      <c r="M30" s="183"/>
    </row>
    <row r="31" spans="2:13" ht="8.1" hidden="1" customHeight="1" outlineLevel="1" x14ac:dyDescent="0.25">
      <c r="B31" s="349"/>
      <c r="C31" s="188"/>
      <c r="D31" s="187"/>
      <c r="E31" s="185"/>
      <c r="F31" s="362"/>
      <c r="G31" s="184"/>
      <c r="H31" s="362"/>
      <c r="I31" s="184"/>
      <c r="J31" s="362"/>
      <c r="K31" s="183"/>
      <c r="L31" s="183"/>
      <c r="M31" s="183"/>
    </row>
    <row r="32" spans="2:13" ht="40.35" hidden="1" customHeight="1" outlineLevel="1" x14ac:dyDescent="0.25">
      <c r="B32" s="349"/>
      <c r="C32" s="445" t="s">
        <v>62</v>
      </c>
      <c r="D32" s="186" t="s">
        <v>61</v>
      </c>
      <c r="E32" s="185"/>
      <c r="F32" s="363">
        <f>(Inputs!$G97*Results!$F38+Inputs!$I97*Results!$H38+Inputs!$K97*Results!$J38+Inputs!$M97*Results!$L38)/1000000</f>
        <v>0.24237621029477829</v>
      </c>
      <c r="G32" s="184"/>
      <c r="H32" s="363">
        <f>(Inputs!$G101*Results!$F38+Inputs!$I101*Results!$H38+Inputs!$K101*Results!$J38+Inputs!$M101*Results!$L38)/1000000</f>
        <v>0.25242547958420419</v>
      </c>
      <c r="I32" s="184"/>
      <c r="J32" s="363">
        <f>(Inputs!$G105*Results!$F38+Inputs!$I105*Results!$H38+Inputs!$K105*Results!$J38+Inputs!$M105*Results!$L38)/1000000</f>
        <v>0.21211025373611322</v>
      </c>
      <c r="K32" s="183"/>
      <c r="L32" s="183"/>
      <c r="M32" s="183"/>
    </row>
    <row r="33" spans="2:13" ht="40.35" hidden="1" customHeight="1" outlineLevel="1" x14ac:dyDescent="0.25">
      <c r="B33" s="349"/>
      <c r="C33" s="445"/>
      <c r="D33" s="186" t="s">
        <v>60</v>
      </c>
      <c r="E33" s="185"/>
      <c r="F33" s="363">
        <f>F32/5</f>
        <v>4.8475242058955662E-2</v>
      </c>
      <c r="G33" s="184"/>
      <c r="H33" s="363">
        <f>H32/5</f>
        <v>5.048509591684084E-2</v>
      </c>
      <c r="I33" s="184"/>
      <c r="J33" s="363">
        <f>J32/5</f>
        <v>4.2422050747222648E-2</v>
      </c>
      <c r="K33" s="183"/>
      <c r="L33" s="183"/>
      <c r="M33" s="183"/>
    </row>
    <row r="34" spans="2:13" ht="8.1" hidden="1" customHeight="1" outlineLevel="1" x14ac:dyDescent="0.25">
      <c r="B34" s="349"/>
      <c r="C34" s="185"/>
      <c r="D34" s="187"/>
      <c r="E34" s="185"/>
      <c r="F34" s="184"/>
      <c r="G34" s="184"/>
      <c r="H34" s="184"/>
      <c r="I34" s="184"/>
      <c r="J34" s="184"/>
      <c r="K34" s="183"/>
      <c r="L34" s="183"/>
      <c r="M34" s="183"/>
    </row>
    <row r="35" spans="2:13" ht="40.35" hidden="1" customHeight="1" outlineLevel="1" x14ac:dyDescent="0.25">
      <c r="B35" s="349"/>
      <c r="C35" s="445" t="s">
        <v>69</v>
      </c>
      <c r="D35" s="186" t="s">
        <v>61</v>
      </c>
      <c r="E35" s="185"/>
      <c r="F35" s="364">
        <f>(Inputs!$G97*Results!$F47+Inputs!$I97*Results!$H47+Inputs!$K97*Results!$J47+Inputs!M$97*Results!$L47)/1000000</f>
        <v>1.2278872965747782</v>
      </c>
      <c r="G35" s="184"/>
      <c r="H35" s="364">
        <f>(Inputs!$G101*Results!$F47+Inputs!$I101*Results!$H47+Inputs!$K101*Results!$J47+Inputs!$M101*Results!$L47)/1000000</f>
        <v>1.2379365658642041</v>
      </c>
      <c r="I35" s="184"/>
      <c r="J35" s="364">
        <f>(Inputs!$G105*Results!$F47+Inputs!$I105*Results!$H47+Inputs!$K105*Results!$J47+Inputs!$M105*Results!$L47)/1000000</f>
        <v>0.9884334665361133</v>
      </c>
      <c r="K35" s="183"/>
      <c r="L35" s="183"/>
      <c r="M35" s="183"/>
    </row>
    <row r="36" spans="2:13" ht="40.35" hidden="1" customHeight="1" outlineLevel="1" x14ac:dyDescent="0.25">
      <c r="B36" s="349"/>
      <c r="C36" s="445"/>
      <c r="D36" s="186" t="s">
        <v>60</v>
      </c>
      <c r="E36" s="185"/>
      <c r="F36" s="363">
        <f>F35/5</f>
        <v>0.24557745931495564</v>
      </c>
      <c r="G36" s="184"/>
      <c r="H36" s="363">
        <f>H35/5</f>
        <v>0.24758731317284083</v>
      </c>
      <c r="I36" s="184"/>
      <c r="J36" s="363">
        <f>J35/5</f>
        <v>0.19768669330722266</v>
      </c>
      <c r="K36" s="183"/>
      <c r="L36" s="183"/>
      <c r="M36" s="183"/>
    </row>
    <row r="37" spans="2:13" hidden="1" outlineLevel="1" x14ac:dyDescent="0.25">
      <c r="B37" s="349"/>
      <c r="C37" s="349"/>
      <c r="D37" s="349"/>
      <c r="E37" s="349"/>
      <c r="F37" s="349"/>
      <c r="G37" s="349"/>
      <c r="H37" s="349"/>
      <c r="I37" s="349"/>
      <c r="J37" s="349"/>
      <c r="K37" s="349"/>
      <c r="L37" s="349"/>
      <c r="M37" s="349"/>
    </row>
    <row r="38" spans="2:13" collapsed="1" x14ac:dyDescent="0.25"/>
  </sheetData>
  <sheetProtection algorithmName="SHA-512" hashValue="GFswG2c7p9navxC/G9D0cQGysC6/qmu7shuB56HsmQA+cdqhvm2z/OimK50ZIiNZ7xD4Ma569PN5bbopgafVCQ==" saltValue="t3juZb3nAwRrexzHW+N6Bg=="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ignoredErrors>
    <ignoredError sqref="I16 I19"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88671875" defaultRowHeight="13.8" x14ac:dyDescent="0.25"/>
  <cols>
    <col min="1" max="1" width="2.44140625" style="212" customWidth="1"/>
    <col min="2" max="3" width="5.88671875" style="212" customWidth="1"/>
    <col min="4" max="4" width="20.44140625" style="212" customWidth="1"/>
    <col min="5" max="5" width="1.44140625" style="212" customWidth="1"/>
    <col min="6" max="6" width="22.44140625" style="212" customWidth="1"/>
    <col min="7" max="7" width="1.44140625" style="212" customWidth="1"/>
    <col min="8" max="8" width="22.44140625" style="212" customWidth="1"/>
    <col min="9" max="9" width="1.44140625" style="212" customWidth="1"/>
    <col min="10" max="10" width="22.44140625" style="212" customWidth="1"/>
    <col min="11" max="11" width="1.44140625" style="212" customWidth="1"/>
    <col min="12" max="12" width="22.44140625" style="212" customWidth="1"/>
    <col min="13" max="14" width="5.88671875" style="212" customWidth="1"/>
    <col min="15" max="17" width="10.44140625" style="212" bestFit="1" customWidth="1"/>
    <col min="18" max="16384" width="8.88671875" style="212"/>
  </cols>
  <sheetData>
    <row r="1" spans="1:15" ht="8.1" customHeight="1" x14ac:dyDescent="0.25">
      <c r="B1" s="455"/>
      <c r="C1" s="455"/>
      <c r="D1" s="455"/>
      <c r="E1" s="455"/>
      <c r="F1" s="455"/>
      <c r="G1" s="455"/>
      <c r="H1" s="455"/>
      <c r="I1" s="455"/>
      <c r="J1" s="455"/>
      <c r="K1" s="455"/>
      <c r="L1" s="455"/>
      <c r="M1" s="455"/>
      <c r="N1" s="258"/>
    </row>
    <row r="2" spans="1:15" ht="19.350000000000001" customHeight="1" x14ac:dyDescent="0.25">
      <c r="A2" s="417" t="s">
        <v>106</v>
      </c>
      <c r="B2" s="417"/>
      <c r="C2" s="417"/>
      <c r="D2" s="417"/>
      <c r="E2" s="417"/>
      <c r="F2" s="417"/>
      <c r="G2" s="417"/>
      <c r="H2" s="417"/>
      <c r="I2" s="417"/>
      <c r="J2" s="417"/>
      <c r="K2" s="417"/>
      <c r="L2" s="417"/>
      <c r="M2" s="417"/>
      <c r="N2" s="417"/>
      <c r="O2" s="248"/>
    </row>
    <row r="3" spans="1:15" ht="14.85" customHeight="1" x14ac:dyDescent="0.25">
      <c r="B3" s="218"/>
      <c r="C3" s="218"/>
      <c r="D3" s="458"/>
      <c r="E3" s="458"/>
      <c r="F3" s="458"/>
      <c r="G3" s="458"/>
      <c r="H3" s="458"/>
      <c r="I3" s="458"/>
      <c r="J3" s="458"/>
      <c r="K3" s="458"/>
      <c r="L3" s="458"/>
      <c r="M3" s="246"/>
      <c r="N3" s="246"/>
    </row>
    <row r="4" spans="1:15" ht="60" customHeight="1" x14ac:dyDescent="0.25">
      <c r="B4" s="218"/>
      <c r="C4" s="256"/>
      <c r="D4" s="460" t="s">
        <v>67</v>
      </c>
      <c r="E4" s="460"/>
      <c r="F4" s="460"/>
      <c r="G4" s="460"/>
      <c r="H4" s="460"/>
      <c r="I4" s="460"/>
      <c r="J4" s="460"/>
      <c r="K4" s="460"/>
      <c r="L4" s="460"/>
      <c r="M4" s="257"/>
      <c r="N4" s="246"/>
    </row>
    <row r="5" spans="1:15" ht="14.85" customHeight="1" x14ac:dyDescent="0.25">
      <c r="B5" s="218"/>
      <c r="C5" s="218"/>
      <c r="D5" s="246"/>
      <c r="E5" s="246"/>
      <c r="F5" s="246"/>
      <c r="G5" s="246"/>
      <c r="H5" s="246"/>
      <c r="I5" s="246"/>
      <c r="J5" s="246"/>
      <c r="K5" s="246"/>
      <c r="L5" s="213"/>
      <c r="M5" s="213"/>
      <c r="N5" s="213"/>
    </row>
    <row r="6" spans="1:15" s="242" customFormat="1" ht="121.35" customHeight="1" x14ac:dyDescent="0.25">
      <c r="B6" s="245"/>
      <c r="C6" s="245"/>
      <c r="D6" s="244"/>
      <c r="E6" s="244"/>
      <c r="F6" s="57" t="str">
        <f>Inputs!G50</f>
        <v>CECOLIN 
2 valent, 1 dose/vial, liquid</v>
      </c>
      <c r="G6" s="223"/>
      <c r="H6" s="57" t="str">
        <f>Inputs!I50</f>
        <v>WALRINVAX 
2 valent, 1 dose/vial, liquid</v>
      </c>
      <c r="I6" s="223"/>
      <c r="J6" s="57" t="str">
        <f>Inputs!K50</f>
        <v>CERVARIX 
2 valent, 2 doses/vial, liquid</v>
      </c>
      <c r="K6" s="223"/>
      <c r="L6" s="57" t="str">
        <f>Inputs!M50</f>
        <v>GARDASIL4
 4 valent, 1 dose/vial, liquid</v>
      </c>
      <c r="M6" s="243"/>
      <c r="N6" s="243"/>
    </row>
    <row r="7" spans="1:15" ht="15" customHeight="1" x14ac:dyDescent="0.25">
      <c r="B7" s="218"/>
      <c r="C7" s="218"/>
      <c r="D7" s="228"/>
      <c r="E7" s="228"/>
      <c r="F7" s="228"/>
      <c r="G7" s="228"/>
      <c r="H7" s="228"/>
      <c r="I7" s="228"/>
      <c r="J7" s="228"/>
      <c r="K7" s="228"/>
      <c r="L7" s="228"/>
      <c r="M7" s="213"/>
      <c r="N7" s="213"/>
    </row>
    <row r="8" spans="1:15" ht="41.1" customHeight="1" x14ac:dyDescent="0.25">
      <c r="B8" s="218"/>
      <c r="C8" s="218"/>
      <c r="D8" s="459" t="s">
        <v>7</v>
      </c>
      <c r="E8" s="459"/>
      <c r="F8" s="459"/>
      <c r="G8" s="459"/>
      <c r="H8" s="459"/>
      <c r="I8" s="459"/>
      <c r="J8" s="459"/>
      <c r="K8" s="459"/>
      <c r="L8" s="459"/>
      <c r="M8" s="213"/>
      <c r="N8" s="213"/>
    </row>
    <row r="9" spans="1:15" ht="8.1" customHeight="1" x14ac:dyDescent="0.25">
      <c r="B9" s="218"/>
      <c r="C9" s="218"/>
      <c r="D9" s="241"/>
      <c r="E9" s="241"/>
      <c r="F9" s="241"/>
      <c r="G9" s="241"/>
      <c r="H9" s="241"/>
      <c r="I9" s="241"/>
      <c r="J9" s="241"/>
      <c r="K9" s="241"/>
      <c r="L9" s="241"/>
      <c r="M9" s="213"/>
      <c r="N9" s="213"/>
    </row>
    <row r="10" spans="1:15" ht="35.1" customHeight="1" x14ac:dyDescent="0.25">
      <c r="B10" s="218"/>
      <c r="C10" s="218"/>
      <c r="D10" s="240" t="s">
        <v>23</v>
      </c>
      <c r="E10" s="239"/>
      <c r="F10" s="237">
        <f>SUM(F11:F15)</f>
        <v>776323.21279999998</v>
      </c>
      <c r="G10" s="238"/>
      <c r="H10" s="237">
        <f>SUM(H11:H15)</f>
        <v>1473616.1244000001</v>
      </c>
      <c r="I10" s="238"/>
      <c r="J10" s="237">
        <f>SUM(J11:J15)</f>
        <v>776323.21279999998</v>
      </c>
      <c r="K10" s="238"/>
      <c r="L10" s="237">
        <f>SUM(L11:L15)</f>
        <v>776323.21279999998</v>
      </c>
      <c r="M10" s="213"/>
      <c r="N10" s="213"/>
    </row>
    <row r="11" spans="1:15" ht="15.6" x14ac:dyDescent="0.25">
      <c r="B11" s="218"/>
      <c r="C11" s="218"/>
      <c r="D11" s="217">
        <f>Inputs!$G$8</f>
        <v>2026</v>
      </c>
      <c r="E11" s="216"/>
      <c r="F11" s="229">
        <f>(IF(Inputs!G$70=2,((Inputs!$G$9*(1+Inputs!$G$11)^(D11-Inputs!$G$8))*(SUM(Inputs!$G$13*Inputs!$G$14,Inputs!$G$16*Inputs!$G$17,Inputs!$G$19*Inputs!$G$20))+(Inputs!$G$9*(1+Inputs!$G$11)^(D11-Inputs!$G$8))*(SUM(Inputs!$G$13*Inputs!$G$15,Inputs!$G$16*Inputs!$G$18,Inputs!$G$19*Inputs!$G$21))),(Inputs!$G$9*(1+Inputs!$G$11)^(D11-Inputs!$G$8))*(SUM(Inputs!$G$13*Inputs!$G$14,Inputs!$G$16*Inputs!$G$17,Inputs!$G$19*Inputs!$G$20))))+(IF(Inputs!G$70=2,((Inputs!$G$10*SUM(Inputs!$G$23*Inputs!$G$24,Inputs!$G$26*Inputs!$G$27,Inputs!$G$29*Inputs!$G$30))+(Inputs!$G$10*SUM(Inputs!$G$23*Inputs!$G$25,Inputs!$G$26*Inputs!$G$28,Inputs!$G$29*Inputs!$G$31))),(Inputs!$G$10*SUM(Inputs!$G$23*Inputs!$G$24,Inputs!$G$26*Inputs!$G$27,Inputs!$G$29*Inputs!$G$30))))</f>
        <v>440000</v>
      </c>
      <c r="G11" s="230"/>
      <c r="H11" s="229">
        <f>(IF(Inputs!I$70=2,((Inputs!$G$9*(1+Inputs!$G$11)^(D11-Inputs!$G$8))*(SUM(Inputs!$G$13*Inputs!$G$14,Inputs!$G$16*Inputs!$G$17,Inputs!$G$19*Inputs!$G$20))+(Inputs!$G$9*(1+Inputs!$G$11)^(D11-Inputs!$G$8))*(SUM(Inputs!$G$13*Inputs!$G$15,Inputs!$G$16*Inputs!$G$18,Inputs!$G$19*Inputs!$G$21))),(Inputs!$G$9*(1+Inputs!$G$11)^(D11-Inputs!$G$8))*(SUM(Inputs!$G$13*Inputs!$G$14,Inputs!$G$16*Inputs!$G$17,Inputs!$G$19*Inputs!$G$20))))+(IF(Inputs!I$70=2,((Inputs!$G$10*SUM(Inputs!$G$23*Inputs!$G$24,Inputs!$G$26*Inputs!$G$27,Inputs!$G$29*Inputs!$G$30))+(Inputs!$G$10*SUM(Inputs!$G$23*Inputs!$G$25,Inputs!$G$26*Inputs!$G$28,Inputs!$G$29*Inputs!$G$31))),(Inputs!$G$10*SUM(Inputs!$G$23*Inputs!$G$24,Inputs!$G$26*Inputs!$G$27,Inputs!$G$29*Inputs!$G$30))))</f>
        <v>832500</v>
      </c>
      <c r="I11" s="230"/>
      <c r="J11" s="229">
        <f>(IF(Inputs!K$70=2,((Inputs!$G$9*(1+Inputs!$G$11)^(D11-Inputs!$G$8))*(SUM(Inputs!$G$13*Inputs!$G$14,Inputs!$G$16*Inputs!$G$17,Inputs!$G$19*Inputs!$G$20))+(Inputs!$G$9*(1+Inputs!$G$11)^(D11-Inputs!$G$8))*(SUM(Inputs!$G$13*Inputs!$G$15,Inputs!$G$16*Inputs!$G$18,Inputs!$G$19*Inputs!$G$21))),(Inputs!$G$9*(1+Inputs!$G$11)^(D11-Inputs!$G$8))*(SUM(Inputs!$G$13*Inputs!$G$14,Inputs!$G$16*Inputs!$G$17,Inputs!$G$19*Inputs!$G$20))))+(IF(Inputs!K$70=2,((Inputs!$G$10*SUM(Inputs!$G$23*Inputs!$G$24,Inputs!$G$26*Inputs!$G$27,Inputs!$G$29*Inputs!$G$30))+(Inputs!$G$10*SUM(Inputs!$G$23*Inputs!$G$25,Inputs!$G$26*Inputs!$G$28,Inputs!$G$29*Inputs!$G$31))),(Inputs!$G$10*SUM(Inputs!$G$23*Inputs!$G$24,Inputs!$G$26*Inputs!$G$27,Inputs!$G$29*Inputs!$G$30))))</f>
        <v>440000</v>
      </c>
      <c r="K11" s="230"/>
      <c r="L11" s="229">
        <f>(IF(Inputs!M$70=2,((Inputs!$G$9*(1+Inputs!$G$11)^(D11-Inputs!$G$8))*(SUM(Inputs!$G$13*Inputs!$G$14,Inputs!$G$16*Inputs!$G$17,Inputs!$G$19*Inputs!$G$20))+(Inputs!$G$9*(1+Inputs!$G$11)^(D11-Inputs!$G$8))*(SUM(Inputs!$G$13*Inputs!$G$15,Inputs!$G$16*Inputs!$G$18,Inputs!$G$19*Inputs!$G$21))),(Inputs!$G$9*(1+Inputs!$G$11)^(D11-Inputs!$G$8))*(SUM(Inputs!$G$13*Inputs!$G$14,Inputs!$G$16*Inputs!$G$17,Inputs!$G$19*Inputs!$G$20))))+(IF(Inputs!M$70=2,((Inputs!$G$10*SUM(Inputs!$G$23*Inputs!$G$24,Inputs!$G$26*Inputs!$G$27,Inputs!$G$29*Inputs!$G$30))+(Inputs!$G$10*SUM(Inputs!$G$23*Inputs!$G$25,Inputs!$G$26*Inputs!$G$28,Inputs!$G$29*Inputs!$G$31))),(Inputs!$G$10*SUM(Inputs!$G$23*Inputs!$G$24,Inputs!$G$26*Inputs!$G$27,Inputs!$G$29*Inputs!$G$30))))</f>
        <v>440000</v>
      </c>
      <c r="M11" s="213"/>
      <c r="N11" s="213"/>
    </row>
    <row r="12" spans="1:15" ht="15.6" x14ac:dyDescent="0.25">
      <c r="B12" s="218"/>
      <c r="C12" s="218"/>
      <c r="D12" s="217">
        <f>Inputs!$G$8+1</f>
        <v>2027</v>
      </c>
      <c r="E12" s="216"/>
      <c r="F12" s="229">
        <f>IF(Inputs!G$70=2,((Inputs!$G$9*(1+Inputs!$G$11)^(D12-Inputs!$G$8))*(SUM(Inputs!$G$13*Inputs!$G$14,Inputs!$G$16*Inputs!$G$17,Inputs!$G$19*Inputs!$G$20))+(Inputs!$G$9*(1+Inputs!$G$11)^(D12-Inputs!$G$8))*(SUM(Inputs!$G$13*Inputs!$G$15,Inputs!$G$16*Inputs!$G$18,Inputs!$G$19*Inputs!$G$21))),(Inputs!$G$9*(1+Inputs!$G$11)^(D12-Inputs!$G$8))*(SUM(Inputs!$G$13*Inputs!$G$14,Inputs!$G$16*Inputs!$G$17,Inputs!$G$19*Inputs!$G$20)))</f>
        <v>81600</v>
      </c>
      <c r="G12" s="230"/>
      <c r="H12" s="229">
        <f>IF(Inputs!I$70=2,((Inputs!$G$9*(1+Inputs!$G$11)^(D12-Inputs!$G$8))*(SUM(Inputs!$G$13*Inputs!$G$14,Inputs!$G$16*Inputs!$G$17,Inputs!$G$19*Inputs!$G$20))+(Inputs!$G$9*(1+Inputs!$G$11)^(D12-Inputs!$G$8))*(SUM(Inputs!$G$13*Inputs!$G$15,Inputs!$G$16*Inputs!$G$18,Inputs!$G$19*Inputs!$G$21))),(Inputs!$G$9*(1+Inputs!$G$11)^(D12-Inputs!$G$8))*(SUM(Inputs!$G$13*Inputs!$G$14,Inputs!$G$16*Inputs!$G$17,Inputs!$G$19*Inputs!$G$20)))</f>
        <v>155550</v>
      </c>
      <c r="I12" s="230"/>
      <c r="J12" s="229">
        <f>IF(Inputs!K$70=2,((Inputs!$G$9*(1+Inputs!$G$11)^(D12-Inputs!$G$8))*(SUM(Inputs!$G$13*Inputs!$G$14,Inputs!$G$16*Inputs!$G$17,Inputs!$G$19*Inputs!$G$20))+(Inputs!$G$9*(1+Inputs!$G$11)^(D12-Inputs!$G$8))*(SUM(Inputs!$G$13*Inputs!$G$15,Inputs!$G$16*Inputs!$G$18,Inputs!$G$19*Inputs!$G$21))),(Inputs!$G$9*(1+Inputs!$G$11)^(D12-Inputs!$G$8))*(SUM(Inputs!$G$13*Inputs!$G$14,Inputs!$G$16*Inputs!$G$17,Inputs!$G$19*Inputs!$G$20)))</f>
        <v>81600</v>
      </c>
      <c r="K12" s="230"/>
      <c r="L12" s="229">
        <f>IF(Inputs!M$70=2,((Inputs!$G$9*(1+Inputs!$G$11)^(D12-Inputs!$G$8))*(SUM(Inputs!$G$13*Inputs!$G$14,Inputs!$G$16*Inputs!$G$17,Inputs!$G$19*Inputs!$G$20))+(Inputs!$G$9*(1+Inputs!$G$11)^(D12-Inputs!$G$8))*(SUM(Inputs!$G$13*Inputs!$G$15,Inputs!$G$16*Inputs!$G$18,Inputs!$G$19*Inputs!$G$21))),(Inputs!$G$9*(1+Inputs!$G$11)^(D12-Inputs!$G$8))*(SUM(Inputs!$G$13*Inputs!$G$14,Inputs!$G$16*Inputs!$G$17,Inputs!$G$19*Inputs!$G$20)))</f>
        <v>81600</v>
      </c>
      <c r="M12" s="213"/>
      <c r="N12" s="213"/>
    </row>
    <row r="13" spans="1:15" ht="15.6" x14ac:dyDescent="0.25">
      <c r="B13" s="218"/>
      <c r="C13" s="218"/>
      <c r="D13" s="217">
        <f>Inputs!$G$8+2</f>
        <v>2028</v>
      </c>
      <c r="E13" s="216"/>
      <c r="F13" s="229">
        <f>IF(Inputs!G$70=2,((Inputs!$G$9*(1+Inputs!$G$11)^(D13-Inputs!$G$8))*(SUM(Inputs!$G$13*Inputs!$G$14,Inputs!$G$16*Inputs!$G$17,Inputs!$G$19*Inputs!$G$20))+(Inputs!$G$9*(1+Inputs!$G$11)^(D13-Inputs!$G$8))*(SUM(Inputs!$G$13*Inputs!$G$15,Inputs!$G$16*Inputs!$G$18,Inputs!$G$19*Inputs!$G$21))),(Inputs!$G$9*(1+Inputs!$G$11)^(D13-Inputs!$G$8))*(SUM(Inputs!$G$13*Inputs!$G$14,Inputs!$G$16*Inputs!$G$17,Inputs!$G$19*Inputs!$G$20)))</f>
        <v>83232</v>
      </c>
      <c r="G13" s="230"/>
      <c r="H13" s="229">
        <f>IF(Inputs!I$70=2,((Inputs!$G$9*(1+Inputs!$G$11)^(D13-Inputs!$G$8))*(SUM(Inputs!$G$13*Inputs!$G$14,Inputs!$G$16*Inputs!$G$17,Inputs!$G$19*Inputs!$G$20))+(Inputs!$G$9*(1+Inputs!$G$11)^(D13-Inputs!$G$8))*(SUM(Inputs!$G$13*Inputs!$G$15,Inputs!$G$16*Inputs!$G$18,Inputs!$G$19*Inputs!$G$21))),(Inputs!$G$9*(1+Inputs!$G$11)^(D13-Inputs!$G$8))*(SUM(Inputs!$G$13*Inputs!$G$14,Inputs!$G$16*Inputs!$G$17,Inputs!$G$19*Inputs!$G$20)))</f>
        <v>158661</v>
      </c>
      <c r="I13" s="230"/>
      <c r="J13" s="229">
        <f>IF(Inputs!K$70=2,((Inputs!$G$9*(1+Inputs!$G$11)^(D13-Inputs!$G$8))*(SUM(Inputs!$G$13*Inputs!$G$14,Inputs!$G$16*Inputs!$G$17,Inputs!$G$19*Inputs!$G$20))+(Inputs!$G$9*(1+Inputs!$G$11)^(D13-Inputs!$G$8))*(SUM(Inputs!$G$13*Inputs!$G$15,Inputs!$G$16*Inputs!$G$18,Inputs!$G$19*Inputs!$G$21))),(Inputs!$G$9*(1+Inputs!$G$11)^(D13-Inputs!$G$8))*(SUM(Inputs!$G$13*Inputs!$G$14,Inputs!$G$16*Inputs!$G$17,Inputs!$G$19*Inputs!$G$20)))</f>
        <v>83232</v>
      </c>
      <c r="K13" s="230"/>
      <c r="L13" s="229">
        <f>IF(Inputs!M$70=2,((Inputs!$G$9*(1+Inputs!$G$11)^(D13-Inputs!$G$8))*(SUM(Inputs!$G$13*Inputs!$G$14,Inputs!$G$16*Inputs!$G$17,Inputs!$G$19*Inputs!$G$20))+(Inputs!$G$9*(1+Inputs!$G$11)^(D13-Inputs!$G$8))*(SUM(Inputs!$G$13*Inputs!$G$15,Inputs!$G$16*Inputs!$G$18,Inputs!$G$19*Inputs!$G$21))),(Inputs!$G$9*(1+Inputs!$G$11)^(D13-Inputs!$G$8))*(SUM(Inputs!$G$13*Inputs!$G$14,Inputs!$G$16*Inputs!$G$17,Inputs!$G$19*Inputs!$G$20)))</f>
        <v>83232</v>
      </c>
      <c r="M13" s="213"/>
      <c r="N13" s="213"/>
    </row>
    <row r="14" spans="1:15" ht="15.6" x14ac:dyDescent="0.25">
      <c r="B14" s="218"/>
      <c r="C14" s="218"/>
      <c r="D14" s="217">
        <f>Inputs!$G$8+3</f>
        <v>2029</v>
      </c>
      <c r="E14" s="216"/>
      <c r="F14" s="229">
        <f>IF(Inputs!G$70=2,((Inputs!$G$9*(1+Inputs!$G$11)^(D14-Inputs!$G$8))*(SUM(Inputs!$G$13*Inputs!$G$14,Inputs!$G$16*Inputs!$G$17,Inputs!$G$19*Inputs!$G$20))+(Inputs!$G$9*(1+Inputs!$G$11)^(D14-Inputs!$G$8))*(SUM(Inputs!$G$13*Inputs!$G$15,Inputs!$G$16*Inputs!$G$18,Inputs!$G$19*Inputs!$G$21))),(Inputs!$G$9*(1+Inputs!$G$11)^(D14-Inputs!$G$8))*(SUM(Inputs!$G$13*Inputs!$G$14,Inputs!$G$16*Inputs!$G$17,Inputs!$G$19*Inputs!$G$20)))</f>
        <v>84896.639999999999</v>
      </c>
      <c r="G14" s="230"/>
      <c r="H14" s="229">
        <f>IF(Inputs!I$70=2,((Inputs!$G$9*(1+Inputs!$G$11)^(D14-Inputs!$G$8))*(SUM(Inputs!$G$13*Inputs!$G$14,Inputs!$G$16*Inputs!$G$17,Inputs!$G$19*Inputs!$G$20))+(Inputs!$G$9*(1+Inputs!$G$11)^(D14-Inputs!$G$8))*(SUM(Inputs!$G$13*Inputs!$G$15,Inputs!$G$16*Inputs!$G$18,Inputs!$G$19*Inputs!$G$21))),(Inputs!$G$9*(1+Inputs!$G$11)^(D14-Inputs!$G$8))*(SUM(Inputs!$G$13*Inputs!$G$14,Inputs!$G$16*Inputs!$G$17,Inputs!$G$19*Inputs!$G$20)))</f>
        <v>161834.21999999997</v>
      </c>
      <c r="I14" s="230"/>
      <c r="J14" s="229">
        <f>IF(Inputs!K$70=2,((Inputs!$G$9*(1+Inputs!$G$11)^(D14-Inputs!$G$8))*(SUM(Inputs!$G$13*Inputs!$G$14,Inputs!$G$16*Inputs!$G$17,Inputs!$G$19*Inputs!$G$20))+(Inputs!$G$9*(1+Inputs!$G$11)^(D14-Inputs!$G$8))*(SUM(Inputs!$G$13*Inputs!$G$15,Inputs!$G$16*Inputs!$G$18,Inputs!$G$19*Inputs!$G$21))),(Inputs!$G$9*(1+Inputs!$G$11)^(D14-Inputs!$G$8))*(SUM(Inputs!$G$13*Inputs!$G$14,Inputs!$G$16*Inputs!$G$17,Inputs!$G$19*Inputs!$G$20)))</f>
        <v>84896.639999999999</v>
      </c>
      <c r="K14" s="230"/>
      <c r="L14" s="229">
        <f>IF(Inputs!M$70=2,((Inputs!$G$9*(1+Inputs!$G$11)^(D14-Inputs!$G$8))*(SUM(Inputs!$G$13*Inputs!$G$14,Inputs!$G$16*Inputs!$G$17,Inputs!$G$19*Inputs!$G$20))+(Inputs!$G$9*(1+Inputs!$G$11)^(D14-Inputs!$G$8))*(SUM(Inputs!$G$13*Inputs!$G$15,Inputs!$G$16*Inputs!$G$18,Inputs!$G$19*Inputs!$G$21))),(Inputs!$G$9*(1+Inputs!$G$11)^(D14-Inputs!$G$8))*(SUM(Inputs!$G$13*Inputs!$G$14,Inputs!$G$16*Inputs!$G$17,Inputs!$G$19*Inputs!$G$20)))</f>
        <v>84896.639999999999</v>
      </c>
      <c r="M14" s="213"/>
      <c r="N14" s="213"/>
    </row>
    <row r="15" spans="1:15" ht="15.75" customHeight="1" x14ac:dyDescent="0.25">
      <c r="B15" s="218"/>
      <c r="C15" s="218"/>
      <c r="D15" s="217">
        <f>Inputs!$G$8+4</f>
        <v>2030</v>
      </c>
      <c r="E15" s="216"/>
      <c r="F15" s="229">
        <f>IF(Inputs!G$70=2,((Inputs!$G$9*(1+Inputs!$G$11)^(D15-Inputs!$G$8))*(SUM(Inputs!$G$13*Inputs!$G$14,Inputs!$G$16*Inputs!$G$17,Inputs!$G$19*Inputs!$G$20))+(Inputs!$G$9*(1+Inputs!$G$11)^(D15-Inputs!$G$8))*(SUM(Inputs!$G$13*Inputs!$G$15,Inputs!$G$16*Inputs!$G$18,Inputs!$G$19*Inputs!$G$21))),(Inputs!$G$9*(1+Inputs!$G$11)^(D15-Inputs!$G$8))*(SUM(Inputs!$G$13*Inputs!$G$14,Inputs!$G$16*Inputs!$G$17,Inputs!$G$19*Inputs!$G$20)))</f>
        <v>86594.572800000009</v>
      </c>
      <c r="G15" s="230"/>
      <c r="H15" s="229">
        <f>IF(Inputs!I$70=2,((Inputs!$G$9*(1+Inputs!$G$11)^(D15-Inputs!$G$8))*(SUM(Inputs!$G$13*Inputs!$G$14,Inputs!$G$16*Inputs!$G$17,Inputs!$G$19*Inputs!$G$20))+(Inputs!$G$9*(1+Inputs!$G$11)^(D15-Inputs!$G$8))*(SUM(Inputs!$G$13*Inputs!$G$15,Inputs!$G$16*Inputs!$G$18,Inputs!$G$19*Inputs!$G$21))),(Inputs!$G$9*(1+Inputs!$G$11)^(D15-Inputs!$G$8))*(SUM(Inputs!$G$13*Inputs!$G$14,Inputs!$G$16*Inputs!$G$17,Inputs!$G$19*Inputs!$G$20)))</f>
        <v>165070.9044</v>
      </c>
      <c r="I15" s="230"/>
      <c r="J15" s="229">
        <f>IF(Inputs!K$70=2,((Inputs!$G$9*(1+Inputs!$G$11)^(D15-Inputs!$G$8))*(SUM(Inputs!$G$13*Inputs!$G$14,Inputs!$G$16*Inputs!$G$17,Inputs!$G$19*Inputs!$G$20))+(Inputs!$G$9*(1+Inputs!$G$11)^(D15-Inputs!$G$8))*(SUM(Inputs!$G$13*Inputs!$G$15,Inputs!$G$16*Inputs!$G$18,Inputs!$G$19*Inputs!$G$21))),(Inputs!$G$9*(1+Inputs!$G$11)^(D15-Inputs!$G$8))*(SUM(Inputs!$G$13*Inputs!$G$14,Inputs!$G$16*Inputs!$G$17,Inputs!$G$19*Inputs!$G$20)))</f>
        <v>86594.572800000009</v>
      </c>
      <c r="K15" s="230"/>
      <c r="L15" s="229">
        <f>IF(Inputs!M$70=2,((Inputs!$G$9*(1+Inputs!$G$11)^(D15-Inputs!$G$8))*(SUM(Inputs!$G$13*Inputs!$G$14,Inputs!$G$16*Inputs!$G$17,Inputs!$G$19*Inputs!$G$20))+(Inputs!$G$9*(1+Inputs!$G$11)^(D15-Inputs!$G$8))*(SUM(Inputs!$G$13*Inputs!$G$15,Inputs!$G$16*Inputs!$G$18,Inputs!$G$19*Inputs!$G$21))),(Inputs!$G$9*(1+Inputs!$G$11)^(D15-Inputs!$G$8))*(SUM(Inputs!$G$13*Inputs!$G$14,Inputs!$G$16*Inputs!$G$17,Inputs!$G$19*Inputs!$G$20)))</f>
        <v>86594.572800000009</v>
      </c>
      <c r="M15" s="213"/>
      <c r="N15" s="213"/>
    </row>
    <row r="16" spans="1:15" ht="15" customHeight="1" x14ac:dyDescent="0.25">
      <c r="B16" s="218"/>
      <c r="C16" s="218"/>
      <c r="D16" s="226"/>
      <c r="E16" s="216"/>
      <c r="F16" s="236"/>
      <c r="G16" s="230"/>
      <c r="H16" s="236"/>
      <c r="I16" s="230"/>
      <c r="J16" s="236"/>
      <c r="K16" s="230"/>
      <c r="L16" s="236"/>
      <c r="M16" s="213"/>
      <c r="N16" s="213"/>
    </row>
    <row r="17" spans="2:14" ht="42" customHeight="1" x14ac:dyDescent="0.25">
      <c r="B17" s="218"/>
      <c r="C17" s="218"/>
      <c r="D17" s="457" t="s">
        <v>167</v>
      </c>
      <c r="E17" s="457"/>
      <c r="F17" s="457"/>
      <c r="G17" s="457"/>
      <c r="H17" s="457"/>
      <c r="I17" s="457"/>
      <c r="J17" s="457"/>
      <c r="K17" s="457"/>
      <c r="L17" s="457"/>
      <c r="M17" s="213"/>
      <c r="N17" s="213"/>
    </row>
    <row r="18" spans="2:14" ht="8.1" customHeight="1" x14ac:dyDescent="0.25">
      <c r="B18" s="218"/>
      <c r="C18" s="218"/>
      <c r="D18" s="223"/>
      <c r="E18" s="223"/>
      <c r="F18" s="223"/>
      <c r="G18" s="223"/>
      <c r="H18" s="223"/>
      <c r="I18" s="223"/>
      <c r="J18" s="223"/>
      <c r="K18" s="223"/>
      <c r="L18" s="223"/>
      <c r="M18" s="213"/>
      <c r="N18" s="213"/>
    </row>
    <row r="19" spans="2:14" ht="35.1" customHeight="1" x14ac:dyDescent="0.25">
      <c r="B19" s="218"/>
      <c r="C19" s="218"/>
      <c r="D19" s="240" t="s">
        <v>23</v>
      </c>
      <c r="E19" s="239"/>
      <c r="F19" s="237">
        <f>SUM(F20:F24)</f>
        <v>838830.97246315773</v>
      </c>
      <c r="G19" s="238"/>
      <c r="H19" s="237">
        <f>SUM(H20:H24)</f>
        <v>1592442.5938894735</v>
      </c>
      <c r="I19" s="238"/>
      <c r="J19" s="237">
        <f>SUM(J20:J24)</f>
        <v>884229.99075555569</v>
      </c>
      <c r="K19" s="238"/>
      <c r="L19" s="237">
        <f>SUM(L20:L24)</f>
        <v>838830.97246315773</v>
      </c>
      <c r="M19" s="213"/>
      <c r="N19" s="213"/>
    </row>
    <row r="20" spans="2:14" ht="15.6" x14ac:dyDescent="0.25">
      <c r="B20" s="218"/>
      <c r="C20" s="218"/>
      <c r="D20" s="217">
        <f>Inputs!$G$8</f>
        <v>2026</v>
      </c>
      <c r="E20" s="216"/>
      <c r="F20" s="229">
        <f>F11*Inputs!G$75+'Vaccine options'!$B39*Inputs!G$78</f>
        <v>483157.89473684208</v>
      </c>
      <c r="G20" s="230"/>
      <c r="H20" s="229">
        <f>H11*Inputs!I$75+'Vaccine options'!$C39*Inputs!I$78</f>
        <v>914440.78947368416</v>
      </c>
      <c r="I20" s="230"/>
      <c r="J20" s="229">
        <f>J11*Inputs!K$75+'Vaccine options'!$D39*Inputs!K$78</f>
        <v>508888.88888888893</v>
      </c>
      <c r="K20" s="230"/>
      <c r="L20" s="229">
        <f>L11*Inputs!M$75+'Vaccine options'!$E39*Inputs!M$78</f>
        <v>483157.89473684208</v>
      </c>
      <c r="M20" s="213"/>
      <c r="N20" s="213"/>
    </row>
    <row r="21" spans="2:14" ht="15.6" x14ac:dyDescent="0.25">
      <c r="B21" s="218"/>
      <c r="C21" s="218"/>
      <c r="D21" s="217">
        <f>Inputs!$G$8+1</f>
        <v>2027</v>
      </c>
      <c r="E21" s="216"/>
      <c r="F21" s="229">
        <f>F12*Inputs!G$75+('Vaccine options'!$B40*Inputs!G$78-'Vaccine options'!$B39*Inputs!G$78)</f>
        <v>86294.736842105252</v>
      </c>
      <c r="G21" s="230"/>
      <c r="H21" s="229">
        <f>H12*Inputs!I$75+('Vaccine options'!$C40*Inputs!I$78-'Vaccine options'!$C39*Inputs!I$78)</f>
        <v>164499.34210526315</v>
      </c>
      <c r="I21" s="230"/>
      <c r="J21" s="229">
        <f>J12*Inputs!K$75+('Vaccine options'!$D40*Inputs!K$78-'Vaccine options'!$D39*Inputs!K$78)</f>
        <v>91066.666666666672</v>
      </c>
      <c r="K21" s="230"/>
      <c r="L21" s="229">
        <f>L12*Inputs!M$75+('Vaccine options'!$E40*Inputs!M$78-'Vaccine options'!$E39*Inputs!M$78)</f>
        <v>86294.736842105252</v>
      </c>
      <c r="M21" s="213"/>
      <c r="N21" s="213"/>
    </row>
    <row r="22" spans="2:14" ht="15.6" x14ac:dyDescent="0.25">
      <c r="B22" s="218"/>
      <c r="C22" s="218"/>
      <c r="D22" s="217">
        <f>Inputs!$G$8+2</f>
        <v>2028</v>
      </c>
      <c r="E22" s="216"/>
      <c r="F22" s="229">
        <f>F13*Inputs!G$75+('Vaccine options'!$B41*Inputs!G$78-'Vaccine options'!$B40*Inputs!G$78)</f>
        <v>88020.631578947359</v>
      </c>
      <c r="G22" s="230"/>
      <c r="H22" s="229">
        <f>H13*Inputs!I$75+('Vaccine options'!$C41*Inputs!I$78-'Vaccine options'!$C40*Inputs!I$78)</f>
        <v>167789.3289473684</v>
      </c>
      <c r="I22" s="230"/>
      <c r="J22" s="229">
        <f>J13*Inputs!K$75+('Vaccine options'!$D41*Inputs!K$78-'Vaccine options'!$D40*Inputs!K$78)</f>
        <v>92888</v>
      </c>
      <c r="K22" s="230"/>
      <c r="L22" s="229">
        <f>L13*Inputs!M$75+('Vaccine options'!$E41*Inputs!M$78-'Vaccine options'!$E40*Inputs!M$78)</f>
        <v>88020.631578947359</v>
      </c>
      <c r="M22" s="213"/>
      <c r="N22" s="213"/>
    </row>
    <row r="23" spans="2:14" ht="15.6" x14ac:dyDescent="0.25">
      <c r="B23" s="218"/>
      <c r="C23" s="218"/>
      <c r="D23" s="217">
        <f>Inputs!$G$8+3</f>
        <v>2029</v>
      </c>
      <c r="E23" s="216"/>
      <c r="F23" s="229">
        <f>F14*Inputs!G$75+('Vaccine options'!$B42*Inputs!G$78-'Vaccine options'!$B41*Inputs!G$78)</f>
        <v>89781.044210526321</v>
      </c>
      <c r="G23" s="230"/>
      <c r="H23" s="229">
        <f>H14*Inputs!I$75+('Vaccine options'!$C42*Inputs!I$78-'Vaccine options'!$C41*Inputs!I$78)</f>
        <v>171145.11552631576</v>
      </c>
      <c r="I23" s="230"/>
      <c r="J23" s="229">
        <f>J14*Inputs!K$75+('Vaccine options'!$D42*Inputs!K$78-'Vaccine options'!$D41*Inputs!K$78)</f>
        <v>94745.760000000009</v>
      </c>
      <c r="K23" s="230"/>
      <c r="L23" s="229">
        <f>L14*Inputs!M$75+('Vaccine options'!$E42*Inputs!M$78-'Vaccine options'!$E41*Inputs!M$78)</f>
        <v>89781.044210526321</v>
      </c>
      <c r="M23" s="213"/>
      <c r="N23" s="213"/>
    </row>
    <row r="24" spans="2:14" ht="15.75" customHeight="1" x14ac:dyDescent="0.25">
      <c r="B24" s="218"/>
      <c r="C24" s="218"/>
      <c r="D24" s="217">
        <f>Inputs!$G$8+4</f>
        <v>2030</v>
      </c>
      <c r="E24" s="216"/>
      <c r="F24" s="229">
        <f>F15*Inputs!G$75+('Vaccine options'!$B43*Inputs!G$78-'Vaccine options'!$B42*Inputs!G$78)</f>
        <v>91576.665094736847</v>
      </c>
      <c r="G24" s="230"/>
      <c r="H24" s="229">
        <f>H15*Inputs!I$75+('Vaccine options'!$C43*Inputs!I$78-'Vaccine options'!$C42*Inputs!I$78)</f>
        <v>174568.0178368421</v>
      </c>
      <c r="I24" s="230"/>
      <c r="J24" s="229">
        <f>J15*Inputs!K$75+('Vaccine options'!$D43*Inputs!K$78-'Vaccine options'!$D42*Inputs!K$78)</f>
        <v>96640.675200000012</v>
      </c>
      <c r="K24" s="230"/>
      <c r="L24" s="229">
        <f>L15*Inputs!M$75+('Vaccine options'!$E43*Inputs!M$78-'Vaccine options'!$E42*Inputs!M$78)</f>
        <v>91576.665094736847</v>
      </c>
      <c r="M24" s="213"/>
      <c r="N24" s="213"/>
    </row>
    <row r="25" spans="2:14" ht="15" customHeight="1" x14ac:dyDescent="0.25">
      <c r="B25" s="218"/>
      <c r="C25" s="218"/>
      <c r="D25" s="226"/>
      <c r="E25" s="216"/>
      <c r="F25" s="236"/>
      <c r="G25" s="230"/>
      <c r="H25" s="236"/>
      <c r="I25" s="230"/>
      <c r="J25" s="236"/>
      <c r="K25" s="230"/>
      <c r="L25" s="236"/>
      <c r="M25" s="213"/>
      <c r="N25" s="213"/>
    </row>
    <row r="26" spans="2:14" s="233" customFormat="1" ht="42" customHeight="1" x14ac:dyDescent="0.25">
      <c r="B26" s="235"/>
      <c r="C26" s="235"/>
      <c r="D26" s="457" t="s">
        <v>168</v>
      </c>
      <c r="E26" s="457"/>
      <c r="F26" s="457"/>
      <c r="G26" s="457"/>
      <c r="H26" s="457"/>
      <c r="I26" s="457"/>
      <c r="J26" s="457"/>
      <c r="K26" s="457"/>
      <c r="L26" s="457"/>
      <c r="M26" s="234"/>
      <c r="N26" s="234"/>
    </row>
    <row r="27" spans="2:14" ht="8.1" customHeight="1" x14ac:dyDescent="0.25">
      <c r="B27" s="218"/>
      <c r="C27" s="218"/>
      <c r="D27" s="232"/>
      <c r="E27" s="223"/>
      <c r="F27" s="232"/>
      <c r="G27" s="223"/>
      <c r="H27" s="232"/>
      <c r="I27" s="223"/>
      <c r="J27" s="232"/>
      <c r="K27" s="223"/>
      <c r="L27" s="232"/>
      <c r="M27" s="231"/>
      <c r="N27" s="231"/>
    </row>
    <row r="28" spans="2:14" ht="15.6" x14ac:dyDescent="0.25">
      <c r="B28" s="218"/>
      <c r="C28" s="218"/>
      <c r="D28" s="217">
        <f>Inputs!$G$8</f>
        <v>2026</v>
      </c>
      <c r="E28" s="216"/>
      <c r="F28" s="229">
        <f>F20*Inputs!G$72</f>
        <v>7054105.2631578939</v>
      </c>
      <c r="G28" s="230"/>
      <c r="H28" s="229">
        <f>H20*Inputs!I$72</f>
        <v>10790401.315789474</v>
      </c>
      <c r="I28" s="230"/>
      <c r="J28" s="229">
        <f>J20*Inputs!K$72</f>
        <v>2442666.666666667</v>
      </c>
      <c r="K28" s="230"/>
      <c r="L28" s="229">
        <f>L20*Inputs!M$72</f>
        <v>7247368.421052631</v>
      </c>
      <c r="M28" s="213"/>
      <c r="N28" s="213"/>
    </row>
    <row r="29" spans="2:14" ht="15.6" x14ac:dyDescent="0.25">
      <c r="B29" s="218"/>
      <c r="C29" s="218"/>
      <c r="D29" s="217">
        <f>Inputs!$G$8+1</f>
        <v>2027</v>
      </c>
      <c r="E29" s="216"/>
      <c r="F29" s="229">
        <f>F21*Inputs!G$72</f>
        <v>1259903.1578947366</v>
      </c>
      <c r="G29" s="230"/>
      <c r="H29" s="229">
        <f>H21*Inputs!I$72</f>
        <v>1941092.2368421052</v>
      </c>
      <c r="I29" s="230"/>
      <c r="J29" s="229">
        <f>J21*Inputs!K$72</f>
        <v>437120</v>
      </c>
      <c r="K29" s="230"/>
      <c r="L29" s="229">
        <f>L21*Inputs!M$72</f>
        <v>1294421.0526315789</v>
      </c>
      <c r="M29" s="213"/>
      <c r="N29" s="213"/>
    </row>
    <row r="30" spans="2:14" ht="15.6" x14ac:dyDescent="0.25">
      <c r="B30" s="218"/>
      <c r="C30" s="218"/>
      <c r="D30" s="217">
        <f>Inputs!$G$8+2</f>
        <v>2028</v>
      </c>
      <c r="E30" s="216"/>
      <c r="F30" s="229">
        <f>F22*Inputs!G$72</f>
        <v>1285101.2210526315</v>
      </c>
      <c r="G30" s="230"/>
      <c r="H30" s="229">
        <f>H22*Inputs!I$72</f>
        <v>1979914.0815789471</v>
      </c>
      <c r="I30" s="230"/>
      <c r="J30" s="229">
        <f>J22*Inputs!K$72</f>
        <v>445862.39999999997</v>
      </c>
      <c r="K30" s="230"/>
      <c r="L30" s="229">
        <f>L22*Inputs!M$72</f>
        <v>1320309.4736842103</v>
      </c>
      <c r="M30" s="213"/>
      <c r="N30" s="213"/>
    </row>
    <row r="31" spans="2:14" ht="15.6" x14ac:dyDescent="0.25">
      <c r="B31" s="218"/>
      <c r="C31" s="218"/>
      <c r="D31" s="217">
        <f>Inputs!$G$8+3</f>
        <v>2029</v>
      </c>
      <c r="E31" s="216"/>
      <c r="F31" s="229">
        <f>F23*Inputs!G$72</f>
        <v>1310803.2454736843</v>
      </c>
      <c r="G31" s="230"/>
      <c r="H31" s="229">
        <f>H23*Inputs!I$72</f>
        <v>2019512.3632105261</v>
      </c>
      <c r="I31" s="230"/>
      <c r="J31" s="229">
        <f>J23*Inputs!K$72</f>
        <v>454779.64800000004</v>
      </c>
      <c r="K31" s="230"/>
      <c r="L31" s="229">
        <f>L23*Inputs!M$72</f>
        <v>1346715.6631578947</v>
      </c>
      <c r="M31" s="213"/>
      <c r="N31" s="213"/>
    </row>
    <row r="32" spans="2:14" ht="15.6" x14ac:dyDescent="0.25">
      <c r="B32" s="218"/>
      <c r="C32" s="218"/>
      <c r="D32" s="217">
        <f>Inputs!$G$8+4</f>
        <v>2030</v>
      </c>
      <c r="E32" s="216"/>
      <c r="F32" s="229">
        <f>F24*Inputs!G$72</f>
        <v>1337019.310383158</v>
      </c>
      <c r="G32" s="230"/>
      <c r="H32" s="229">
        <f>H24*Inputs!I$72</f>
        <v>2059902.6104747369</v>
      </c>
      <c r="I32" s="230"/>
      <c r="J32" s="229">
        <f>J24*Inputs!K$72</f>
        <v>463875.24096000002</v>
      </c>
      <c r="K32" s="230"/>
      <c r="L32" s="229">
        <f>L24*Inputs!M$72</f>
        <v>1373649.9764210526</v>
      </c>
      <c r="M32" s="213"/>
      <c r="N32" s="213"/>
    </row>
    <row r="33" spans="2:17" ht="15" customHeight="1" x14ac:dyDescent="0.25">
      <c r="B33" s="218"/>
      <c r="C33" s="218"/>
      <c r="D33" s="456"/>
      <c r="E33" s="456"/>
      <c r="F33" s="456"/>
      <c r="G33" s="456"/>
      <c r="H33" s="456"/>
      <c r="I33" s="456"/>
      <c r="J33" s="456"/>
      <c r="K33" s="456"/>
      <c r="L33" s="456"/>
      <c r="M33" s="228"/>
      <c r="N33" s="228"/>
    </row>
    <row r="34" spans="2:17" ht="40.35" customHeight="1" x14ac:dyDescent="0.25">
      <c r="B34" s="218"/>
      <c r="C34" s="462" t="s">
        <v>80</v>
      </c>
      <c r="D34" s="462"/>
      <c r="E34" s="462"/>
      <c r="F34" s="462"/>
      <c r="G34" s="462"/>
      <c r="H34" s="462"/>
      <c r="I34" s="462"/>
      <c r="J34" s="462"/>
      <c r="K34" s="462"/>
      <c r="L34" s="462"/>
      <c r="M34" s="462"/>
      <c r="N34" s="228"/>
    </row>
    <row r="35" spans="2:17" ht="15" customHeight="1" x14ac:dyDescent="0.25">
      <c r="B35" s="218"/>
      <c r="C35" s="218"/>
      <c r="D35" s="228"/>
      <c r="E35" s="228"/>
      <c r="F35" s="228"/>
      <c r="G35" s="228"/>
      <c r="H35" s="228"/>
      <c r="I35" s="228"/>
      <c r="J35" s="228"/>
      <c r="K35" s="228"/>
      <c r="L35" s="228"/>
      <c r="M35" s="228"/>
      <c r="N35" s="228"/>
    </row>
    <row r="36" spans="2:17" ht="41.1" customHeight="1" x14ac:dyDescent="0.25">
      <c r="B36" s="218"/>
      <c r="C36" s="218"/>
      <c r="D36" s="457" t="s">
        <v>70</v>
      </c>
      <c r="E36" s="457"/>
      <c r="F36" s="457"/>
      <c r="G36" s="457"/>
      <c r="H36" s="457"/>
      <c r="I36" s="457"/>
      <c r="J36" s="457"/>
      <c r="K36" s="457"/>
      <c r="L36" s="457"/>
      <c r="M36" s="213"/>
      <c r="N36" s="213"/>
    </row>
    <row r="37" spans="2:17" ht="8.1" customHeight="1" x14ac:dyDescent="0.25">
      <c r="B37" s="218"/>
      <c r="C37" s="218"/>
      <c r="D37" s="223"/>
      <c r="E37" s="223"/>
      <c r="F37" s="223"/>
      <c r="G37" s="223"/>
      <c r="H37" s="223"/>
      <c r="I37" s="223"/>
      <c r="J37" s="223"/>
      <c r="K37" s="223"/>
      <c r="L37" s="223"/>
      <c r="M37" s="213"/>
      <c r="N37" s="213"/>
    </row>
    <row r="38" spans="2:17" ht="35.1" customHeight="1" x14ac:dyDescent="0.25">
      <c r="B38" s="218"/>
      <c r="C38" s="218"/>
      <c r="D38" s="222" t="s">
        <v>23</v>
      </c>
      <c r="E38" s="221"/>
      <c r="F38" s="219">
        <f>SUM(F39:F43)</f>
        <v>158552.64468312921</v>
      </c>
      <c r="G38" s="220"/>
      <c r="H38" s="219">
        <f>SUM(H39:H43)</f>
        <v>292936.73084343242</v>
      </c>
      <c r="I38" s="220"/>
      <c r="J38" s="219">
        <f>SUM(J39:J43)</f>
        <v>265667.86278909724</v>
      </c>
      <c r="K38" s="220"/>
      <c r="L38" s="219">
        <f>SUM(L39:L43)</f>
        <v>225470.78563139369</v>
      </c>
      <c r="M38" s="213"/>
      <c r="N38" s="213"/>
    </row>
    <row r="39" spans="2:17" ht="15.6" x14ac:dyDescent="0.25">
      <c r="B39" s="218"/>
      <c r="C39" s="218"/>
      <c r="D39" s="217">
        <f>Inputs!$G$8</f>
        <v>2026</v>
      </c>
      <c r="E39" s="216"/>
      <c r="F39" s="227">
        <f>('Vaccine options'!B47*(Inputs!G61+Inputs!G61*Inputs!G$76+Inputs!G61*Inputs!G$77))+('Vaccine options'!B53*(Inputs!G68+Inputs!G68*Inputs!G$76+Inputs!G68*Inputs!G$77))+(F11/Inputs!G$80*Inputs!G$79)+(F11*Inputs!$G$81)</f>
        <v>96200.0842105263</v>
      </c>
      <c r="G39" s="225"/>
      <c r="H39" s="227">
        <f>('Vaccine options'!C47*(Inputs!I61+Inputs!I61*Inputs!I$76+Inputs!I61*Inputs!I$77))+('Vaccine options'!C53*(Inputs!I68+Inputs!I68*Inputs!I$76+Inputs!I68*Inputs!I$77))+(H11/Inputs!I$80*Inputs!I$79)+(H11*Inputs!$I$81)</f>
        <v>177114.61052631578</v>
      </c>
      <c r="I39" s="225"/>
      <c r="J39" s="227">
        <f>('Vaccine options'!D47*(Inputs!K61+Inputs!K61*Inputs!K$76+Inputs!K61*Inputs!K$77))+('Vaccine options'!D53*(Inputs!K68+Inputs!K68*Inputs!K$76+Inputs!K68*Inputs!K$77))+(J11/Inputs!K$80*Inputs!K$79)+(J11*Inputs!$K$81)</f>
        <v>162421.19111111111</v>
      </c>
      <c r="K39" s="225"/>
      <c r="L39" s="227">
        <f>('Vaccine options'!E47*(Inputs!M61+Inputs!M61*Inputs!M$76+Inputs!M61*Inputs!M$77))+('Vaccine options'!E53*(Inputs!M68+Inputs!M68*Inputs!M$76+Inputs!M68*Inputs!M$77))+(L11/Inputs!M$80*Inputs!M$79)+(L11*Inputs!$M$81)</f>
        <v>137623.57894736843</v>
      </c>
      <c r="M39" s="213"/>
      <c r="N39" s="213"/>
    </row>
    <row r="40" spans="2:17" ht="15.6" x14ac:dyDescent="0.25">
      <c r="B40" s="218"/>
      <c r="C40" s="218"/>
      <c r="D40" s="217">
        <f>Inputs!$G$8+1</f>
        <v>2027</v>
      </c>
      <c r="E40" s="216"/>
      <c r="F40" s="227">
        <f>F21*(Inputs!G62+Inputs!G62*Inputs!G$76+Inputs!G62*Inputs!G$77)+(F12/Inputs!G$80*Inputs!G$79)+(F12*Inputs!$G$81)</f>
        <v>15128.212210526312</v>
      </c>
      <c r="G40" s="225"/>
      <c r="H40" s="227">
        <f>H21*(Inputs!I62+Inputs!I62*Inputs!I$76+Inputs!I62*Inputs!I$77)+(H12/Inputs!I$80*Inputs!I$79)+(H12*Inputs!$I$81)</f>
        <v>28101.197473684209</v>
      </c>
      <c r="I40" s="225"/>
      <c r="J40" s="227">
        <f>J21*(Inputs!K62+Inputs!K62*Inputs!K$76+Inputs!K62*Inputs!K$77)+(J12/Inputs!K$80*Inputs!K$79)+(J12*Inputs!$K$81)</f>
        <v>25050.094933333334</v>
      </c>
      <c r="K40" s="225"/>
      <c r="L40" s="227">
        <f>L21*(Inputs!M62+Inputs!M62*Inputs!M$76+Inputs!M62*Inputs!M$77)+(L12/Inputs!M$80*Inputs!M$79)+(L12*Inputs!$M$81)</f>
        <v>21313.818947368418</v>
      </c>
      <c r="M40" s="213"/>
      <c r="N40" s="213"/>
    </row>
    <row r="41" spans="2:17" ht="15.6" x14ac:dyDescent="0.25">
      <c r="B41" s="218"/>
      <c r="C41" s="218"/>
      <c r="D41" s="217">
        <f>Inputs!$G$8+2</f>
        <v>2028</v>
      </c>
      <c r="E41" s="216"/>
      <c r="F41" s="227">
        <f>F22*(Inputs!G63+Inputs!G63*Inputs!G$76+Inputs!G63*Inputs!G$77)+(F13/Inputs!G$80*Inputs!G$79)+(F13*Inputs!$G$81)</f>
        <v>15430.776454736839</v>
      </c>
      <c r="G41" s="225"/>
      <c r="H41" s="227">
        <f>H22*(Inputs!I63+Inputs!I63*Inputs!I$76+Inputs!I63*Inputs!I$77)+(H13/Inputs!I$80*Inputs!I$79)+(H13*Inputs!$I$81)</f>
        <v>28663.221423157891</v>
      </c>
      <c r="I41" s="225"/>
      <c r="J41" s="227">
        <f>J22*(Inputs!K63+Inputs!K63*Inputs!K$76+Inputs!K63*Inputs!K$77)+(J13/Inputs!K$80*Inputs!K$79)+(J13*Inputs!$K$81)</f>
        <v>25551.096831999999</v>
      </c>
      <c r="K41" s="225"/>
      <c r="L41" s="227">
        <f>L22*(Inputs!M63+Inputs!M63*Inputs!M$76+Inputs!M63*Inputs!M$77)+(L13/Inputs!M$80*Inputs!M$79)+(L13*Inputs!$M$81)</f>
        <v>21740.095326315786</v>
      </c>
      <c r="M41" s="213"/>
      <c r="N41" s="213"/>
    </row>
    <row r="42" spans="2:17" ht="15.6" x14ac:dyDescent="0.25">
      <c r="B42" s="218"/>
      <c r="C42" s="218"/>
      <c r="D42" s="217">
        <f>Inputs!$G$8+3</f>
        <v>2029</v>
      </c>
      <c r="E42" s="216"/>
      <c r="F42" s="227">
        <f>F23*(Inputs!G64+Inputs!G64*Inputs!G$76+Inputs!G64*Inputs!G$77)+(F14/Inputs!G$80*Inputs!G$79)+(F14*Inputs!$G$81)</f>
        <v>15739.391983831578</v>
      </c>
      <c r="G42" s="225"/>
      <c r="H42" s="227">
        <f>H23*(Inputs!I64+Inputs!I64*Inputs!I$76+Inputs!I64*Inputs!I$77)+(H14/Inputs!I$80*Inputs!I$79)+(H14*Inputs!$I$81)</f>
        <v>29236.485851621048</v>
      </c>
      <c r="I42" s="225"/>
      <c r="J42" s="227">
        <f>J23*(Inputs!K64+Inputs!K64*Inputs!K$76+Inputs!K64*Inputs!K$77)+(J14/Inputs!K$80*Inputs!K$79)+(J14*Inputs!$K$81)</f>
        <v>26062.118768640001</v>
      </c>
      <c r="K42" s="225"/>
      <c r="L42" s="227">
        <f>L23*(Inputs!M64+Inputs!M64*Inputs!M$76+Inputs!M64*Inputs!M$77)+(L14/Inputs!M$80*Inputs!M$79)+(L14*Inputs!$M$81)</f>
        <v>22174.897232842108</v>
      </c>
      <c r="M42" s="213"/>
      <c r="N42" s="213"/>
    </row>
    <row r="43" spans="2:17" ht="15.75" customHeight="1" x14ac:dyDescent="0.25">
      <c r="B43" s="218"/>
      <c r="C43" s="218"/>
      <c r="D43" s="217">
        <f>Inputs!$G$8+4</f>
        <v>2030</v>
      </c>
      <c r="E43" s="216"/>
      <c r="F43" s="227">
        <f>F24*(Inputs!G65+Inputs!G65*Inputs!G$76+Inputs!G65*Inputs!G$77)+(F15/Inputs!G$80*Inputs!G$79)+(F15*Inputs!$G$81)</f>
        <v>16054.17982350821</v>
      </c>
      <c r="G43" s="225"/>
      <c r="H43" s="227">
        <f>H24*(Inputs!I65+Inputs!I65*Inputs!I$76+Inputs!I65*Inputs!I$77)+(H15/Inputs!I$80*Inputs!I$79)+(H15*Inputs!$I$81)</f>
        <v>29821.215568653475</v>
      </c>
      <c r="I43" s="225"/>
      <c r="J43" s="227">
        <f>J24*(Inputs!K65+Inputs!K65*Inputs!K$76+Inputs!K65*Inputs!K$77)+(J15/Inputs!K$80*Inputs!K$79)+(J15*Inputs!$K$81)</f>
        <v>26583.361144012801</v>
      </c>
      <c r="K43" s="225"/>
      <c r="L43" s="227">
        <f>L24*(Inputs!M65+Inputs!M65*Inputs!M$76+Inputs!M65*Inputs!M$77)+(L15/Inputs!M$80*Inputs!M$79)+(L15*Inputs!$M$81)</f>
        <v>22618.395177498947</v>
      </c>
      <c r="M43" s="213"/>
      <c r="N43" s="213"/>
    </row>
    <row r="44" spans="2:17" ht="15" customHeight="1" x14ac:dyDescent="0.25">
      <c r="B44" s="218"/>
      <c r="C44" s="218"/>
      <c r="D44" s="226"/>
      <c r="E44" s="216"/>
      <c r="F44" s="224"/>
      <c r="G44" s="225"/>
      <c r="H44" s="224"/>
      <c r="I44" s="225"/>
      <c r="J44" s="224"/>
      <c r="K44" s="225"/>
      <c r="L44" s="224"/>
      <c r="M44" s="213"/>
      <c r="N44" s="213"/>
    </row>
    <row r="45" spans="2:17" ht="42" customHeight="1" x14ac:dyDescent="0.25">
      <c r="B45" s="218"/>
      <c r="C45" s="218"/>
      <c r="D45" s="457" t="s">
        <v>71</v>
      </c>
      <c r="E45" s="457"/>
      <c r="F45" s="457"/>
      <c r="G45" s="457"/>
      <c r="H45" s="457"/>
      <c r="I45" s="457"/>
      <c r="J45" s="457"/>
      <c r="K45" s="457"/>
      <c r="L45" s="457"/>
      <c r="M45" s="213"/>
      <c r="N45" s="213"/>
    </row>
    <row r="46" spans="2:17" ht="8.1" customHeight="1" x14ac:dyDescent="0.25">
      <c r="B46" s="218"/>
      <c r="C46" s="218"/>
      <c r="D46" s="223"/>
      <c r="E46" s="223"/>
      <c r="F46" s="223"/>
      <c r="G46" s="223"/>
      <c r="H46" s="223"/>
      <c r="I46" s="223"/>
      <c r="J46" s="223"/>
      <c r="K46" s="223"/>
      <c r="L46" s="223"/>
      <c r="M46" s="213"/>
      <c r="N46" s="213"/>
    </row>
    <row r="47" spans="2:17" ht="35.1" customHeight="1" x14ac:dyDescent="0.25">
      <c r="B47" s="218"/>
      <c r="C47" s="218"/>
      <c r="D47" s="222" t="s">
        <v>23</v>
      </c>
      <c r="E47" s="221"/>
      <c r="F47" s="219">
        <f>SUM(F48:F52)</f>
        <v>934875.85748312925</v>
      </c>
      <c r="G47" s="220"/>
      <c r="H47" s="219">
        <f>SUM(H48:H52)</f>
        <v>1766552.8552434323</v>
      </c>
      <c r="I47" s="220"/>
      <c r="J47" s="219">
        <f>SUM(J48:J52)</f>
        <v>1041991.0755890972</v>
      </c>
      <c r="K47" s="220"/>
      <c r="L47" s="219">
        <f>SUM(L48:L52)</f>
        <v>1001793.9984313936</v>
      </c>
      <c r="M47" s="213"/>
      <c r="N47" s="213"/>
    </row>
    <row r="48" spans="2:17" ht="15.6" x14ac:dyDescent="0.25">
      <c r="B48" s="218"/>
      <c r="C48" s="218"/>
      <c r="D48" s="217">
        <f>Inputs!$G$8</f>
        <v>2026</v>
      </c>
      <c r="E48" s="216"/>
      <c r="F48" s="214">
        <f>F39+SUM(('Vaccine options'!B57+'Vaccine options'!B63)*Inputs!G$87,('Vaccine options'!C57+'Vaccine options'!C63)*Inputs!G$88,('Vaccine options'!D57+'Vaccine options'!D63)*Inputs!G$89)+Inputs!G85</f>
        <v>536200.08421052631</v>
      </c>
      <c r="G48" s="215"/>
      <c r="H48" s="214">
        <f>H39+SUM(('Vaccine options'!E57+'Vaccine options'!E63)*Inputs!I$87,('Vaccine options'!F57+'Vaccine options'!F63)*Inputs!I$88,('Vaccine options'!G57+'Vaccine options'!G63)*Inputs!I$89)+Inputs!I85</f>
        <v>1009614.6105263158</v>
      </c>
      <c r="I48" s="215"/>
      <c r="J48" s="214">
        <f>J39+SUM(('Vaccine options'!H57+'Vaccine options'!H63)*Inputs!K$87,('Vaccine options'!I57+'Vaccine options'!I63)*Inputs!K$88,('Vaccine options'!J57+'Vaccine options'!J63)*Inputs!K$89)+Inputs!K85</f>
        <v>602421.19111111108</v>
      </c>
      <c r="K48" s="215"/>
      <c r="L48" s="214">
        <f>L39+SUM(('Vaccine options'!K57+'Vaccine options'!K63)*Inputs!M$87,('Vaccine options'!L57+'Vaccine options'!L63)*Inputs!M$88,('Vaccine options'!M57+'Vaccine options'!M63)*Inputs!M$89)+Inputs!M85</f>
        <v>577623.57894736843</v>
      </c>
      <c r="M48" s="213"/>
      <c r="N48" s="213"/>
      <c r="O48" s="249"/>
      <c r="P48" s="249"/>
      <c r="Q48" s="249"/>
    </row>
    <row r="49" spans="2:14" ht="15.6" x14ac:dyDescent="0.25">
      <c r="B49" s="218"/>
      <c r="C49" s="218"/>
      <c r="D49" s="217">
        <f>Inputs!$G$8+1</f>
        <v>2027</v>
      </c>
      <c r="E49" s="216"/>
      <c r="F49" s="214">
        <f>F40+SUM('Vaccine options'!B58*Inputs!G$87,'Vaccine options'!C58*Inputs!G$88,'Vaccine options'!D58*Inputs!G$89)</f>
        <v>96728.212210526312</v>
      </c>
      <c r="G49" s="215"/>
      <c r="H49" s="214">
        <f>H40+SUM('Vaccine options'!E58*Inputs!I$87,'Vaccine options'!F58*Inputs!I$88,'Vaccine options'!G58*Inputs!I$89)</f>
        <v>183651.19747368421</v>
      </c>
      <c r="I49" s="215"/>
      <c r="J49" s="214">
        <f>J40+SUM('Vaccine options'!H58*Inputs!K$87,'Vaccine options'!I58*Inputs!K$88,'Vaccine options'!J58*Inputs!K$89)</f>
        <v>106650.09493333334</v>
      </c>
      <c r="K49" s="215"/>
      <c r="L49" s="214">
        <f>L40+SUM('Vaccine options'!K58*Inputs!M$87,'Vaccine options'!L58*Inputs!M$88,'Vaccine options'!M58*Inputs!M$89)</f>
        <v>102913.81894736842</v>
      </c>
      <c r="M49" s="213"/>
      <c r="N49" s="213"/>
    </row>
    <row r="50" spans="2:14" ht="15.6" x14ac:dyDescent="0.25">
      <c r="B50" s="218"/>
      <c r="C50" s="218"/>
      <c r="D50" s="217">
        <f>Inputs!$G$8+2</f>
        <v>2028</v>
      </c>
      <c r="E50" s="216"/>
      <c r="F50" s="214">
        <f>F41+SUM('Vaccine options'!B59*Inputs!G$87,'Vaccine options'!C59*Inputs!G$88,'Vaccine options'!D59*Inputs!G$89)</f>
        <v>98662.776454736842</v>
      </c>
      <c r="G50" s="215"/>
      <c r="H50" s="214">
        <f>H41+SUM('Vaccine options'!E59*Inputs!I$87,'Vaccine options'!F59*Inputs!I$88,'Vaccine options'!G59*Inputs!I$89)</f>
        <v>187324.2214231579</v>
      </c>
      <c r="I50" s="215"/>
      <c r="J50" s="214">
        <f>J41+SUM('Vaccine options'!H59*Inputs!K$87,'Vaccine options'!I59*Inputs!K$88,'Vaccine options'!J59*Inputs!K$89)</f>
        <v>108783.096832</v>
      </c>
      <c r="K50" s="215"/>
      <c r="L50" s="214">
        <f>L41+SUM('Vaccine options'!K59*Inputs!M$87,'Vaccine options'!L59*Inputs!M$88,'Vaccine options'!M59*Inputs!M$89)</f>
        <v>104972.09532631579</v>
      </c>
      <c r="M50" s="213"/>
      <c r="N50" s="213"/>
    </row>
    <row r="51" spans="2:14" ht="15.6" x14ac:dyDescent="0.25">
      <c r="B51" s="218"/>
      <c r="C51" s="218"/>
      <c r="D51" s="217">
        <f>Inputs!$G$8+3</f>
        <v>2029</v>
      </c>
      <c r="E51" s="216"/>
      <c r="F51" s="214">
        <f>F42+SUM('Vaccine options'!B60*Inputs!G$87,'Vaccine options'!C60*Inputs!G$88,'Vaccine options'!D60*Inputs!G$89)</f>
        <v>100636.03198383158</v>
      </c>
      <c r="G51" s="215"/>
      <c r="H51" s="214">
        <f>H42+SUM('Vaccine options'!E60*Inputs!I$87,'Vaccine options'!F60*Inputs!I$88,'Vaccine options'!G60*Inputs!I$89)</f>
        <v>191070.70585162102</v>
      </c>
      <c r="I51" s="215"/>
      <c r="J51" s="214">
        <f>J42+SUM('Vaccine options'!H60*Inputs!K$87,'Vaccine options'!I60*Inputs!K$88,'Vaccine options'!J60*Inputs!K$89)</f>
        <v>110958.75876863999</v>
      </c>
      <c r="K51" s="215"/>
      <c r="L51" s="214">
        <f>L42+SUM('Vaccine options'!K60*Inputs!M$87,'Vaccine options'!L60*Inputs!M$88,'Vaccine options'!M60*Inputs!M$89)</f>
        <v>107071.53723284211</v>
      </c>
      <c r="M51" s="213"/>
      <c r="N51" s="213"/>
    </row>
    <row r="52" spans="2:14" ht="15.6" x14ac:dyDescent="0.25">
      <c r="B52" s="218"/>
      <c r="C52" s="218"/>
      <c r="D52" s="217">
        <f>Inputs!$G$8+4</f>
        <v>2030</v>
      </c>
      <c r="E52" s="216"/>
      <c r="F52" s="214">
        <f>F43+SUM('Vaccine options'!B61*Inputs!G$87,'Vaccine options'!C61*Inputs!G$88,'Vaccine options'!D61*Inputs!G$89)</f>
        <v>102648.75262350822</v>
      </c>
      <c r="G52" s="215"/>
      <c r="H52" s="214">
        <f>H43+SUM('Vaccine options'!E61*Inputs!I$87,'Vaccine options'!F61*Inputs!I$88,'Vaccine options'!G61*Inputs!I$89)</f>
        <v>194892.11996865348</v>
      </c>
      <c r="I52" s="215"/>
      <c r="J52" s="214">
        <f>J43+SUM('Vaccine options'!H61*Inputs!K$87,'Vaccine options'!I61*Inputs!K$88,'Vaccine options'!J61*Inputs!K$89)</f>
        <v>113177.93394401281</v>
      </c>
      <c r="K52" s="215"/>
      <c r="L52" s="214">
        <f>L43+SUM('Vaccine options'!K61*Inputs!M$87,'Vaccine options'!L61*Inputs!M$88,'Vaccine options'!M61*Inputs!M$89)</f>
        <v>109212.96797749895</v>
      </c>
      <c r="M52" s="213"/>
      <c r="N52" s="213"/>
    </row>
    <row r="53" spans="2:14" ht="15" customHeight="1" x14ac:dyDescent="0.25">
      <c r="B53" s="213"/>
      <c r="C53" s="213"/>
      <c r="D53" s="213"/>
      <c r="E53" s="213"/>
      <c r="F53" s="213"/>
      <c r="G53" s="213"/>
      <c r="H53" s="213"/>
      <c r="I53" s="213"/>
      <c r="J53" s="213"/>
      <c r="K53" s="213"/>
      <c r="L53" s="213"/>
      <c r="M53" s="213"/>
      <c r="N53" s="213"/>
    </row>
    <row r="54" spans="2:14" ht="40.35" customHeight="1" x14ac:dyDescent="0.25">
      <c r="B54" s="213"/>
      <c r="C54" s="461" t="s">
        <v>79</v>
      </c>
      <c r="D54" s="461"/>
      <c r="E54" s="461"/>
      <c r="F54" s="461"/>
      <c r="G54" s="461"/>
      <c r="H54" s="461"/>
      <c r="I54" s="461"/>
      <c r="J54" s="461"/>
      <c r="K54" s="461"/>
      <c r="L54" s="461"/>
      <c r="M54" s="461"/>
      <c r="N54" s="213"/>
    </row>
    <row r="55" spans="2:14" ht="15" customHeight="1" x14ac:dyDescent="0.25">
      <c r="B55" s="213"/>
      <c r="C55" s="213"/>
      <c r="D55" s="213"/>
      <c r="E55" s="213"/>
      <c r="F55" s="213"/>
      <c r="G55" s="213"/>
      <c r="H55" s="213"/>
      <c r="I55" s="213"/>
      <c r="J55" s="213"/>
      <c r="K55" s="213"/>
      <c r="L55" s="213"/>
      <c r="M55" s="213"/>
      <c r="N55" s="213"/>
    </row>
    <row r="56" spans="2:14" ht="42" customHeight="1" x14ac:dyDescent="0.25">
      <c r="B56" s="218"/>
      <c r="C56" s="218"/>
      <c r="D56" s="454" t="s">
        <v>72</v>
      </c>
      <c r="E56" s="454"/>
      <c r="F56" s="454"/>
      <c r="G56" s="454"/>
      <c r="H56" s="454"/>
      <c r="I56" s="454"/>
      <c r="J56" s="454"/>
      <c r="K56" s="454"/>
      <c r="L56" s="454"/>
      <c r="M56" s="213"/>
      <c r="N56" s="213"/>
    </row>
    <row r="57" spans="2:14" ht="15.6" x14ac:dyDescent="0.25">
      <c r="B57" s="218"/>
      <c r="C57" s="218"/>
      <c r="D57" s="223"/>
      <c r="E57" s="223"/>
      <c r="F57" s="223"/>
      <c r="G57" s="223"/>
      <c r="H57" s="223"/>
      <c r="I57" s="223"/>
      <c r="J57" s="223"/>
      <c r="K57" s="223"/>
      <c r="L57" s="223"/>
      <c r="M57" s="213"/>
      <c r="N57" s="213"/>
    </row>
    <row r="58" spans="2:14" ht="31.2" x14ac:dyDescent="0.25">
      <c r="B58" s="218"/>
      <c r="C58" s="218"/>
      <c r="D58" s="222" t="s">
        <v>23</v>
      </c>
      <c r="E58" s="221"/>
      <c r="F58" s="219">
        <f>SUM(F59:F63)</f>
        <v>2761786.5127747362</v>
      </c>
      <c r="G58" s="220"/>
      <c r="H58" s="219">
        <f>SUM(H59:H63)</f>
        <v>5064633.5484085893</v>
      </c>
      <c r="I58" s="220"/>
      <c r="J58" s="219">
        <f>SUM(J59:J63)</f>
        <v>5167212.2285818327</v>
      </c>
      <c r="K58" s="220"/>
      <c r="L58" s="219">
        <f>SUM(L59:L63)</f>
        <v>4264971.615428715</v>
      </c>
      <c r="M58" s="213"/>
      <c r="N58" s="213"/>
    </row>
    <row r="59" spans="2:14" ht="15.6" x14ac:dyDescent="0.25">
      <c r="B59" s="218"/>
      <c r="C59" s="218"/>
      <c r="D59" s="217">
        <f>Inputs!$G$8</f>
        <v>2026</v>
      </c>
      <c r="E59" s="216"/>
      <c r="F59" s="227">
        <f>F20*(Inputs!G54+Inputs!G54*Inputs!G$76+Inputs!G54*Inputs!G$77)+(F11/Inputs!G$80*Inputs!G$79)+(F11*Inputs!$G$81)</f>
        <v>1590416.8421052629</v>
      </c>
      <c r="G59" s="225"/>
      <c r="H59" s="227">
        <f>H20*(Inputs!I54+Inputs!I54*Inputs!I$76+Inputs!I54*Inputs!I$77)+(H11/Inputs!I$80*Inputs!I$79)+(H11*Inputs!$I$81)</f>
        <v>2907646.3157894737</v>
      </c>
      <c r="I59" s="225"/>
      <c r="J59" s="227">
        <f>J20*(Inputs!K54+Inputs!K54*Inputs!K$76+Inputs!K54*Inputs!K$77)+(J11/Inputs!K$80*Inputs!K$79)+(J11*Inputs!$K$81)</f>
        <v>2973489.7777777785</v>
      </c>
      <c r="K59" s="225"/>
      <c r="L59" s="227">
        <f>L20*(Inputs!M54+Inputs!M54*Inputs!M$76+Inputs!M54*Inputs!M$77)+(L11/Inputs!M$80*Inputs!M$79)+(L11*Inputs!$M$81)</f>
        <v>2456235.789473684</v>
      </c>
      <c r="M59" s="213"/>
      <c r="N59" s="213"/>
    </row>
    <row r="60" spans="2:14" ht="15.6" x14ac:dyDescent="0.25">
      <c r="B60" s="218"/>
      <c r="C60" s="218"/>
      <c r="D60" s="217">
        <f>Inputs!$G$8+1</f>
        <v>2027</v>
      </c>
      <c r="E60" s="216"/>
      <c r="F60" s="227">
        <f>F21*(Inputs!G55+Inputs!G55*Inputs!G$76+Inputs!G55*Inputs!G$77)+(F12/Inputs!G$80*Inputs!G$79)+(F12*Inputs!$G$81)</f>
        <v>284202.10526315781</v>
      </c>
      <c r="G60" s="225"/>
      <c r="H60" s="227">
        <f>H21*(Inputs!I55+Inputs!I55*Inputs!I$76+Inputs!I55*Inputs!I$77)+(H12/Inputs!I$80*Inputs!I$79)+(H12*Inputs!$I$81)</f>
        <v>523336.33684210526</v>
      </c>
      <c r="I60" s="225"/>
      <c r="J60" s="227">
        <f>J21*(Inputs!K55+Inputs!K55*Inputs!K$76+Inputs!K55*Inputs!K$77)+(J12/Inputs!K$80*Inputs!K$79)+(J12*Inputs!$K$81)</f>
        <v>532249.17333333346</v>
      </c>
      <c r="K60" s="225"/>
      <c r="L60" s="227">
        <f>L21*(Inputs!M55+Inputs!M55*Inputs!M$76+Inputs!M55*Inputs!M$77)+(L12/Inputs!M$80*Inputs!M$79)+(L12*Inputs!$M$81)</f>
        <v>438842.27368421044</v>
      </c>
      <c r="M60" s="213"/>
      <c r="N60" s="213"/>
    </row>
    <row r="61" spans="2:14" ht="15.6" x14ac:dyDescent="0.25">
      <c r="B61" s="218"/>
      <c r="C61" s="218"/>
      <c r="D61" s="217">
        <f>Inputs!$G$8+2</f>
        <v>2028</v>
      </c>
      <c r="E61" s="216"/>
      <c r="F61" s="227">
        <f>F22*(Inputs!G56+Inputs!G56*Inputs!G$76+Inputs!G56*Inputs!G$77)+(F13/Inputs!G$80*Inputs!G$79)+(F13*Inputs!$G$81)</f>
        <v>289886.14736842108</v>
      </c>
      <c r="G61" s="225"/>
      <c r="H61" s="227">
        <f>H22*(Inputs!I56+Inputs!I56*Inputs!I$76+Inputs!I56*Inputs!I$77)+(H13/Inputs!I$80*Inputs!I$79)+(H13*Inputs!$I$81)</f>
        <v>533803.06357894721</v>
      </c>
      <c r="I61" s="225"/>
      <c r="J61" s="227">
        <f>J22*(Inputs!K56+Inputs!K56*Inputs!K$76+Inputs!K56*Inputs!K$77)+(J13/Inputs!K$80*Inputs!K$79)+(J13*Inputs!$K$81)</f>
        <v>542894.15680000011</v>
      </c>
      <c r="K61" s="225"/>
      <c r="L61" s="227">
        <f>L22*(Inputs!M56+Inputs!M56*Inputs!M$76+Inputs!M56*Inputs!M$77)+(L13/Inputs!M$80*Inputs!M$79)+(L13*Inputs!$M$81)</f>
        <v>447619.11915789475</v>
      </c>
      <c r="M61" s="213"/>
      <c r="N61" s="213"/>
    </row>
    <row r="62" spans="2:14" ht="15.6" x14ac:dyDescent="0.25">
      <c r="B62" s="218"/>
      <c r="C62" s="218"/>
      <c r="D62" s="217">
        <f>Inputs!$G$8+3</f>
        <v>2029</v>
      </c>
      <c r="E62" s="216"/>
      <c r="F62" s="227">
        <f>F23*(Inputs!G57+Inputs!G57*Inputs!G$76+Inputs!G57*Inputs!G$77)+(F14/Inputs!G$80*Inputs!G$79)+(F14*Inputs!$G$81)</f>
        <v>295683.87031578948</v>
      </c>
      <c r="G62" s="225"/>
      <c r="H62" s="227">
        <f>H23*(Inputs!I57+Inputs!I57*Inputs!I$76+Inputs!I57*Inputs!I$77)+(H14/Inputs!I$80*Inputs!I$79)+(H14*Inputs!$I$81)</f>
        <v>544479.12485052634</v>
      </c>
      <c r="I62" s="225"/>
      <c r="J62" s="227">
        <f>J23*(Inputs!K57+Inputs!K57*Inputs!K$76+Inputs!K57*Inputs!K$77)+(J14/Inputs!K$80*Inputs!K$79)+(J14*Inputs!$K$81)</f>
        <v>553752.03993600013</v>
      </c>
      <c r="K62" s="225"/>
      <c r="L62" s="227">
        <f>L23*(Inputs!M57+Inputs!M57*Inputs!M$76+Inputs!M57*Inputs!M$77)+(L14/Inputs!M$80*Inputs!M$79)+(L14*Inputs!$M$81)</f>
        <v>456571.50154105265</v>
      </c>
      <c r="M62" s="213"/>
      <c r="N62" s="213"/>
    </row>
    <row r="63" spans="2:14" ht="15.6" x14ac:dyDescent="0.25">
      <c r="B63" s="218"/>
      <c r="C63" s="218"/>
      <c r="D63" s="217">
        <f>Inputs!$G$8+4</f>
        <v>2030</v>
      </c>
      <c r="E63" s="216"/>
      <c r="F63" s="227">
        <f>F24*(Inputs!G58+Inputs!G58*Inputs!G$76+Inputs!G58*Inputs!G$77)+(F15/Inputs!G$80*Inputs!G$79)+(F15*Inputs!$G$81)</f>
        <v>301597.54772210529</v>
      </c>
      <c r="G63" s="225"/>
      <c r="H63" s="227">
        <f>H24*(Inputs!I58+Inputs!I58*Inputs!I$76+Inputs!I58*Inputs!I$77)+(H15/Inputs!I$80*Inputs!I$79)+(H15*Inputs!$I$81)</f>
        <v>555368.70734753681</v>
      </c>
      <c r="I63" s="225"/>
      <c r="J63" s="227">
        <f>J24*(Inputs!K58+Inputs!K58*Inputs!K$76+Inputs!K58*Inputs!K$77)+(J15/Inputs!K$80*Inputs!K$79)+(J15*Inputs!$K$81)</f>
        <v>564827.08073471999</v>
      </c>
      <c r="K63" s="225"/>
      <c r="L63" s="227">
        <f>L24*(Inputs!M58+Inputs!M58*Inputs!M$76+Inputs!M58*Inputs!M$77)+(L15/Inputs!M$80*Inputs!M$79)+(L15*Inputs!$M$81)</f>
        <v>465702.93157187372</v>
      </c>
      <c r="M63" s="213"/>
      <c r="N63" s="213"/>
    </row>
    <row r="64" spans="2:14" ht="15.6" x14ac:dyDescent="0.25">
      <c r="B64" s="218"/>
      <c r="C64" s="218"/>
      <c r="D64" s="226"/>
      <c r="E64" s="216"/>
      <c r="F64" s="224"/>
      <c r="G64" s="225"/>
      <c r="H64" s="224"/>
      <c r="I64" s="225"/>
      <c r="J64" s="224"/>
      <c r="K64" s="225"/>
      <c r="L64" s="224"/>
      <c r="M64" s="213"/>
      <c r="N64" s="213"/>
    </row>
    <row r="65" spans="2:14" ht="42" customHeight="1" x14ac:dyDescent="0.25">
      <c r="B65" s="218"/>
      <c r="C65" s="218"/>
      <c r="D65" s="454" t="s">
        <v>73</v>
      </c>
      <c r="E65" s="454"/>
      <c r="F65" s="454"/>
      <c r="G65" s="454"/>
      <c r="H65" s="454"/>
      <c r="I65" s="454"/>
      <c r="J65" s="454"/>
      <c r="K65" s="454"/>
      <c r="L65" s="454"/>
      <c r="M65" s="213"/>
      <c r="N65" s="213"/>
    </row>
    <row r="66" spans="2:14" ht="15.6" x14ac:dyDescent="0.25">
      <c r="B66" s="218"/>
      <c r="C66" s="218"/>
      <c r="D66" s="223"/>
      <c r="E66" s="223"/>
      <c r="F66" s="223"/>
      <c r="G66" s="223"/>
      <c r="H66" s="223"/>
      <c r="I66" s="223"/>
      <c r="J66" s="223"/>
      <c r="K66" s="223"/>
      <c r="L66" s="223"/>
      <c r="M66" s="213"/>
      <c r="N66" s="213"/>
    </row>
    <row r="67" spans="2:14" ht="31.2" x14ac:dyDescent="0.25">
      <c r="B67" s="218"/>
      <c r="C67" s="218"/>
      <c r="D67" s="222" t="s">
        <v>23</v>
      </c>
      <c r="E67" s="221"/>
      <c r="F67" s="219">
        <f>SUM(F68:F72)</f>
        <v>3538109.725574736</v>
      </c>
      <c r="G67" s="220"/>
      <c r="H67" s="219">
        <f>SUM(H68:H72)</f>
        <v>6538249.6728085894</v>
      </c>
      <c r="I67" s="220"/>
      <c r="J67" s="219">
        <f>SUM(J68:J72)</f>
        <v>5943535.4413818317</v>
      </c>
      <c r="K67" s="220"/>
      <c r="L67" s="219">
        <f>SUM(L68:L72)</f>
        <v>5041294.8282287158</v>
      </c>
      <c r="M67" s="213"/>
      <c r="N67" s="213"/>
    </row>
    <row r="68" spans="2:14" ht="15.6" x14ac:dyDescent="0.25">
      <c r="B68" s="218"/>
      <c r="C68" s="218"/>
      <c r="D68" s="217">
        <f>Inputs!$G$8</f>
        <v>2026</v>
      </c>
      <c r="E68" s="216"/>
      <c r="F68" s="214">
        <f>F59+SUM(('Vaccine options'!B57+'Vaccine options'!B63)*Inputs!G$87,('Vaccine options'!C57+'Vaccine options'!C63)*Inputs!G$88,('Vaccine options'!D57+'Vaccine options'!D63)*Inputs!G$89)+Inputs!G85</f>
        <v>2030416.8421052629</v>
      </c>
      <c r="G68" s="215"/>
      <c r="H68" s="214">
        <f>H59+SUM(('Vaccine options'!E57+'Vaccine options'!E63)*Inputs!I$87,('Vaccine options'!F57+'Vaccine options'!F63)*Inputs!I$88,('Vaccine options'!G57+'Vaccine options'!G63)*Inputs!I$89)+Inputs!I85</f>
        <v>3740146.3157894737</v>
      </c>
      <c r="I68" s="215"/>
      <c r="J68" s="214">
        <f>J59+SUM(('Vaccine options'!H57+'Vaccine options'!H63)*Inputs!K$87,('Vaccine options'!I57+'Vaccine options'!I63)*Inputs!K$88,('Vaccine options'!J57+'Vaccine options'!J63)*Inputs!K$89)+Inputs!K85</f>
        <v>3413489.7777777785</v>
      </c>
      <c r="K68" s="215"/>
      <c r="L68" s="214">
        <f>L59+SUM(('Vaccine options'!K57+'Vaccine options'!K63)*Inputs!M$87,('Vaccine options'!L57+'Vaccine options'!L63)*Inputs!M$88,('Vaccine options'!M57+'Vaccine options'!M63)*Inputs!M$89)+Inputs!M85</f>
        <v>2896235.789473684</v>
      </c>
      <c r="M68" s="213"/>
      <c r="N68" s="213"/>
    </row>
    <row r="69" spans="2:14" ht="15.6" x14ac:dyDescent="0.25">
      <c r="B69" s="218"/>
      <c r="C69" s="218"/>
      <c r="D69" s="217">
        <f>Inputs!$G$8+1</f>
        <v>2027</v>
      </c>
      <c r="E69" s="216"/>
      <c r="F69" s="214">
        <f>F60+SUM('Vaccine options'!B58*Inputs!G$87,'Vaccine options'!C58*Inputs!G$88,'Vaccine options'!D58*Inputs!G$89)</f>
        <v>365802.10526315781</v>
      </c>
      <c r="G69" s="215"/>
      <c r="H69" s="214">
        <f>H60+SUM('Vaccine options'!E58*Inputs!I$87,'Vaccine options'!F58*Inputs!I$88,'Vaccine options'!G58*Inputs!I$89)</f>
        <v>678886.33684210526</v>
      </c>
      <c r="I69" s="215"/>
      <c r="J69" s="214">
        <f>J60+SUM('Vaccine options'!H58*Inputs!K$87,'Vaccine options'!I58*Inputs!K$88,'Vaccine options'!J58*Inputs!K$89)</f>
        <v>613849.17333333346</v>
      </c>
      <c r="K69" s="215"/>
      <c r="L69" s="214">
        <f>L60+SUM('Vaccine options'!K58*Inputs!M$87,'Vaccine options'!L58*Inputs!M$88,'Vaccine options'!M58*Inputs!M$89)</f>
        <v>520442.27368421044</v>
      </c>
      <c r="M69" s="213"/>
      <c r="N69" s="213"/>
    </row>
    <row r="70" spans="2:14" ht="15.6" x14ac:dyDescent="0.25">
      <c r="B70" s="218"/>
      <c r="C70" s="218"/>
      <c r="D70" s="217">
        <f>Inputs!$G$8+2</f>
        <v>2028</v>
      </c>
      <c r="E70" s="216"/>
      <c r="F70" s="214">
        <f>F61+SUM('Vaccine options'!B59*Inputs!G$87,'Vaccine options'!C59*Inputs!G$88,'Vaccine options'!D59*Inputs!G$89)</f>
        <v>373118.14736842108</v>
      </c>
      <c r="G70" s="215"/>
      <c r="H70" s="214">
        <f>H61+SUM('Vaccine options'!E59*Inputs!I$87,'Vaccine options'!F59*Inputs!I$88,'Vaccine options'!G59*Inputs!I$89)</f>
        <v>692464.06357894721</v>
      </c>
      <c r="I70" s="215"/>
      <c r="J70" s="214">
        <f>J61+SUM('Vaccine options'!H59*Inputs!K$87,'Vaccine options'!I59*Inputs!K$88,'Vaccine options'!J59*Inputs!K$89)</f>
        <v>626126.15680000011</v>
      </c>
      <c r="K70" s="215"/>
      <c r="L70" s="214">
        <f>L61+SUM('Vaccine options'!K59*Inputs!M$87,'Vaccine options'!L59*Inputs!M$88,'Vaccine options'!M59*Inputs!M$89)</f>
        <v>530851.11915789475</v>
      </c>
      <c r="M70" s="213"/>
      <c r="N70" s="213"/>
    </row>
    <row r="71" spans="2:14" ht="15.6" x14ac:dyDescent="0.25">
      <c r="B71" s="218"/>
      <c r="C71" s="218"/>
      <c r="D71" s="217">
        <f>Inputs!$G$8+3</f>
        <v>2029</v>
      </c>
      <c r="E71" s="216"/>
      <c r="F71" s="214">
        <f>F62+SUM('Vaccine options'!B60*Inputs!G$87,'Vaccine options'!C60*Inputs!G$88,'Vaccine options'!D60*Inputs!G$89)</f>
        <v>380580.51031578949</v>
      </c>
      <c r="G71" s="215"/>
      <c r="H71" s="214">
        <f>H62+SUM('Vaccine options'!E60*Inputs!I$87,'Vaccine options'!F60*Inputs!I$88,'Vaccine options'!G60*Inputs!I$89)</f>
        <v>706313.34485052631</v>
      </c>
      <c r="I71" s="215"/>
      <c r="J71" s="214">
        <f>J62+SUM('Vaccine options'!H60*Inputs!K$87,'Vaccine options'!I60*Inputs!K$88,'Vaccine options'!J60*Inputs!K$89)</f>
        <v>638648.67993600015</v>
      </c>
      <c r="K71" s="215"/>
      <c r="L71" s="214">
        <f>L62+SUM('Vaccine options'!K60*Inputs!M$87,'Vaccine options'!L60*Inputs!M$88,'Vaccine options'!M60*Inputs!M$89)</f>
        <v>541468.14154105261</v>
      </c>
      <c r="M71" s="213"/>
      <c r="N71" s="213"/>
    </row>
    <row r="72" spans="2:14" ht="15.6" x14ac:dyDescent="0.25">
      <c r="B72" s="218"/>
      <c r="C72" s="218"/>
      <c r="D72" s="217">
        <f>Inputs!$G$8+4</f>
        <v>2030</v>
      </c>
      <c r="E72" s="216"/>
      <c r="F72" s="214">
        <f>F63+SUM('Vaccine options'!B61*Inputs!G$87,'Vaccine options'!C61*Inputs!G$88,'Vaccine options'!D61*Inputs!G$89)</f>
        <v>388192.12052210531</v>
      </c>
      <c r="G72" s="215"/>
      <c r="H72" s="214">
        <f>H63+SUM('Vaccine options'!E61*Inputs!I$87,'Vaccine options'!F61*Inputs!I$88,'Vaccine options'!G61*Inputs!I$89)</f>
        <v>720439.61174753681</v>
      </c>
      <c r="I72" s="215"/>
      <c r="J72" s="214">
        <f>J63+SUM('Vaccine options'!H61*Inputs!K$87,'Vaccine options'!I61*Inputs!K$88,'Vaccine options'!J61*Inputs!K$89)</f>
        <v>651421.65353471995</v>
      </c>
      <c r="K72" s="215"/>
      <c r="L72" s="214">
        <f>L63+SUM('Vaccine options'!K61*Inputs!M$87,'Vaccine options'!L61*Inputs!M$88,'Vaccine options'!M61*Inputs!M$89)</f>
        <v>552297.50437187369</v>
      </c>
      <c r="M72" s="213"/>
      <c r="N72" s="213"/>
    </row>
    <row r="73" spans="2:14" x14ac:dyDescent="0.25">
      <c r="B73" s="213"/>
      <c r="C73" s="213"/>
      <c r="D73" s="213"/>
      <c r="E73" s="213"/>
      <c r="F73" s="213"/>
      <c r="G73" s="213"/>
      <c r="H73" s="213"/>
      <c r="I73" s="213"/>
      <c r="J73" s="213"/>
      <c r="K73" s="213"/>
      <c r="L73" s="213"/>
      <c r="M73" s="213"/>
      <c r="N73" s="213"/>
    </row>
  </sheetData>
  <sheetProtection algorithmName="SHA-512" hashValue="r1UEcz0b5QhbB5VhnMPUQoQyhlaaAT6o/hF/FFRXcBJD3F4QrBhBTISo8L1J4+K/xYV4wFlqRHt2M406nOx2CA==" saltValue="BzS2yQMuty89SD4XZrYNeQ==" spinCount="100000" sheet="1" formatRows="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58 H58 J58 L58">
    <cfRule type="colorScale" priority="2">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L38 J38 H38 F38">
    <cfRule type="colorScale" priority="15">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63"/>
  <sheetViews>
    <sheetView topLeftCell="A35" workbookViewId="0">
      <selection activeCell="C67" sqref="C67"/>
    </sheetView>
  </sheetViews>
  <sheetFormatPr defaultColWidth="8.88671875" defaultRowHeight="14.4" x14ac:dyDescent="0.3"/>
  <cols>
    <col min="1" max="1" width="52" customWidth="1"/>
    <col min="2" max="27" width="20.44140625" customWidth="1"/>
  </cols>
  <sheetData>
    <row r="1" spans="1:6" x14ac:dyDescent="0.3">
      <c r="A1" s="4" t="s">
        <v>4</v>
      </c>
      <c r="B1" s="4" t="s">
        <v>6</v>
      </c>
      <c r="C1" s="4" t="s">
        <v>2</v>
      </c>
      <c r="D1" s="4" t="s">
        <v>15</v>
      </c>
      <c r="E1" s="4" t="s">
        <v>27</v>
      </c>
    </row>
    <row r="2" spans="1:6" x14ac:dyDescent="0.3">
      <c r="A2" s="4"/>
      <c r="B2" s="4"/>
      <c r="C2" s="4"/>
      <c r="D2" s="4"/>
      <c r="E2" s="4"/>
    </row>
    <row r="3" spans="1:6" ht="28.8" x14ac:dyDescent="0.3">
      <c r="A3" s="8" t="s">
        <v>83</v>
      </c>
      <c r="B3" s="5">
        <v>2</v>
      </c>
      <c r="C3" s="3">
        <v>0.05</v>
      </c>
      <c r="D3" s="1">
        <v>14.6</v>
      </c>
      <c r="E3" s="9" t="s">
        <v>152</v>
      </c>
    </row>
    <row r="4" spans="1:6" ht="28.8" x14ac:dyDescent="0.3">
      <c r="A4" s="8" t="s">
        <v>84</v>
      </c>
      <c r="B4" s="5">
        <v>2</v>
      </c>
      <c r="C4" s="3">
        <v>0.05</v>
      </c>
      <c r="D4" s="1">
        <v>11.8</v>
      </c>
      <c r="E4" s="9" t="s">
        <v>147</v>
      </c>
    </row>
    <row r="5" spans="1:6" ht="28.8" x14ac:dyDescent="0.3">
      <c r="A5" s="8" t="s">
        <v>85</v>
      </c>
      <c r="B5" s="5">
        <v>2</v>
      </c>
      <c r="C5" s="3">
        <v>0.1</v>
      </c>
      <c r="D5" s="1">
        <v>4.8</v>
      </c>
      <c r="E5" s="9" t="s">
        <v>86</v>
      </c>
    </row>
    <row r="6" spans="1:6" ht="28.8" x14ac:dyDescent="0.3">
      <c r="A6" s="8" t="s">
        <v>88</v>
      </c>
      <c r="B6" s="5">
        <v>2</v>
      </c>
      <c r="C6" s="3">
        <v>0.05</v>
      </c>
      <c r="D6" s="1">
        <v>15</v>
      </c>
      <c r="E6" s="9" t="s">
        <v>86</v>
      </c>
    </row>
    <row r="7" spans="1:6" x14ac:dyDescent="0.3">
      <c r="A7" s="300" t="s">
        <v>148</v>
      </c>
      <c r="B7" s="5">
        <v>2</v>
      </c>
      <c r="C7" s="3">
        <v>0.05</v>
      </c>
      <c r="D7" s="1">
        <v>3.5</v>
      </c>
      <c r="E7" s="9" t="s">
        <v>87</v>
      </c>
      <c r="F7" s="297" t="s">
        <v>149</v>
      </c>
    </row>
    <row r="8" spans="1:6" x14ac:dyDescent="0.3">
      <c r="A8" s="296" t="s">
        <v>9</v>
      </c>
      <c r="B8" s="297" t="s">
        <v>123</v>
      </c>
    </row>
    <row r="9" spans="1:6" x14ac:dyDescent="0.3">
      <c r="A9" t="s">
        <v>94</v>
      </c>
      <c r="B9" t="s">
        <v>143</v>
      </c>
    </row>
    <row r="10" spans="1:6" x14ac:dyDescent="0.3">
      <c r="A10" s="8" t="s">
        <v>92</v>
      </c>
      <c r="B10" t="s">
        <v>144</v>
      </c>
    </row>
    <row r="11" spans="1:6" x14ac:dyDescent="0.3">
      <c r="A11" t="s">
        <v>93</v>
      </c>
    </row>
    <row r="12" spans="1:6" x14ac:dyDescent="0.3">
      <c r="D12" s="8" t="s">
        <v>92</v>
      </c>
      <c r="F12" t="s">
        <v>93</v>
      </c>
    </row>
    <row r="13" spans="1:6" x14ac:dyDescent="0.3">
      <c r="A13" s="7"/>
      <c r="B13" s="255">
        <v>0</v>
      </c>
      <c r="D13" s="274">
        <v>0.04</v>
      </c>
      <c r="E13" s="277">
        <v>1</v>
      </c>
      <c r="F13" s="274">
        <f>Inputs!G40</f>
        <v>0.15</v>
      </c>
    </row>
    <row r="14" spans="1:6" x14ac:dyDescent="0.3">
      <c r="B14" s="255">
        <v>0.05</v>
      </c>
      <c r="D14" s="274">
        <f>D13*1.15</f>
        <v>4.5999999999999999E-2</v>
      </c>
      <c r="E14" s="277">
        <v>2</v>
      </c>
      <c r="F14" s="274">
        <v>0.4</v>
      </c>
    </row>
    <row r="15" spans="1:6" x14ac:dyDescent="0.3">
      <c r="B15" s="255">
        <v>0.1</v>
      </c>
      <c r="D15" s="274">
        <f t="shared" ref="D15:D36" si="0">D14*1.15</f>
        <v>5.2899999999999996E-2</v>
      </c>
      <c r="E15" s="277">
        <v>3</v>
      </c>
      <c r="F15" s="274">
        <v>0.5</v>
      </c>
    </row>
    <row r="16" spans="1:6" x14ac:dyDescent="0.3">
      <c r="B16" s="255">
        <v>0.15</v>
      </c>
      <c r="D16" s="274">
        <f t="shared" si="0"/>
        <v>6.0834999999999993E-2</v>
      </c>
      <c r="E16" s="277">
        <v>4</v>
      </c>
      <c r="F16" s="274">
        <v>0.6</v>
      </c>
    </row>
    <row r="17" spans="2:9" x14ac:dyDescent="0.3">
      <c r="B17" s="255">
        <v>0.2</v>
      </c>
      <c r="D17" s="274">
        <f t="shared" si="0"/>
        <v>6.9960249999999988E-2</v>
      </c>
      <c r="E17" s="277">
        <v>5</v>
      </c>
      <c r="F17" s="274">
        <v>0.7</v>
      </c>
    </row>
    <row r="18" spans="2:9" x14ac:dyDescent="0.3">
      <c r="B18" s="255">
        <v>0.25</v>
      </c>
      <c r="D18" s="274">
        <f t="shared" si="0"/>
        <v>8.0454287499999985E-2</v>
      </c>
      <c r="E18" s="277">
        <v>6</v>
      </c>
      <c r="F18" s="274">
        <v>0.8</v>
      </c>
    </row>
    <row r="19" spans="2:9" x14ac:dyDescent="0.3">
      <c r="B19" s="255">
        <v>0.3</v>
      </c>
      <c r="D19" s="274">
        <f t="shared" si="0"/>
        <v>9.2522430624999971E-2</v>
      </c>
      <c r="E19" s="277">
        <v>7</v>
      </c>
      <c r="F19" s="274">
        <v>0.9</v>
      </c>
    </row>
    <row r="20" spans="2:9" x14ac:dyDescent="0.3">
      <c r="B20" s="255">
        <v>0.35</v>
      </c>
      <c r="D20" s="274">
        <f t="shared" si="0"/>
        <v>0.10640079521874996</v>
      </c>
      <c r="E20" s="277">
        <v>8</v>
      </c>
      <c r="F20" s="274">
        <v>0.9</v>
      </c>
    </row>
    <row r="21" spans="2:9" x14ac:dyDescent="0.3">
      <c r="B21" s="255">
        <v>0.4</v>
      </c>
      <c r="D21" s="274">
        <f t="shared" si="0"/>
        <v>0.12236091450156245</v>
      </c>
      <c r="E21" s="277">
        <f>Inputs!F41</f>
        <v>2026</v>
      </c>
      <c r="F21" s="274" cm="1">
        <f t="array" ref="F21">IF(Inputs!$G$36=B9,INDEX('Vaccine options'!$F$13:$F$20,MATCH(Inputs!$G$37,'Vaccine options'!$E$13:$E$20),0),Inputs!$G$40)</f>
        <v>0.5</v>
      </c>
      <c r="G21" t="s">
        <v>107</v>
      </c>
      <c r="I21" s="255"/>
    </row>
    <row r="22" spans="2:9" x14ac:dyDescent="0.3">
      <c r="B22" s="255">
        <v>0.45</v>
      </c>
      <c r="D22" s="274">
        <f t="shared" si="0"/>
        <v>0.14071505167679679</v>
      </c>
      <c r="E22" s="277">
        <f>Inputs!F42</f>
        <v>2027</v>
      </c>
      <c r="F22" s="274">
        <f>MIN(1,F21+(1-$F$21)/(9-Inputs!$G$37))</f>
        <v>0.58333333333333337</v>
      </c>
      <c r="G22" s="279" t="s">
        <v>108</v>
      </c>
      <c r="H22" s="280"/>
      <c r="I22" s="255"/>
    </row>
    <row r="23" spans="2:9" x14ac:dyDescent="0.3">
      <c r="B23" s="255">
        <v>0.5</v>
      </c>
      <c r="D23" s="274">
        <f t="shared" si="0"/>
        <v>0.1618223094283163</v>
      </c>
      <c r="E23" s="277">
        <f>Inputs!F43</f>
        <v>2028</v>
      </c>
      <c r="F23" s="274">
        <f>MIN(1,F22+(1-$F$21)/(9-Inputs!$G$37))</f>
        <v>0.66666666666666674</v>
      </c>
      <c r="G23" t="s">
        <v>109</v>
      </c>
      <c r="H23" s="281"/>
      <c r="I23" s="255"/>
    </row>
    <row r="24" spans="2:9" x14ac:dyDescent="0.3">
      <c r="B24" s="255">
        <v>0.55000000000000004</v>
      </c>
      <c r="D24" s="274">
        <f t="shared" si="0"/>
        <v>0.18609565584256374</v>
      </c>
      <c r="E24" s="277">
        <f>Inputs!F44</f>
        <v>2029</v>
      </c>
      <c r="F24" s="274">
        <f>MIN(1,F23+(1-$F$21)/(9-Inputs!$G$37))</f>
        <v>0.75000000000000011</v>
      </c>
      <c r="G24" s="279" t="s">
        <v>110</v>
      </c>
      <c r="H24" s="281"/>
      <c r="I24" s="255"/>
    </row>
    <row r="25" spans="2:9" x14ac:dyDescent="0.3">
      <c r="B25" s="255">
        <v>0.6</v>
      </c>
      <c r="D25" s="274">
        <f t="shared" si="0"/>
        <v>0.21401000421894828</v>
      </c>
      <c r="E25" s="277">
        <f>Inputs!F45</f>
        <v>2030</v>
      </c>
      <c r="F25" s="274">
        <f>MIN(1,F24+(1-$F$21)/(9-Inputs!$G$37))</f>
        <v>0.83333333333333348</v>
      </c>
      <c r="G25" t="s">
        <v>111</v>
      </c>
      <c r="H25" s="281"/>
      <c r="I25" s="255"/>
    </row>
    <row r="26" spans="2:9" x14ac:dyDescent="0.3">
      <c r="B26" s="255">
        <v>0.65</v>
      </c>
      <c r="D26" s="274">
        <f t="shared" si="0"/>
        <v>0.24611150485179051</v>
      </c>
      <c r="E26" s="277"/>
      <c r="F26" s="274">
        <f>MIN(1,F25+(1-$F$21)/(9-Inputs!$G$37))</f>
        <v>0.91666666666666685</v>
      </c>
      <c r="G26" s="279" t="s">
        <v>112</v>
      </c>
      <c r="H26" s="281"/>
      <c r="I26" s="255"/>
    </row>
    <row r="27" spans="2:9" x14ac:dyDescent="0.3">
      <c r="B27" s="255">
        <v>0.7</v>
      </c>
      <c r="D27" s="274">
        <f t="shared" si="0"/>
        <v>0.28302823057955906</v>
      </c>
      <c r="E27" s="274"/>
      <c r="F27" s="274">
        <f>MIN(1,F26+(1-$F$21)/(9-Inputs!$G$37))</f>
        <v>1</v>
      </c>
      <c r="G27" t="s">
        <v>113</v>
      </c>
      <c r="H27" s="281"/>
      <c r="I27" s="255"/>
    </row>
    <row r="28" spans="2:9" x14ac:dyDescent="0.3">
      <c r="B28" s="255">
        <v>0.75</v>
      </c>
      <c r="D28" s="274">
        <f t="shared" si="0"/>
        <v>0.32548246516649287</v>
      </c>
      <c r="E28" s="274"/>
      <c r="F28" s="274">
        <f>MIN(1,F27+(1-$F$21)/(9-Inputs!$G$37))</f>
        <v>1</v>
      </c>
      <c r="G28" s="279" t="s">
        <v>114</v>
      </c>
      <c r="H28" s="281"/>
      <c r="I28" s="255"/>
    </row>
    <row r="29" spans="2:9" x14ac:dyDescent="0.3">
      <c r="B29" s="255">
        <v>0.8</v>
      </c>
      <c r="D29" s="274">
        <f t="shared" si="0"/>
        <v>0.37430483494146677</v>
      </c>
      <c r="E29" s="274"/>
      <c r="F29" s="274">
        <f>MIN(1,F28+(1-$F$21)/(9-Inputs!$G$37))</f>
        <v>1</v>
      </c>
      <c r="G29" t="s">
        <v>115</v>
      </c>
      <c r="I29" s="255"/>
    </row>
    <row r="30" spans="2:9" x14ac:dyDescent="0.3">
      <c r="B30" s="255">
        <v>0.85</v>
      </c>
      <c r="D30" s="274">
        <f t="shared" si="0"/>
        <v>0.43045056018268674</v>
      </c>
      <c r="E30" s="274"/>
      <c r="F30" s="274"/>
    </row>
    <row r="31" spans="2:9" x14ac:dyDescent="0.3">
      <c r="B31" s="255">
        <v>0.9</v>
      </c>
      <c r="D31" s="274">
        <f t="shared" si="0"/>
        <v>0.49501814421008972</v>
      </c>
      <c r="E31" s="274"/>
      <c r="F31" s="274"/>
    </row>
    <row r="32" spans="2:9" x14ac:dyDescent="0.3">
      <c r="B32" s="255">
        <v>0.95</v>
      </c>
      <c r="D32" s="274">
        <f t="shared" si="0"/>
        <v>0.56927086584160314</v>
      </c>
      <c r="E32" s="274"/>
      <c r="F32" s="274"/>
    </row>
    <row r="33" spans="1:10" x14ac:dyDescent="0.3">
      <c r="B33" s="255">
        <v>1</v>
      </c>
      <c r="D33" s="274">
        <f t="shared" si="0"/>
        <v>0.6546614957178436</v>
      </c>
      <c r="E33" s="274"/>
    </row>
    <row r="34" spans="1:10" x14ac:dyDescent="0.3">
      <c r="D34" s="274">
        <f>D33*1.15</f>
        <v>0.75286072007552007</v>
      </c>
    </row>
    <row r="35" spans="1:10" x14ac:dyDescent="0.3">
      <c r="D35" s="274">
        <f t="shared" si="0"/>
        <v>0.86578982808684801</v>
      </c>
    </row>
    <row r="36" spans="1:10" x14ac:dyDescent="0.3">
      <c r="D36" s="274">
        <f t="shared" si="0"/>
        <v>0.99565830229987518</v>
      </c>
    </row>
    <row r="38" spans="1:10" x14ac:dyDescent="0.3">
      <c r="A38" s="286" t="s">
        <v>100</v>
      </c>
      <c r="B38" s="287" t="str">
        <f>Inputs!G50</f>
        <v>CECOLIN 
2 valent, 1 dose/vial, liquid</v>
      </c>
      <c r="C38" s="287" t="str">
        <f>Inputs!I50</f>
        <v>WALRINVAX 
2 valent, 1 dose/vial, liquid</v>
      </c>
      <c r="D38" s="287" t="str">
        <f>Inputs!K50</f>
        <v>CERVARIX 
2 valent, 2 doses/vial, liquid</v>
      </c>
      <c r="E38" s="288" t="str">
        <f>Inputs!M50</f>
        <v>GARDASIL4
 4 valent, 1 dose/vial, liquid</v>
      </c>
    </row>
    <row r="39" spans="1:10" x14ac:dyDescent="0.3">
      <c r="A39" s="289">
        <f>Inputs!$G$8</f>
        <v>2026</v>
      </c>
      <c r="B39" s="278">
        <f>IF(Inputs!G$70=2,((Inputs!$G$9*(1+Inputs!$G$11)^(Results!$D11-Inputs!$G$8))*(SUM(Inputs!$G$13*Inputs!$G$14,Inputs!$G$16*Inputs!$G$17,Inputs!$G$19*Inputs!$G$20))+(Inputs!$G$9*(1+Inputs!$G$11)^(Results!$D11-Inputs!$G$8))*(SUM(Inputs!$G$13*Inputs!$G$15,Inputs!$G$16*Inputs!$G$18,Inputs!$G$19*Inputs!$G$21))),(Inputs!$G$9*(1+Inputs!$G$11)^(Results!$D11-Inputs!$G$8))*(SUM(Inputs!$G$13*Inputs!$G$14,Inputs!$G$16*Inputs!$G$17,Inputs!$G$19*Inputs!$G$20)))</f>
        <v>80000</v>
      </c>
      <c r="C39" s="278">
        <f>IF(Inputs!I$70=2,((Inputs!$G$9*(1+Inputs!$G$11)^(Results!$D11-Inputs!$G$8))*(SUM(Inputs!$G$13*Inputs!$G$14,Inputs!$G$16*Inputs!$G$17,Inputs!$G$19*Inputs!$G$20))+(Inputs!$G$9*(1+Inputs!$G$11)^(Results!$D11-Inputs!$G$8))*(SUM(Inputs!$G$13*Inputs!$G$15,Inputs!$G$16*Inputs!$G$18,Inputs!$G$19*Inputs!$G$21))),(Inputs!$G$9*(1+Inputs!$G$11)^(Results!$D11-Inputs!$G$8))*(SUM(Inputs!$G$13*Inputs!$G$14,Inputs!$G$16*Inputs!$G$17,Inputs!$G$19*Inputs!$G$20)))</f>
        <v>152500</v>
      </c>
      <c r="D39" s="278">
        <f>IF(Inputs!K$70=2,((Inputs!$G$9*(1+Inputs!$G$11)^(Results!$D11-Inputs!$G$8))*(SUM(Inputs!$G$13*Inputs!$G$14,Inputs!$G$16*Inputs!$G$17,Inputs!$G$19*Inputs!$G$20))+(Inputs!$G$9*(1+Inputs!$G$11)^(Results!$D11-Inputs!$G$8))*(SUM(Inputs!$G$13*Inputs!$G$15,Inputs!$G$16*Inputs!$G$18,Inputs!$G$19*Inputs!$G$21))),(Inputs!$G$9*(1+Inputs!$G$11)^(Results!$D11-Inputs!$G$8))*(SUM(Inputs!$G$13*Inputs!$G$14,Inputs!$G$16*Inputs!$G$17,Inputs!$G$19*Inputs!$G$20)))</f>
        <v>80000</v>
      </c>
      <c r="E39" s="290">
        <f>IF(Inputs!M$70=2,((Inputs!$G$9*(1+Inputs!$G$11)^(Results!$D11-Inputs!$G$8))*(SUM(Inputs!$G$13*Inputs!$G$14,Inputs!$G$16*Inputs!$G$17,Inputs!$G$19*Inputs!$G$20))+(Inputs!$G$9*(1+Inputs!$G$11)^(Results!$D11-Inputs!$G$8))*(SUM(Inputs!$G$13*Inputs!$G$15,Inputs!$G$16*Inputs!$G$18,Inputs!$G$19*Inputs!$G$21))),(Inputs!$G$9*(1+Inputs!$G$11)^(Results!$D11-Inputs!$G$8))*(SUM(Inputs!$G$13*Inputs!$G$14,Inputs!$G$16*Inputs!$G$17,Inputs!$G$19*Inputs!$G$20)))</f>
        <v>80000</v>
      </c>
      <c r="G39" s="278"/>
      <c r="H39" s="278"/>
      <c r="I39" s="278"/>
      <c r="J39" s="278"/>
    </row>
    <row r="40" spans="1:10" x14ac:dyDescent="0.3">
      <c r="A40" s="289">
        <f>Inputs!$G$8+1</f>
        <v>2027</v>
      </c>
      <c r="B40" s="278">
        <f>IF(Inputs!G$70=2,((Inputs!$G$9*(1+Inputs!$G$11)^(Results!$D12-Inputs!$G$8))*(SUM(Inputs!$G$13*Inputs!$G$14,Inputs!$G$16*Inputs!$G$17,Inputs!$G$19*Inputs!$G$20))+(Inputs!$G$9*(1+Inputs!$G$11)^(Results!$D12-Inputs!$G$8))*(SUM(Inputs!$G$13*Inputs!$G$15,Inputs!$G$16*Inputs!$G$18,Inputs!$G$19*Inputs!$G$21))),(Inputs!$G$9*(1+Inputs!$G$11)^(Results!$D12-Inputs!$G$8))*(SUM(Inputs!$G$13*Inputs!$G$14,Inputs!$G$16*Inputs!$G$17,Inputs!$G$19*Inputs!$G$20)))</f>
        <v>81600</v>
      </c>
      <c r="C40" s="278">
        <f>IF(Inputs!I$70=2,((Inputs!$G$9*(1+Inputs!$G$11)^(Results!$D12-Inputs!$G$8))*(SUM(Inputs!$G$13*Inputs!$G$14,Inputs!$G$16*Inputs!$G$17,Inputs!$G$19*Inputs!$G$20))+(Inputs!$G$9*(1+Inputs!$G$11)^(Results!$D12-Inputs!$G$8))*(SUM(Inputs!$G$13*Inputs!$G$15,Inputs!$G$16*Inputs!$G$18,Inputs!$G$19*Inputs!$G$21))),(Inputs!$G$9*(1+Inputs!$G$11)^(Results!$D12-Inputs!$G$8))*(SUM(Inputs!$G$13*Inputs!$G$14,Inputs!$G$16*Inputs!$G$17,Inputs!$G$19*Inputs!$G$20)))</f>
        <v>155550</v>
      </c>
      <c r="D40" s="278">
        <f>IF(Inputs!K$70=2,((Inputs!$G$9*(1+Inputs!$G$11)^(Results!$D12-Inputs!$G$8))*(SUM(Inputs!$G$13*Inputs!$G$14,Inputs!$G$16*Inputs!$G$17,Inputs!$G$19*Inputs!$G$20))+(Inputs!$G$9*(1+Inputs!$G$11)^(Results!$D12-Inputs!$G$8))*(SUM(Inputs!$G$13*Inputs!$G$15,Inputs!$G$16*Inputs!$G$18,Inputs!$G$19*Inputs!$G$21))),(Inputs!$G$9*(1+Inputs!$G$11)^(Results!$D12-Inputs!$G$8))*(SUM(Inputs!$G$13*Inputs!$G$14,Inputs!$G$16*Inputs!$G$17,Inputs!$G$19*Inputs!$G$20)))</f>
        <v>81600</v>
      </c>
      <c r="E40" s="290">
        <f>IF(Inputs!M$70=2,((Inputs!$G$9*(1+Inputs!$G$11)^(Results!$D12-Inputs!$G$8))*(SUM(Inputs!$G$13*Inputs!$G$14,Inputs!$G$16*Inputs!$G$17,Inputs!$G$19*Inputs!$G$20))+(Inputs!$G$9*(1+Inputs!$G$11)^(Results!$D12-Inputs!$G$8))*(SUM(Inputs!$G$13*Inputs!$G$15,Inputs!$G$16*Inputs!$G$18,Inputs!$G$19*Inputs!$G$21))),(Inputs!$G$9*(1+Inputs!$G$11)^(Results!$D12-Inputs!$G$8))*(SUM(Inputs!$G$13*Inputs!$G$14,Inputs!$G$16*Inputs!$G$17,Inputs!$G$19*Inputs!$G$20)))</f>
        <v>81600</v>
      </c>
      <c r="G40" s="278"/>
      <c r="H40" s="278"/>
      <c r="I40" s="278"/>
      <c r="J40" s="278"/>
    </row>
    <row r="41" spans="1:10" x14ac:dyDescent="0.3">
      <c r="A41" s="289">
        <f>Inputs!$G$8+2</f>
        <v>2028</v>
      </c>
      <c r="B41" s="278">
        <f>IF(Inputs!G$70=2,((Inputs!$G$9*(1+Inputs!$G$11)^(Results!D13-Inputs!$G$8))*(SUM(Inputs!$G$13*Inputs!$G$14,Inputs!$G$16*Inputs!$G$17,Inputs!$G$19*Inputs!$G$20))+(Inputs!$G$9*(1+Inputs!$G$11)^(Results!D13-Inputs!$G$8))*(SUM(Inputs!$G$13*Inputs!$G$15,Inputs!$G$16*Inputs!$G$18,Inputs!$G$19*Inputs!$G$21))),(Inputs!$G$9*(1+Inputs!$G$11)^(Results!D13-Inputs!$G$8))*(SUM(Inputs!$G$13*Inputs!$G$14,Inputs!$G$16*Inputs!$G$17,Inputs!$G$19*Inputs!$G$20)))</f>
        <v>83232</v>
      </c>
      <c r="C41" s="278">
        <f>IF(Inputs!I$70=2,((Inputs!$G$9*(1+Inputs!$G$11)^(Results!$D13-Inputs!$G$8))*(SUM(Inputs!$G$13*Inputs!$G$14,Inputs!$G$16*Inputs!$G$17,Inputs!$G$19*Inputs!$G$20))+(Inputs!$G$9*(1+Inputs!$G$11)^(Results!$D13-Inputs!$G$8))*(SUM(Inputs!$G$13*Inputs!$G$15,Inputs!$G$16*Inputs!$G$18,Inputs!$G$19*Inputs!$G$21))),(Inputs!$G$9*(1+Inputs!$G$11)^(Results!$D13-Inputs!$G$8))*(SUM(Inputs!$G$13*Inputs!$G$14,Inputs!$G$16*Inputs!$G$17,Inputs!$G$19*Inputs!$G$20)))</f>
        <v>158661</v>
      </c>
      <c r="D41" s="278">
        <f>IF(Inputs!K$70=2,((Inputs!$G$9*(1+Inputs!$G$11)^(Results!$D13-Inputs!$G$8))*(SUM(Inputs!$G$13*Inputs!$G$14,Inputs!$G$16*Inputs!$G$17,Inputs!$G$19*Inputs!$G$20))+(Inputs!$G$9*(1+Inputs!$G$11)^(Results!$D13-Inputs!$G$8))*(SUM(Inputs!$G$13*Inputs!$G$15,Inputs!$G$16*Inputs!$G$18,Inputs!$G$19*Inputs!$G$21))),(Inputs!$G$9*(1+Inputs!$G$11)^(Results!$D13-Inputs!$G$8))*(SUM(Inputs!$G$13*Inputs!$G$14,Inputs!$G$16*Inputs!$G$17,Inputs!$G$19*Inputs!$G$20)))</f>
        <v>83232</v>
      </c>
      <c r="E41" s="290">
        <f>IF(Inputs!M$70=2,((Inputs!$G$9*(1+Inputs!$G$11)^(Results!$D13-Inputs!$G$8))*(SUM(Inputs!$G$13*Inputs!$G$14,Inputs!$G$16*Inputs!$G$17,Inputs!$G$19*Inputs!$G$20))+(Inputs!$G$9*(1+Inputs!$G$11)^(Results!$D13-Inputs!$G$8))*(SUM(Inputs!$G$13*Inputs!$G$15,Inputs!$G$16*Inputs!$G$18,Inputs!$G$19*Inputs!$G$21))),(Inputs!$G$9*(1+Inputs!$G$11)^(Results!$D13-Inputs!$G$8))*(SUM(Inputs!$G$13*Inputs!$G$14,Inputs!$G$16*Inputs!$G$17,Inputs!$G$19*Inputs!$G$20)))</f>
        <v>83232</v>
      </c>
    </row>
    <row r="42" spans="1:10" x14ac:dyDescent="0.3">
      <c r="A42" s="289">
        <f>Inputs!$G$8+3</f>
        <v>2029</v>
      </c>
      <c r="B42" s="278">
        <f>IF(Inputs!G$70=2,((Inputs!$G$9*(1+Inputs!$G$11)^(Results!D14-Inputs!$G$8))*(SUM(Inputs!$G$13*Inputs!$G$14,Inputs!$G$16*Inputs!$G$17,Inputs!$G$19*Inputs!$G$20))+(Inputs!$G$9*(1+Inputs!$G$11)^(Results!D14-Inputs!$G$8))*(SUM(Inputs!$G$13*Inputs!$G$15,Inputs!$G$16*Inputs!$G$18,Inputs!$G$19*Inputs!$G$21))),(Inputs!$G$9*(1+Inputs!$G$11)^(Results!D14-Inputs!$G$8))*(SUM(Inputs!$G$13*Inputs!$G$14,Inputs!$G$16*Inputs!$G$17,Inputs!$G$19*Inputs!$G$20)))</f>
        <v>84896.639999999999</v>
      </c>
      <c r="C42" s="278">
        <f>IF(Inputs!I$70=2,((Inputs!$G$9*(1+Inputs!$G$11)^(Results!$D14-Inputs!$G$8))*(SUM(Inputs!$G$13*Inputs!$G$14,Inputs!$G$16*Inputs!$G$17,Inputs!$G$19*Inputs!$G$20))+(Inputs!$G$9*(1+Inputs!$G$11)^(Results!$D14-Inputs!$G$8))*(SUM(Inputs!$G$13*Inputs!$G$15,Inputs!$G$16*Inputs!$G$18,Inputs!$G$19*Inputs!$G$21))),(Inputs!$G$9*(1+Inputs!$G$11)^(Results!$D14-Inputs!$G$8))*(SUM(Inputs!$G$13*Inputs!$G$14,Inputs!$G$16*Inputs!$G$17,Inputs!$G$19*Inputs!$G$20)))</f>
        <v>161834.21999999997</v>
      </c>
      <c r="D42" s="278">
        <f>IF(Inputs!K$70=2,((Inputs!$G$9*(1+Inputs!$G$11)^(Results!$D14-Inputs!$G$8))*(SUM(Inputs!$G$13*Inputs!$G$14,Inputs!$G$16*Inputs!$G$17,Inputs!$G$19*Inputs!$G$20))+(Inputs!$G$9*(1+Inputs!$G$11)^(Results!$D14-Inputs!$G$8))*(SUM(Inputs!$G$13*Inputs!$G$15,Inputs!$G$16*Inputs!$G$18,Inputs!$G$19*Inputs!$G$21))),(Inputs!$G$9*(1+Inputs!$G$11)^(Results!$D14-Inputs!$G$8))*(SUM(Inputs!$G$13*Inputs!$G$14,Inputs!$G$16*Inputs!$G$17,Inputs!$G$19*Inputs!$G$20)))</f>
        <v>84896.639999999999</v>
      </c>
      <c r="E42" s="290">
        <f>IF(Inputs!M$70=2,((Inputs!$G$9*(1+Inputs!$G$11)^(Results!$D14-Inputs!$G$8))*(SUM(Inputs!$G$13*Inputs!$G$14,Inputs!$G$16*Inputs!$G$17,Inputs!$G$19*Inputs!$G$20))+(Inputs!$G$9*(1+Inputs!$G$11)^(Results!$D14-Inputs!$G$8))*(SUM(Inputs!$G$13*Inputs!$G$15,Inputs!$G$16*Inputs!$G$18,Inputs!$G$19*Inputs!$G$21))),(Inputs!$G$9*(1+Inputs!$G$11)^(Results!$D14-Inputs!$G$8))*(SUM(Inputs!$G$13*Inputs!$G$14,Inputs!$G$16*Inputs!$G$17,Inputs!$G$19*Inputs!$G$20)))</f>
        <v>84896.639999999999</v>
      </c>
    </row>
    <row r="43" spans="1:10" x14ac:dyDescent="0.3">
      <c r="A43" s="289">
        <f>Inputs!$G$8+4</f>
        <v>2030</v>
      </c>
      <c r="B43" s="278">
        <f>IF(Inputs!G$70=2,((Inputs!$G$9*(1+Inputs!$G$11)^(Results!D15-Inputs!$G$8))*(SUM(Inputs!$G$13*Inputs!$G$14,Inputs!$G$16*Inputs!$G$17,Inputs!$G$19*Inputs!$G$20))+(Inputs!$G$9*(1+Inputs!$G$11)^(Results!D15-Inputs!$G$8))*(SUM(Inputs!$G$13*Inputs!$G$15,Inputs!$G$16*Inputs!$G$18,Inputs!$G$19*Inputs!$G$21))),(Inputs!$G$9*(1+Inputs!$G$11)^(Results!D15-Inputs!$G$8))*(SUM(Inputs!$G$13*Inputs!$G$14,Inputs!$G$16*Inputs!$G$17,Inputs!$G$19*Inputs!$G$20)))</f>
        <v>86594.572800000009</v>
      </c>
      <c r="C43" s="278">
        <f>IF(Inputs!I$70=2,((Inputs!$G$9*(1+Inputs!$G$11)^(Results!$D15-Inputs!$G$8))*(SUM(Inputs!$G$13*Inputs!$G$14,Inputs!$G$16*Inputs!$G$17,Inputs!$G$19*Inputs!$G$20))+(Inputs!$G$9*(1+Inputs!$G$11)^(Results!$D15-Inputs!$G$8))*(SUM(Inputs!$G$13*Inputs!$G$15,Inputs!$G$16*Inputs!$G$18,Inputs!$G$19*Inputs!$G$21))),(Inputs!$G$9*(1+Inputs!$G$11)^(Results!$D15-Inputs!$G$8))*(SUM(Inputs!$G$13*Inputs!$G$14,Inputs!$G$16*Inputs!$G$17,Inputs!$G$19*Inputs!$G$20)))</f>
        <v>165070.9044</v>
      </c>
      <c r="D43" s="278">
        <f>IF(Inputs!K$70=2,((Inputs!$G$9*(1+Inputs!$G$11)^(Results!$D15-Inputs!$G$8))*(SUM(Inputs!$G$13*Inputs!$G$14,Inputs!$G$16*Inputs!$G$17,Inputs!$G$19*Inputs!$G$20))+(Inputs!$G$9*(1+Inputs!$G$11)^(Results!$D15-Inputs!$G$8))*(SUM(Inputs!$G$13*Inputs!$G$15,Inputs!$G$16*Inputs!$G$18,Inputs!$G$19*Inputs!$G$21))),(Inputs!$G$9*(1+Inputs!$G$11)^(Results!$D15-Inputs!$G$8))*(SUM(Inputs!$G$13*Inputs!$G$14,Inputs!$G$16*Inputs!$G$17,Inputs!$G$19*Inputs!$G$20)))</f>
        <v>86594.572800000009</v>
      </c>
      <c r="E43" s="290">
        <f>IF(Inputs!M$70=2,((Inputs!$G$9*(1+Inputs!$G$11)^(Results!$D15-Inputs!$G$8))*(SUM(Inputs!$G$13*Inputs!$G$14,Inputs!$G$16*Inputs!$G$17,Inputs!$G$19*Inputs!$G$20))+(Inputs!$G$9*(1+Inputs!$G$11)^(Results!$D15-Inputs!$G$8))*(SUM(Inputs!$G$13*Inputs!$G$15,Inputs!$G$16*Inputs!$G$18,Inputs!$G$19*Inputs!$G$21))),(Inputs!$G$9*(1+Inputs!$G$11)^(Results!$D15-Inputs!$G$8))*(SUM(Inputs!$G$13*Inputs!$G$14,Inputs!$G$16*Inputs!$G$17,Inputs!$G$19*Inputs!$G$20)))</f>
        <v>86594.572800000009</v>
      </c>
    </row>
    <row r="44" spans="1:10" x14ac:dyDescent="0.3">
      <c r="A44" s="289" t="s">
        <v>101</v>
      </c>
      <c r="E44" s="291"/>
    </row>
    <row r="45" spans="1:10" x14ac:dyDescent="0.3">
      <c r="A45" s="289">
        <f>Inputs!$G$8</f>
        <v>2026</v>
      </c>
      <c r="B45">
        <f>IF(Inputs!G$70=2,((Inputs!$G$10*SUM(Inputs!$G$23*Inputs!$G$24,Inputs!$G$26*Inputs!$G$27,Inputs!$G$29*Inputs!$G$30))+(Inputs!$G$10*SUM(Inputs!$G$23*Inputs!$G$25,Inputs!$G$26*Inputs!$G$28,Inputs!$G$29*Inputs!$G$31))),(Inputs!$G$10*SUM(Inputs!$G$23*Inputs!$G$24,Inputs!$G$26*Inputs!$G$27,Inputs!$G$29*Inputs!$G$30)))</f>
        <v>360000</v>
      </c>
      <c r="C45">
        <f>IF(Inputs!I$70=2,((Inputs!$G$10*SUM(Inputs!$G$23*Inputs!$G$24,Inputs!$G$26*Inputs!$G$27,Inputs!$G$29*Inputs!$G$30))+(Inputs!$G$10*SUM(Inputs!$G$23*Inputs!$G$25,Inputs!$G$26*Inputs!$G$28,Inputs!$G$29*Inputs!$G$31))),(Inputs!$G$10*SUM(Inputs!$G$23*Inputs!$G$24,Inputs!$G$26*Inputs!$G$27,Inputs!$G$29*Inputs!$G$30)))</f>
        <v>680000</v>
      </c>
      <c r="D45">
        <f>IF(Inputs!K$70=2,((Inputs!$G$10*SUM(Inputs!$G$23*Inputs!$G$24,Inputs!$G$26*Inputs!$G$27,Inputs!$G$29*Inputs!$G$30))+(Inputs!$G$10*SUM(Inputs!$G$23*Inputs!$G$25,Inputs!$G$26*Inputs!$G$28,Inputs!$G$29*Inputs!$G$31))),(Inputs!$G$10*SUM(Inputs!$G$23*Inputs!$G$24,Inputs!$G$26*Inputs!$G$27,Inputs!$G$29*Inputs!$G$30)))</f>
        <v>360000</v>
      </c>
      <c r="E45" s="291">
        <f>IF(Inputs!M$70=2,((Inputs!$G$10*SUM(Inputs!$G$23*Inputs!$G$24,Inputs!$G$26*Inputs!$G$27,Inputs!$G$29*Inputs!$G$30))+(Inputs!$G$10*SUM(Inputs!$G$23*Inputs!$G$25,Inputs!$G$26*Inputs!$G$28,Inputs!$G$29*Inputs!$G$31))),(Inputs!$G$10*SUM(Inputs!$G$23*Inputs!$G$24,Inputs!$G$26*Inputs!$G$27,Inputs!$G$29*Inputs!$G$30)))</f>
        <v>360000</v>
      </c>
    </row>
    <row r="46" spans="1:10" x14ac:dyDescent="0.3">
      <c r="A46" s="289" t="s">
        <v>102</v>
      </c>
      <c r="B46" s="278"/>
      <c r="E46" s="291"/>
    </row>
    <row r="47" spans="1:10" x14ac:dyDescent="0.3">
      <c r="A47" s="289">
        <f>Inputs!$G$8</f>
        <v>2026</v>
      </c>
      <c r="B47" s="278">
        <f>B39*(Inputs!$G$75+Inputs!$G$78)</f>
        <v>104210.52631578947</v>
      </c>
      <c r="C47" s="278">
        <f>C39*(Inputs!$I$75+Inputs!$I$78)</f>
        <v>198651.31578947368</v>
      </c>
      <c r="D47" s="278">
        <f>D39*(Inputs!$K$75+Inputs!$K$78)</f>
        <v>108888.88888888889</v>
      </c>
      <c r="E47" s="290">
        <f>E39*(Inputs!$M$75+Inputs!$M$78)</f>
        <v>104210.52631578947</v>
      </c>
    </row>
    <row r="48" spans="1:10" x14ac:dyDescent="0.3">
      <c r="A48" s="289">
        <f>Inputs!$G$8+1</f>
        <v>2027</v>
      </c>
      <c r="B48" s="278">
        <f>B40*(Inputs!$G$75+Inputs!$G$78)-(B39*Inputs!$G$78)</f>
        <v>86294.736842105252</v>
      </c>
      <c r="C48" s="278">
        <f>C40*(Inputs!$I$75+Inputs!$I$78)-(C39*Inputs!$I$78)</f>
        <v>164499.34210526315</v>
      </c>
      <c r="D48" s="278">
        <f>D40*(Inputs!$K$75+Inputs!$K$78)-(D39*Inputs!$K$78)</f>
        <v>91066.666666666672</v>
      </c>
      <c r="E48" s="290">
        <f>E40*(Inputs!$M$75+Inputs!$M$78)-(E39*Inputs!$M$78)</f>
        <v>86294.736842105252</v>
      </c>
    </row>
    <row r="49" spans="1:13" x14ac:dyDescent="0.3">
      <c r="A49" s="289">
        <f>Inputs!$G$8+2</f>
        <v>2028</v>
      </c>
      <c r="B49" s="278">
        <f>B41*(Inputs!$G$75+Inputs!$G$78)-(B40*Inputs!$G$78)</f>
        <v>88020.631578947359</v>
      </c>
      <c r="C49" s="278">
        <f>C41*(Inputs!$I$75+Inputs!$I$78)-(C40*Inputs!$I$78)</f>
        <v>167789.3289473684</v>
      </c>
      <c r="D49" s="278">
        <f>D41*(Inputs!$K$75+Inputs!$K$78)-(D40*Inputs!$K$78)</f>
        <v>92888</v>
      </c>
      <c r="E49" s="290">
        <f>E41*(Inputs!$M$75+Inputs!$M$78)-(E40*Inputs!$M$78)</f>
        <v>88020.631578947359</v>
      </c>
    </row>
    <row r="50" spans="1:13" x14ac:dyDescent="0.3">
      <c r="A50" s="289">
        <f>Inputs!$G$8+3</f>
        <v>2029</v>
      </c>
      <c r="B50" s="278">
        <f>B42*(Inputs!$G$75+Inputs!$G$78)-(B41*Inputs!$G$78)</f>
        <v>89781.044210526306</v>
      </c>
      <c r="C50" s="278">
        <f>C42*(Inputs!$I$75+Inputs!$I$78)-(C41*Inputs!$I$78)</f>
        <v>171145.11552631576</v>
      </c>
      <c r="D50" s="278">
        <f>D42*(Inputs!$K$75+Inputs!$K$78)-(D41*Inputs!$K$78)</f>
        <v>94745.760000000009</v>
      </c>
      <c r="E50" s="290">
        <f>E42*(Inputs!$M$75+Inputs!$M$78)-(E41*Inputs!$M$78)</f>
        <v>89781.044210526306</v>
      </c>
    </row>
    <row r="51" spans="1:13" x14ac:dyDescent="0.3">
      <c r="A51" s="289">
        <f>Inputs!$G$8+4</f>
        <v>2030</v>
      </c>
      <c r="B51" s="278">
        <f>B43*(Inputs!$G$75+Inputs!$G$78)-(B42*Inputs!$G$78)</f>
        <v>91576.665094736847</v>
      </c>
      <c r="C51" s="278">
        <f>C43*(Inputs!$I$75+Inputs!$I$78)-(C42*Inputs!$I$78)</f>
        <v>174568.0178368421</v>
      </c>
      <c r="D51" s="278">
        <f>D43*(Inputs!$K$75+Inputs!$K$78)-(D42*Inputs!$K$78)</f>
        <v>96640.675200000012</v>
      </c>
      <c r="E51" s="290">
        <f>E43*(Inputs!$M$75+Inputs!$M$78)-(E42*Inputs!$M$78)</f>
        <v>91576.665094736847</v>
      </c>
    </row>
    <row r="52" spans="1:13" x14ac:dyDescent="0.3">
      <c r="A52" s="289" t="s">
        <v>103</v>
      </c>
      <c r="E52" s="291"/>
    </row>
    <row r="53" spans="1:13" x14ac:dyDescent="0.3">
      <c r="A53" s="292">
        <f>Inputs!$G$8</f>
        <v>2026</v>
      </c>
      <c r="B53" s="293">
        <f>B45*Inputs!G75</f>
        <v>378947.36842105258</v>
      </c>
      <c r="C53" s="293">
        <f>C45*Inputs!I75</f>
        <v>715789.47368421045</v>
      </c>
      <c r="D53" s="293">
        <f>D45*Inputs!K75</f>
        <v>400000</v>
      </c>
      <c r="E53" s="294">
        <f>E45*Inputs!M75</f>
        <v>378947.36842105258</v>
      </c>
    </row>
    <row r="54" spans="1:13" x14ac:dyDescent="0.3">
      <c r="B54" s="278"/>
      <c r="C54" s="278"/>
      <c r="D54" s="278"/>
      <c r="E54" s="278"/>
    </row>
    <row r="55" spans="1:13" x14ac:dyDescent="0.3">
      <c r="A55" t="s">
        <v>120</v>
      </c>
      <c r="B55" t="str">
        <f>$B$38</f>
        <v>CECOLIN 
2 valent, 1 dose/vial, liquid</v>
      </c>
      <c r="E55" t="str">
        <f>$C$38</f>
        <v>WALRINVAX 
2 valent, 1 dose/vial, liquid</v>
      </c>
      <c r="H55" t="str">
        <f>$D$38</f>
        <v>CERVARIX 
2 valent, 2 doses/vial, liquid</v>
      </c>
      <c r="K55" t="str">
        <f>$E$38</f>
        <v>GARDASIL4
 4 valent, 1 dose/vial, liquid</v>
      </c>
    </row>
    <row r="56" spans="1:13" x14ac:dyDescent="0.3">
      <c r="B56" t="s">
        <v>117</v>
      </c>
      <c r="C56" t="s">
        <v>118</v>
      </c>
      <c r="D56" t="s">
        <v>119</v>
      </c>
      <c r="E56" t="s">
        <v>117</v>
      </c>
      <c r="F56" t="s">
        <v>118</v>
      </c>
      <c r="G56" t="s">
        <v>119</v>
      </c>
      <c r="H56" t="s">
        <v>117</v>
      </c>
      <c r="I56" t="s">
        <v>118</v>
      </c>
      <c r="J56" t="s">
        <v>119</v>
      </c>
      <c r="K56" t="s">
        <v>117</v>
      </c>
      <c r="L56" t="s">
        <v>118</v>
      </c>
      <c r="M56" t="s">
        <v>119</v>
      </c>
    </row>
    <row r="57" spans="1:13" x14ac:dyDescent="0.3">
      <c r="A57">
        <f>Inputs!$G$8</f>
        <v>2026</v>
      </c>
      <c r="B57" s="278">
        <f>IF(Inputs!G$70=2,((Inputs!$G$9*(1+Inputs!$G$11)^(Results!$D11-Inputs!$G$8))*(Inputs!$G$13*Inputs!$G$14)+(Inputs!$G$9*(1+Inputs!$G$11)^(Results!$D11-Inputs!$G$8))*(Inputs!$G$13*Inputs!$G$15)),(Inputs!$G$9*(1+Inputs!$G$11)^(Results!$D11-Inputs!$G$8))*(Inputs!$G$13*Inputs!$G$14))</f>
        <v>20000</v>
      </c>
      <c r="C57" s="278">
        <f>IF(Inputs!G$70=2,((Inputs!$G$9*(1+Inputs!$G$11)^(Results!$D11-Inputs!$G$8))*(Inputs!$G$16*Inputs!$G$17)+(Inputs!$G$9*(1+Inputs!$G$11)^(Results!$D11-Inputs!$G$8))*(Inputs!$G$16*Inputs!$G$18)),(Inputs!$G$9*(1+Inputs!$G$11)^(Results!$D11-Inputs!$G$8))*(Inputs!$G$16*Inputs!$G$17))</f>
        <v>20000</v>
      </c>
      <c r="D57" s="278">
        <f>IF(Inputs!G$70=2,((Inputs!$G$9*(1+Inputs!$G$11)^(Results!$D11-Inputs!$G$8))*(Inputs!$G$19*Inputs!$G$20)+(Inputs!$G$9*(1+Inputs!$G$11)^(Results!$D11-Inputs!$G$8))*(Inputs!$G$19*Inputs!$G$21)),(Inputs!$G$9*(1+Inputs!$G$11)^(Results!$D11-Inputs!$G$8))*(Inputs!$G$19*Inputs!$G$20))</f>
        <v>40000</v>
      </c>
      <c r="E57" s="278">
        <f>IF(Inputs!I$70=2,((Inputs!$G$9*(1+Inputs!$G$11)^(Results!$D11-Inputs!$G$8))*(Inputs!$G$13*Inputs!$G$14)+(Inputs!$G$9*(1+Inputs!$G$11)^(Results!$D11-Inputs!$G$8))*(Inputs!$G$13*Inputs!$G$15)),(Inputs!$G$9*(1+Inputs!$G$11)^(Results!$D11-Inputs!$G$8))*(Inputs!$G$13*Inputs!$G$14))</f>
        <v>37500</v>
      </c>
      <c r="F57" s="278">
        <f>IF(Inputs!I$70=2,((Inputs!$G$9*(1+Inputs!$G$11)^(Results!$D11-Inputs!$G$8))*(Inputs!$G$16*Inputs!$G$17)+(Inputs!$G$9*(1+Inputs!$G$11)^(Results!$D11-Inputs!$G$8))*(Inputs!$G$16*Inputs!$G$18)),(Inputs!$G$9*(1+Inputs!$G$11)^(Results!$D11-Inputs!$G$8))*(Inputs!$G$16*Inputs!$G$17))</f>
        <v>37500</v>
      </c>
      <c r="G57" s="278">
        <f>IF(Inputs!I$70=2,((Inputs!$G$9*(1+Inputs!$G$11)^(Results!$D11-Inputs!$G$8))*(Inputs!$G$19*Inputs!$G$20)+(Inputs!$G$9*(1+Inputs!$G$11)^(Results!$D11-Inputs!$G$8))*(Inputs!$G$19*Inputs!$G$21)),(Inputs!$G$9*(1+Inputs!$G$11)^(Results!$D11-Inputs!$G$8))*(Inputs!$G$19*Inputs!$G$20))</f>
        <v>77500</v>
      </c>
      <c r="H57" s="278">
        <f>IF(Inputs!K$70=2,((Inputs!$G$9*(1+Inputs!$G$11)^(Results!$D11-Inputs!$G$8))*(Inputs!$G$13*Inputs!$G$14)+(Inputs!$G$9*(1+Inputs!$G$11)^(Results!$D11-Inputs!$G$8))*(Inputs!$G$13*Inputs!$G$15)),(Inputs!$G$9*(1+Inputs!$G$11)^(Results!$D11-Inputs!$G$8))*(Inputs!$G$13*Inputs!$G$14))</f>
        <v>20000</v>
      </c>
      <c r="I57" s="278">
        <f>IF(Inputs!K$70=2,((Inputs!$G$9*(1+Inputs!$G$11)^(Results!$D11-Inputs!$G$8))*(Inputs!$G$16*Inputs!$G$17)+(Inputs!$G$9*(1+Inputs!$G$11)^(Results!$D11-Inputs!$G$8))*(Inputs!$G$16*Inputs!$G$18)),(Inputs!$G$9*(1+Inputs!$G$11)^(Results!$D11-Inputs!$G$8))*(Inputs!$G$16*Inputs!$G$17))</f>
        <v>20000</v>
      </c>
      <c r="J57" s="278">
        <f>IF(Inputs!K$70=2,((Inputs!$G$9*(1+Inputs!$G$11)^(Results!$D11-Inputs!$G$8))*(Inputs!$G$19*Inputs!$G$20)+(Inputs!$G$9*(1+Inputs!$G$11)^(Results!$D11-Inputs!$G$8))*(Inputs!$G$19*Inputs!$G$21)),(Inputs!$G$9*(1+Inputs!$G$11)^(Results!$D11-Inputs!$G$8))*(Inputs!$G$19*Inputs!$G$20))</f>
        <v>40000</v>
      </c>
      <c r="K57" s="278">
        <f>IF(Inputs!M$70=2,((Inputs!$G$9*(1+Inputs!$G$11)^(Results!$D11-Inputs!$G$8))*(Inputs!$G$13*Inputs!$G$14)+(Inputs!$G$9*(1+Inputs!$G$11)^(Results!$D11-Inputs!$G$8))*(Inputs!$G$13*Inputs!$G$15)),(Inputs!$G$9*(1+Inputs!$G$11)^(Results!$D11-Inputs!$G$8))*(Inputs!$G$13*Inputs!$G$14))</f>
        <v>20000</v>
      </c>
      <c r="L57" s="278">
        <f>IF(Inputs!M$70=2,((Inputs!$G$9*(1+Inputs!$G$11)^(Results!$D11-Inputs!$G$8))*(Inputs!$G$16*Inputs!$G$17)+(Inputs!$G$9*(1+Inputs!$G$11)^(Results!$D11-Inputs!$G$8))*(Inputs!$G$16*Inputs!$G$18)),(Inputs!$G$9*(1+Inputs!$G$11)^(Results!$D11-Inputs!$G$8))*(Inputs!$G$16*Inputs!$G$17))</f>
        <v>20000</v>
      </c>
      <c r="M57" s="278">
        <f>IF(Inputs!M$70=2,((Inputs!$G$9*(1+Inputs!$G$11)^(Results!$D11-Inputs!$G$8))*(Inputs!$G$19*Inputs!$G$20)+(Inputs!$G$9*(1+Inputs!$G$11)^(Results!$D11-Inputs!$G$8))*(Inputs!$G$19*Inputs!$G$21)),(Inputs!$G$9*(1+Inputs!$G$11)^(Results!$D11-Inputs!$G$8))*(Inputs!$G$19*Inputs!$G$20))</f>
        <v>40000</v>
      </c>
    </row>
    <row r="58" spans="1:13" x14ac:dyDescent="0.3">
      <c r="A58">
        <f>Inputs!$G$8+1</f>
        <v>2027</v>
      </c>
      <c r="B58" s="278">
        <f>IF(Inputs!G$70=2,((Inputs!$G$9*(1+Inputs!$G$11)^(Results!$D12-Inputs!$G$8))*(Inputs!$G$13*Inputs!$G$14)+(Inputs!$G$9*(1+Inputs!$G$11)^(Results!$D12-Inputs!$G$8))*(Inputs!$G$13*Inputs!$G$15)),(Inputs!$G$9*(1+Inputs!$G$11)^(Results!$D12-Inputs!$G$8))*(Inputs!$G$13*Inputs!$G$14))</f>
        <v>20400</v>
      </c>
      <c r="C58" s="278">
        <f>IF(Inputs!G$70=2,((Inputs!$G$9*(1+Inputs!$G$11)^(Results!$D12-Inputs!$G$8))*(Inputs!$G$16*Inputs!$G$17)+(Inputs!$G$9*(1+Inputs!$G$11)^(Results!$D12-Inputs!$G$8))*(Inputs!$G$16*Inputs!$G$18)),(Inputs!$G$9*(1+Inputs!$G$11)^(Results!$D12-Inputs!$G$8))*(Inputs!$G$16*Inputs!$G$17))</f>
        <v>20400</v>
      </c>
      <c r="D58" s="278">
        <f>IF(Inputs!G$70=2,((Inputs!$G$9*(1+Inputs!$G$11)^(Results!$D12-Inputs!$G$8))*(Inputs!$G$19*Inputs!$G$20)+(Inputs!$G$9*(1+Inputs!$G$11)^(Results!$D12-Inputs!$G$8))*(Inputs!$G$19*Inputs!$G$21)),(Inputs!$G$9*(1+Inputs!$G$11)^(Results!$D12-Inputs!$G$8))*(Inputs!$G$19*Inputs!$G$20))</f>
        <v>40800</v>
      </c>
      <c r="E58" s="278">
        <f>IF(Inputs!I$70=2,((Inputs!$G$9*(1+Inputs!$G$11)^(Results!$D12-Inputs!$G$8))*(Inputs!$G$13*Inputs!$G$14)+(Inputs!$G$9*(1+Inputs!$G$11)^(Results!$D12-Inputs!$G$8))*(Inputs!$G$13*Inputs!$G$15)),(Inputs!$G$9*(1+Inputs!$G$11)^(Results!$D12-Inputs!$G$8))*(Inputs!$G$13*Inputs!$G$14))</f>
        <v>38250</v>
      </c>
      <c r="F58" s="278">
        <f>IF(Inputs!I$70=2,((Inputs!$G$9*(1+Inputs!$G$11)^(Results!$D12-Inputs!$G$8))*(Inputs!$G$16*Inputs!$G$17)+(Inputs!$G$9*(1+Inputs!$G$11)^(Results!$D12-Inputs!$G$8))*(Inputs!$G$16*Inputs!$G$18)),(Inputs!$G$9*(1+Inputs!$G$11)^(Results!$D12-Inputs!$G$8))*(Inputs!$G$16*Inputs!$G$17))</f>
        <v>38250</v>
      </c>
      <c r="G58" s="278">
        <f>IF(Inputs!I$70=2,((Inputs!$G$9*(1+Inputs!$G$11)^(Results!$D12-Inputs!$G$8))*(Inputs!$G$19*Inputs!$G$20)+(Inputs!$G$9*(1+Inputs!$G$11)^(Results!$D12-Inputs!$G$8))*(Inputs!$G$19*Inputs!$G$21)),(Inputs!$G$9*(1+Inputs!$G$11)^(Results!$D12-Inputs!$G$8))*(Inputs!$G$19*Inputs!$G$20))</f>
        <v>79050</v>
      </c>
      <c r="H58" s="278">
        <f>IF(Inputs!K$70=2,((Inputs!$G$9*(1+Inputs!$G$11)^(Results!$D12-Inputs!$G$8))*(Inputs!$G$13*Inputs!$G$14)+(Inputs!$G$9*(1+Inputs!$G$11)^(Results!$D12-Inputs!$G$8))*(Inputs!$G$13*Inputs!$G$15)),(Inputs!$G$9*(1+Inputs!$G$11)^(Results!$D12-Inputs!$G$8))*(Inputs!$G$13*Inputs!$G$14))</f>
        <v>20400</v>
      </c>
      <c r="I58" s="278">
        <f>IF(Inputs!K$70=2,((Inputs!$G$9*(1+Inputs!$G$11)^(Results!$D12-Inputs!$G$8))*(Inputs!$G$16*Inputs!$G$17)+(Inputs!$G$9*(1+Inputs!$G$11)^(Results!$D12-Inputs!$G$8))*(Inputs!$G$16*Inputs!$G$18)),(Inputs!$G$9*(1+Inputs!$G$11)^(Results!$D12-Inputs!$G$8))*(Inputs!$G$16*Inputs!$G$17))</f>
        <v>20400</v>
      </c>
      <c r="J58" s="278">
        <f>IF(Inputs!K$70=2,((Inputs!$G$9*(1+Inputs!$G$11)^(Results!$D12-Inputs!$G$8))*(Inputs!$G$19*Inputs!$G$20)+(Inputs!$G$9*(1+Inputs!$G$11)^(Results!$D12-Inputs!$G$8))*(Inputs!$G$19*Inputs!$G$21)),(Inputs!$G$9*(1+Inputs!$G$11)^(Results!$D12-Inputs!$G$8))*(Inputs!$G$19*Inputs!$G$20))</f>
        <v>40800</v>
      </c>
      <c r="K58" s="278">
        <f>IF(Inputs!M$70=2,((Inputs!$G$9*(1+Inputs!$G$11)^(Results!$D12-Inputs!$G$8))*(Inputs!$G$13*Inputs!$G$14)+(Inputs!$G$9*(1+Inputs!$G$11)^(Results!$D12-Inputs!$G$8))*(Inputs!$G$13*Inputs!$G$15)),(Inputs!$G$9*(1+Inputs!$G$11)^(Results!$D12-Inputs!$G$8))*(Inputs!$G$13*Inputs!$G$14))</f>
        <v>20400</v>
      </c>
      <c r="L58" s="278">
        <f>IF(Inputs!M$70=2,((Inputs!$G$9*(1+Inputs!$G$11)^(Results!$D12-Inputs!$G$8))*(Inputs!$G$16*Inputs!$G$17)+(Inputs!$G$9*(1+Inputs!$G$11)^(Results!$D12-Inputs!$G$8))*(Inputs!$G$16*Inputs!$G$18)),(Inputs!$G$9*(1+Inputs!$G$11)^(Results!$D12-Inputs!$G$8))*(Inputs!$G$16*Inputs!$G$17))</f>
        <v>20400</v>
      </c>
      <c r="M58" s="278">
        <f>IF(Inputs!M$70=2,((Inputs!$G$9*(1+Inputs!$G$11)^(Results!$D12-Inputs!$G$8))*(Inputs!$G$19*Inputs!$G$20)+(Inputs!$G$9*(1+Inputs!$G$11)^(Results!$D12-Inputs!$G$8))*(Inputs!$G$19*Inputs!$G$21)),(Inputs!$G$9*(1+Inputs!$G$11)^(Results!$D12-Inputs!$G$8))*(Inputs!$G$19*Inputs!$G$20))</f>
        <v>40800</v>
      </c>
    </row>
    <row r="59" spans="1:13" x14ac:dyDescent="0.3">
      <c r="A59">
        <f>Inputs!$G$8+2</f>
        <v>2028</v>
      </c>
      <c r="B59" s="278">
        <f>IF(Inputs!G$70=2,((Inputs!$G$9*(1+Inputs!$G$11)^(Results!$D13-Inputs!$G$8))*(Inputs!$G$13*Inputs!$G$14)+(Inputs!$G$9*(1+Inputs!$G$11)^(Results!$D13-Inputs!$G$8))*(Inputs!$G$13*Inputs!$G$15)),(Inputs!$G$9*(1+Inputs!$G$11)^(Results!$D13-Inputs!$G$8))*(Inputs!$G$13*Inputs!$G$14))</f>
        <v>20808</v>
      </c>
      <c r="C59" s="278">
        <f>IF(Inputs!G$70=2,((Inputs!$G$9*(1+Inputs!$G$11)^(Results!$D13-Inputs!$G$8))*(Inputs!$G$16*Inputs!$G$17)+(Inputs!$G$9*(1+Inputs!$G$11)^(Results!$D13-Inputs!$G$8))*(Inputs!$G$16*Inputs!$G$18)),(Inputs!$G$9*(1+Inputs!$G$11)^(Results!$D13-Inputs!$G$8))*(Inputs!$G$16*Inputs!$G$17))</f>
        <v>20808</v>
      </c>
      <c r="D59" s="278">
        <f>IF(Inputs!G$70=2,((Inputs!$G$9*(1+Inputs!$G$11)^(Results!$D13-Inputs!$G$8))*(Inputs!$G$19*Inputs!$G$20)+(Inputs!$G$9*(1+Inputs!$G$11)^(Results!$D13-Inputs!$G$8))*(Inputs!$G$19*Inputs!$G$21)),(Inputs!$G$9*(1+Inputs!$G$11)^(Results!$D13-Inputs!$G$8))*(Inputs!$G$19*Inputs!$G$20))</f>
        <v>41616</v>
      </c>
      <c r="E59" s="278">
        <f>IF(Inputs!I$70=2,((Inputs!$G$9*(1+Inputs!$G$11)^(Results!$D13-Inputs!$G$8))*(Inputs!$G$13*Inputs!$G$14)+(Inputs!$G$9*(1+Inputs!$G$11)^(Results!$D13-Inputs!$G$8))*(Inputs!$G$13*Inputs!$G$15)),(Inputs!$G$9*(1+Inputs!$G$11)^(Results!$D13-Inputs!$G$8))*(Inputs!$G$13*Inputs!$G$14))</f>
        <v>39015</v>
      </c>
      <c r="F59" s="278">
        <f>IF(Inputs!I$70=2,((Inputs!$G$9*(1+Inputs!$G$11)^(Results!$D13-Inputs!$G$8))*(Inputs!$G$16*Inputs!$G$17)+(Inputs!$G$9*(1+Inputs!$G$11)^(Results!$D13-Inputs!$G$8))*(Inputs!$G$16*Inputs!$G$18)),(Inputs!$G$9*(1+Inputs!$G$11)^(Results!$D13-Inputs!$G$8))*(Inputs!$G$16*Inputs!$G$17))</f>
        <v>39015</v>
      </c>
      <c r="G59" s="278">
        <f>IF(Inputs!I$70=2,((Inputs!$G$9*(1+Inputs!$G$11)^(Results!$D13-Inputs!$G$8))*(Inputs!$G$19*Inputs!$G$20)+(Inputs!$G$9*(1+Inputs!$G$11)^(Results!$D13-Inputs!$G$8))*(Inputs!$G$19*Inputs!$G$21)),(Inputs!$G$9*(1+Inputs!$G$11)^(Results!$D13-Inputs!$G$8))*(Inputs!$G$19*Inputs!$G$20))</f>
        <v>80631</v>
      </c>
      <c r="H59" s="278">
        <f>IF(Inputs!K$70=2,((Inputs!$G$9*(1+Inputs!$G$11)^(Results!$D13-Inputs!$G$8))*(Inputs!$G$13*Inputs!$G$14)+(Inputs!$G$9*(1+Inputs!$G$11)^(Results!$D13-Inputs!$G$8))*(Inputs!$G$13*Inputs!$G$15)),(Inputs!$G$9*(1+Inputs!$G$11)^(Results!$D13-Inputs!$G$8))*(Inputs!$G$13*Inputs!$G$14))</f>
        <v>20808</v>
      </c>
      <c r="I59" s="278">
        <f>IF(Inputs!K$70=2,((Inputs!$G$9*(1+Inputs!$G$11)^(Results!$D13-Inputs!$G$8))*(Inputs!$G$16*Inputs!$G$17)+(Inputs!$G$9*(1+Inputs!$G$11)^(Results!$D13-Inputs!$G$8))*(Inputs!$G$16*Inputs!$G$18)),(Inputs!$G$9*(1+Inputs!$G$11)^(Results!$D13-Inputs!$G$8))*(Inputs!$G$16*Inputs!$G$17))</f>
        <v>20808</v>
      </c>
      <c r="J59" s="278">
        <f>IF(Inputs!K$70=2,((Inputs!$G$9*(1+Inputs!$G$11)^(Results!$D13-Inputs!$G$8))*(Inputs!$G$19*Inputs!$G$20)+(Inputs!$G$9*(1+Inputs!$G$11)^(Results!$D13-Inputs!$G$8))*(Inputs!$G$19*Inputs!$G$21)),(Inputs!$G$9*(1+Inputs!$G$11)^(Results!$D13-Inputs!$G$8))*(Inputs!$G$19*Inputs!$G$20))</f>
        <v>41616</v>
      </c>
      <c r="K59" s="278">
        <f>IF(Inputs!M$70=2,((Inputs!$G$9*(1+Inputs!$G$11)^(Results!$D13-Inputs!$G$8))*(Inputs!$G$13*Inputs!$G$14)+(Inputs!$G$9*(1+Inputs!$G$11)^(Results!$D13-Inputs!$G$8))*(Inputs!$G$13*Inputs!$G$15)),(Inputs!$G$9*(1+Inputs!$G$11)^(Results!$D13-Inputs!$G$8))*(Inputs!$G$13*Inputs!$G$14))</f>
        <v>20808</v>
      </c>
      <c r="L59" s="278">
        <f>IF(Inputs!M$70=2,((Inputs!$G$9*(1+Inputs!$G$11)^(Results!$D13-Inputs!$G$8))*(Inputs!$G$16*Inputs!$G$17)+(Inputs!$G$9*(1+Inputs!$G$11)^(Results!$D13-Inputs!$G$8))*(Inputs!$G$16*Inputs!$G$18)),(Inputs!$G$9*(1+Inputs!$G$11)^(Results!$D13-Inputs!$G$8))*(Inputs!$G$16*Inputs!$G$17))</f>
        <v>20808</v>
      </c>
      <c r="M59" s="278">
        <f>IF(Inputs!M$70=2,((Inputs!$G$9*(1+Inputs!$G$11)^(Results!$D13-Inputs!$G$8))*(Inputs!$G$19*Inputs!$G$20)+(Inputs!$G$9*(1+Inputs!$G$11)^(Results!$D13-Inputs!$G$8))*(Inputs!$G$19*Inputs!$G$21)),(Inputs!$G$9*(1+Inputs!$G$11)^(Results!$D13-Inputs!$G$8))*(Inputs!$G$19*Inputs!$G$20))</f>
        <v>41616</v>
      </c>
    </row>
    <row r="60" spans="1:13" x14ac:dyDescent="0.3">
      <c r="A60">
        <f>Inputs!$G$8+3</f>
        <v>2029</v>
      </c>
      <c r="B60" s="278">
        <f>IF(Inputs!G$70=2,((Inputs!$G$9*(1+Inputs!$G$11)^(Results!$D14-Inputs!$G$8))*(Inputs!$G$13*Inputs!$G$14)+(Inputs!$G$9*(1+Inputs!$G$11)^(Results!$D14-Inputs!$G$8))*(Inputs!$G$13*Inputs!$G$15)),(Inputs!$G$9*(1+Inputs!$G$11)^(Results!$D14-Inputs!$G$8))*(Inputs!$G$13*Inputs!$G$14))</f>
        <v>21224.16</v>
      </c>
      <c r="C60" s="278">
        <f>IF(Inputs!G$70=2,((Inputs!$G$9*(1+Inputs!$G$11)^(Results!$D14-Inputs!$G$8))*(Inputs!$G$16*Inputs!$G$17)+(Inputs!$G$9*(1+Inputs!$G$11)^(Results!$D14-Inputs!$G$8))*(Inputs!$G$16*Inputs!$G$18)),(Inputs!$G$9*(1+Inputs!$G$11)^(Results!$D14-Inputs!$G$8))*(Inputs!$G$16*Inputs!$G$17))</f>
        <v>21224.16</v>
      </c>
      <c r="D60" s="278">
        <f>IF(Inputs!G$70=2,((Inputs!$G$9*(1+Inputs!$G$11)^(Results!$D14-Inputs!$G$8))*(Inputs!$G$19*Inputs!$G$20)+(Inputs!$G$9*(1+Inputs!$G$11)^(Results!$D14-Inputs!$G$8))*(Inputs!$G$19*Inputs!$G$21)),(Inputs!$G$9*(1+Inputs!$G$11)^(Results!$D14-Inputs!$G$8))*(Inputs!$G$19*Inputs!$G$20))</f>
        <v>42448.32</v>
      </c>
      <c r="E60" s="278">
        <f>IF(Inputs!I$70=2,((Inputs!$G$9*(1+Inputs!$G$11)^(Results!$D14-Inputs!$G$8))*(Inputs!$G$13*Inputs!$G$14)+(Inputs!$G$9*(1+Inputs!$G$11)^(Results!$D14-Inputs!$G$8))*(Inputs!$G$13*Inputs!$G$15)),(Inputs!$G$9*(1+Inputs!$G$11)^(Results!$D14-Inputs!$G$8))*(Inputs!$G$13*Inputs!$G$14))</f>
        <v>39795.299999999996</v>
      </c>
      <c r="F60" s="278">
        <f>IF(Inputs!I$70=2,((Inputs!$G$9*(1+Inputs!$G$11)^(Results!$D14-Inputs!$G$8))*(Inputs!$G$16*Inputs!$G$17)+(Inputs!$G$9*(1+Inputs!$G$11)^(Results!$D14-Inputs!$G$8))*(Inputs!$G$16*Inputs!$G$18)),(Inputs!$G$9*(1+Inputs!$G$11)^(Results!$D14-Inputs!$G$8))*(Inputs!$G$16*Inputs!$G$17))</f>
        <v>39795.299999999996</v>
      </c>
      <c r="G60" s="278">
        <f>IF(Inputs!I$70=2,((Inputs!$G$9*(1+Inputs!$G$11)^(Results!$D14-Inputs!$G$8))*(Inputs!$G$19*Inputs!$G$20)+(Inputs!$G$9*(1+Inputs!$G$11)^(Results!$D14-Inputs!$G$8))*(Inputs!$G$19*Inputs!$G$21)),(Inputs!$G$9*(1+Inputs!$G$11)^(Results!$D14-Inputs!$G$8))*(Inputs!$G$19*Inputs!$G$20))</f>
        <v>82243.62</v>
      </c>
      <c r="H60" s="278">
        <f>IF(Inputs!K$70=2,((Inputs!$G$9*(1+Inputs!$G$11)^(Results!$D14-Inputs!$G$8))*(Inputs!$G$13*Inputs!$G$14)+(Inputs!$G$9*(1+Inputs!$G$11)^(Results!$D14-Inputs!$G$8))*(Inputs!$G$13*Inputs!$G$15)),(Inputs!$G$9*(1+Inputs!$G$11)^(Results!$D14-Inputs!$G$8))*(Inputs!$G$13*Inputs!$G$14))</f>
        <v>21224.16</v>
      </c>
      <c r="I60" s="278">
        <f>IF(Inputs!K$70=2,((Inputs!$G$9*(1+Inputs!$G$11)^(Results!$D14-Inputs!$G$8))*(Inputs!$G$16*Inputs!$G$17)+(Inputs!$G$9*(1+Inputs!$G$11)^(Results!$D14-Inputs!$G$8))*(Inputs!$G$16*Inputs!$G$18)),(Inputs!$G$9*(1+Inputs!$G$11)^(Results!$D14-Inputs!$G$8))*(Inputs!$G$16*Inputs!$G$17))</f>
        <v>21224.16</v>
      </c>
      <c r="J60" s="278">
        <f>IF(Inputs!K$70=2,((Inputs!$G$9*(1+Inputs!$G$11)^(Results!$D14-Inputs!$G$8))*(Inputs!$G$19*Inputs!$G$20)+(Inputs!$G$9*(1+Inputs!$G$11)^(Results!$D14-Inputs!$G$8))*(Inputs!$G$19*Inputs!$G$21)),(Inputs!$G$9*(1+Inputs!$G$11)^(Results!$D14-Inputs!$G$8))*(Inputs!$G$19*Inputs!$G$20))</f>
        <v>42448.32</v>
      </c>
      <c r="K60" s="278">
        <f>IF(Inputs!M$70=2,((Inputs!$G$9*(1+Inputs!$G$11)^(Results!$D14-Inputs!$G$8))*(Inputs!$G$13*Inputs!$G$14)+(Inputs!$G$9*(1+Inputs!$G$11)^(Results!$D14-Inputs!$G$8))*(Inputs!$G$13*Inputs!$G$15)),(Inputs!$G$9*(1+Inputs!$G$11)^(Results!$D14-Inputs!$G$8))*(Inputs!$G$13*Inputs!$G$14))</f>
        <v>21224.16</v>
      </c>
      <c r="L60" s="278">
        <f>IF(Inputs!M$70=2,((Inputs!$G$9*(1+Inputs!$G$11)^(Results!$D14-Inputs!$G$8))*(Inputs!$G$16*Inputs!$G$17)+(Inputs!$G$9*(1+Inputs!$G$11)^(Results!$D14-Inputs!$G$8))*(Inputs!$G$16*Inputs!$G$18)),(Inputs!$G$9*(1+Inputs!$G$11)^(Results!$D14-Inputs!$G$8))*(Inputs!$G$16*Inputs!$G$17))</f>
        <v>21224.16</v>
      </c>
      <c r="M60" s="278">
        <f>IF(Inputs!M$70=2,((Inputs!$G$9*(1+Inputs!$G$11)^(Results!$D14-Inputs!$G$8))*(Inputs!$G$19*Inputs!$G$20)+(Inputs!$G$9*(1+Inputs!$G$11)^(Results!$D14-Inputs!$G$8))*(Inputs!$G$19*Inputs!$G$21)),(Inputs!$G$9*(1+Inputs!$G$11)^(Results!$D14-Inputs!$G$8))*(Inputs!$G$19*Inputs!$G$20))</f>
        <v>42448.32</v>
      </c>
    </row>
    <row r="61" spans="1:13" x14ac:dyDescent="0.3">
      <c r="A61">
        <f>Inputs!$G$8+4</f>
        <v>2030</v>
      </c>
      <c r="B61" s="278">
        <f>IF(Inputs!G$70=2,((Inputs!$G$9*(1+Inputs!$G$11)^(Results!$D15-Inputs!$G$8))*(Inputs!$G$13*Inputs!$G$14)+(Inputs!$G$9*(1+Inputs!$G$11)^(Results!$D15-Inputs!$G$8))*(Inputs!$G$13*Inputs!$G$15)),(Inputs!$G$9*(1+Inputs!$G$11)^(Results!$D15-Inputs!$G$8))*(Inputs!$G$13*Inputs!$G$14))</f>
        <v>21648.643200000002</v>
      </c>
      <c r="C61" s="278">
        <f>IF(Inputs!G$70=2,((Inputs!$G$9*(1+Inputs!$G$11)^(Results!$D15-Inputs!$G$8))*(Inputs!$G$16*Inputs!$G$17)+(Inputs!$G$9*(1+Inputs!$G$11)^(Results!$D15-Inputs!$G$8))*(Inputs!$G$16*Inputs!$G$18)),(Inputs!$G$9*(1+Inputs!$G$11)^(Results!$D15-Inputs!$G$8))*(Inputs!$G$16*Inputs!$G$17))</f>
        <v>21648.643200000002</v>
      </c>
      <c r="D61" s="278">
        <f>IF(Inputs!G$70=2,((Inputs!$G$9*(1+Inputs!$G$11)^(Results!$D15-Inputs!$G$8))*(Inputs!$G$19*Inputs!$G$20)+(Inputs!$G$9*(1+Inputs!$G$11)^(Results!$D15-Inputs!$G$8))*(Inputs!$G$19*Inputs!$G$21)),(Inputs!$G$9*(1+Inputs!$G$11)^(Results!$D15-Inputs!$G$8))*(Inputs!$G$19*Inputs!$G$20))</f>
        <v>43297.286400000005</v>
      </c>
      <c r="E61" s="278">
        <f>IF(Inputs!I$70=2,((Inputs!$G$9*(1+Inputs!$G$11)^(Results!$D15-Inputs!$G$8))*(Inputs!$G$13*Inputs!$G$14)+(Inputs!$G$9*(1+Inputs!$G$11)^(Results!$D15-Inputs!$G$8))*(Inputs!$G$13*Inputs!$G$15)),(Inputs!$G$9*(1+Inputs!$G$11)^(Results!$D15-Inputs!$G$8))*(Inputs!$G$13*Inputs!$G$14))</f>
        <v>40591.206000000006</v>
      </c>
      <c r="F61" s="278">
        <f>IF(Inputs!I$70=2,((Inputs!$G$9*(1+Inputs!$G$11)^(Results!$D15-Inputs!$G$8))*(Inputs!$G$16*Inputs!$G$17)+(Inputs!$G$9*(1+Inputs!$G$11)^(Results!$D15-Inputs!$G$8))*(Inputs!$G$16*Inputs!$G$18)),(Inputs!$G$9*(1+Inputs!$G$11)^(Results!$D15-Inputs!$G$8))*(Inputs!$G$16*Inputs!$G$17))</f>
        <v>40591.206000000006</v>
      </c>
      <c r="G61" s="278">
        <f>IF(Inputs!I$70=2,((Inputs!$G$9*(1+Inputs!$G$11)^(Results!$D15-Inputs!$G$8))*(Inputs!$G$19*Inputs!$G$20)+(Inputs!$G$9*(1+Inputs!$G$11)^(Results!$D15-Inputs!$G$8))*(Inputs!$G$19*Inputs!$G$21)),(Inputs!$G$9*(1+Inputs!$G$11)^(Results!$D15-Inputs!$G$8))*(Inputs!$G$19*Inputs!$G$20))</f>
        <v>83888.492400000003</v>
      </c>
      <c r="H61" s="278">
        <f>IF(Inputs!K$70=2,((Inputs!$G$9*(1+Inputs!$G$11)^(Results!$D15-Inputs!$G$8))*(Inputs!$G$13*Inputs!$G$14)+(Inputs!$G$9*(1+Inputs!$G$11)^(Results!$D15-Inputs!$G$8))*(Inputs!$G$13*Inputs!$G$15)),(Inputs!$G$9*(1+Inputs!$G$11)^(Results!$D15-Inputs!$G$8))*(Inputs!$G$13*Inputs!$G$14))</f>
        <v>21648.643200000002</v>
      </c>
      <c r="I61" s="278">
        <f>IF(Inputs!K$70=2,((Inputs!$G$9*(1+Inputs!$G$11)^(Results!$D15-Inputs!$G$8))*(Inputs!$G$16*Inputs!$G$17)+(Inputs!$G$9*(1+Inputs!$G$11)^(Results!$D15-Inputs!$G$8))*(Inputs!$G$16*Inputs!$G$18)),(Inputs!$G$9*(1+Inputs!$G$11)^(Results!$D15-Inputs!$G$8))*(Inputs!$G$16*Inputs!$G$17))</f>
        <v>21648.643200000002</v>
      </c>
      <c r="J61" s="278">
        <f>IF(Inputs!K$70=2,((Inputs!$G$9*(1+Inputs!$G$11)^(Results!$D15-Inputs!$G$8))*(Inputs!$G$19*Inputs!$G$20)+(Inputs!$G$9*(1+Inputs!$G$11)^(Results!$D15-Inputs!$G$8))*(Inputs!$G$19*Inputs!$G$21)),(Inputs!$G$9*(1+Inputs!$G$11)^(Results!$D15-Inputs!$G$8))*(Inputs!$G$19*Inputs!$G$20))</f>
        <v>43297.286400000005</v>
      </c>
      <c r="K61" s="278">
        <f>IF(Inputs!M$70=2,((Inputs!$G$9*(1+Inputs!$G$11)^(Results!$D15-Inputs!$G$8))*(Inputs!$G$13*Inputs!$G$14)+(Inputs!$G$9*(1+Inputs!$G$11)^(Results!$D15-Inputs!$G$8))*(Inputs!$G$13*Inputs!$G$15)),(Inputs!$G$9*(1+Inputs!$G$11)^(Results!$D15-Inputs!$G$8))*(Inputs!$G$13*Inputs!$G$14))</f>
        <v>21648.643200000002</v>
      </c>
      <c r="L61" s="278">
        <f>IF(Inputs!M$70=2,((Inputs!$G$9*(1+Inputs!$G$11)^(Results!$D15-Inputs!$G$8))*(Inputs!$G$16*Inputs!$G$17)+(Inputs!$G$9*(1+Inputs!$G$11)^(Results!$D15-Inputs!$G$8))*(Inputs!$G$16*Inputs!$G$18)),(Inputs!$G$9*(1+Inputs!$G$11)^(Results!$D15-Inputs!$G$8))*(Inputs!$G$16*Inputs!$G$17))</f>
        <v>21648.643200000002</v>
      </c>
      <c r="M61" s="278">
        <f>IF(Inputs!M$70=2,((Inputs!$G$9*(1+Inputs!$G$11)^(Results!$D15-Inputs!$G$8))*(Inputs!$G$19*Inputs!$G$20)+(Inputs!$G$9*(1+Inputs!$G$11)^(Results!$D15-Inputs!$G$8))*(Inputs!$G$19*Inputs!$G$21)),(Inputs!$G$9*(1+Inputs!$G$11)^(Results!$D15-Inputs!$G$8))*(Inputs!$G$19*Inputs!$G$20))</f>
        <v>43297.286400000005</v>
      </c>
    </row>
    <row r="62" spans="1:13" x14ac:dyDescent="0.3">
      <c r="A62" s="289" t="s">
        <v>121</v>
      </c>
    </row>
    <row r="63" spans="1:13" x14ac:dyDescent="0.3">
      <c r="A63" s="289">
        <f>Inputs!$G$8</f>
        <v>2026</v>
      </c>
      <c r="B63">
        <f>IF(Inputs!G$70=2,((Inputs!$G$10*Inputs!$G$23*Inputs!$G$24)+(Inputs!$G$10*Inputs!$G$23*Inputs!$G$25)),(Inputs!$G$10*Inputs!$G$23*Inputs!$G$24))</f>
        <v>324000</v>
      </c>
      <c r="C63">
        <f>IF(Inputs!G$70=2,((Inputs!$G$10*Inputs!$G$26*Inputs!$G$27)+(Inputs!$G$10*Inputs!$G$26*Inputs!$G$28)),(Inputs!$G$10*Inputs!$G$26*Inputs!$G$27))</f>
        <v>36000</v>
      </c>
      <c r="D63">
        <f>IF(Inputs!G$70=2,((Inputs!$G$10*Inputs!$G$29*Inputs!$G$30)+(Inputs!$G$10*Inputs!$G$29*Inputs!$G$31)),(Inputs!$G$10*Inputs!$G$29*Inputs!$G$30))</f>
        <v>0</v>
      </c>
      <c r="E63">
        <f>IF(Inputs!I$70=2,((Inputs!$G$10*Inputs!$G$23*Inputs!$G$24)+(Inputs!$G$10*Inputs!$G$23*Inputs!$G$25)),(Inputs!$G$10*Inputs!$G$23*Inputs!$G$24))</f>
        <v>612000</v>
      </c>
      <c r="F63">
        <f>IF(Inputs!I$70=2,((Inputs!$G$10*Inputs!$G$26*Inputs!$G$27)+(Inputs!$G$10*Inputs!$G$26*Inputs!$G$28)),(Inputs!$G$10*Inputs!$G$26*Inputs!$G$27))</f>
        <v>68000</v>
      </c>
      <c r="G63">
        <f>IF(Inputs!I$70=2,((Inputs!$G$10*Inputs!$G$29*Inputs!$G$30)+(Inputs!$G$10*Inputs!$G$29*Inputs!$G$31)),(Inputs!$G$10*Inputs!$G$29*Inputs!$G$30))</f>
        <v>0</v>
      </c>
      <c r="H63">
        <f>IF(Inputs!K$70=2,((Inputs!$G$10*Inputs!$G$23*Inputs!$G$24)+(Inputs!$G$10*Inputs!$G$23*Inputs!$G$25)),(Inputs!$G$10*Inputs!$G$23*Inputs!$G$24))</f>
        <v>324000</v>
      </c>
      <c r="I63">
        <f>IF(Inputs!K$70=2,((Inputs!$G$10*Inputs!$G$26*Inputs!$G$27)+(Inputs!$G$10*Inputs!$G$26*Inputs!$G$28)),(Inputs!$G$10*Inputs!$G$26*Inputs!$G$27))</f>
        <v>36000</v>
      </c>
      <c r="J63">
        <f>IF(Inputs!K$70=2,((Inputs!$G$10*Inputs!$G$29*Inputs!$G$30)+(Inputs!$G$10*Inputs!$G$29*Inputs!$G$31)),(Inputs!$G$10*Inputs!$G$29*Inputs!$G$30))</f>
        <v>0</v>
      </c>
      <c r="K63">
        <f>IF(Inputs!M$70=2,((Inputs!$G$10*Inputs!$G$23*Inputs!$G$24)+(Inputs!$G$10*Inputs!$G$23*Inputs!$G$25)),(Inputs!$G$10*Inputs!$G$23*Inputs!$G$24))</f>
        <v>324000</v>
      </c>
      <c r="L63">
        <f>IF(Inputs!M$70=2,((Inputs!$G$10*Inputs!$G$26*Inputs!$G$27)+(Inputs!$G$10*Inputs!$G$26*Inputs!$G$28)),(Inputs!$G$10*Inputs!$G$26*Inputs!$G$27))</f>
        <v>36000</v>
      </c>
      <c r="M63">
        <f>IF(Inputs!M$70=2,((Inputs!$G$10*Inputs!$G$29*Inputs!$G$30)+(Inputs!$G$10*Inputs!$G$29*Inputs!$G$31)),(Inputs!$G$10*Inputs!$G$29*Inputs!$G$30))</f>
        <v>0</v>
      </c>
    </row>
  </sheetData>
  <sheetProtection algorithmName="SHA-512" hashValue="nMiEAKIqhG/ivEsspW78laZF7ZQpIOtXIlhPfAR+60+xAoN2AT4+ldbCeA2ZgUCTMG/WqRq6UooaOc+FflwhmA==" saltValue="dJJ+GS9pMT/sP3b1PEHFrw==" spinCount="100000" sheet="1" objects="1" scenarios="1"/>
  <phoneticPr fontId="86" type="noConversion"/>
  <pageMargins left="0.7" right="0.7" top="0.75" bottom="0.75" header="0.3" footer="0.3"/>
  <pageSetup paperSize="9" orientation="portrait" r:id="rId1"/>
  <headerFooter>
    <oddHeader>&amp;L&amp;"Calibri"&amp;10&amp;K000000Classified as 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70"/>
  <sheetViews>
    <sheetView workbookViewId="0">
      <selection activeCell="C67" sqref="C67"/>
    </sheetView>
  </sheetViews>
  <sheetFormatPr defaultColWidth="8.88671875" defaultRowHeight="14.4" x14ac:dyDescent="0.3"/>
  <cols>
    <col min="1" max="1" width="59.44140625" customWidth="1"/>
    <col min="2" max="3" width="8.88671875" style="1"/>
  </cols>
  <sheetData>
    <row r="1" spans="1:3" ht="28.8" x14ac:dyDescent="0.3">
      <c r="A1" s="8" t="str">
        <f>'Vaccine options'!$A$3</f>
        <v>CECOLIN 
2 valent, 1 dose/vial, liquid</v>
      </c>
      <c r="B1" s="1">
        <v>2025</v>
      </c>
      <c r="C1" s="10">
        <v>2.9</v>
      </c>
    </row>
    <row r="2" spans="1:3" ht="28.8" x14ac:dyDescent="0.3">
      <c r="A2" s="8" t="str">
        <f>'Vaccine options'!$A$3</f>
        <v>CECOLIN 
2 valent, 1 dose/vial, liquid</v>
      </c>
      <c r="B2" s="1">
        <v>2026</v>
      </c>
      <c r="C2" s="10">
        <v>2.9</v>
      </c>
    </row>
    <row r="3" spans="1:3" ht="28.8" x14ac:dyDescent="0.3">
      <c r="A3" s="8" t="str">
        <f>'Vaccine options'!$A$3</f>
        <v>CECOLIN 
2 valent, 1 dose/vial, liquid</v>
      </c>
      <c r="B3" s="1">
        <v>2027</v>
      </c>
      <c r="C3" s="10">
        <v>2.9</v>
      </c>
    </row>
    <row r="4" spans="1:3" ht="28.8" x14ac:dyDescent="0.3">
      <c r="A4" s="8" t="str">
        <f>'Vaccine options'!$A$3</f>
        <v>CECOLIN 
2 valent, 1 dose/vial, liquid</v>
      </c>
      <c r="B4" s="1">
        <v>2028</v>
      </c>
      <c r="C4" s="10">
        <v>2.9</v>
      </c>
    </row>
    <row r="5" spans="1:3" ht="28.8" x14ac:dyDescent="0.3">
      <c r="A5" s="8" t="str">
        <f>'Vaccine options'!$A$3</f>
        <v>CECOLIN 
2 valent, 1 dose/vial, liquid</v>
      </c>
      <c r="B5" s="1">
        <v>2029</v>
      </c>
      <c r="C5" s="10">
        <v>2.9</v>
      </c>
    </row>
    <row r="6" spans="1:3" ht="28.8" x14ac:dyDescent="0.3">
      <c r="A6" s="8" t="str">
        <f>'Vaccine options'!$A$3</f>
        <v>CECOLIN 
2 valent, 1 dose/vial, liquid</v>
      </c>
      <c r="B6" s="1">
        <v>2030</v>
      </c>
      <c r="C6" s="10">
        <v>2.9</v>
      </c>
    </row>
    <row r="7" spans="1:3" ht="28.8" x14ac:dyDescent="0.3">
      <c r="A7" s="8" t="str">
        <f>'Vaccine options'!$A$3</f>
        <v>CECOLIN 
2 valent, 1 dose/vial, liquid</v>
      </c>
      <c r="B7" s="1">
        <v>2031</v>
      </c>
      <c r="C7" s="10">
        <v>2.9</v>
      </c>
    </row>
    <row r="8" spans="1:3" ht="28.8" x14ac:dyDescent="0.3">
      <c r="A8" s="8" t="str">
        <f>'Vaccine options'!$A$3</f>
        <v>CECOLIN 
2 valent, 1 dose/vial, liquid</v>
      </c>
      <c r="B8" s="1">
        <v>2032</v>
      </c>
      <c r="C8" s="10">
        <v>2.9</v>
      </c>
    </row>
    <row r="9" spans="1:3" ht="28.8" x14ac:dyDescent="0.3">
      <c r="A9" s="8" t="str">
        <f>'Vaccine options'!$A$3</f>
        <v>CECOLIN 
2 valent, 1 dose/vial, liquid</v>
      </c>
      <c r="B9" s="1">
        <v>2033</v>
      </c>
      <c r="C9" s="10">
        <v>2.9</v>
      </c>
    </row>
    <row r="10" spans="1:3" ht="28.8" x14ac:dyDescent="0.3">
      <c r="A10" s="8" t="str">
        <f>'Vaccine options'!$A$3</f>
        <v>CECOLIN 
2 valent, 1 dose/vial, liquid</v>
      </c>
      <c r="B10" s="1">
        <v>2034</v>
      </c>
      <c r="C10" s="10">
        <v>2.9</v>
      </c>
    </row>
    <row r="11" spans="1:3" ht="28.8" x14ac:dyDescent="0.3">
      <c r="A11" s="8" t="str">
        <f>'Vaccine options'!$A$3</f>
        <v>CECOLIN 
2 valent, 1 dose/vial, liquid</v>
      </c>
      <c r="B11" s="1">
        <v>2035</v>
      </c>
      <c r="C11" s="10">
        <v>2.9</v>
      </c>
    </row>
    <row r="12" spans="1:3" ht="28.8" x14ac:dyDescent="0.3">
      <c r="A12" s="8" t="str">
        <f>'Vaccine options'!$A$3</f>
        <v>CECOLIN 
2 valent, 1 dose/vial, liquid</v>
      </c>
      <c r="B12" s="1">
        <v>2036</v>
      </c>
      <c r="C12" s="10">
        <v>2.9</v>
      </c>
    </row>
    <row r="13" spans="1:3" ht="28.8" x14ac:dyDescent="0.3">
      <c r="A13" s="8" t="str">
        <f>'Vaccine options'!$A$3</f>
        <v>CECOLIN 
2 valent, 1 dose/vial, liquid</v>
      </c>
      <c r="B13" s="1">
        <v>2037</v>
      </c>
      <c r="C13" s="10">
        <v>2.9</v>
      </c>
    </row>
    <row r="14" spans="1:3" ht="28.8" x14ac:dyDescent="0.3">
      <c r="A14" s="8" t="str">
        <f>'Vaccine options'!$A$3</f>
        <v>CECOLIN 
2 valent, 1 dose/vial, liquid</v>
      </c>
      <c r="B14" s="1">
        <v>2038</v>
      </c>
      <c r="C14" s="10">
        <v>2.9</v>
      </c>
    </row>
    <row r="15" spans="1:3" ht="28.8" x14ac:dyDescent="0.3">
      <c r="A15" s="8" t="str">
        <f>'Vaccine options'!$A$4</f>
        <v>WALRINVAX 
2 valent, 1 dose/vial, liquid</v>
      </c>
      <c r="B15" s="1">
        <v>2025</v>
      </c>
      <c r="C15" s="2">
        <v>2.8</v>
      </c>
    </row>
    <row r="16" spans="1:3" ht="28.8" x14ac:dyDescent="0.3">
      <c r="A16" s="8" t="str">
        <f>'Vaccine options'!$A$4</f>
        <v>WALRINVAX 
2 valent, 1 dose/vial, liquid</v>
      </c>
      <c r="B16" s="1">
        <v>2026</v>
      </c>
      <c r="C16" s="2">
        <v>2.8</v>
      </c>
    </row>
    <row r="17" spans="1:3" ht="28.8" x14ac:dyDescent="0.3">
      <c r="A17" s="8" t="str">
        <f>'Vaccine options'!$A$4</f>
        <v>WALRINVAX 
2 valent, 1 dose/vial, liquid</v>
      </c>
      <c r="B17" s="1">
        <v>2027</v>
      </c>
      <c r="C17" s="2">
        <v>2.8</v>
      </c>
    </row>
    <row r="18" spans="1:3" ht="28.8" x14ac:dyDescent="0.3">
      <c r="A18" s="8" t="str">
        <f>'Vaccine options'!$A$4</f>
        <v>WALRINVAX 
2 valent, 1 dose/vial, liquid</v>
      </c>
      <c r="B18" s="1">
        <v>2028</v>
      </c>
      <c r="C18" s="2">
        <v>2.8</v>
      </c>
    </row>
    <row r="19" spans="1:3" ht="28.8" x14ac:dyDescent="0.3">
      <c r="A19" s="8" t="str">
        <f>'Vaccine options'!$A$4</f>
        <v>WALRINVAX 
2 valent, 1 dose/vial, liquid</v>
      </c>
      <c r="B19" s="1">
        <v>2029</v>
      </c>
      <c r="C19" s="2">
        <v>2.8</v>
      </c>
    </row>
    <row r="20" spans="1:3" ht="28.8" x14ac:dyDescent="0.3">
      <c r="A20" s="8" t="str">
        <f>'Vaccine options'!$A$4</f>
        <v>WALRINVAX 
2 valent, 1 dose/vial, liquid</v>
      </c>
      <c r="B20" s="1">
        <v>2030</v>
      </c>
      <c r="C20" s="2">
        <v>2.8</v>
      </c>
    </row>
    <row r="21" spans="1:3" ht="28.8" x14ac:dyDescent="0.3">
      <c r="A21" s="8" t="str">
        <f>'Vaccine options'!$A$4</f>
        <v>WALRINVAX 
2 valent, 1 dose/vial, liquid</v>
      </c>
      <c r="B21" s="1">
        <v>2031</v>
      </c>
      <c r="C21" s="2">
        <v>2.8</v>
      </c>
    </row>
    <row r="22" spans="1:3" ht="28.8" x14ac:dyDescent="0.3">
      <c r="A22" s="8" t="str">
        <f>'Vaccine options'!$A$4</f>
        <v>WALRINVAX 
2 valent, 1 dose/vial, liquid</v>
      </c>
      <c r="B22" s="1">
        <v>2032</v>
      </c>
      <c r="C22" s="2">
        <v>2.8</v>
      </c>
    </row>
    <row r="23" spans="1:3" ht="28.8" x14ac:dyDescent="0.3">
      <c r="A23" s="8" t="str">
        <f>'Vaccine options'!$A$4</f>
        <v>WALRINVAX 
2 valent, 1 dose/vial, liquid</v>
      </c>
      <c r="B23" s="1">
        <v>2033</v>
      </c>
      <c r="C23" s="2">
        <v>2.8</v>
      </c>
    </row>
    <row r="24" spans="1:3" ht="28.8" x14ac:dyDescent="0.3">
      <c r="A24" s="8" t="str">
        <f>'Vaccine options'!$A$4</f>
        <v>WALRINVAX 
2 valent, 1 dose/vial, liquid</v>
      </c>
      <c r="B24" s="1">
        <v>2034</v>
      </c>
      <c r="C24" s="2">
        <v>2.8</v>
      </c>
    </row>
    <row r="25" spans="1:3" ht="28.8" x14ac:dyDescent="0.3">
      <c r="A25" s="8" t="str">
        <f>'Vaccine options'!$A$4</f>
        <v>WALRINVAX 
2 valent, 1 dose/vial, liquid</v>
      </c>
      <c r="B25" s="1">
        <v>2035</v>
      </c>
      <c r="C25" s="2">
        <v>2.8</v>
      </c>
    </row>
    <row r="26" spans="1:3" ht="28.8" x14ac:dyDescent="0.3">
      <c r="A26" s="8" t="str">
        <f>'Vaccine options'!$A$4</f>
        <v>WALRINVAX 
2 valent, 1 dose/vial, liquid</v>
      </c>
      <c r="B26" s="1">
        <v>2036</v>
      </c>
      <c r="C26" s="2">
        <v>2.8</v>
      </c>
    </row>
    <row r="27" spans="1:3" ht="28.8" x14ac:dyDescent="0.3">
      <c r="A27" s="8" t="str">
        <f>'Vaccine options'!$A$4</f>
        <v>WALRINVAX 
2 valent, 1 dose/vial, liquid</v>
      </c>
      <c r="B27" s="1">
        <v>2037</v>
      </c>
      <c r="C27" s="2">
        <v>2.8</v>
      </c>
    </row>
    <row r="28" spans="1:3" ht="28.8" x14ac:dyDescent="0.3">
      <c r="A28" s="8" t="str">
        <f>'Vaccine options'!$A$4</f>
        <v>WALRINVAX 
2 valent, 1 dose/vial, liquid</v>
      </c>
      <c r="B28" s="1">
        <v>2038</v>
      </c>
      <c r="C28" s="2">
        <v>2.8</v>
      </c>
    </row>
    <row r="29" spans="1:3" ht="28.8" x14ac:dyDescent="0.3">
      <c r="A29" s="8" t="str">
        <f>'Vaccine options'!$A$5</f>
        <v>CERVARIX 
2 valent, 2 doses/vial, liquid</v>
      </c>
      <c r="B29" s="1">
        <v>2025</v>
      </c>
      <c r="C29" s="2">
        <v>5.18</v>
      </c>
    </row>
    <row r="30" spans="1:3" ht="28.8" x14ac:dyDescent="0.3">
      <c r="A30" s="8" t="str">
        <f>'Vaccine options'!$A$5</f>
        <v>CERVARIX 
2 valent, 2 doses/vial, liquid</v>
      </c>
      <c r="B30" s="1">
        <v>2026</v>
      </c>
      <c r="C30" s="2">
        <v>5.18</v>
      </c>
    </row>
    <row r="31" spans="1:3" ht="28.8" x14ac:dyDescent="0.3">
      <c r="A31" s="8" t="str">
        <f>'Vaccine options'!$A$5</f>
        <v>CERVARIX 
2 valent, 2 doses/vial, liquid</v>
      </c>
      <c r="B31" s="1">
        <v>2027</v>
      </c>
      <c r="C31" s="2">
        <v>5.18</v>
      </c>
    </row>
    <row r="32" spans="1:3" ht="28.8" x14ac:dyDescent="0.3">
      <c r="A32" s="8" t="str">
        <f>'Vaccine options'!$A$5</f>
        <v>CERVARIX 
2 valent, 2 doses/vial, liquid</v>
      </c>
      <c r="B32" s="1">
        <v>2028</v>
      </c>
      <c r="C32" s="2">
        <v>5.18</v>
      </c>
    </row>
    <row r="33" spans="1:3" ht="28.8" x14ac:dyDescent="0.3">
      <c r="A33" s="8" t="str">
        <f>'Vaccine options'!$A$5</f>
        <v>CERVARIX 
2 valent, 2 doses/vial, liquid</v>
      </c>
      <c r="B33" s="1">
        <v>2029</v>
      </c>
      <c r="C33" s="2">
        <v>5.18</v>
      </c>
    </row>
    <row r="34" spans="1:3" ht="28.8" x14ac:dyDescent="0.3">
      <c r="A34" s="8" t="str">
        <f>'Vaccine options'!$A$5</f>
        <v>CERVARIX 
2 valent, 2 doses/vial, liquid</v>
      </c>
      <c r="B34" s="1">
        <v>2030</v>
      </c>
      <c r="C34" s="2">
        <v>5.18</v>
      </c>
    </row>
    <row r="35" spans="1:3" ht="28.8" x14ac:dyDescent="0.3">
      <c r="A35" s="8" t="str">
        <f>'Vaccine options'!$A$5</f>
        <v>CERVARIX 
2 valent, 2 doses/vial, liquid</v>
      </c>
      <c r="B35" s="1">
        <v>2031</v>
      </c>
      <c r="C35" s="2">
        <v>5.18</v>
      </c>
    </row>
    <row r="36" spans="1:3" ht="28.8" x14ac:dyDescent="0.3">
      <c r="A36" s="8" t="str">
        <f>'Vaccine options'!$A$5</f>
        <v>CERVARIX 
2 valent, 2 doses/vial, liquid</v>
      </c>
      <c r="B36" s="1">
        <v>2032</v>
      </c>
      <c r="C36" s="2">
        <v>5.18</v>
      </c>
    </row>
    <row r="37" spans="1:3" ht="28.8" x14ac:dyDescent="0.3">
      <c r="A37" s="8" t="str">
        <f>'Vaccine options'!$A$5</f>
        <v>CERVARIX 
2 valent, 2 doses/vial, liquid</v>
      </c>
      <c r="B37" s="1">
        <v>2033</v>
      </c>
      <c r="C37" s="2">
        <v>5.18</v>
      </c>
    </row>
    <row r="38" spans="1:3" ht="28.8" x14ac:dyDescent="0.3">
      <c r="A38" s="8" t="str">
        <f>'Vaccine options'!$A$5</f>
        <v>CERVARIX 
2 valent, 2 doses/vial, liquid</v>
      </c>
      <c r="B38" s="1">
        <v>2034</v>
      </c>
      <c r="C38" s="2">
        <v>5.18</v>
      </c>
    </row>
    <row r="39" spans="1:3" ht="28.8" x14ac:dyDescent="0.3">
      <c r="A39" s="8" t="str">
        <f>'Vaccine options'!$A$5</f>
        <v>CERVARIX 
2 valent, 2 doses/vial, liquid</v>
      </c>
      <c r="B39" s="1">
        <v>2035</v>
      </c>
      <c r="C39" s="2">
        <v>5.18</v>
      </c>
    </row>
    <row r="40" spans="1:3" ht="28.8" x14ac:dyDescent="0.3">
      <c r="A40" s="8" t="str">
        <f>'Vaccine options'!$A$5</f>
        <v>CERVARIX 
2 valent, 2 doses/vial, liquid</v>
      </c>
      <c r="B40" s="1">
        <v>2036</v>
      </c>
      <c r="C40" s="2">
        <v>5.18</v>
      </c>
    </row>
    <row r="41" spans="1:3" ht="28.8" x14ac:dyDescent="0.3">
      <c r="A41" s="8" t="str">
        <f>'Vaccine options'!$A$5</f>
        <v>CERVARIX 
2 valent, 2 doses/vial, liquid</v>
      </c>
      <c r="B41" s="1">
        <v>2037</v>
      </c>
      <c r="C41" s="2">
        <v>5.18</v>
      </c>
    </row>
    <row r="42" spans="1:3" ht="28.8" x14ac:dyDescent="0.3">
      <c r="A42" s="8" t="str">
        <f>'Vaccine options'!$A$5</f>
        <v>CERVARIX 
2 valent, 2 doses/vial, liquid</v>
      </c>
      <c r="B42" s="1">
        <v>2038</v>
      </c>
      <c r="C42" s="2">
        <v>5.18</v>
      </c>
    </row>
    <row r="43" spans="1:3" ht="28.8" x14ac:dyDescent="0.3">
      <c r="A43" s="8" t="str">
        <f>'Vaccine options'!$A$6</f>
        <v>GARDASIL4
 4 valent, 1 dose/vial, liquid</v>
      </c>
      <c r="B43" s="1">
        <v>2025</v>
      </c>
      <c r="C43" s="2">
        <v>4.5</v>
      </c>
    </row>
    <row r="44" spans="1:3" ht="28.8" x14ac:dyDescent="0.3">
      <c r="A44" s="8" t="str">
        <f>'Vaccine options'!$A$6</f>
        <v>GARDASIL4
 4 valent, 1 dose/vial, liquid</v>
      </c>
      <c r="B44" s="1">
        <v>2026</v>
      </c>
      <c r="C44" s="2">
        <v>4.5</v>
      </c>
    </row>
    <row r="45" spans="1:3" ht="28.8" x14ac:dyDescent="0.3">
      <c r="A45" s="8" t="str">
        <f>'Vaccine options'!$A$6</f>
        <v>GARDASIL4
 4 valent, 1 dose/vial, liquid</v>
      </c>
      <c r="B45" s="1">
        <v>2027</v>
      </c>
      <c r="C45" s="2">
        <v>4.5</v>
      </c>
    </row>
    <row r="46" spans="1:3" ht="28.8" x14ac:dyDescent="0.3">
      <c r="A46" s="8" t="str">
        <f>'Vaccine options'!$A$6</f>
        <v>GARDASIL4
 4 valent, 1 dose/vial, liquid</v>
      </c>
      <c r="B46" s="1">
        <v>2028</v>
      </c>
      <c r="C46" s="2">
        <v>4.5</v>
      </c>
    </row>
    <row r="47" spans="1:3" ht="28.8" x14ac:dyDescent="0.3">
      <c r="A47" s="8" t="str">
        <f>'Vaccine options'!$A$6</f>
        <v>GARDASIL4
 4 valent, 1 dose/vial, liquid</v>
      </c>
      <c r="B47" s="1">
        <v>2029</v>
      </c>
      <c r="C47" s="2">
        <v>4.5</v>
      </c>
    </row>
    <row r="48" spans="1:3" ht="28.8" x14ac:dyDescent="0.3">
      <c r="A48" s="8" t="str">
        <f>'Vaccine options'!$A$6</f>
        <v>GARDASIL4
 4 valent, 1 dose/vial, liquid</v>
      </c>
      <c r="B48" s="1">
        <v>2030</v>
      </c>
      <c r="C48" s="2">
        <v>4.5</v>
      </c>
    </row>
    <row r="49" spans="1:3" ht="28.8" x14ac:dyDescent="0.3">
      <c r="A49" s="8" t="str">
        <f>'Vaccine options'!$A$6</f>
        <v>GARDASIL4
 4 valent, 1 dose/vial, liquid</v>
      </c>
      <c r="B49" s="1">
        <v>2031</v>
      </c>
      <c r="C49" s="2">
        <v>4.5</v>
      </c>
    </row>
    <row r="50" spans="1:3" ht="28.8" x14ac:dyDescent="0.3">
      <c r="A50" s="8" t="str">
        <f>'Vaccine options'!$A$6</f>
        <v>GARDASIL4
 4 valent, 1 dose/vial, liquid</v>
      </c>
      <c r="B50" s="1">
        <v>2032</v>
      </c>
      <c r="C50" s="2">
        <v>4.5</v>
      </c>
    </row>
    <row r="51" spans="1:3" ht="28.8" x14ac:dyDescent="0.3">
      <c r="A51" s="8" t="str">
        <f>'Vaccine options'!$A$6</f>
        <v>GARDASIL4
 4 valent, 1 dose/vial, liquid</v>
      </c>
      <c r="B51" s="1">
        <v>2033</v>
      </c>
      <c r="C51" s="2">
        <v>4.5</v>
      </c>
    </row>
    <row r="52" spans="1:3" ht="28.8" x14ac:dyDescent="0.3">
      <c r="A52" s="8" t="str">
        <f>'Vaccine options'!$A$6</f>
        <v>GARDASIL4
 4 valent, 1 dose/vial, liquid</v>
      </c>
      <c r="B52" s="1">
        <v>2034</v>
      </c>
      <c r="C52" s="2">
        <v>4.5</v>
      </c>
    </row>
    <row r="53" spans="1:3" ht="28.8" x14ac:dyDescent="0.3">
      <c r="A53" s="8" t="str">
        <f>'Vaccine options'!$A$6</f>
        <v>GARDASIL4
 4 valent, 1 dose/vial, liquid</v>
      </c>
      <c r="B53" s="1">
        <v>2035</v>
      </c>
      <c r="C53" s="2">
        <v>4.5</v>
      </c>
    </row>
    <row r="54" spans="1:3" ht="28.8" x14ac:dyDescent="0.3">
      <c r="A54" s="8" t="str">
        <f>'Vaccine options'!$A$6</f>
        <v>GARDASIL4
 4 valent, 1 dose/vial, liquid</v>
      </c>
      <c r="B54" s="1">
        <v>2036</v>
      </c>
      <c r="C54" s="2">
        <v>4.5</v>
      </c>
    </row>
    <row r="55" spans="1:3" ht="28.8" x14ac:dyDescent="0.3">
      <c r="A55" s="8" t="str">
        <f>'Vaccine options'!$A$6</f>
        <v>GARDASIL4
 4 valent, 1 dose/vial, liquid</v>
      </c>
      <c r="B55" s="1">
        <v>2037</v>
      </c>
      <c r="C55" s="2">
        <v>4.5</v>
      </c>
    </row>
    <row r="56" spans="1:3" ht="28.8" x14ac:dyDescent="0.3">
      <c r="A56" s="8" t="str">
        <f>'Vaccine options'!$A$6</f>
        <v>GARDASIL4
 4 valent, 1 dose/vial, liquid</v>
      </c>
      <c r="B56" s="1">
        <v>2038</v>
      </c>
      <c r="C56" s="2">
        <v>4.5</v>
      </c>
    </row>
    <row r="57" spans="1:3" x14ac:dyDescent="0.3">
      <c r="A57" s="8" t="str">
        <f>'Vaccine options'!$A$7</f>
        <v>Placeholder for new vaccine</v>
      </c>
      <c r="B57" s="1">
        <v>2025</v>
      </c>
      <c r="C57" s="10">
        <v>2.75</v>
      </c>
    </row>
    <row r="58" spans="1:3" x14ac:dyDescent="0.3">
      <c r="A58" s="8" t="str">
        <f>'Vaccine options'!$A$7</f>
        <v>Placeholder for new vaccine</v>
      </c>
      <c r="B58" s="1">
        <v>2026</v>
      </c>
      <c r="C58" s="10">
        <v>2.75</v>
      </c>
    </row>
    <row r="59" spans="1:3" x14ac:dyDescent="0.3">
      <c r="A59" s="8" t="str">
        <f>'Vaccine options'!$A$7</f>
        <v>Placeholder for new vaccine</v>
      </c>
      <c r="B59" s="1">
        <v>2027</v>
      </c>
      <c r="C59" s="10">
        <v>2.75</v>
      </c>
    </row>
    <row r="60" spans="1:3" x14ac:dyDescent="0.3">
      <c r="A60" s="8" t="str">
        <f>'Vaccine options'!$A$7</f>
        <v>Placeholder for new vaccine</v>
      </c>
      <c r="B60" s="1">
        <v>2028</v>
      </c>
      <c r="C60" s="10">
        <v>2.75</v>
      </c>
    </row>
    <row r="61" spans="1:3" x14ac:dyDescent="0.3">
      <c r="A61" s="8" t="str">
        <f>'Vaccine options'!$A$7</f>
        <v>Placeholder for new vaccine</v>
      </c>
      <c r="B61" s="1">
        <v>2029</v>
      </c>
      <c r="C61" s="10">
        <v>2.75</v>
      </c>
    </row>
    <row r="62" spans="1:3" x14ac:dyDescent="0.3">
      <c r="A62" s="8" t="str">
        <f>'Vaccine options'!$A$7</f>
        <v>Placeholder for new vaccine</v>
      </c>
      <c r="B62" s="1">
        <v>2030</v>
      </c>
      <c r="C62" s="10">
        <v>2.75</v>
      </c>
    </row>
    <row r="63" spans="1:3" x14ac:dyDescent="0.3">
      <c r="A63" s="8" t="str">
        <f>'Vaccine options'!$A$7</f>
        <v>Placeholder for new vaccine</v>
      </c>
      <c r="B63" s="1">
        <v>2031</v>
      </c>
      <c r="C63" s="10">
        <v>2.75</v>
      </c>
    </row>
    <row r="64" spans="1:3" x14ac:dyDescent="0.3">
      <c r="A64" s="8" t="str">
        <f>'Vaccine options'!$A$7</f>
        <v>Placeholder for new vaccine</v>
      </c>
      <c r="B64" s="1">
        <v>2032</v>
      </c>
      <c r="C64" s="10">
        <v>2.75</v>
      </c>
    </row>
    <row r="65" spans="1:3" x14ac:dyDescent="0.3">
      <c r="A65" s="8" t="str">
        <f>'Vaccine options'!$A$7</f>
        <v>Placeholder for new vaccine</v>
      </c>
      <c r="B65" s="1">
        <v>2033</v>
      </c>
      <c r="C65" s="10">
        <v>2.75</v>
      </c>
    </row>
    <row r="66" spans="1:3" x14ac:dyDescent="0.3">
      <c r="A66" s="8" t="str">
        <f>'Vaccine options'!$A$7</f>
        <v>Placeholder for new vaccine</v>
      </c>
      <c r="B66" s="1">
        <v>2034</v>
      </c>
      <c r="C66" s="10">
        <v>2.75</v>
      </c>
    </row>
    <row r="67" spans="1:3" x14ac:dyDescent="0.3">
      <c r="A67" s="8" t="str">
        <f>'Vaccine options'!$A$7</f>
        <v>Placeholder for new vaccine</v>
      </c>
      <c r="B67" s="1">
        <v>2035</v>
      </c>
      <c r="C67" s="10">
        <v>2.75</v>
      </c>
    </row>
    <row r="68" spans="1:3" x14ac:dyDescent="0.3">
      <c r="A68" s="8" t="str">
        <f>'Vaccine options'!$A$7</f>
        <v>Placeholder for new vaccine</v>
      </c>
      <c r="B68" s="1">
        <v>2036</v>
      </c>
      <c r="C68" s="10">
        <v>2.75</v>
      </c>
    </row>
    <row r="69" spans="1:3" x14ac:dyDescent="0.3">
      <c r="A69" s="8" t="str">
        <f>'Vaccine options'!$A$7</f>
        <v>Placeholder for new vaccine</v>
      </c>
      <c r="B69" s="1">
        <v>2037</v>
      </c>
      <c r="C69" s="10">
        <v>2.75</v>
      </c>
    </row>
    <row r="70" spans="1:3" x14ac:dyDescent="0.3">
      <c r="A70" s="8" t="str">
        <f>'Vaccine options'!$A$7</f>
        <v>Placeholder for new vaccine</v>
      </c>
      <c r="B70" s="1">
        <v>2038</v>
      </c>
      <c r="C70" s="10">
        <v>2.75</v>
      </c>
    </row>
  </sheetData>
  <sheetProtection algorithmName="SHA-512" hashValue="3tviVg1VLPsaf8UZsvctUfeyXPcf0dTtGexOxvdtQUH7O10YsY4M8LnS5QeX5/SP/UI1qIIiYN/BNiO+abii5g==" saltValue="S64VraQAXDVYeQa0CHBd9A==" spinCount="100000" sheet="1" objects="1" scenarios="1"/>
  <pageMargins left="0.7" right="0.7" top="0.75" bottom="0.75" header="0.3" footer="0.3"/>
  <pageSetup orientation="portrait" r:id="rId1"/>
  <headerFooter>
    <oddHeader>&amp;L&amp;"Calibri"&amp;10&amp;K000000Classified as 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2"/>
  <sheetViews>
    <sheetView workbookViewId="0">
      <selection activeCell="C67" sqref="C67"/>
    </sheetView>
  </sheetViews>
  <sheetFormatPr defaultColWidth="8.88671875" defaultRowHeight="14.4" x14ac:dyDescent="0.3"/>
  <cols>
    <col min="1" max="1" width="10.5546875" bestFit="1" customWidth="1"/>
    <col min="2" max="2" width="10.5546875" style="335" bestFit="1" customWidth="1"/>
  </cols>
  <sheetData>
    <row r="1" spans="1:3" x14ac:dyDescent="0.3">
      <c r="A1" t="s">
        <v>29</v>
      </c>
      <c r="B1" s="335" t="s">
        <v>30</v>
      </c>
      <c r="C1" t="s">
        <v>31</v>
      </c>
    </row>
    <row r="2" spans="1:3" x14ac:dyDescent="0.3">
      <c r="A2" s="334">
        <v>1</v>
      </c>
      <c r="B2" s="335">
        <v>45946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6f211968-1ce9-4ce8-bc32-9c87e03ae60e"/>
    <ds:schemaRef ds:uri="http://purl.org/dc/terms/"/>
    <ds:schemaRef ds:uri="http://schemas.microsoft.com/office/infopath/2007/PartnerControls"/>
    <ds:schemaRef ds:uri="http://schemas.openxmlformats.org/package/2006/metadata/core-properties"/>
    <ds:schemaRef ds:uri="6825cbcc-075a-4232-9296-e9bac03f9e0c"/>
    <ds:schemaRef ds:uri="http://purl.org/dc/elements/1.1/"/>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769E5AC5-64B2-4B7B-9D75-A7C00E9C1AC0}">
  <ds:schemaRefs>
    <ds:schemaRef ds:uri="http://schemas.microsoft.com/sharepoint/v3/contenttype/forms"/>
  </ds:schemaRefs>
</ds:datastoreItem>
</file>

<file path=customXml/itemProps3.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READ ME FIRST</vt:lpstr>
      <vt:lpstr>Inputs</vt:lpstr>
      <vt:lpstr>Dashboard</vt:lpstr>
      <vt:lpstr>Results</vt:lpstr>
      <vt:lpstr>Vaccine options</vt:lpstr>
      <vt:lpstr>Vaccine prices</vt:lpstr>
      <vt:lpstr>Version</vt:lpstr>
      <vt:lpstr>Dashboard!Print_Area</vt:lpstr>
      <vt:lpstr>Inputs!Print_Area</vt:lpstr>
      <vt:lpstr>Results!Print_Area</vt:lpstr>
    </vt:vector>
  </TitlesOfParts>
  <Company>PATH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Allison Clifford</cp:lastModifiedBy>
  <cp:lastPrinted>2024-08-05T22:57:35Z</cp:lastPrinted>
  <dcterms:created xsi:type="dcterms:W3CDTF">2018-05-24T13:25:57Z</dcterms:created>
  <dcterms:modified xsi:type="dcterms:W3CDTF">2025-12-02T16:29:32Z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