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api.box.com/wopi/files/2063049868720/WOPIServiceId_TP_BOX_2/WOPIUserId_-/"/>
    </mc:Choice>
  </mc:AlternateContent>
  <xr:revisionPtr revIDLastSave="2" documentId="8_{F237F646-32A6-46B7-BA34-741660798064}" xr6:coauthVersionLast="47" xr6:coauthVersionMax="47" xr10:uidLastSave="{EAD7922B-E3BF-48CE-BC78-2AB2AE07A791}"/>
  <bookViews>
    <workbookView xWindow="28680" yWindow="-4290" windowWidth="29040" windowHeight="15720" xr2:uid="{00000000-000D-0000-FFFF-FFFF00000000}"/>
  </bookViews>
  <sheets>
    <sheet name="INSTRUCCIONES" sheetId="19" r:id="rId1"/>
    <sheet name="Datos del Modelo" sheetId="16" r:id="rId2"/>
    <sheet name="Panel" sheetId="17" r:id="rId3"/>
    <sheet name="Resultados" sheetId="18" r:id="rId4"/>
    <sheet name="Opciones de vacunas" sheetId="3" state="hidden" r:id="rId5"/>
    <sheet name="Precios de vacunas" sheetId="13" state="hidden" r:id="rId6"/>
    <sheet name="Version" sheetId="14" state="hidden" r:id="rId7"/>
  </sheets>
  <definedNames>
    <definedName name="_xlnm.Print_Area" localSheetId="1">'Datos del Modelo'!$E$3:$O$106</definedName>
    <definedName name="_xlnm.Print_Area" localSheetId="2">Panel!$B$3:$M$37</definedName>
    <definedName name="_xlnm.Print_Area" localSheetId="3">Resultados!$B$3:$M$73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8" l="1"/>
  <c r="J20" i="18" s="1"/>
  <c r="H11" i="18"/>
  <c r="L24" i="18"/>
  <c r="L23" i="18"/>
  <c r="L22" i="18"/>
  <c r="L21" i="18"/>
  <c r="L20" i="18"/>
  <c r="J24" i="18"/>
  <c r="J23" i="18"/>
  <c r="J22" i="18"/>
  <c r="J21" i="18"/>
  <c r="N70" i="16"/>
  <c r="G68" i="16" l="1"/>
  <c r="I68" i="16"/>
  <c r="K68" i="16"/>
  <c r="M68" i="16"/>
  <c r="G41" i="16"/>
  <c r="G42" i="16" s="1"/>
  <c r="G43" i="16" s="1"/>
  <c r="G44" i="16" s="1"/>
  <c r="G45" i="16" s="1"/>
  <c r="M71" i="16"/>
  <c r="K71" i="16"/>
  <c r="I71" i="16"/>
  <c r="G71" i="16"/>
  <c r="F21" i="3" a="1"/>
  <c r="F21" i="3" s="1"/>
  <c r="A58" i="13"/>
  <c r="A59" i="13"/>
  <c r="A60" i="13"/>
  <c r="A61" i="13"/>
  <c r="A62" i="13"/>
  <c r="A63" i="13"/>
  <c r="A64" i="13"/>
  <c r="A65" i="13"/>
  <c r="A66" i="13"/>
  <c r="A67" i="13"/>
  <c r="A68" i="13"/>
  <c r="A69" i="13"/>
  <c r="A70" i="13"/>
  <c r="A57" i="13"/>
  <c r="A44" i="13"/>
  <c r="A45" i="13"/>
  <c r="A46" i="13"/>
  <c r="A47" i="13"/>
  <c r="A48" i="13"/>
  <c r="A49" i="13"/>
  <c r="A50" i="13"/>
  <c r="A51" i="13"/>
  <c r="A52" i="13"/>
  <c r="A53" i="13"/>
  <c r="A54" i="13"/>
  <c r="A55" i="13"/>
  <c r="A56" i="13"/>
  <c r="A43" i="13"/>
  <c r="A30" i="13"/>
  <c r="A31" i="13"/>
  <c r="A32" i="13"/>
  <c r="A33" i="13"/>
  <c r="A34" i="13"/>
  <c r="A35" i="13"/>
  <c r="A36" i="13"/>
  <c r="A37" i="13"/>
  <c r="A38" i="13"/>
  <c r="A39" i="13"/>
  <c r="A40" i="13"/>
  <c r="A41" i="13"/>
  <c r="A42" i="13"/>
  <c r="A29" i="13"/>
  <c r="A16" i="13"/>
  <c r="A17" i="13"/>
  <c r="A18" i="13"/>
  <c r="A19" i="13"/>
  <c r="A20" i="13"/>
  <c r="A21" i="13"/>
  <c r="A22" i="13"/>
  <c r="A23" i="13"/>
  <c r="A24" i="13"/>
  <c r="A25" i="13"/>
  <c r="A26" i="13"/>
  <c r="A27" i="13"/>
  <c r="A28" i="13"/>
  <c r="A15" i="13"/>
  <c r="A2" i="13"/>
  <c r="A3" i="13"/>
  <c r="A4" i="13"/>
  <c r="A5" i="13"/>
  <c r="A6" i="13"/>
  <c r="A7" i="13"/>
  <c r="A8" i="13"/>
  <c r="A9" i="13"/>
  <c r="A10" i="13"/>
  <c r="A11" i="13"/>
  <c r="A12" i="13"/>
  <c r="A13" i="13"/>
  <c r="A14" i="13"/>
  <c r="A1" i="13"/>
  <c r="A63" i="3" l="1"/>
  <c r="A61" i="3"/>
  <c r="A60" i="3"/>
  <c r="A59" i="3"/>
  <c r="A58" i="3"/>
  <c r="A57" i="3"/>
  <c r="A53" i="3" l="1"/>
  <c r="A51" i="3"/>
  <c r="A50" i="3"/>
  <c r="A49" i="3"/>
  <c r="A48" i="3"/>
  <c r="A47" i="3"/>
  <c r="A45" i="3"/>
  <c r="E38" i="3"/>
  <c r="K55" i="3" s="1"/>
  <c r="D38" i="3"/>
  <c r="H55" i="3" s="1"/>
  <c r="C38" i="3"/>
  <c r="E55" i="3" s="1"/>
  <c r="B38" i="3"/>
  <c r="B55" i="3" s="1"/>
  <c r="A43" i="3"/>
  <c r="A42" i="3"/>
  <c r="A41" i="3"/>
  <c r="A40" i="3"/>
  <c r="A39" i="3"/>
  <c r="G12" i="16"/>
  <c r="G22" i="16"/>
  <c r="F13" i="3" l="1"/>
  <c r="F22" i="3" s="1"/>
  <c r="F23" i="3" s="1"/>
  <c r="F24" i="3" s="1"/>
  <c r="F25" i="3" s="1"/>
  <c r="F26" i="3" s="1"/>
  <c r="F27" i="3" s="1"/>
  <c r="F28" i="3" s="1"/>
  <c r="F29" i="3" s="1"/>
  <c r="D14" i="3"/>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G51" i="16" l="1"/>
  <c r="D72" i="18"/>
  <c r="D71" i="18"/>
  <c r="D70" i="18"/>
  <c r="D69" i="18"/>
  <c r="D68" i="18"/>
  <c r="D63" i="18"/>
  <c r="D62" i="18"/>
  <c r="D61" i="18"/>
  <c r="D60" i="18"/>
  <c r="D59" i="18"/>
  <c r="K75" i="16"/>
  <c r="I75" i="16"/>
  <c r="K74" i="16"/>
  <c r="I74" i="16"/>
  <c r="M74" i="16"/>
  <c r="G74" i="16"/>
  <c r="I72" i="16"/>
  <c r="M72" i="16"/>
  <c r="K72" i="16"/>
  <c r="G72" i="16"/>
  <c r="M51" i="16"/>
  <c r="K51" i="16"/>
  <c r="I51"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F45" i="16"/>
  <c r="F44" i="16"/>
  <c r="F43" i="16"/>
  <c r="F42" i="16"/>
  <c r="F41" i="16"/>
  <c r="G75" i="16"/>
  <c r="M75" i="16"/>
  <c r="I61" i="3" l="1"/>
  <c r="H58" i="3"/>
  <c r="J63" i="3"/>
  <c r="J60" i="3"/>
  <c r="H60" i="3"/>
  <c r="I58" i="3"/>
  <c r="I57" i="3"/>
  <c r="I63" i="3"/>
  <c r="J61" i="3"/>
  <c r="H61" i="3"/>
  <c r="H63" i="3"/>
  <c r="J57" i="3"/>
  <c r="I59" i="3"/>
  <c r="I60" i="3"/>
  <c r="H57" i="3"/>
  <c r="J58" i="3"/>
  <c r="J59" i="3"/>
  <c r="H59" i="3"/>
  <c r="M63" i="3"/>
  <c r="L60" i="3"/>
  <c r="K57" i="3"/>
  <c r="L63" i="3"/>
  <c r="K63" i="3"/>
  <c r="M59" i="3"/>
  <c r="K59" i="3"/>
  <c r="M61" i="3"/>
  <c r="M57" i="3"/>
  <c r="M60" i="3"/>
  <c r="K60" i="3"/>
  <c r="K61" i="3"/>
  <c r="L58" i="3"/>
  <c r="L59" i="3"/>
  <c r="L57" i="3"/>
  <c r="L61" i="3"/>
  <c r="M58" i="3"/>
  <c r="K58" i="3"/>
  <c r="E63" i="3"/>
  <c r="G58" i="3"/>
  <c r="F61" i="3"/>
  <c r="F57" i="3"/>
  <c r="G61" i="3"/>
  <c r="E59" i="3"/>
  <c r="F58" i="3"/>
  <c r="E57" i="3"/>
  <c r="G57" i="3"/>
  <c r="E60" i="3"/>
  <c r="E61" i="3"/>
  <c r="G63" i="3"/>
  <c r="F59" i="3"/>
  <c r="F63" i="3"/>
  <c r="F60" i="3"/>
  <c r="C39" i="3"/>
  <c r="C47" i="3" s="1"/>
  <c r="G59" i="3"/>
  <c r="G60" i="3"/>
  <c r="E58" i="3"/>
  <c r="D63" i="3"/>
  <c r="B63" i="3"/>
  <c r="B45" i="3"/>
  <c r="B53" i="3" s="1"/>
  <c r="C59" i="3"/>
  <c r="C60" i="3"/>
  <c r="C61" i="3"/>
  <c r="C57" i="3"/>
  <c r="D58" i="3"/>
  <c r="B58" i="3"/>
  <c r="D59" i="3"/>
  <c r="B59" i="3"/>
  <c r="D57" i="3"/>
  <c r="B60" i="3"/>
  <c r="C63" i="3"/>
  <c r="D61" i="3"/>
  <c r="B61" i="3"/>
  <c r="C58" i="3"/>
  <c r="B39" i="3"/>
  <c r="B47" i="3" s="1"/>
  <c r="B57" i="3"/>
  <c r="D60" i="3"/>
  <c r="F11" i="18"/>
  <c r="H20" i="18"/>
  <c r="B43" i="3"/>
  <c r="F15" i="18"/>
  <c r="F13" i="18"/>
  <c r="F12" i="18"/>
  <c r="B41" i="3"/>
  <c r="B40" i="3"/>
  <c r="B42" i="3"/>
  <c r="F14" i="18"/>
  <c r="C41" i="3"/>
  <c r="C42" i="3"/>
  <c r="H13" i="18"/>
  <c r="H22" i="18" s="1"/>
  <c r="C43" i="3"/>
  <c r="C45" i="3"/>
  <c r="C53" i="3" s="1"/>
  <c r="C40" i="3"/>
  <c r="H15" i="18"/>
  <c r="H12" i="18"/>
  <c r="H21" i="18" s="1"/>
  <c r="H14" i="18"/>
  <c r="D45" i="3"/>
  <c r="D53" i="3" s="1"/>
  <c r="D43" i="3"/>
  <c r="J14" i="18"/>
  <c r="D41" i="3"/>
  <c r="D42" i="3"/>
  <c r="J13" i="18"/>
  <c r="J15" i="18"/>
  <c r="D39" i="3"/>
  <c r="D47" i="3" s="1"/>
  <c r="J12" i="18"/>
  <c r="D40" i="3"/>
  <c r="E43" i="3"/>
  <c r="L14" i="18"/>
  <c r="E40" i="3"/>
  <c r="L15" i="18"/>
  <c r="E41" i="3"/>
  <c r="E39" i="3"/>
  <c r="E47" i="3" s="1"/>
  <c r="L12" i="18"/>
  <c r="L11" i="18"/>
  <c r="E45" i="3"/>
  <c r="E53" i="3" s="1"/>
  <c r="E42" i="3"/>
  <c r="L13" i="18"/>
  <c r="F57" i="16"/>
  <c r="I57" i="16" s="1" a="1"/>
  <c r="I57" i="16" s="1"/>
  <c r="E24" i="3"/>
  <c r="F58" i="16"/>
  <c r="M58" i="16" s="1" a="1"/>
  <c r="M58" i="16" s="1"/>
  <c r="E25" i="3"/>
  <c r="F54" i="16"/>
  <c r="G54" i="16" s="1" a="1"/>
  <c r="G54" i="16" s="1"/>
  <c r="E21" i="3"/>
  <c r="F55" i="16"/>
  <c r="K55" i="16" s="1" a="1"/>
  <c r="K55" i="16" s="1"/>
  <c r="E22" i="3"/>
  <c r="F56" i="16"/>
  <c r="M56" i="16" s="1" a="1"/>
  <c r="M56" i="16" s="1"/>
  <c r="E23" i="3"/>
  <c r="G58" i="16" a="1"/>
  <c r="G58" i="16" s="1"/>
  <c r="K58" i="16" a="1"/>
  <c r="K58" i="16" s="1"/>
  <c r="I58" i="16" a="1"/>
  <c r="I58" i="16" s="1"/>
  <c r="F64" i="16"/>
  <c r="F61" i="16"/>
  <c r="F62" i="16"/>
  <c r="F63" i="16"/>
  <c r="F65" i="16"/>
  <c r="H23" i="18" l="1"/>
  <c r="H24" i="18"/>
  <c r="M54" i="16" a="1"/>
  <c r="M54" i="16" s="1"/>
  <c r="B48" i="3"/>
  <c r="C51" i="3"/>
  <c r="D50" i="3"/>
  <c r="C50" i="3"/>
  <c r="C49" i="3"/>
  <c r="E50" i="3"/>
  <c r="B49" i="3"/>
  <c r="E49" i="3"/>
  <c r="E48" i="3"/>
  <c r="D49" i="3"/>
  <c r="E51" i="3"/>
  <c r="B50" i="3"/>
  <c r="B51" i="3"/>
  <c r="D48" i="3"/>
  <c r="D51" i="3"/>
  <c r="C48" i="3"/>
  <c r="L28" i="18"/>
  <c r="J28" i="18"/>
  <c r="F21" i="18"/>
  <c r="L63" i="18"/>
  <c r="L72" i="18" s="1"/>
  <c r="H28" i="18"/>
  <c r="F24" i="18"/>
  <c r="F20" i="18"/>
  <c r="F59" i="18" s="1"/>
  <c r="F68" i="18" s="1"/>
  <c r="F22" i="18"/>
  <c r="L61" i="18"/>
  <c r="L70" i="18" s="1"/>
  <c r="F23" i="18"/>
  <c r="I54" i="16" a="1"/>
  <c r="I54" i="16" s="1"/>
  <c r="M57" i="16" a="1"/>
  <c r="M57" i="16" s="1"/>
  <c r="K57" i="16" a="1"/>
  <c r="K57" i="16" s="1"/>
  <c r="K56" i="16" a="1"/>
  <c r="K56" i="16" s="1"/>
  <c r="G57" i="16" a="1"/>
  <c r="G57" i="16" s="1"/>
  <c r="I56" i="16" a="1"/>
  <c r="I56" i="16" s="1"/>
  <c r="G56" i="16" a="1"/>
  <c r="G56" i="16" s="1"/>
  <c r="I55" i="16" a="1"/>
  <c r="I55" i="16" s="1"/>
  <c r="M55" i="16" a="1"/>
  <c r="M55" i="16" s="1"/>
  <c r="G55" i="16" a="1"/>
  <c r="G55" i="16" s="1"/>
  <c r="G61" i="16"/>
  <c r="K54" i="16" a="1"/>
  <c r="K54" i="16" s="1"/>
  <c r="L10" i="18"/>
  <c r="J10" i="18"/>
  <c r="F10" i="18"/>
  <c r="H10" i="18"/>
  <c r="M61" i="16" l="1"/>
  <c r="L39" i="18" s="1"/>
  <c r="L48" i="18" s="1"/>
  <c r="F39" i="18"/>
  <c r="F48" i="18" s="1"/>
  <c r="L59" i="18"/>
  <c r="L68" i="18" s="1"/>
  <c r="F28" i="18"/>
  <c r="H59" i="18"/>
  <c r="H68" i="18" s="1"/>
  <c r="I61" i="16"/>
  <c r="H39" i="18" s="1"/>
  <c r="H48" i="18" s="1"/>
  <c r="K61" i="16"/>
  <c r="L62" i="18"/>
  <c r="L71" i="18" s="1"/>
  <c r="M63" i="16"/>
  <c r="L41" i="18" s="1"/>
  <c r="L50" i="18" s="1"/>
  <c r="I63" i="16"/>
  <c r="H41" i="18" s="1"/>
  <c r="H50" i="18" s="1"/>
  <c r="K63" i="16"/>
  <c r="J41" i="18" s="1"/>
  <c r="J50" i="18" s="1"/>
  <c r="G63" i="16"/>
  <c r="F41" i="18" s="1"/>
  <c r="F50" i="18" s="1"/>
  <c r="K65" i="16"/>
  <c r="J43" i="18" s="1"/>
  <c r="J52" i="18" s="1"/>
  <c r="I65" i="16"/>
  <c r="H43" i="18" s="1"/>
  <c r="H52" i="18" s="1"/>
  <c r="M65" i="16"/>
  <c r="L43" i="18" s="1"/>
  <c r="L52" i="18" s="1"/>
  <c r="G65" i="16"/>
  <c r="J59" i="18"/>
  <c r="J68" i="18" s="1"/>
  <c r="M62" i="16"/>
  <c r="L40" i="18" s="1"/>
  <c r="L49" i="18" s="1"/>
  <c r="I62" i="16"/>
  <c r="H40" i="18" s="1"/>
  <c r="H49" i="18" s="1"/>
  <c r="K62" i="16"/>
  <c r="J40" i="18" s="1"/>
  <c r="J49" i="18" s="1"/>
  <c r="G62" i="16"/>
  <c r="F40" i="18" s="1"/>
  <c r="F49" i="18" s="1"/>
  <c r="M64" i="16"/>
  <c r="L42" i="18" s="1"/>
  <c r="L51" i="18" s="1"/>
  <c r="I64" i="16"/>
  <c r="H42" i="18" s="1"/>
  <c r="H51" i="18" s="1"/>
  <c r="K64" i="16"/>
  <c r="J42" i="18" s="1"/>
  <c r="J51" i="18" s="1"/>
  <c r="G64" i="16"/>
  <c r="L60" i="18"/>
  <c r="L69" i="18" s="1"/>
  <c r="F61" i="18"/>
  <c r="F70" i="18" s="1"/>
  <c r="H60" i="18"/>
  <c r="H69" i="18" s="1"/>
  <c r="F63" i="18"/>
  <c r="F72" i="18" s="1"/>
  <c r="J62" i="18"/>
  <c r="J71" i="18" s="1"/>
  <c r="H62" i="18"/>
  <c r="H71" i="18" s="1"/>
  <c r="H63" i="18"/>
  <c r="H72" i="18" s="1"/>
  <c r="F60" i="18"/>
  <c r="F69" i="18" s="1"/>
  <c r="H61" i="18"/>
  <c r="H70" i="18" s="1"/>
  <c r="J63" i="18"/>
  <c r="J72" i="18" s="1"/>
  <c r="J60" i="18"/>
  <c r="J69" i="18" s="1"/>
  <c r="F62" i="18"/>
  <c r="F71" i="18" s="1"/>
  <c r="J61" i="18"/>
  <c r="J70" i="18" s="1"/>
  <c r="J29" i="18"/>
  <c r="J30" i="18"/>
  <c r="L19" i="18"/>
  <c r="L10" i="17" s="1"/>
  <c r="L11" i="17" s="1"/>
  <c r="J31" i="18"/>
  <c r="F29" i="18"/>
  <c r="J32" i="18"/>
  <c r="L29" i="18"/>
  <c r="J19" i="18"/>
  <c r="J10" i="17" s="1"/>
  <c r="J11" i="17" s="1"/>
  <c r="F19" i="18"/>
  <c r="F10" i="17" s="1"/>
  <c r="F11" i="17" s="1"/>
  <c r="F31" i="18"/>
  <c r="H31" i="18"/>
  <c r="F32" i="18"/>
  <c r="H30" i="18"/>
  <c r="H29" i="18"/>
  <c r="F30" i="18"/>
  <c r="L31" i="18"/>
  <c r="H32" i="18"/>
  <c r="L32" i="18"/>
  <c r="H19" i="18"/>
  <c r="H10" i="17" s="1"/>
  <c r="H11" i="17" s="1"/>
  <c r="L30" i="18"/>
  <c r="J39" i="18" l="1"/>
  <c r="J48" i="18" s="1"/>
  <c r="F43" i="18"/>
  <c r="F52" i="18" s="1"/>
  <c r="F42" i="18"/>
  <c r="F51" i="18" s="1"/>
  <c r="L47" i="18"/>
  <c r="L18" i="17" s="1"/>
  <c r="L19" i="17" s="1"/>
  <c r="J13" i="17"/>
  <c r="L58" i="18"/>
  <c r="L38" i="18"/>
  <c r="L15" i="17" s="1"/>
  <c r="L16" i="17" s="1"/>
  <c r="F13" i="17"/>
  <c r="H13" i="17"/>
  <c r="L13" i="17"/>
  <c r="J27" i="17"/>
  <c r="J28" i="17" s="1"/>
  <c r="H27" i="17"/>
  <c r="H28" i="17" s="1"/>
  <c r="H30" i="17"/>
  <c r="J30" i="17"/>
  <c r="F30" i="17"/>
  <c r="H38" i="18"/>
  <c r="F27" i="17"/>
  <c r="F28" i="17" s="1"/>
  <c r="J38" i="18" l="1"/>
  <c r="J15" i="17" s="1"/>
  <c r="F38" i="18"/>
  <c r="F15" i="17" s="1"/>
  <c r="F16" i="17" s="1"/>
  <c r="M16" i="17" s="1"/>
  <c r="K13" i="17"/>
  <c r="L67" i="18"/>
  <c r="I13" i="17"/>
  <c r="J47" i="18"/>
  <c r="J18" i="17" s="1"/>
  <c r="J19" i="17" s="1"/>
  <c r="H47" i="18"/>
  <c r="H18" i="17" s="1"/>
  <c r="M13" i="17"/>
  <c r="F47" i="18"/>
  <c r="F18" i="17" s="1"/>
  <c r="F19" i="17" s="1"/>
  <c r="M19" i="17" s="1"/>
  <c r="J58" i="18"/>
  <c r="J67" i="18"/>
  <c r="H58" i="18"/>
  <c r="H67" i="18"/>
  <c r="F58" i="18"/>
  <c r="F67" i="18"/>
  <c r="H15" i="17"/>
  <c r="K15" i="17" l="1"/>
  <c r="J16" i="17"/>
  <c r="K16" i="17" s="1"/>
  <c r="F32" i="17"/>
  <c r="F33" i="17" s="1"/>
  <c r="H32" i="17"/>
  <c r="H33" i="17" s="1"/>
  <c r="J32" i="17"/>
  <c r="J33" i="17" s="1"/>
  <c r="M15" i="17"/>
  <c r="K18" i="17"/>
  <c r="K19" i="17"/>
  <c r="J35" i="17"/>
  <c r="J36" i="17" s="1"/>
  <c r="H35" i="17"/>
  <c r="H36" i="17" s="1"/>
  <c r="F35" i="17"/>
  <c r="F36" i="17" s="1"/>
  <c r="M18" i="17"/>
  <c r="I18" i="17"/>
  <c r="H19" i="17"/>
  <c r="I19" i="17" s="1"/>
  <c r="H16" i="17"/>
  <c r="I16" i="17" s="1"/>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<sst xmlns="http://schemas.openxmlformats.org/spreadsheetml/2006/main" count="255" uniqueCount="175">
  <si>
    <r>
      <rPr>
        <sz val="12"/>
        <color rgb="FF000000"/>
        <rFont val="Arial"/>
        <family val="2"/>
      </rPr>
      <t>Si tiene dudas o necesita asistencia, póngase en contacto con el equipo de Health Economics &amp; Outcomes Research de PATH:</t>
    </r>
    <r>
      <rPr>
        <sz val="12"/>
        <color rgb="FF000000"/>
        <rFont val="Arial"/>
        <family val="2"/>
      </rPr>
      <t xml:space="preserve"> </t>
    </r>
    <r>
      <rPr>
        <u/>
        <sz val="12"/>
        <color rgb="FF000000"/>
        <rFont val="Arial"/>
        <family val="2"/>
      </rPr>
      <t>HEOR@path.org</t>
    </r>
  </si>
  <si>
    <t>Perspectiva general</t>
  </si>
  <si>
    <t>Guía del usuario</t>
  </si>
  <si>
    <t>Las casillas moradas indican un menú desplegable en el que el usuario puede seleccionar una opción preestablecida. Haga clic en la casilla y aparecerá una flecha desplegable. Al hacer clic en la flecha, el usuario podrá seleccionar una de las opciones del menú.</t>
  </si>
  <si>
    <t>Programa de vacunación</t>
  </si>
  <si>
    <t>Cofinanciación</t>
  </si>
  <si>
    <t>Opciones y costo de la vacuna contra el VPH</t>
  </si>
  <si>
    <t>Recursos</t>
  </si>
  <si>
    <t>Perfiles de productos detallados de Gavi</t>
  </si>
  <si>
    <t>Tasas de tramitación</t>
  </si>
  <si>
    <t>Sitio web de UNICEF: tasas de tramitación</t>
  </si>
  <si>
    <t>Costos de suministros</t>
  </si>
  <si>
    <t>Sitio web de UNICEF: precios</t>
  </si>
  <si>
    <t>Costos de los programas de vacunación</t>
  </si>
  <si>
    <t>Costo incremental de la administración por dosis</t>
  </si>
  <si>
    <t>Análisis de escenario opcional para uso de multivacunas</t>
  </si>
  <si>
    <t>Esta opción permite analizar el costo de los programas con varios productos de vacuna contra el VPH usados a la vez en el país ajustando la proporción para un número de opciones. Para países que usan o anticipan usar más de un producto, la calculadora ofrece la posibilidad de definir tres escenarios (A, B, C) con diferentes combinaciones de proporción de uso de vacunas. Cada escenario debería ser una combinación de dos o más productos con una proporción total que equivalga al 100 %.</t>
  </si>
  <si>
    <t>Resultados</t>
  </si>
  <si>
    <t>Fórmulas de cálculo*</t>
  </si>
  <si>
    <t>Año de inicio</t>
  </si>
  <si>
    <t>Año previsto de introducción o sustitución</t>
  </si>
  <si>
    <t>personas por año</t>
  </si>
  <si>
    <t xml:space="preserve">personas </t>
  </si>
  <si>
    <t>Índice anual de crecimiento de la población</t>
  </si>
  <si>
    <t>%, solo para la cohorte de una sola edad</t>
  </si>
  <si>
    <r>
      <rPr>
        <sz val="12"/>
        <color theme="1"/>
        <rFont val="Arial"/>
        <family val="2"/>
      </rPr>
      <t xml:space="preserve">Debe sumar 100 % al completar el % administrado en cada </t>
    </r>
    <r>
      <rPr>
        <b/>
        <i/>
        <sz val="12"/>
        <color theme="4"/>
        <rFont val="Arial"/>
        <family val="2"/>
      </rPr>
      <t xml:space="preserve">ubicación </t>
    </r>
    <r>
      <rPr>
        <sz val="12"/>
        <color theme="1"/>
        <rFont val="Arial"/>
        <family val="2"/>
      </rPr>
      <t xml:space="preserve">mediante los campos en </t>
    </r>
    <r>
      <rPr>
        <b/>
        <i/>
        <sz val="12"/>
        <color theme="1"/>
        <rFont val="Arial"/>
        <family val="2"/>
      </rPr>
      <t>negrita</t>
    </r>
    <r>
      <rPr>
        <sz val="12"/>
        <color theme="1"/>
        <rFont val="Arial"/>
        <family val="2"/>
      </rPr>
      <t xml:space="preserve"> de abajo </t>
    </r>
    <r>
      <rPr>
        <b/>
        <sz val="12"/>
        <color theme="1"/>
        <rFont val="Arial"/>
        <family val="2"/>
      </rPr>
      <t>(NOTA:</t>
    </r>
    <r>
      <rPr>
        <b/>
        <sz val="12"/>
        <color theme="1"/>
        <rFont val="Arial"/>
        <family val="2"/>
      </rPr>
      <t xml:space="preserve"> </t>
    </r>
    <r>
      <rPr>
        <b/>
        <sz val="12"/>
        <color theme="1"/>
        <rFont val="Arial"/>
        <family val="2"/>
      </rPr>
      <t>Se deben completar los campos de cobertura de la segunda dosis si se evalúa una vacuna aún no aprobada para uso de dosis única)</t>
    </r>
    <r>
      <rPr>
        <sz val="12"/>
        <color theme="1"/>
        <rFont val="Arial"/>
        <family val="2"/>
      </rPr>
      <t>.</t>
    </r>
  </si>
  <si>
    <t>% alcanzado a través de esa ubicación</t>
  </si>
  <si>
    <t>cobertura anual</t>
  </si>
  <si>
    <t>Opciones de entrega - campaña</t>
  </si>
  <si>
    <t>cobertura de campaña</t>
  </si>
  <si>
    <r>
      <rPr>
        <b/>
        <i/>
        <sz val="12"/>
        <color theme="1"/>
        <rFont val="Arial"/>
        <family val="2"/>
      </rPr>
      <t xml:space="preserve">% administrado en el </t>
    </r>
    <r>
      <rPr>
        <b/>
        <i/>
        <sz val="12"/>
        <color theme="4"/>
        <rFont val="Arial"/>
        <family val="2"/>
      </rPr>
      <t>Establecimiento</t>
    </r>
    <r>
      <rPr>
        <b/>
        <i/>
        <sz val="12"/>
        <color theme="1"/>
        <rFont val="Arial"/>
        <family val="2"/>
      </rPr>
      <t xml:space="preserve"> - campaña</t>
    </r>
  </si>
  <si>
    <t>Cobertura esperada de la primera dosis en el Establecimiento - campaña</t>
  </si>
  <si>
    <t>Cobertura esperada de la segunda dosis en el Establecimiento - campaña</t>
  </si>
  <si>
    <r>
      <rPr>
        <b/>
        <i/>
        <sz val="12"/>
        <color theme="1"/>
        <rFont val="Arial"/>
        <family val="2"/>
      </rPr>
      <t xml:space="preserve">% administrado en </t>
    </r>
    <r>
      <rPr>
        <b/>
        <i/>
        <sz val="12"/>
        <color theme="4"/>
        <rFont val="Arial"/>
        <family val="2"/>
      </rPr>
      <t>Otros lugares</t>
    </r>
    <r>
      <rPr>
        <b/>
        <i/>
        <sz val="12"/>
        <color theme="1"/>
        <rFont val="Arial"/>
        <family val="2"/>
      </rPr>
      <t xml:space="preserve"> - campaña</t>
    </r>
  </si>
  <si>
    <t>Cobertura esperada de la primera dosis en otros lugares - campaña</t>
  </si>
  <si>
    <t>Cobertura esperada de la segunda dosis en otros lugares - campaña</t>
  </si>
  <si>
    <t>Fase de transición de Gavi</t>
  </si>
  <si>
    <t>Transición preparatoria</t>
  </si>
  <si>
    <t>¿Planea introducir una nueva vacuna contra el VPH o cambiar de producto?</t>
  </si>
  <si>
    <t>Cambio de producto</t>
  </si>
  <si>
    <t>Indique si planea introducir una nueva vacuna contra el VPH o cambiar de producto en un programa de vacunación contra el VPH ya existente.</t>
  </si>
  <si>
    <t>Año de introducción o de sustitución en la fase de transición acelerada</t>
  </si>
  <si>
    <r>
      <rPr>
        <b/>
        <sz val="12"/>
        <color theme="1"/>
        <rFont val="Arial"/>
        <family val="2"/>
      </rPr>
      <t>Cuota de cofinanciación del país</t>
    </r>
    <r>
      <rPr>
        <b/>
        <sz val="12"/>
        <color theme="1"/>
        <rFont val="Calibri"/>
        <family val="2"/>
        <scheme val="minor"/>
      </rPr>
      <t xml:space="preserve"> </t>
    </r>
  </si>
  <si>
    <t>Fracción del precio aplicada a otras vacunas del portafolio en el año de introducción o sustitución</t>
  </si>
  <si>
    <t>OPCIÓN ACTUAL o PREFERIDA</t>
  </si>
  <si>
    <t>OPCIÓN 2</t>
  </si>
  <si>
    <t>OPCIÓN 3</t>
  </si>
  <si>
    <t>OPCIÓN 4</t>
  </si>
  <si>
    <t>Seleccionar vacuna / presentación &gt;&gt;&gt;</t>
  </si>
  <si>
    <t>CECOLIN
bivalente, 1 dosis/frasco, líquido</t>
  </si>
  <si>
    <t>WALRINVAX 
bivalente, 1 dosis/frasco, líquido</t>
  </si>
  <si>
    <t>CERVARIX
bivalente, 2 dosis/frasco, líquido</t>
  </si>
  <si>
    <t>GARDASIL4
tetravalente, 1 dosis/frasco, líquido</t>
  </si>
  <si>
    <t>Estado de suministro</t>
  </si>
  <si>
    <t>Precio por dosis</t>
  </si>
  <si>
    <t>Cofinanciación por dosis - rutina</t>
  </si>
  <si>
    <t>Cofinanciación por dosis - campaña</t>
  </si>
  <si>
    <t>Número indicativo de dosis en el esquema</t>
  </si>
  <si>
    <r>
      <rPr>
        <b/>
        <sz val="12"/>
        <color theme="1"/>
        <rFont val="Arial"/>
        <family val="2"/>
      </rPr>
      <t>Volumen de la cadena de frío por dosis
(en cm</t>
    </r>
    <r>
      <rPr>
        <b/>
        <vertAlign val="superscript"/>
        <sz val="12"/>
        <color theme="1"/>
        <rFont val="Arial"/>
        <family val="2"/>
      </rPr>
      <t>3</t>
    </r>
    <r>
      <rPr>
        <b/>
        <sz val="12"/>
        <color theme="1"/>
        <rFont val="Arial"/>
        <family val="2"/>
      </rPr>
      <t>)</t>
    </r>
  </si>
  <si>
    <t>Tasa de desperdicio</t>
  </si>
  <si>
    <t>Tasa de desperdicio indicativa</t>
  </si>
  <si>
    <t>Factor de desperdicio</t>
  </si>
  <si>
    <t>Tramitación internacional
(% del precio de la vacuna)</t>
  </si>
  <si>
    <t>Transporte internacional
(% del precio de la vacuna)</t>
  </si>
  <si>
    <t>Tasa de reserva</t>
  </si>
  <si>
    <t>Precio de caja/bolsa de seguridad</t>
  </si>
  <si>
    <t>Volumen de caja/bolsa de seguridad</t>
  </si>
  <si>
    <t>Precio por jeringa</t>
  </si>
  <si>
    <t>Establecimiento</t>
  </si>
  <si>
    <t>Otros lugares</t>
  </si>
  <si>
    <t>Haga clic en el símbolo + a la izquierda para mostrar</t>
  </si>
  <si>
    <t>ESCENARIO A</t>
  </si>
  <si>
    <t>Proporción de opciones de vacuna en uso en el programa (%)*</t>
  </si>
  <si>
    <t>ESCENARIO B</t>
  </si>
  <si>
    <t>ESCENARIO C</t>
  </si>
  <si>
    <t>* Recordatorio: Cada escenario debe ser una combinación de dos o más productos con una proporción total que equivalga al 100 %.</t>
  </si>
  <si>
    <t xml:space="preserve"> </t>
  </si>
  <si>
    <t>Millones de dosis necesarias</t>
  </si>
  <si>
    <t>5 años</t>
  </si>
  <si>
    <t>Media anual</t>
  </si>
  <si>
    <t>Costo total de la vacuna para el país
(en millones de dólares estadounidenses)</t>
  </si>
  <si>
    <t>Costo total del programa de vacunación para el país
(en millones de dólares estadounidenses)</t>
  </si>
  <si>
    <t>Los porcentajes indican el aumento o descenso del volumen de la cadena de frío o el costo en comparación con la opción actual o preferida.</t>
  </si>
  <si>
    <t xml:space="preserve">Haga clic en el símbolo + a la izquierda para mostrar </t>
  </si>
  <si>
    <t>Costo total de la vacuna
(en millones de dólares estadounidenses)</t>
  </si>
  <si>
    <t>Resultados - Análisis principal</t>
  </si>
  <si>
    <t>Número de dosis administradas</t>
  </si>
  <si>
    <t>Total
para 5 años</t>
  </si>
  <si>
    <r>
      <rPr>
        <b/>
        <sz val="20"/>
        <color theme="0"/>
        <rFont val="Arial"/>
        <family val="2"/>
      </rPr>
      <t>Número de dosis necesarias</t>
    </r>
    <r>
      <rPr>
        <b/>
        <sz val="12"/>
        <color theme="0"/>
        <rFont val="Arial"/>
        <family val="2"/>
      </rPr>
      <t xml:space="preserve">
</t>
    </r>
    <r>
      <rPr>
        <i/>
        <sz val="10"/>
        <color theme="0"/>
        <rFont val="Arial"/>
        <family val="2"/>
      </rPr>
      <t>incluye dosis de reserva y desperdiciadas</t>
    </r>
    <r>
      <rPr>
        <b/>
        <sz val="12"/>
        <color theme="0"/>
        <rFont val="Arial"/>
        <family val="2"/>
      </rPr>
      <t xml:space="preserve"> </t>
    </r>
  </si>
  <si>
    <r>
      <rPr>
        <b/>
        <sz val="20"/>
        <color theme="0"/>
        <rFont val="Arial"/>
        <family val="2"/>
      </rPr>
      <t>Volumen total de la cadena de frío necesario</t>
    </r>
    <r>
      <rPr>
        <b/>
        <sz val="12"/>
        <color theme="0"/>
        <rFont val="Arial"/>
        <family val="2"/>
      </rPr>
      <t xml:space="preserve">
</t>
    </r>
    <r>
      <rPr>
        <i/>
        <sz val="10"/>
        <color theme="0"/>
        <rFont val="Arial"/>
        <family val="2"/>
      </rPr>
      <t>cm</t>
    </r>
    <r>
      <rPr>
        <i/>
        <vertAlign val="superscript"/>
        <sz val="10"/>
        <color theme="0"/>
        <rFont val="Arial"/>
        <family val="2"/>
      </rPr>
      <t>3</t>
    </r>
  </si>
  <si>
    <t>Costo para el país</t>
  </si>
  <si>
    <r>
      <rPr>
        <b/>
        <sz val="20"/>
        <color theme="0"/>
        <rFont val="Arial"/>
        <family val="2"/>
      </rPr>
      <t>Costo de la vacuna para el país</t>
    </r>
    <r>
      <rPr>
        <b/>
        <sz val="12"/>
        <color theme="0"/>
        <rFont val="Arial"/>
        <family val="2"/>
      </rPr>
      <t xml:space="preserve">
</t>
    </r>
    <r>
      <rPr>
        <i/>
        <sz val="10"/>
        <color theme="0"/>
        <rFont val="Arial"/>
        <family val="2"/>
      </rPr>
      <t>Costo de la adquisición de las vacunas y de los suministros</t>
    </r>
  </si>
  <si>
    <r>
      <rPr>
        <b/>
        <sz val="20"/>
        <color theme="0"/>
        <rFont val="Arial"/>
        <family val="2"/>
      </rPr>
      <t>Costos del programa de vacunación para el país</t>
    </r>
    <r>
      <rPr>
        <b/>
        <sz val="12"/>
        <color theme="0"/>
        <rFont val="Arial"/>
        <family val="2"/>
      </rPr>
      <t xml:space="preserve">
</t>
    </r>
    <r>
      <rPr>
        <i/>
        <sz val="10"/>
        <color theme="0"/>
        <rFont val="Arial"/>
        <family val="2"/>
      </rPr>
      <t>Costo de la vacuna + costo del envío</t>
    </r>
  </si>
  <si>
    <t>Costo para el país + Gavi</t>
  </si>
  <si>
    <r>
      <rPr>
        <b/>
        <sz val="20"/>
        <color theme="0"/>
        <rFont val="Arial"/>
        <family val="2"/>
      </rPr>
      <t>Costo de la vacuna para el país +Gavi</t>
    </r>
    <r>
      <rPr>
        <b/>
        <sz val="12"/>
        <color theme="0"/>
        <rFont val="Arial"/>
        <family val="2"/>
      </rPr>
      <t xml:space="preserve">
</t>
    </r>
    <r>
      <rPr>
        <i/>
        <sz val="10"/>
        <color theme="0"/>
        <rFont val="Arial"/>
        <family val="2"/>
      </rPr>
      <t>Costo de la adquisición de las vacunas y de los suministros</t>
    </r>
  </si>
  <si>
    <r>
      <rPr>
        <b/>
        <sz val="20"/>
        <color theme="0"/>
        <rFont val="Arial"/>
        <family val="2"/>
      </rPr>
      <t>Costos del programa de vacunación para el país + Gavi</t>
    </r>
    <r>
      <rPr>
        <b/>
        <sz val="12"/>
        <color theme="0"/>
        <rFont val="Arial"/>
        <family val="2"/>
      </rPr>
      <t xml:space="preserve">
</t>
    </r>
    <r>
      <rPr>
        <i/>
        <sz val="10"/>
        <color theme="0"/>
        <rFont val="Arial"/>
        <family val="2"/>
      </rPr>
      <t>Costo de la vacuna + costo del envío</t>
    </r>
  </si>
  <si>
    <t>Vacuna y presentación</t>
  </si>
  <si>
    <t>Dosis en el esquema</t>
  </si>
  <si>
    <t>Desperdicio</t>
  </si>
  <si>
    <r>
      <t>Volumen de la cadena de frío (cm</t>
    </r>
    <r>
      <rPr>
        <b/>
        <vertAlign val="superscript"/>
        <sz val="11"/>
        <color theme="1"/>
        <rFont val="Calibri"/>
        <family val="2"/>
        <scheme val="minor"/>
      </rPr>
      <t>3</t>
    </r>
    <r>
      <rPr>
        <b/>
        <sz val="11"/>
        <color theme="1"/>
        <rFont val="Calibri"/>
        <family val="2"/>
        <scheme val="minor"/>
      </rPr>
      <t>) por dosis</t>
    </r>
  </si>
  <si>
    <t>Descargo de responsabilidad</t>
  </si>
  <si>
    <t>Suministro suficiente</t>
  </si>
  <si>
    <t>Pendiente de acuerdo con la División de Suministros de UNICEF</t>
  </si>
  <si>
    <t>Requiere planificación</t>
  </si>
  <si>
    <t>Marcador de posición para una nueva vacuna</t>
  </si>
  <si>
    <t>Desconocido</t>
  </si>
  <si>
    <t>¿Nueva introducción o cambio de producto?</t>
  </si>
  <si>
    <t>Autofinanciamiento inicial</t>
  </si>
  <si>
    <t>Nueva introducción</t>
  </si>
  <si>
    <t>Transición acelerada</t>
  </si>
  <si>
    <t>Y1</t>
  </si>
  <si>
    <t>Y2</t>
  </si>
  <si>
    <t>Y3</t>
  </si>
  <si>
    <t>Y4</t>
  </si>
  <si>
    <t>Y5</t>
  </si>
  <si>
    <t>Y6</t>
  </si>
  <si>
    <t>Y7</t>
  </si>
  <si>
    <t>Y8</t>
  </si>
  <si>
    <t>Y9</t>
  </si>
  <si>
    <t>Número de dosis administradas - campaña</t>
  </si>
  <si>
    <t>Número de dosis requeridas - campaña</t>
  </si>
  <si>
    <t>Número de dosis administradas - campaña - por opciones de entrega</t>
  </si>
  <si>
    <t>Versión</t>
  </si>
  <si>
    <t xml:space="preserve">Fecha </t>
  </si>
  <si>
    <t>Comentario</t>
  </si>
  <si>
    <r>
      <t>Volumen de la cadena de frío
(millones de cm</t>
    </r>
    <r>
      <rPr>
        <b/>
        <vertAlign val="superscript"/>
        <sz val="11"/>
        <color theme="1"/>
        <rFont val="Arial"/>
        <family val="2"/>
      </rPr>
      <t>3</t>
    </r>
    <r>
      <rPr>
        <b/>
        <sz val="11"/>
        <color theme="1"/>
        <rFont val="Arial"/>
        <family val="2"/>
      </rPr>
      <t>)</t>
    </r>
  </si>
  <si>
    <r>
      <rPr>
        <sz val="26"/>
        <color theme="1"/>
        <rFont val="Arial"/>
        <family val="2"/>
      </rPr>
      <t>Calculadora de costos de la</t>
    </r>
    <r>
      <rPr>
        <b/>
        <sz val="32"/>
        <color theme="5"/>
        <rFont val="Arial"/>
        <family val="2"/>
      </rPr>
      <t xml:space="preserve"> vacuna contra el virus del papiloma humano</t>
    </r>
    <r>
      <rPr>
        <b/>
        <sz val="36"/>
        <color theme="5"/>
        <rFont val="Arial"/>
        <family val="2"/>
      </rPr>
      <t xml:space="preserve"> 
</t>
    </r>
  </si>
  <si>
    <t xml:space="preserve">Nota: Para agregar una vacuna nueva, actualice las celdas de referencia para opciones de vacuna en la hoja "Datos", actualice esta fila e ingrese el nuevo precio de la vacuna en C57 a C70 en la hoja "Precios de vacunas" </t>
  </si>
  <si>
    <t>Número de dosis administradas - rutinarias</t>
  </si>
  <si>
    <t>Número de dosis requeridas - rutinarias</t>
  </si>
  <si>
    <r>
      <t xml:space="preserve">Calculadora de costos de la </t>
    </r>
    <r>
      <rPr>
        <b/>
        <sz val="11"/>
        <color theme="5"/>
        <rFont val="Arial"/>
        <family val="2"/>
      </rPr>
      <t>vacuna contra el virus del papiloma humano</t>
    </r>
    <r>
      <rPr>
        <sz val="11"/>
        <color theme="1"/>
        <rFont val="Arial"/>
        <family val="2"/>
      </rPr>
      <t xml:space="preserve"> </t>
    </r>
    <r>
      <rPr>
        <sz val="11"/>
        <color theme="5"/>
        <rFont val="Arial"/>
        <family val="2"/>
      </rPr>
      <t>para los países elegibles para Gavi</t>
    </r>
  </si>
  <si>
    <t>Número de dosis administradas - rutinarias - por opciones de entrega</t>
  </si>
  <si>
    <t>Colegio</t>
  </si>
  <si>
    <r>
      <t xml:space="preserve">Calculadora de costos de la </t>
    </r>
    <r>
      <rPr>
        <b/>
        <sz val="11"/>
        <color theme="5"/>
        <rFont val="Arial"/>
        <family val="2"/>
      </rPr>
      <t>vacuna contra el virus del papiloma humano</t>
    </r>
    <r>
      <rPr>
        <sz val="11"/>
        <color theme="5"/>
        <rFont val="Arial"/>
        <family val="2"/>
      </rPr>
      <t xml:space="preserve"> para los países elegibles para Gavi</t>
    </r>
  </si>
  <si>
    <r>
      <t xml:space="preserve">Población objetivo - campaña
</t>
    </r>
    <r>
      <rPr>
        <sz val="12"/>
        <color theme="1"/>
        <rFont val="Arial"/>
        <family val="2"/>
      </rPr>
      <t>Cohorte multi edad CME</t>
    </r>
  </si>
  <si>
    <r>
      <t xml:space="preserve">% administrado en el </t>
    </r>
    <r>
      <rPr>
        <b/>
        <i/>
        <sz val="12"/>
        <color theme="4"/>
        <rFont val="Arial"/>
        <family val="2"/>
      </rPr>
      <t>Colegio</t>
    </r>
    <r>
      <rPr>
        <b/>
        <i/>
        <sz val="12"/>
        <color theme="1"/>
        <rFont val="Arial"/>
        <family val="2"/>
      </rPr>
      <t xml:space="preserve"> - campaña</t>
    </r>
  </si>
  <si>
    <t>Cobertura esperada de la primera dosis en el Colegio - campaña</t>
  </si>
  <si>
    <t>Cobertura esperada de la segunda dosis en el Colegio - campaña</t>
  </si>
  <si>
    <t>Si seleccionó “Transición preparatoria” o “Transición acelerada”, complete la cuota de cofinanciación del país en la celda E40.*</t>
  </si>
  <si>
    <r>
      <t xml:space="preserve">Si seleccionó “Transición acelerada”, indique en qué años se encontrará su país en esta fase cuando comience el programa de vacunación contra el VPH o al cambiar de producto. Este valor debe estar comprendido entre 1 y 8. 
</t>
    </r>
    <r>
      <rPr>
        <b/>
        <sz val="12"/>
        <color theme="1"/>
        <rFont val="Arial"/>
        <family val="2"/>
      </rPr>
      <t>NOTA:</t>
    </r>
    <r>
      <rPr>
        <sz val="12"/>
        <color theme="1"/>
        <rFont val="Arial"/>
        <family val="2"/>
      </rPr>
      <t xml:space="preserve"> </t>
    </r>
    <r>
      <rPr>
        <b/>
        <sz val="12"/>
        <color theme="1"/>
        <rFont val="Arial"/>
        <family val="2"/>
      </rPr>
      <t>Este campo no se usa en los cálculos de resultados si seleccionó “Autofinanciamiento inicial” o “Transición preparatoria”.</t>
    </r>
    <r>
      <rPr>
        <sz val="12"/>
        <color theme="1"/>
        <rFont val="Arial"/>
        <family val="2"/>
      </rPr>
      <t xml:space="preserve"> 
</t>
    </r>
  </si>
  <si>
    <r>
      <t xml:space="preserve">Ingrese el % del precio de la vacuna por dosis o la “fracción del precio” que aplicó a otras vacunas del portafolio en el año de introducción o sustitución.
 Si no conoce la cuota de cofinanciación de su país, póngase en contacto con su Gerente de país (SCM por sus siglas en inglés) en Gavi.
</t>
    </r>
    <r>
      <rPr>
        <b/>
        <sz val="12"/>
        <color theme="1"/>
        <rFont val="Arial"/>
        <family val="2"/>
      </rPr>
      <t>NOTA: Este campo no se usa en los cálculos de los resultados si arriba seleccionó “Autofinanciamiento inicial”.</t>
    </r>
    <r>
      <rPr>
        <sz val="12"/>
        <color theme="1"/>
        <rFont val="Arial"/>
        <family val="2"/>
      </rPr>
      <t xml:space="preserve">
</t>
    </r>
  </si>
  <si>
    <t>CME</t>
  </si>
  <si>
    <t>Costos únicos de introducción o de sustitución para las cohortes CUSE y CME
(monto global o presupuesto en el primer año)</t>
  </si>
  <si>
    <t>IDCC (por sus siglas en inglés)</t>
  </si>
  <si>
    <t>Panel</t>
  </si>
  <si>
    <t>Immunization Delivery Cost Catalogue (IDCC)</t>
  </si>
  <si>
    <t>Las casillas verdes requieren que el usuario ingrese datos. En el modelo se incluyen datos de ejemplo, pero esta información debe revisarse para reflejar los datos y el programa de vacunación locales.</t>
  </si>
  <si>
    <t>Los costos de los programas de vacunación incluyen los costos de la vacuna y el costo del envío. Los costos del envío cubren todos los gastos adicionales necesarios para aplicar las vacunas, además del costo directo de la adquisición de la vacuna y productos básicos. Esto abarca gastos como viáticos, asignaciones de viaje, equipo de cadena de frío, vehículos, transporte y combustible, y puede variar según la ubicación de entrega. Se puede excluir cualquier costo del sistema ya imputado al sistema de vacunación (costos compartidos). Por ejemplo, no se incluirá el costo del transporte de la vacuna contra el VPH si forma parte del mismo transporte utilizado para otras vacunas. Puede ingresar los costos de introducción o sustitución de forma separada (una suma fija el primer año) o el costo por dosis enviada (cada año).</t>
  </si>
  <si>
    <t>Datos del modelo</t>
  </si>
  <si>
    <r>
      <t xml:space="preserve">Población objetivo - rutina
</t>
    </r>
    <r>
      <rPr>
        <sz val="12"/>
        <color theme="1"/>
        <rFont val="Arial"/>
        <family val="2"/>
      </rPr>
      <t>Cohorte de una sola edad (CUSE)</t>
    </r>
  </si>
  <si>
    <t>Opciones de entrega - rutina</t>
  </si>
  <si>
    <r>
      <t xml:space="preserve">% administrado en el </t>
    </r>
    <r>
      <rPr>
        <b/>
        <i/>
        <sz val="12"/>
        <color theme="4"/>
        <rFont val="Arial"/>
        <family val="2"/>
      </rPr>
      <t>Colegio</t>
    </r>
    <r>
      <rPr>
        <b/>
        <i/>
        <sz val="12"/>
        <color theme="1"/>
        <rFont val="Arial"/>
        <family val="2"/>
      </rPr>
      <t xml:space="preserve"> - rutina</t>
    </r>
  </si>
  <si>
    <t>Cobertura esperada de la primera dosis en el Colegio - rutina</t>
  </si>
  <si>
    <t>Cobertura esperada de la segunda dosis en el Colegio - rutina</t>
  </si>
  <si>
    <r>
      <t xml:space="preserve">% administrado en el </t>
    </r>
    <r>
      <rPr>
        <b/>
        <i/>
        <sz val="12"/>
        <color theme="4"/>
        <rFont val="Arial"/>
        <family val="2"/>
      </rPr>
      <t>Establecimiento</t>
    </r>
    <r>
      <rPr>
        <b/>
        <i/>
        <sz val="12"/>
        <color theme="1"/>
        <rFont val="Arial"/>
        <family val="2"/>
      </rPr>
      <t xml:space="preserve"> - rutina</t>
    </r>
  </si>
  <si>
    <t>Cobertura esperada de la primera dosis en el Establecimiento - rutina</t>
  </si>
  <si>
    <t>Cobertura esperada de la segunda dosis en el Establecimiento - rutina</t>
  </si>
  <si>
    <r>
      <t xml:space="preserve">% administrado en </t>
    </r>
    <r>
      <rPr>
        <b/>
        <i/>
        <sz val="12"/>
        <color theme="4"/>
        <rFont val="Arial"/>
        <family val="2"/>
      </rPr>
      <t>Otros lugares</t>
    </r>
    <r>
      <rPr>
        <b/>
        <i/>
        <sz val="12"/>
        <color theme="1"/>
        <rFont val="Arial"/>
        <family val="2"/>
      </rPr>
      <t xml:space="preserve"> - rutina</t>
    </r>
  </si>
  <si>
    <t>Cobertura esperada de la primera dosis en Otros lugares - rutina</t>
  </si>
  <si>
    <t>Cobertura esperada de la segunda dosis en Otros lugares - rutina</t>
  </si>
  <si>
    <t>Para los países elegibles para Gavi</t>
  </si>
  <si>
    <r>
      <rPr>
        <b/>
        <i/>
        <u/>
        <sz val="12"/>
        <color theme="1" tint="-0.499984740745262"/>
        <rFont val="Arial"/>
        <family val="2"/>
      </rPr>
      <t>Descargo de responsabilidad:</t>
    </r>
    <r>
      <rPr>
        <b/>
        <i/>
        <sz val="12"/>
        <color theme="1" tint="-0.499984740745262"/>
        <rFont val="Arial"/>
        <family val="2"/>
      </rPr>
      <t xml:space="preserve"> La calculadora de costos de la vacuna contra el VPH para países elegibles para Gavi </t>
    </r>
    <r>
      <rPr>
        <i/>
        <sz val="12"/>
        <color theme="1" tint="-0.499984740745262"/>
        <rFont val="Arial"/>
        <family val="2"/>
      </rPr>
      <t xml:space="preserve">es una herramienta con el objetivo de informar la toma de decisiones sobre la introducción o sustitución de vacunas y la selección de productos. Cabe destacar que el costo es tan solo una única consideración, y que los responsables de la toma de decisiones relativas a la introducción o sustitución de nuevas vacunas y la selección de los productos también deben tener en cuenta otros aspectos. La finalidad de este modelo es ofrecer información sobre los </t>
    </r>
    <r>
      <rPr>
        <b/>
        <i/>
        <sz val="12"/>
        <color theme="1" tint="-0.499984740745262"/>
        <rFont val="Arial"/>
        <family val="2"/>
      </rPr>
      <t>posibles</t>
    </r>
    <r>
      <rPr>
        <i/>
        <sz val="12"/>
        <color theme="1" tint="-0.499984740745262"/>
        <rFont val="Arial"/>
        <family val="2"/>
      </rPr>
      <t xml:space="preserve"> costos de las alternativas de productos y no debe reemplazar la planificación presupuestaria detallada una vez que se ha seleccionado el producto en cuestión.</t>
    </r>
  </si>
  <si>
    <r>
      <t xml:space="preserve">Panel </t>
    </r>
    <r>
      <rPr>
        <b/>
        <sz val="24"/>
        <color theme="0"/>
        <rFont val="Aptos Narrow"/>
        <family val="2"/>
      </rPr>
      <t>—</t>
    </r>
    <r>
      <rPr>
        <b/>
        <sz val="24"/>
        <color theme="0"/>
        <rFont val="Arial"/>
        <family val="2"/>
      </rPr>
      <t xml:space="preserve"> Análisis principal</t>
    </r>
  </si>
  <si>
    <t>Panel - Análisis de escenario opcional</t>
  </si>
  <si>
    <r>
      <rPr>
        <b/>
        <sz val="12"/>
        <color theme="1"/>
        <rFont val="Arial"/>
        <family val="2"/>
      </rPr>
      <t>Número de dosis administradas</t>
    </r>
    <r>
      <rPr>
        <sz val="12"/>
        <color theme="1"/>
        <rFont val="Arial"/>
        <family val="2"/>
      </rPr>
      <t xml:space="preserve"> = Población objetivo CUSE/CME x cobertura D1 de cada opción de entrega x proporción de cada opción de entrega + población objetivo CUSE/CME x cobertura D2 de cada opción de entrega x proporción de cada opción de entrega (si corresponde)
</t>
    </r>
    <r>
      <rPr>
        <b/>
        <sz val="12"/>
        <color theme="1"/>
        <rFont val="Arial"/>
        <family val="2"/>
      </rPr>
      <t>Total de dosis requeridas</t>
    </r>
    <r>
      <rPr>
        <sz val="12"/>
        <color theme="1"/>
        <rFont val="Arial"/>
        <family val="2"/>
      </rPr>
      <t xml:space="preserve"> = Número de dosis administradas x factor de desperdicio + dosis de reserva opcionales
</t>
    </r>
    <r>
      <rPr>
        <b/>
        <sz val="12"/>
        <color theme="1"/>
        <rFont val="Arial"/>
        <family val="2"/>
      </rPr>
      <t>Volumen total de la cadena de frío requerido</t>
    </r>
    <r>
      <rPr>
        <sz val="12"/>
        <color theme="1"/>
        <rFont val="Arial"/>
        <family val="2"/>
      </rPr>
      <t xml:space="preserve"> = Volumen por dosis en cadena de frío en cm</t>
    </r>
    <r>
      <rPr>
        <vertAlign val="superscript"/>
        <sz val="12"/>
        <color theme="1"/>
        <rFont val="Arial"/>
        <family val="2"/>
      </rPr>
      <t>3</t>
    </r>
    <r>
      <rPr>
        <sz val="12"/>
        <color theme="1"/>
        <rFont val="Arial"/>
        <family val="2"/>
      </rPr>
      <t xml:space="preserve"> x total de dosis requeridas
</t>
    </r>
    <r>
      <rPr>
        <b/>
        <sz val="12"/>
        <color theme="1"/>
        <rFont val="Arial"/>
        <family val="2"/>
      </rPr>
      <t>Factor de desperdicio</t>
    </r>
    <r>
      <rPr>
        <sz val="12"/>
        <color theme="1"/>
        <rFont val="Arial"/>
        <family val="2"/>
      </rPr>
      <t xml:space="preserve"> = (1 / (1 - tasa de desperdicio))
</t>
    </r>
    <r>
      <rPr>
        <b/>
        <sz val="12"/>
        <color theme="1"/>
        <rFont val="Arial"/>
        <family val="2"/>
      </rPr>
      <t>Costo de la vacuna (costo del país)</t>
    </r>
    <r>
      <rPr>
        <sz val="12"/>
        <color theme="1"/>
        <rFont val="Arial"/>
        <family val="2"/>
      </rPr>
      <t xml:space="preserve"> = Total de dosis requeridas x (monto de cofinanciación por dosis + monto de cofinanciación por dosis x tramitación internacional + monto de cofinanciación por dosis x transporte internacional) + (número de dosis administradas / volumen de caja o bolsa de seguridad x precio de la caja o bolsa de seguridad) + (número de dosis aplicadas x precio de una jeringa)
</t>
    </r>
    <r>
      <rPr>
        <b/>
        <sz val="12"/>
        <color theme="1"/>
        <rFont val="Arial"/>
        <family val="2"/>
      </rPr>
      <t>Costo de la vacuna (costo país + Gavi)</t>
    </r>
    <r>
      <rPr>
        <sz val="12"/>
        <color theme="1"/>
        <rFont val="Arial"/>
        <family val="2"/>
      </rPr>
      <t xml:space="preserve"> = Total de dosis requeridas x (precio por dosis + precio por dosis x tramitación internacional + precio por dosis x transporte internacional) + (número de dosis administradas / volumen de caja o bolsa de seguridad x precio de la caja o bolsa de seguridad) + (número de dosis aplicadas x precio de una jeringa)
</t>
    </r>
    <r>
      <rPr>
        <b/>
        <sz val="12"/>
        <color theme="1"/>
        <rFont val="Arial"/>
        <family val="2"/>
      </rPr>
      <t>Costo del programa de vacunación (costo del país)</t>
    </r>
    <r>
      <rPr>
        <sz val="12"/>
        <color theme="1"/>
        <rFont val="Arial"/>
        <family val="2"/>
      </rPr>
      <t xml:space="preserve"> = Costo de la vacuna + número de dosis administradas x costo incremental de la administración por dosis + costos de introducción o de sustitución (solo en el Año 1)
</t>
    </r>
    <r>
      <rPr>
        <b/>
        <sz val="12"/>
        <color theme="1"/>
        <rFont val="Arial"/>
        <family val="2"/>
      </rPr>
      <t>Costo del programa de vacunación (costo país + Gavi)</t>
    </r>
    <r>
      <rPr>
        <sz val="12"/>
        <color theme="1"/>
        <rFont val="Arial"/>
        <family val="2"/>
      </rPr>
      <t xml:space="preserve"> = Costo de la vacuna + número de dosis administradas x costo incremental de la administración por dosis + costos de introducción o de sustitución (solo en el Año 1)
* x = multiplicación</t>
    </r>
  </si>
  <si>
    <t>La hoja de Excel "Resultados" presenta la información de costos anuales, así como para un total a cinco años, por cada una de las opciones de vacuna indicadas en la hoja de Excel "Datos del modelo" para las dos perspectivas. Los resultados se proporcionan por separado según las necesidades del volumen de la cadena de frío, por los costo de la vacuna (es decir, la adquisición de vacunas y suministros y envío internacional) y por los costos de los programas de vacunación (es decir, costos de la vacuna más todos los costos hasta su aplicación). Las estimaciones se proporcionan por separado para el costo por país y para el costo por país + costo de Gavi.</t>
  </si>
  <si>
    <t>El panel proporciona un resumen de los resultados desde la perspectiva del país y para los escenarios A, B y C si se completa el análisis de escenarios opcional para uso de multivacunas. El formato condicional se usa para destacar los posibles ahorros (color verde) y las posibles pérdidas (color rojo) Los resultados resumidos se proporcionan por separado según el costo de vacuna para el país (es decir, la adquisición de vacunas y de suministros y los envíos internacionales, sin la contribución de Gavi), los costos de los programas de vacunación para el país (es decir, costos de la vacuna más todos los costos hasta su aplicación sin la contribución de Gavi) y por las necesidades del volumen de la cadena de frío.</t>
  </si>
  <si>
    <t>Introduzca datos relacionados con el programa de vacunación: población destinataria anual para cohorte de una sola edad (CUSE) y/o cohorte de múltiples edades (CME), índice anual de crecimiento de la población y cobertura esperada para cada dosis en el esquema de vacunación. Si no existe un plan para una campaña de CME, escriba cero para la población CME.</t>
  </si>
  <si>
    <t xml:space="preserve">Indique si su país se encuentra en la fase inicial de autofinanciamiento de Gavi, en la fase de transición preparatoria o en la fase de transición acelerada.
► Si su país se encuentra en la fase inicial de autofinanciamiento de Gavi, los cálculos de la cofinanciación se aplican de forma automática y muestran la cofinanciación por dosis de acuerdo con la política ELTRACO de Gavi, que comienza en 2026, es decir, 4 % del precio por dosis de la vacuna contra el VPH.
► Si su país se encuentra en la fase de transición preparatoria o en la fase de transición acelerada, ingrese la cuota de cofinanciación del país aplicada a otras vacunas del portafolio en el año de introducción o de sustitución. 
► Si desconoce dicha cuota, póngase en contacto con su Senior Country Manager (SCM) de Gavi para obtener más información.
► Si su país se encuentra en la fase de transición acelerada, indique si su país planea introducir una nueva vacuna contra el VPH o cambiar de producto en un programa de vacunación contra el VPH ya existente. Después, ingrese el año en el que su país estará en la fase de transición acelerada al iniciar el nuevo programa de vacunación contra el VPH o al cambiar de producto. </t>
  </si>
  <si>
    <r>
      <t xml:space="preserve">La </t>
    </r>
    <r>
      <rPr>
        <b/>
        <sz val="14"/>
        <color theme="1" tint="-0.499984740745262"/>
        <rFont val="Arial"/>
        <family val="2"/>
      </rPr>
      <t xml:space="preserve">calculadora de costos de la vacuna contra el virus del papiloma humano (VPH) para países elegibles para Gavi </t>
    </r>
    <r>
      <rPr>
        <sz val="14"/>
        <color theme="1" tint="-0.499984740745262"/>
        <rFont val="Arial"/>
        <family val="2"/>
      </rPr>
      <t>es una herramienta sencilla para evaluar y comparar los costos financieros de los programas de vacunación contra el VPH con cada producto de vacuna contra el VPH respaldado por Gavi, la Alianza para las Vacunas. Tiene como objetivo apoyar a los responsables de políticas a nivel nacional en países elegibles para el apoyo de Gavi a comparar productos y estimar los costos del programa de vacunación para distintas vacunas contra el VPH, con la opción de analizar hasta cuatro alternativas de producto a la vez. 
La herramienta calcula los costos y el volumen de la cadena de frío por año y en un periodo total de cinco años.  Las estimaciones se componen del costo de las vacunas (es decir, la adquisición de vacunas y de suministros y los envíos internacionales) y de los costos de los programas de vacunación (es decir, el costo de la vacuna más todos los costos hasta su aplicación). Las estimaciones de los costos se proporcionan por separado para dos perspectivas: 1) la perspectiva de los países y 2) la perspectiva conjunta de los países y Gavi La perspectiva de los países contempla solamente los gastos que se cubren con el presupuesto nacional, mientras que la perspectiva conjunta de los países y Gavi también tiene en cuenta la cofinanciación de las vacunas. Las estimaciones del volumen de la cadena de frío se calculan a partir del total de dosis requeridas y la información de precalificación de la Organización Mundial de la Salud sobre el volumen por dosis en cadena de frío, la cual considera la reserva y el desperdicio, aunque no necesariamente el espacio “muerto” ni el espacio requerido en distintos niveles.</t>
    </r>
  </si>
  <si>
    <t>Las celdas blancas incluyen información fija que el usuario no puede modificar.</t>
  </si>
  <si>
    <r>
      <t>Versió</t>
    </r>
    <r>
      <rPr>
        <b/>
        <sz val="11"/>
        <color theme="1" tint="-0.499984740745262"/>
        <rFont val="Arial"/>
        <family val="2"/>
      </rPr>
      <t>n 1.0 / diciembre de 2025</t>
    </r>
  </si>
  <si>
    <r>
      <t xml:space="preserve">► Seleccione las vacunas que le interesen del menú desplegable (opción 1 a 4). 
► Todas las características predeterminadas de las vacunas se extraen de los perfiles de productos detallados de Gavi, incluido el precio por dosis, el número de dosis en el calendario y la tasa indicadora de desperdicio. 
► La cantidad de cofinanciación anual por dosis no se puede modificar puesto que se deriva de los cálculos basados en el precio de las vacunas y en la cuota de cofinanciación facilitada anteriormente.
► </t>
    </r>
    <r>
      <rPr>
        <b/>
        <sz val="12"/>
        <color theme="1"/>
        <rFont val="Arial"/>
        <family val="2"/>
      </rPr>
      <t>NOTA:</t>
    </r>
    <r>
      <rPr>
        <sz val="12"/>
        <color theme="1"/>
        <rFont val="Arial"/>
        <family val="2"/>
      </rPr>
      <t xml:space="preserve"> Si se planea utilizar un esquema de vacunación de dos dosis, comuníquese con el Gerente Senior de su país en Gavi para obtener orientación, dada la incertidumbre sobre futuros apoyo de Gavi a los programas multidosis de vacunación contra el VPH.
► Introduzca la tasa de desperdicio esperada para cada presentación y, si aplica, el costo esperado de la tramitación, el transporte internacional y los suministros.
► Introduzca una tasa de reserva si aplica.</t>
    </r>
  </si>
  <si>
    <r>
      <t xml:space="preserve">Número de dosis en el calendario
NOTA: </t>
    </r>
    <r>
      <rPr>
        <sz val="12"/>
        <color theme="1"/>
        <rFont val="Arial"/>
        <family val="2"/>
      </rPr>
      <t>Si se planea utilizar un esquema de vacunación de dos dosis, comuníquese con el Gerente Senior de su país en Gavi para obtener orientación, dada la incertidumbre sobre futuros apoyo de Gavi a los programas multidosis de vacunación contra el VPH.</t>
    </r>
  </si>
  <si>
    <t>*Si su país tiene programado pasar de una fase de transición a otra dentro del periodo de cinco años, contacte a HEOR@path.org para analizar cómo configurar el modelo.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</si>
</sst>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164" formatCode="&quot;$&quot;#,##0.00"/>
    <numFmt numFmtId="165" formatCode="&quot;$&quot;#,##0"/>
    <numFmt numFmtId="166" formatCode="0.0%"/>
    <numFmt numFmtId="167" formatCode="0.0"/>
    <numFmt numFmtId="168" formatCode="&quot;$ &quot;#,##0.00_);\(&quot;$ &quot;#,##0.00\)"/>
    <numFmt numFmtId="169" formatCode="&quot;$ &quot;#,##0.00"/>
    <numFmt numFmtId="170" formatCode="&quot;$ &quot;#,##0"/>
  </numFmts>
  <fonts count="101"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b/>
      <sz val="36"/>
      <color theme="5"/>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sz val="8"/>
      <name val="Calibri"/>
      <family val="2"/>
      <scheme val="minor"/>
    </font>
    <font>
      <i/>
      <sz val="11"/>
      <color theme="1"/>
      <name val="Calibri"/>
      <family val="2"/>
      <scheme val="minor"/>
    </font>
    <font>
      <sz val="14"/>
      <color theme="1"/>
      <name val="Arial"/>
      <family val="2"/>
    </font>
    <font>
      <b/>
      <sz val="8"/>
      <color rgb="FFFF0000"/>
      <name val="Arial"/>
      <family val="2"/>
    </font>
    <font>
      <b/>
      <sz val="32"/>
      <color theme="5"/>
      <name val="Arial"/>
      <family val="2"/>
    </font>
    <font>
      <b/>
      <i/>
      <sz val="12"/>
      <color theme="4"/>
      <name val="Arial"/>
      <family val="2"/>
    </font>
    <font>
      <b/>
      <i/>
      <sz val="14"/>
      <color theme="1"/>
      <name val="Arial"/>
      <family val="2"/>
    </font>
    <font>
      <sz val="10"/>
      <name val="Arial"/>
      <family val="2"/>
    </font>
    <font>
      <i/>
      <sz val="16"/>
      <name val="Arial"/>
      <family val="2"/>
    </font>
    <font>
      <b/>
      <sz val="24"/>
      <color theme="0"/>
      <name val="Aptos Narrow"/>
      <family val="2"/>
    </font>
    <font>
      <vertAlign val="superscript"/>
      <sz val="12"/>
      <color theme="1"/>
      <name val="Arial"/>
      <family val="2"/>
    </font>
    <font>
      <b/>
      <vertAlign val="superscript"/>
      <sz val="11"/>
      <color theme="1"/>
      <name val="Calibri"/>
      <family val="2"/>
      <scheme val="minor"/>
    </font>
    <font>
      <b/>
      <vertAlign val="superscript"/>
      <sz val="11"/>
      <color theme="1"/>
      <name val="Arial"/>
      <family val="2"/>
    </font>
    <font>
      <sz val="26"/>
      <color theme="1"/>
      <name val="Arial"/>
      <family val="2"/>
    </font>
    <font>
      <u/>
      <sz val="11"/>
      <color rgb="FF0000FF"/>
      <name val="Arial"/>
      <family val="2"/>
    </font>
    <font>
      <b/>
      <sz val="11"/>
      <color theme="1" tint="-0.499984740745262"/>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theme="0"/>
      </right>
      <top style="thin">
        <color indexed="64"/>
      </top>
      <bottom style="thin">
        <color indexed="64"/>
      </bottom>
      <diagonal/>
    </border>
    <border>
      <left style="thin">
        <color theme="1"/>
      </left>
      <right style="thin">
        <color theme="0"/>
      </right>
      <top style="thin">
        <color theme="1"/>
      </top>
      <bottom style="thin">
        <color theme="1"/>
      </bottom>
      <diagonal/>
    </border>
    <border>
      <left style="thin">
        <color theme="1"/>
      </left>
      <right style="thin">
        <color theme="0"/>
      </right>
      <top style="thin">
        <color theme="1"/>
      </top>
      <bottom/>
      <diagonal/>
    </border>
    <border>
      <left/>
      <right style="thin">
        <color theme="0"/>
      </right>
      <top style="thin">
        <color indexed="64"/>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69">
    <xf numFmtId="0" fontId="0" fillId="0" borderId="0" xfId="0"/>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16" fontId="0" fillId="0" borderId="0" xfId="0" applyNumberForma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2" borderId="0" xfId="0" applyFont="1" applyFill="1" applyAlignment="1">
      <alignment horizontal="left" vertical="top" wrapText="1"/>
    </xf>
    <xf numFmtId="0" fontId="7" fillId="5" borderId="1" xfId="0" applyFont="1" applyFill="1" applyBorder="1" applyAlignment="1">
      <alignment vertical="center" wrapText="1"/>
    </xf>
    <xf numFmtId="0" fontId="11" fillId="14" borderId="0" xfId="0" applyFont="1" applyFill="1" applyAlignment="1">
      <alignment horizontal="center" vertical="center"/>
    </xf>
    <xf numFmtId="0" fontId="7" fillId="14" borderId="0" xfId="0" applyFont="1" applyFill="1"/>
    <xf numFmtId="0" fontId="15" fillId="15" borderId="0" xfId="0" applyFont="1" applyFill="1"/>
    <xf numFmtId="0" fontId="16" fillId="15" borderId="0" xfId="0" applyFont="1" applyFill="1" applyAlignment="1">
      <alignment horizontal="center" vertical="center"/>
    </xf>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0" fontId="20" fillId="4" borderId="0" xfId="0" applyFont="1" applyFill="1" applyAlignment="1">
      <alignment horizontal="lef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1" fillId="2" borderId="0" xfId="0" applyFont="1" applyFill="1" applyAlignment="1" applyProtection="1">
      <alignment horizontal="center" vertical="center"/>
      <protection hidden="1"/>
    </xf>
    <xf numFmtId="9" fontId="32" fillId="2" borderId="0" xfId="0" applyNumberFormat="1"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9" fontId="32" fillId="2" borderId="0" xfId="2" applyFont="1" applyFill="1" applyBorder="1" applyAlignment="1" applyProtection="1">
      <alignment horizontal="center" vertical="center"/>
      <protection hidden="1"/>
    </xf>
    <xf numFmtId="0" fontId="33" fillId="2" borderId="0" xfId="0" applyFont="1" applyFill="1" applyAlignment="1" applyProtection="1">
      <alignment horizontal="center" vertical="center" wrapText="1"/>
      <protection hidden="1"/>
    </xf>
    <xf numFmtId="0" fontId="31" fillId="10" borderId="0" xfId="0" applyFont="1" applyFill="1" applyAlignment="1" applyProtection="1">
      <alignment horizontal="center" vertical="center"/>
      <protection hidden="1"/>
    </xf>
    <xf numFmtId="0" fontId="34" fillId="10" borderId="0" xfId="0" applyFont="1" applyFill="1" applyAlignment="1" applyProtection="1">
      <alignment horizontal="left" vertical="center" wrapText="1"/>
      <protection hidden="1"/>
    </xf>
    <xf numFmtId="9" fontId="32" fillId="10" borderId="0" xfId="0" applyNumberFormat="1" applyFont="1" applyFill="1" applyAlignment="1" applyProtection="1">
      <alignment horizontal="center" vertical="center"/>
      <protection locked="0"/>
    </xf>
    <xf numFmtId="9" fontId="36" fillId="5" borderId="1" xfId="0" applyNumberFormat="1" applyFont="1" applyFill="1" applyBorder="1" applyAlignment="1" applyProtection="1">
      <alignment horizontal="center" vertical="center"/>
      <protection locked="0"/>
    </xf>
    <xf numFmtId="0" fontId="36" fillId="10" borderId="0" xfId="0" applyFont="1" applyFill="1" applyAlignment="1" applyProtection="1">
      <alignment horizontal="center" vertical="center"/>
      <protection hidden="1"/>
    </xf>
    <xf numFmtId="9" fontId="36" fillId="5" borderId="1" xfId="2"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9" fontId="32" fillId="10" borderId="0" xfId="0" applyNumberFormat="1" applyFont="1" applyFill="1" applyAlignment="1" applyProtection="1">
      <alignment horizontal="center" vertical="center"/>
      <protection hidden="1"/>
    </xf>
    <xf numFmtId="0" fontId="32" fillId="10" borderId="0" xfId="0" applyFont="1" applyFill="1" applyAlignment="1" applyProtection="1">
      <alignment horizontal="center" vertical="center"/>
      <protection hidden="1"/>
    </xf>
    <xf numFmtId="9" fontId="32" fillId="10" borderId="0" xfId="2" applyFont="1" applyFill="1" applyBorder="1" applyAlignment="1" applyProtection="1">
      <alignment horizontal="center" vertical="center"/>
      <protection hidden="1"/>
    </xf>
    <xf numFmtId="0" fontId="33" fillId="10" borderId="0" xfId="0" applyFont="1" applyFill="1" applyAlignment="1" applyProtection="1">
      <alignment horizontal="center" vertical="center" wrapText="1"/>
      <protection hidden="1"/>
    </xf>
    <xf numFmtId="0" fontId="37" fillId="10" borderId="0" xfId="0" applyFont="1" applyFill="1" applyAlignment="1" applyProtection="1">
      <alignment horizontal="center" vertical="center"/>
      <protection hidden="1"/>
    </xf>
    <xf numFmtId="164" fontId="31" fillId="2" borderId="0" xfId="0" applyNumberFormat="1" applyFont="1" applyFill="1" applyAlignment="1" applyProtection="1">
      <alignment horizontal="center" vertical="center"/>
      <protection hidden="1"/>
    </xf>
    <xf numFmtId="164" fontId="31" fillId="10" borderId="0" xfId="0" applyNumberFormat="1" applyFont="1" applyFill="1" applyAlignment="1" applyProtection="1">
      <alignment horizontal="center" vertical="center"/>
      <protection hidden="1"/>
    </xf>
    <xf numFmtId="0" fontId="38" fillId="10" borderId="0" xfId="0" applyFont="1" applyFill="1" applyAlignment="1" applyProtection="1">
      <alignment horizontal="center" vertical="center"/>
      <protection hidden="1"/>
    </xf>
    <xf numFmtId="0" fontId="39"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0" fillId="10" borderId="2" xfId="0" applyFont="1" applyFill="1" applyBorder="1" applyAlignment="1" applyProtection="1">
      <alignment horizontal="left"/>
      <protection hidden="1"/>
    </xf>
    <xf numFmtId="0" fontId="31"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1" fillId="11" borderId="0" xfId="0" applyFont="1" applyFill="1" applyAlignment="1" applyProtection="1">
      <alignment horizontal="center" vertical="center"/>
      <protection hidden="1"/>
    </xf>
    <xf numFmtId="0" fontId="31"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8" fillId="2" borderId="6" xfId="0"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2" fillId="10" borderId="0" xfId="0" applyNumberFormat="1" applyFont="1" applyFill="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2" fillId="10" borderId="0" xfId="0" applyFont="1" applyFill="1" applyAlignment="1" applyProtection="1">
      <alignment vertical="center"/>
      <protection hidden="1"/>
    </xf>
    <xf numFmtId="0" fontId="43" fillId="10" borderId="0" xfId="0" applyFont="1" applyFill="1" applyAlignment="1" applyProtection="1">
      <alignment horizontal="center" vertical="center"/>
      <protection hidden="1"/>
    </xf>
    <xf numFmtId="0" fontId="31"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2"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2" fillId="10" borderId="12"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2"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2"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2" fillId="10" borderId="0" xfId="0" applyNumberFormat="1" applyFont="1" applyFill="1" applyAlignment="1" applyProtection="1">
      <alignment horizontal="center" vertical="center"/>
      <protection hidden="1"/>
    </xf>
    <xf numFmtId="2" fontId="36" fillId="2" borderId="1" xfId="0" applyNumberFormat="1" applyFont="1" applyFill="1" applyBorder="1" applyAlignment="1" applyProtection="1">
      <alignment horizontal="center" vertical="center"/>
      <protection hidden="1"/>
    </xf>
    <xf numFmtId="2" fontId="36" fillId="10" borderId="0" xfId="0" applyNumberFormat="1" applyFont="1" applyFill="1" applyAlignment="1" applyProtection="1">
      <alignment horizontal="center" vertical="center"/>
      <protection hidden="1"/>
    </xf>
    <xf numFmtId="0" fontId="31" fillId="0" borderId="0" xfId="0" applyFont="1" applyAlignment="1" applyProtection="1">
      <alignment horizontal="center" vertical="center"/>
      <protection hidden="1"/>
    </xf>
    <xf numFmtId="9" fontId="44" fillId="10" borderId="12" xfId="2" applyFont="1" applyFill="1" applyBorder="1" applyAlignment="1" applyProtection="1">
      <alignment horizontal="center" vertical="center"/>
      <protection hidden="1"/>
    </xf>
    <xf numFmtId="9" fontId="45" fillId="0" borderId="8" xfId="2" applyFont="1" applyFill="1" applyBorder="1" applyAlignment="1" applyProtection="1">
      <alignment horizontal="center" vertical="center"/>
      <protection hidden="1"/>
    </xf>
    <xf numFmtId="9" fontId="45" fillId="10" borderId="7" xfId="2" applyFont="1" applyFill="1" applyBorder="1" applyAlignment="1" applyProtection="1">
      <alignment horizontal="center" vertical="center"/>
      <protection hidden="1"/>
    </xf>
    <xf numFmtId="9" fontId="45" fillId="0" borderId="15" xfId="2" applyFont="1" applyFill="1" applyBorder="1" applyAlignment="1" applyProtection="1">
      <alignment horizontal="center" vertical="center"/>
      <protection hidden="1"/>
    </xf>
    <xf numFmtId="9" fontId="45" fillId="0" borderId="14" xfId="2" applyFont="1" applyFill="1" applyBorder="1" applyAlignment="1" applyProtection="1">
      <alignment horizontal="center" vertical="center"/>
      <protection hidden="1"/>
    </xf>
    <xf numFmtId="0" fontId="46"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2" fillId="10" borderId="12" xfId="2" applyNumberFormat="1" applyFont="1" applyFill="1" applyBorder="1" applyAlignment="1" applyProtection="1">
      <alignment horizontal="center" vertical="center"/>
      <protection locked="0"/>
    </xf>
    <xf numFmtId="2" fontId="36" fillId="10" borderId="7" xfId="2" applyNumberFormat="1" applyFont="1" applyFill="1" applyBorder="1" applyAlignment="1" applyProtection="1">
      <alignment horizontal="center" vertical="center"/>
      <protection hidden="1"/>
    </xf>
    <xf numFmtId="1" fontId="36"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2"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8" fillId="10" borderId="0" xfId="0" applyFont="1" applyFill="1" applyAlignment="1" applyProtection="1">
      <alignment horizontal="center" vertical="center" wrapText="1"/>
      <protection hidden="1"/>
    </xf>
    <xf numFmtId="0" fontId="42"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wrapText="1"/>
      <protection locked="0"/>
    </xf>
    <xf numFmtId="0" fontId="36" fillId="10" borderId="0" xfId="0" applyFont="1" applyFill="1" applyAlignment="1" applyProtection="1">
      <alignment vertical="center" wrapText="1"/>
      <protection hidden="1"/>
    </xf>
    <xf numFmtId="0" fontId="36" fillId="5" borderId="1" xfId="0" applyFont="1" applyFill="1" applyBorder="1" applyAlignment="1" applyProtection="1">
      <alignment horizontal="center" vertical="center" wrapText="1"/>
      <protection locked="0"/>
    </xf>
    <xf numFmtId="0" fontId="41"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wrapText="1"/>
      <protection hidden="1"/>
    </xf>
    <xf numFmtId="0" fontId="9" fillId="10" borderId="15" xfId="0" applyFont="1" applyFill="1" applyBorder="1" applyAlignment="1" applyProtection="1">
      <alignment vertical="center"/>
      <protection hidden="1"/>
    </xf>
    <xf numFmtId="0" fontId="31" fillId="2" borderId="0" xfId="0" applyFont="1" applyFill="1" applyAlignment="1" applyProtection="1">
      <alignment vertical="center" wrapText="1"/>
      <protection hidden="1"/>
    </xf>
    <xf numFmtId="0" fontId="31"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9" fontId="50" fillId="10" borderId="0" xfId="2" applyFont="1" applyFill="1" applyBorder="1" applyAlignment="1" applyProtection="1">
      <alignment horizontal="center" vertical="center"/>
      <protection hidden="1"/>
    </xf>
    <xf numFmtId="0" fontId="51" fillId="10"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2" fillId="10" borderId="0" xfId="0" applyFont="1" applyFill="1" applyAlignment="1" applyProtection="1">
      <alignment horizontal="left" vertical="center" wrapText="1"/>
      <protection hidden="1"/>
    </xf>
    <xf numFmtId="9" fontId="32"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2"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2" fillId="10"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2" fillId="2" borderId="0" xfId="0" applyFont="1" applyFill="1" applyAlignment="1" applyProtection="1">
      <alignment horizontal="center" vertical="center"/>
      <protection hidden="1"/>
    </xf>
    <xf numFmtId="0" fontId="42" fillId="10" borderId="0" xfId="0" applyFont="1" applyFill="1" applyAlignment="1" applyProtection="1">
      <alignment horizontal="center" vertical="center"/>
      <protection hidden="1"/>
    </xf>
    <xf numFmtId="0" fontId="42" fillId="10" borderId="0" xfId="0" applyFont="1" applyFill="1" applyAlignment="1" applyProtection="1">
      <alignment horizontal="left" vertical="center"/>
      <protection hidden="1"/>
    </xf>
    <xf numFmtId="0" fontId="37" fillId="2" borderId="0" xfId="0" applyFont="1" applyFill="1" applyAlignment="1" applyProtection="1">
      <alignment horizontal="right" vertical="center"/>
      <protection hidden="1"/>
    </xf>
    <xf numFmtId="0" fontId="37" fillId="10" borderId="0" xfId="0" applyFont="1" applyFill="1" applyAlignment="1" applyProtection="1">
      <alignment horizontal="right" vertical="center"/>
      <protection hidden="1"/>
    </xf>
    <xf numFmtId="0" fontId="37" fillId="10" borderId="0" xfId="0" applyFont="1" applyFill="1" applyAlignment="1" applyProtection="1">
      <alignment vertical="center"/>
      <protection hidden="1"/>
    </xf>
    <xf numFmtId="0" fontId="53" fillId="14" borderId="0" xfId="0" applyFont="1" applyFill="1" applyAlignment="1" applyProtection="1">
      <alignment horizontal="center" vertical="center"/>
      <protection hidden="1"/>
    </xf>
    <xf numFmtId="0" fontId="31" fillId="14" borderId="0" xfId="0" applyFont="1" applyFill="1" applyAlignment="1" applyProtection="1">
      <alignment horizontal="center" vertical="center"/>
      <protection hidden="1"/>
    </xf>
    <xf numFmtId="0" fontId="55" fillId="2" borderId="0" xfId="0" applyFont="1" applyFill="1" applyAlignment="1" applyProtection="1">
      <alignment horizontal="left" vertical="center" wrapText="1"/>
      <protection hidden="1"/>
    </xf>
    <xf numFmtId="0" fontId="56" fillId="10" borderId="0" xfId="0" applyFont="1" applyFill="1" applyAlignment="1" applyProtection="1">
      <alignment vertical="center"/>
      <protection hidden="1"/>
    </xf>
    <xf numFmtId="0" fontId="45" fillId="10" borderId="0" xfId="0" applyFont="1" applyFill="1" applyAlignment="1" applyProtection="1">
      <alignment horizontal="left" vertical="center"/>
      <protection hidden="1"/>
    </xf>
    <xf numFmtId="0" fontId="45" fillId="2" borderId="0" xfId="0" applyFont="1" applyFill="1" applyAlignment="1" applyProtection="1">
      <alignment horizontal="left" vertical="center"/>
      <protection hidden="1"/>
    </xf>
    <xf numFmtId="0" fontId="31" fillId="0" borderId="0" xfId="0" applyFont="1"/>
    <xf numFmtId="0" fontId="31"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8" fillId="2" borderId="1" xfId="0" applyFont="1" applyFill="1" applyBorder="1" applyAlignment="1" applyProtection="1">
      <alignment horizontal="center" vertical="center" wrapText="1"/>
      <protection hidden="1"/>
    </xf>
    <xf numFmtId="0" fontId="58"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8" fillId="2" borderId="0" xfId="0" applyNumberFormat="1" applyFont="1" applyFill="1" applyAlignment="1" applyProtection="1">
      <alignment horizontal="center" vertical="center"/>
      <protection locked="0"/>
    </xf>
    <xf numFmtId="164" fontId="38" fillId="8" borderId="0" xfId="0" applyNumberFormat="1" applyFont="1" applyFill="1" applyAlignment="1" applyProtection="1">
      <alignment horizontal="center" vertical="center"/>
      <protection hidden="1"/>
    </xf>
    <xf numFmtId="164" fontId="38" fillId="2" borderId="0" xfId="0" applyNumberFormat="1" applyFont="1" applyFill="1" applyAlignment="1" applyProtection="1">
      <alignment horizontal="center" vertical="center"/>
      <protection hidden="1"/>
    </xf>
    <xf numFmtId="164" fontId="38"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59"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1" fillId="8" borderId="0" xfId="2" applyFont="1" applyFill="1" applyBorder="1" applyAlignment="1" applyProtection="1">
      <alignment horizontal="left" vertical="center"/>
      <protection hidden="1"/>
    </xf>
    <xf numFmtId="9" fontId="62"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8" fillId="8" borderId="0" xfId="0" applyFont="1" applyFill="1" applyAlignment="1" applyProtection="1">
      <alignment horizontal="right" vertical="center" wrapText="1"/>
      <protection hidden="1"/>
    </xf>
    <xf numFmtId="9" fontId="61" fillId="8" borderId="0" xfId="2" applyFont="1" applyFill="1" applyBorder="1" applyAlignment="1" applyProtection="1">
      <alignment horizontal="left" vertical="center"/>
      <protection locked="0" hidden="1"/>
    </xf>
    <xf numFmtId="2" fontId="34" fillId="8" borderId="0" xfId="2" applyNumberFormat="1" applyFont="1" applyFill="1" applyBorder="1" applyAlignment="1" applyProtection="1">
      <alignment horizontal="center" vertical="center"/>
    </xf>
    <xf numFmtId="9" fontId="62" fillId="8" borderId="0" xfId="2" applyFont="1" applyFill="1" applyBorder="1" applyAlignment="1" applyProtection="1">
      <alignment horizontal="left" vertical="center"/>
      <protection locked="0" hidden="1"/>
    </xf>
    <xf numFmtId="2" fontId="62"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1" fillId="0" borderId="0" xfId="0" applyNumberFormat="1" applyFont="1"/>
    <xf numFmtId="2" fontId="63" fillId="8" borderId="0" xfId="1" applyNumberFormat="1" applyFont="1" applyFill="1" applyBorder="1" applyAlignment="1" applyProtection="1">
      <alignment horizontal="center" vertical="center"/>
      <protection locked="0" hidden="1"/>
    </xf>
    <xf numFmtId="2" fontId="34"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8" fillId="0" borderId="0" xfId="0" applyFont="1"/>
    <xf numFmtId="0" fontId="64"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3" fillId="8" borderId="0" xfId="0" applyFont="1" applyFill="1" applyAlignment="1">
      <alignment vertical="center" wrapText="1"/>
    </xf>
    <xf numFmtId="0" fontId="7" fillId="8" borderId="0" xfId="0" applyFont="1" applyFill="1" applyAlignment="1">
      <alignment vertical="center" wrapText="1"/>
    </xf>
    <xf numFmtId="0" fontId="65" fillId="8" borderId="0" xfId="0" applyFont="1" applyFill="1" applyAlignment="1" applyProtection="1">
      <alignment horizontal="center" vertical="center" wrapText="1"/>
      <protection hidden="1"/>
    </xf>
    <xf numFmtId="0" fontId="66"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wrapText="1"/>
      <protection hidden="1"/>
    </xf>
    <xf numFmtId="0" fontId="67" fillId="8" borderId="0" xfId="0" applyFont="1" applyFill="1" applyAlignment="1" applyProtection="1">
      <alignment vertical="center" wrapText="1"/>
      <protection hidden="1"/>
    </xf>
    <xf numFmtId="0" fontId="68" fillId="8" borderId="0" xfId="0" applyFont="1" applyFill="1" applyAlignment="1" applyProtection="1">
      <alignment vertical="center" wrapText="1"/>
      <protection hidden="1"/>
    </xf>
    <xf numFmtId="0" fontId="68" fillId="8" borderId="0" xfId="0" applyFont="1" applyFill="1" applyAlignment="1" applyProtection="1">
      <alignment horizontal="center" vertical="center" wrapText="1"/>
      <protection hidden="1"/>
    </xf>
    <xf numFmtId="0" fontId="69" fillId="8" borderId="0" xfId="0" applyFont="1" applyFill="1" applyAlignment="1" applyProtection="1">
      <alignment horizontal="left" vertical="center" wrapText="1"/>
      <protection hidden="1"/>
    </xf>
    <xf numFmtId="0" fontId="31" fillId="2" borderId="0" xfId="0" applyFont="1" applyFill="1" applyProtection="1">
      <protection hidden="1"/>
    </xf>
    <xf numFmtId="0" fontId="31" fillId="3" borderId="0" xfId="0" applyFont="1" applyFill="1" applyProtection="1">
      <protection hidden="1"/>
    </xf>
    <xf numFmtId="165" fontId="7" fillId="3" borderId="0" xfId="0" applyNumberFormat="1" applyFont="1" applyFill="1" applyAlignment="1" applyProtection="1">
      <alignment horizontal="center" vertical="center"/>
      <protection hidden="1"/>
    </xf>
    <xf numFmtId="0" fontId="58" fillId="3" borderId="0" xfId="0" applyFont="1" applyFill="1" applyAlignment="1" applyProtection="1">
      <alignment horizontal="right" vertical="center" wrapText="1"/>
      <protection hidden="1"/>
    </xf>
    <xf numFmtId="0" fontId="58" fillId="2" borderId="1" xfId="0" applyFont="1" applyFill="1" applyBorder="1" applyAlignment="1" applyProtection="1">
      <alignment horizontal="right" vertical="center" wrapText="1"/>
      <protection hidden="1"/>
    </xf>
    <xf numFmtId="0" fontId="31" fillId="3" borderId="0" xfId="0" applyFont="1" applyFill="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6" fillId="3" borderId="0" xfId="0" applyFont="1" applyFill="1" applyAlignment="1" applyProtection="1">
      <alignment horizontal="right" vertical="center" wrapText="1"/>
      <protection hidden="1"/>
    </xf>
    <xf numFmtId="0" fontId="46"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2" fillId="3" borderId="10" xfId="0" applyNumberFormat="1" applyFont="1" applyFill="1" applyBorder="1" applyAlignment="1" applyProtection="1">
      <alignment horizontal="center" vertical="center"/>
      <protection hidden="1"/>
    </xf>
    <xf numFmtId="165" fontId="72" fillId="3" borderId="0" xfId="0" applyNumberFormat="1" applyFont="1" applyFill="1" applyAlignment="1" applyProtection="1">
      <alignment horizontal="center" vertical="center"/>
      <protection hidden="1"/>
    </xf>
    <xf numFmtId="0" fontId="58" fillId="3" borderId="10" xfId="0" applyFont="1" applyFill="1" applyBorder="1" applyAlignment="1" applyProtection="1">
      <alignment horizontal="right" vertical="center" wrapText="1"/>
      <protection hidden="1"/>
    </xf>
    <xf numFmtId="0" fontId="9" fillId="3" borderId="0" xfId="0" applyFont="1" applyFill="1" applyAlignment="1" applyProtection="1">
      <alignment horizontal="center" vertical="center"/>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3" fillId="2" borderId="0" xfId="0" applyFont="1" applyFill="1" applyProtection="1">
      <protection hidden="1"/>
    </xf>
    <xf numFmtId="0" fontId="74" fillId="3" borderId="0" xfId="0" applyFont="1" applyFill="1" applyAlignment="1" applyProtection="1">
      <alignment vertical="center" wrapText="1"/>
      <protection hidden="1"/>
    </xf>
    <xf numFmtId="0" fontId="73"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6" fillId="2" borderId="1" xfId="0" applyNumberFormat="1" applyFont="1" applyFill="1" applyBorder="1" applyAlignment="1" applyProtection="1">
      <alignment horizontal="center" vertical="center"/>
      <protection hidden="1"/>
    </xf>
    <xf numFmtId="3" fontId="76" fillId="3" borderId="0" xfId="0" applyNumberFormat="1" applyFont="1" applyFill="1" applyAlignment="1" applyProtection="1">
      <alignment horizontal="center" vertical="center"/>
      <protection hidden="1"/>
    </xf>
    <xf numFmtId="0" fontId="77" fillId="3" borderId="0" xfId="0" applyFont="1" applyFill="1" applyAlignment="1" applyProtection="1">
      <alignment horizontal="right" vertical="center" wrapText="1"/>
      <protection hidden="1"/>
    </xf>
    <xf numFmtId="0" fontId="7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1" fillId="2" borderId="0" xfId="0" applyFont="1" applyFill="1" applyAlignment="1" applyProtection="1">
      <alignment wrapText="1"/>
      <protection hidden="1"/>
    </xf>
    <xf numFmtId="0" fontId="31" fillId="3" borderId="0" xfId="0" applyFont="1" applyFill="1" applyAlignment="1" applyProtection="1">
      <alignment wrapText="1"/>
      <protection hidden="1"/>
    </xf>
    <xf numFmtId="0" fontId="38" fillId="3" borderId="0" xfId="0" applyFont="1" applyFill="1" applyAlignment="1" applyProtection="1">
      <alignment vertical="center" wrapText="1"/>
      <protection hidden="1"/>
    </xf>
    <xf numFmtId="0" fontId="31" fillId="3" borderId="0" xfId="0" applyFont="1" applyFill="1" applyAlignment="1" applyProtection="1">
      <alignment horizontal="center" vertical="center" wrapText="1"/>
      <protection hidden="1"/>
    </xf>
    <xf numFmtId="0" fontId="40" fillId="3" borderId="0" xfId="0" applyFont="1" applyFill="1" applyAlignment="1" applyProtection="1">
      <alignment horizontal="center" vertical="center"/>
      <protection hidden="1"/>
    </xf>
    <xf numFmtId="7" fontId="36" fillId="10" borderId="0" xfId="1" applyNumberFormat="1" applyFont="1" applyFill="1" applyBorder="1" applyAlignment="1" applyProtection="1">
      <alignment horizontal="center" vertical="center"/>
      <protection hidden="1"/>
    </xf>
    <xf numFmtId="0" fontId="31" fillId="2" borderId="0" xfId="0" applyFont="1" applyFill="1" applyAlignment="1" applyProtection="1">
      <alignment horizontal="right" vertical="center"/>
      <protection hidden="1"/>
    </xf>
    <xf numFmtId="165" fontId="31"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2" fillId="10" borderId="0"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6"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1" fillId="7" borderId="0" xfId="0" applyFont="1" applyFill="1" applyAlignment="1" applyProtection="1">
      <alignment horizontal="center" vertical="center"/>
      <protection hidden="1"/>
    </xf>
    <xf numFmtId="0" fontId="40" fillId="7" borderId="0" xfId="0" applyFont="1" applyFill="1" applyAlignment="1" applyProtection="1">
      <alignment horizontal="center" vertical="center"/>
      <protection hidden="1"/>
    </xf>
    <xf numFmtId="0" fontId="31" fillId="18" borderId="0" xfId="0" applyFont="1" applyFill="1" applyAlignment="1" applyProtection="1">
      <alignment horizontal="center"/>
      <protection hidden="1"/>
    </xf>
    <xf numFmtId="0" fontId="7" fillId="18" borderId="0" xfId="0" applyFont="1" applyFill="1"/>
    <xf numFmtId="0" fontId="83" fillId="2" borderId="1" xfId="0" applyFont="1" applyFill="1" applyBorder="1" applyAlignment="1">
      <alignment horizontal="center" vertical="center" wrapText="1"/>
    </xf>
    <xf numFmtId="0" fontId="83" fillId="10" borderId="0" xfId="0" applyFont="1" applyFill="1" applyAlignment="1" applyProtection="1">
      <alignment vertical="center" wrapText="1"/>
      <protection hidden="1"/>
    </xf>
    <xf numFmtId="0" fontId="36" fillId="2" borderId="1" xfId="0" applyFont="1" applyFill="1" applyBorder="1" applyAlignment="1" applyProtection="1">
      <alignment horizontal="center" vertical="center" wrapText="1"/>
      <protection hidden="1"/>
    </xf>
    <xf numFmtId="0" fontId="84" fillId="18" borderId="0" xfId="0" applyFont="1" applyFill="1" applyAlignment="1" applyProtection="1">
      <alignment horizontal="center" vertical="center"/>
      <protection hidden="1"/>
    </xf>
    <xf numFmtId="0" fontId="31" fillId="18" borderId="0" xfId="0" applyFont="1" applyFill="1" applyAlignment="1" applyProtection="1">
      <alignment horizontal="center" vertical="center"/>
      <protection hidden="1"/>
    </xf>
    <xf numFmtId="2" fontId="34" fillId="2" borderId="1" xfId="1" applyNumberFormat="1" applyFont="1" applyFill="1" applyBorder="1" applyAlignment="1" applyProtection="1">
      <alignment horizontal="center" vertical="center"/>
      <protection hidden="1"/>
    </xf>
    <xf numFmtId="2" fontId="34" fillId="2" borderId="1" xfId="0" applyNumberFormat="1" applyFont="1" applyFill="1" applyBorder="1" applyAlignment="1" applyProtection="1">
      <alignment horizontal="center" vertical="center"/>
      <protection hidden="1"/>
    </xf>
    <xf numFmtId="0" fontId="38"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8" fillId="2" borderId="1" xfId="0" applyFont="1" applyFill="1" applyBorder="1" applyAlignment="1" applyProtection="1">
      <alignment horizontal="center" vertical="center" wrapText="1"/>
      <protection hidden="1"/>
    </xf>
    <xf numFmtId="2" fontId="34" fillId="2" borderId="1" xfId="2" applyNumberFormat="1" applyFont="1" applyFill="1" applyBorder="1" applyAlignment="1" applyProtection="1">
      <alignment horizontal="center" vertical="center"/>
    </xf>
    <xf numFmtId="164" fontId="48" fillId="10" borderId="0" xfId="0" applyNumberFormat="1" applyFont="1" applyFill="1" applyAlignment="1" applyProtection="1">
      <alignment horizontal="center" vertical="center" wrapText="1"/>
      <protection hidden="1"/>
    </xf>
    <xf numFmtId="164" fontId="48" fillId="10" borderId="0" xfId="0" applyNumberFormat="1" applyFont="1" applyFill="1" applyAlignment="1" applyProtection="1">
      <alignment vertical="center"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2" borderId="1" xfId="0" applyFont="1" applyFill="1" applyBorder="1" applyAlignment="1" applyProtection="1">
      <alignment horizontal="center" vertical="center" wrapText="1"/>
      <protection hidden="1"/>
    </xf>
    <xf numFmtId="167" fontId="36" fillId="2" borderId="14" xfId="2"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31" fillId="2" borderId="5" xfId="0" applyFont="1" applyFill="1" applyBorder="1" applyAlignment="1" applyProtection="1">
      <alignment horizontal="center" vertical="center"/>
      <protection hidden="1"/>
    </xf>
    <xf numFmtId="0" fontId="31" fillId="2" borderId="9" xfId="0" applyFont="1" applyFill="1" applyBorder="1" applyAlignment="1" applyProtection="1">
      <alignment horizontal="center" vertical="center"/>
      <protection hidden="1"/>
    </xf>
    <xf numFmtId="0" fontId="36" fillId="13" borderId="1" xfId="0" applyFont="1" applyFill="1" applyBorder="1" applyAlignment="1" applyProtection="1">
      <alignment horizontal="center" vertical="center"/>
      <protection locked="0" hidden="1"/>
    </xf>
    <xf numFmtId="0" fontId="0" fillId="0" borderId="0" xfId="2" applyNumberFormat="1" applyFont="1" applyAlignment="1">
      <alignment horizontal="right" vertical="center"/>
    </xf>
    <xf numFmtId="1" fontId="0" fillId="0" borderId="0" xfId="0" applyNumberFormat="1"/>
    <xf numFmtId="9" fontId="0" fillId="0" borderId="0" xfId="2" applyFont="1"/>
    <xf numFmtId="166" fontId="0" fillId="0" borderId="0" xfId="0" applyNumberFormat="1"/>
    <xf numFmtId="10" fontId="0" fillId="0" borderId="0" xfId="0" applyNumberFormat="1"/>
    <xf numFmtId="164" fontId="9" fillId="13" borderId="6" xfId="0" applyNumberFormat="1" applyFont="1" applyFill="1" applyBorder="1" applyAlignment="1" applyProtection="1">
      <alignment horizontal="center" vertical="center"/>
      <protection locked="0"/>
    </xf>
    <xf numFmtId="164" fontId="9" fillId="13" borderId="8" xfId="0" applyNumberFormat="1" applyFont="1" applyFill="1" applyBorder="1" applyAlignment="1" applyProtection="1">
      <alignment horizontal="center" vertical="center"/>
      <protection locked="0"/>
    </xf>
    <xf numFmtId="9" fontId="36" fillId="13" borderId="5" xfId="0" applyNumberFormat="1" applyFont="1" applyFill="1" applyBorder="1" applyAlignment="1" applyProtection="1">
      <alignment horizontal="center" vertical="center"/>
      <protection locked="0" hidden="1"/>
    </xf>
    <xf numFmtId="0" fontId="7" fillId="2" borderId="7" xfId="0" applyFont="1" applyFill="1" applyBorder="1" applyAlignment="1" applyProtection="1">
      <alignment horizontal="center" vertical="center" wrapText="1"/>
      <protection hidden="1"/>
    </xf>
    <xf numFmtId="0" fontId="0" fillId="0" borderId="9" xfId="0" applyBorder="1"/>
    <xf numFmtId="0" fontId="0" fillId="0" borderId="10" xfId="0" applyBorder="1"/>
    <xf numFmtId="0" fontId="0" fillId="0" borderId="11" xfId="0" applyBorder="1"/>
    <xf numFmtId="0" fontId="0" fillId="0" borderId="12" xfId="0" applyBorder="1"/>
    <xf numFmtId="1" fontId="0" fillId="0" borderId="13" xfId="0" applyNumberFormat="1" applyBorder="1"/>
    <xf numFmtId="0" fontId="0" fillId="0" borderId="13" xfId="0" applyBorder="1"/>
    <xf numFmtId="0" fontId="0" fillId="0" borderId="14" xfId="0" applyBorder="1"/>
    <xf numFmtId="1" fontId="0" fillId="0" borderId="2" xfId="0" applyNumberFormat="1" applyBorder="1"/>
    <xf numFmtId="1" fontId="0" fillId="0" borderId="15" xfId="0" applyNumberFormat="1" applyBorder="1"/>
    <xf numFmtId="0" fontId="31" fillId="2" borderId="10" xfId="0" applyFont="1" applyFill="1" applyBorder="1" applyAlignment="1" applyProtection="1">
      <alignment horizontal="center" vertical="center"/>
      <protection hidden="1"/>
    </xf>
    <xf numFmtId="0" fontId="1" fillId="0" borderId="0" xfId="0" applyFont="1" applyAlignment="1">
      <alignment horizontal="left" vertical="center"/>
    </xf>
    <xf numFmtId="0" fontId="8" fillId="2" borderId="8" xfId="0" applyFont="1" applyFill="1" applyBorder="1" applyAlignment="1" applyProtection="1">
      <alignment horizontal="center" vertical="center" wrapText="1"/>
      <protection hidden="1"/>
    </xf>
    <xf numFmtId="0" fontId="86" fillId="0" borderId="0" xfId="0" applyFont="1" applyAlignment="1">
      <alignment horizontal="left" vertical="center" wrapText="1"/>
    </xf>
    <xf numFmtId="0" fontId="8" fillId="2" borderId="9" xfId="0" applyFont="1" applyFill="1" applyBorder="1" applyAlignment="1" applyProtection="1">
      <alignment horizontal="center" vertical="center" wrapText="1"/>
      <protection hidden="1"/>
    </xf>
    <xf numFmtId="0" fontId="46" fillId="2" borderId="14" xfId="0" applyFont="1" applyFill="1" applyBorder="1" applyAlignment="1" applyProtection="1">
      <alignment horizontal="center" vertical="center" wrapText="1"/>
      <protection hidden="1"/>
    </xf>
    <xf numFmtId="1" fontId="36" fillId="10" borderId="13" xfId="2" applyNumberFormat="1" applyFont="1" applyFill="1" applyBorder="1" applyAlignment="1" applyProtection="1">
      <alignment horizontal="center" vertical="center"/>
      <protection hidden="1"/>
    </xf>
    <xf numFmtId="1" fontId="36" fillId="2" borderId="8" xfId="2" applyNumberFormat="1" applyFont="1" applyFill="1" applyBorder="1" applyAlignment="1" applyProtection="1">
      <alignment horizontal="center" vertical="center"/>
      <protection hidden="1"/>
    </xf>
    <xf numFmtId="1" fontId="87" fillId="2" borderId="8" xfId="2" applyNumberFormat="1" applyFont="1" applyFill="1" applyBorder="1" applyAlignment="1" applyProtection="1">
      <alignment horizontal="center" vertical="center"/>
      <protection hidden="1"/>
    </xf>
    <xf numFmtId="1" fontId="36" fillId="13" borderId="6" xfId="2" applyNumberFormat="1" applyFont="1" applyFill="1" applyBorder="1" applyAlignment="1" applyProtection="1">
      <alignment horizontal="center" vertical="center"/>
      <protection hidden="1"/>
    </xf>
    <xf numFmtId="1" fontId="87" fillId="13" borderId="6" xfId="2" applyNumberFormat="1"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36" fillId="2" borderId="9" xfId="0" applyFont="1" applyFill="1" applyBorder="1" applyAlignment="1" applyProtection="1">
      <alignment horizontal="center" vertical="center"/>
      <protection hidden="1"/>
    </xf>
    <xf numFmtId="0" fontId="31" fillId="12" borderId="0" xfId="0" applyFont="1" applyFill="1" applyAlignment="1" applyProtection="1">
      <alignment horizontal="center" vertical="center"/>
      <protection hidden="1"/>
    </xf>
    <xf numFmtId="0" fontId="31" fillId="2" borderId="16" xfId="0" applyFont="1" applyFill="1" applyBorder="1" applyAlignment="1" applyProtection="1">
      <alignment horizontal="center" vertical="center"/>
      <protection hidden="1"/>
    </xf>
    <xf numFmtId="0" fontId="31" fillId="2" borderId="17" xfId="0" applyFont="1" applyFill="1" applyBorder="1" applyAlignment="1" applyProtection="1">
      <alignment horizontal="center" vertical="center"/>
      <protection hidden="1"/>
    </xf>
    <xf numFmtId="9" fontId="32" fillId="4" borderId="3" xfId="2" applyFont="1" applyFill="1" applyBorder="1" applyAlignment="1" applyProtection="1">
      <alignment horizontal="center" vertical="center"/>
      <protection hidden="1"/>
    </xf>
    <xf numFmtId="0" fontId="31" fillId="2" borderId="18" xfId="0" applyFont="1" applyFill="1" applyBorder="1" applyAlignment="1" applyProtection="1">
      <alignment horizontal="center" vertical="center"/>
      <protection hidden="1"/>
    </xf>
    <xf numFmtId="0" fontId="31" fillId="2" borderId="19"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wrapText="1"/>
      <protection hidden="1"/>
    </xf>
    <xf numFmtId="0" fontId="31" fillId="4" borderId="20" xfId="0" applyFont="1" applyFill="1" applyBorder="1" applyAlignment="1" applyProtection="1">
      <alignment horizontal="center" vertical="center"/>
      <protection hidden="1"/>
    </xf>
    <xf numFmtId="9" fontId="52" fillId="4" borderId="3" xfId="2" applyFont="1" applyFill="1" applyBorder="1" applyAlignment="1" applyProtection="1">
      <alignment horizontal="center" vertical="center"/>
      <protection hidden="1"/>
    </xf>
    <xf numFmtId="0" fontId="31" fillId="4" borderId="22"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wrapText="1"/>
      <protection hidden="1"/>
    </xf>
    <xf numFmtId="0" fontId="31" fillId="2" borderId="20" xfId="0" applyFont="1" applyFill="1" applyBorder="1" applyAlignment="1" applyProtection="1">
      <alignment horizontal="center" vertical="center"/>
      <protection hidden="1"/>
    </xf>
    <xf numFmtId="0" fontId="46" fillId="2" borderId="24" xfId="0" applyFont="1" applyFill="1" applyBorder="1" applyAlignment="1" applyProtection="1">
      <alignment horizontal="center" vertical="center" wrapText="1"/>
      <protection hidden="1"/>
    </xf>
    <xf numFmtId="0" fontId="46" fillId="2" borderId="21" xfId="0" applyFont="1" applyFill="1" applyBorder="1" applyAlignment="1" applyProtection="1">
      <alignment horizontal="center" vertical="center" wrapText="1"/>
      <protection hidden="1"/>
    </xf>
    <xf numFmtId="9" fontId="9" fillId="2" borderId="10" xfId="2" applyFont="1" applyFill="1" applyBorder="1" applyAlignment="1" applyProtection="1">
      <alignment horizontal="center" vertical="center"/>
      <protection locked="0"/>
    </xf>
    <xf numFmtId="9" fontId="9" fillId="2" borderId="5" xfId="2" applyFont="1" applyFill="1" applyBorder="1" applyAlignment="1" applyProtection="1">
      <alignment horizontal="center" vertical="center"/>
      <protection locked="0"/>
    </xf>
    <xf numFmtId="9" fontId="91" fillId="13" borderId="1" xfId="2" applyFont="1" applyFill="1" applyBorder="1" applyAlignment="1" applyProtection="1">
      <alignment horizontal="center" vertical="center"/>
      <protection locked="0"/>
    </xf>
    <xf numFmtId="9" fontId="44" fillId="2" borderId="5" xfId="2" applyFont="1" applyFill="1" applyBorder="1" applyAlignment="1" applyProtection="1">
      <alignment horizontal="center" vertical="center"/>
      <protection hidden="1"/>
    </xf>
    <xf numFmtId="0" fontId="55" fillId="2" borderId="8" xfId="0" applyFont="1" applyFill="1" applyBorder="1" applyAlignment="1" applyProtection="1">
      <alignment horizontal="center" vertical="center" wrapText="1"/>
      <protection hidden="1"/>
    </xf>
    <xf numFmtId="9" fontId="55" fillId="13" borderId="14" xfId="2" applyFont="1" applyFill="1" applyBorder="1" applyAlignment="1" applyProtection="1">
      <alignment horizontal="center" vertical="center"/>
      <protection locked="0"/>
    </xf>
    <xf numFmtId="9" fontId="55" fillId="2" borderId="3" xfId="2" applyFont="1" applyFill="1" applyBorder="1" applyAlignment="1" applyProtection="1">
      <alignment horizontal="center" vertical="center"/>
      <protection hidden="1"/>
    </xf>
    <xf numFmtId="0" fontId="55" fillId="2" borderId="6" xfId="0" applyFont="1" applyFill="1" applyBorder="1" applyAlignment="1" applyProtection="1">
      <alignment horizontal="center" vertical="center" wrapText="1"/>
      <protection hidden="1"/>
    </xf>
    <xf numFmtId="9" fontId="55" fillId="13" borderId="9" xfId="2" applyFont="1" applyFill="1" applyBorder="1" applyAlignment="1" applyProtection="1">
      <alignment horizontal="center" vertical="center"/>
      <protection locked="0"/>
    </xf>
    <xf numFmtId="9" fontId="92" fillId="2" borderId="3" xfId="2" applyFont="1" applyFill="1" applyBorder="1" applyAlignment="1" applyProtection="1">
      <alignment horizontal="center" vertical="center"/>
      <protection hidden="1"/>
    </xf>
    <xf numFmtId="9" fontId="55" fillId="13" borderId="3" xfId="2" applyFont="1" applyFill="1" applyBorder="1" applyAlignment="1" applyProtection="1">
      <alignment horizontal="center" vertical="center"/>
      <protection locked="0"/>
    </xf>
    <xf numFmtId="0" fontId="55" fillId="2" borderId="1" xfId="0" applyFont="1" applyFill="1" applyBorder="1" applyAlignment="1" applyProtection="1">
      <alignment horizontal="center" vertical="center" wrapText="1"/>
      <protection hidden="1"/>
    </xf>
    <xf numFmtId="9" fontId="91" fillId="13" borderId="5" xfId="2" applyFont="1" applyFill="1" applyBorder="1" applyAlignment="1" applyProtection="1">
      <alignment horizontal="center" vertical="center"/>
      <protection locked="0"/>
    </xf>
    <xf numFmtId="9" fontId="93" fillId="2" borderId="3" xfId="2" applyFont="1" applyFill="1" applyBorder="1" applyAlignment="1" applyProtection="1">
      <alignment horizontal="center" vertical="center"/>
      <protection hidden="1"/>
    </xf>
    <xf numFmtId="168" fontId="36" fillId="2" borderId="1" xfId="1" applyNumberFormat="1" applyFont="1" applyFill="1" applyBorder="1" applyAlignment="1" applyProtection="1">
      <alignment horizontal="center" vertical="center"/>
    </xf>
    <xf numFmtId="169" fontId="9" fillId="13" borderId="3" xfId="2" applyNumberFormat="1" applyFont="1" applyFill="1" applyBorder="1" applyAlignment="1" applyProtection="1">
      <alignment horizontal="center" vertical="center"/>
      <protection locked="0"/>
    </xf>
    <xf numFmtId="169" fontId="9" fillId="13" borderId="4" xfId="2" applyNumberFormat="1" applyFont="1" applyFill="1" applyBorder="1" applyAlignment="1" applyProtection="1">
      <alignment horizontal="center" vertical="center"/>
      <protection locked="0"/>
    </xf>
    <xf numFmtId="169" fontId="9" fillId="13" borderId="1" xfId="2" applyNumberFormat="1" applyFont="1" applyFill="1" applyBorder="1" applyAlignment="1" applyProtection="1">
      <alignment horizontal="center" vertical="center"/>
      <protection locked="0"/>
    </xf>
    <xf numFmtId="170" fontId="9" fillId="13" borderId="1" xfId="0" applyNumberFormat="1" applyFont="1" applyFill="1" applyBorder="1" applyAlignment="1" applyProtection="1">
      <alignment horizontal="center" vertical="center" wrapText="1"/>
      <protection locked="0"/>
    </xf>
    <xf numFmtId="170" fontId="9" fillId="13" borderId="6" xfId="0" applyNumberFormat="1" applyFont="1" applyFill="1" applyBorder="1" applyAlignment="1" applyProtection="1">
      <alignment horizontal="center" vertical="center" wrapText="1"/>
      <protection locked="0"/>
    </xf>
    <xf numFmtId="169" fontId="9" fillId="13" borderId="7" xfId="0" applyNumberFormat="1" applyFont="1" applyFill="1" applyBorder="1" applyAlignment="1" applyProtection="1">
      <alignment horizontal="center" vertical="center"/>
      <protection locked="0"/>
    </xf>
    <xf numFmtId="169" fontId="23" fillId="2" borderId="2" xfId="0" applyNumberFormat="1" applyFont="1" applyFill="1" applyBorder="1" applyAlignment="1">
      <alignment horizontal="center" vertical="center"/>
    </xf>
    <xf numFmtId="169" fontId="23" fillId="2" borderId="0" xfId="0" applyNumberFormat="1" applyFont="1" applyFill="1" applyAlignment="1">
      <alignment horizontal="center" vertical="center"/>
    </xf>
    <xf numFmtId="170" fontId="9" fillId="2" borderId="1" xfId="0" applyNumberFormat="1" applyFont="1" applyFill="1" applyBorder="1" applyAlignment="1" applyProtection="1">
      <alignment horizontal="center" vertical="center"/>
      <protection hidden="1"/>
    </xf>
    <xf numFmtId="170" fontId="7" fillId="2" borderId="1" xfId="0" applyNumberFormat="1" applyFont="1" applyFill="1" applyBorder="1" applyAlignment="1" applyProtection="1">
      <alignment horizontal="center" vertical="center"/>
      <protection hidden="1"/>
    </xf>
    <xf numFmtId="170" fontId="72" fillId="2" borderId="1" xfId="0" applyNumberFormat="1" applyFont="1" applyFill="1" applyBorder="1" applyAlignment="1" applyProtection="1">
      <alignment horizontal="center" vertical="center"/>
      <protection hidden="1"/>
    </xf>
    <xf numFmtId="169" fontId="0" fillId="0" borderId="0" xfId="0" applyNumberFormat="1" applyAlignment="1">
      <alignment horizontal="center" vertical="center"/>
    </xf>
    <xf numFmtId="9" fontId="36" fillId="0" borderId="1" xfId="0" applyNumberFormat="1" applyFont="1" applyBorder="1" applyAlignment="1" applyProtection="1">
      <alignment horizontal="center" vertical="center"/>
      <protection hidden="1"/>
    </xf>
    <xf numFmtId="0" fontId="1" fillId="0" borderId="0" xfId="0" applyFont="1" applyAlignment="1">
      <alignment horizontal="center" vertical="center" wrapText="1"/>
    </xf>
    <xf numFmtId="0" fontId="6" fillId="0" borderId="0" xfId="0" applyFont="1" applyAlignment="1">
      <alignment wrapText="1"/>
    </xf>
    <xf numFmtId="0" fontId="3" fillId="2" borderId="8" xfId="3" applyFill="1" applyBorder="1" applyAlignment="1" applyProtection="1">
      <alignment horizontal="center" vertical="center"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2"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49" fontId="26" fillId="2" borderId="0" xfId="0" applyNumberFormat="1" applyFont="1" applyFill="1" applyAlignment="1">
      <alignment horizontal="right" vertical="center" wrapText="1"/>
    </xf>
    <xf numFmtId="0" fontId="7" fillId="10" borderId="0" xfId="0" applyFont="1" applyFill="1" applyAlignment="1">
      <alignment horizontal="left" vertical="top" wrapText="1"/>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12" fillId="10" borderId="2" xfId="3" applyFont="1" applyFill="1" applyBorder="1" applyAlignment="1">
      <alignment horizontal="left" vertical="center" wrapText="1"/>
    </xf>
    <xf numFmtId="0" fontId="12" fillId="10" borderId="15"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99" fillId="10" borderId="2" xfId="3" applyFont="1" applyFill="1" applyBorder="1" applyAlignment="1">
      <alignment horizontal="left" vertical="center"/>
    </xf>
    <xf numFmtId="0" fontId="99"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1" fontId="88" fillId="10" borderId="12" xfId="2" applyNumberFormat="1" applyFont="1" applyFill="1" applyBorder="1" applyAlignment="1" applyProtection="1">
      <alignment horizontal="center" vertical="center" wrapText="1"/>
      <protection locked="0"/>
    </xf>
    <xf numFmtId="1" fontId="88" fillId="10" borderId="0" xfId="2" applyNumberFormat="1"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2" borderId="13"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hidden="1"/>
    </xf>
    <xf numFmtId="0" fontId="7" fillId="2" borderId="15" xfId="0" applyFont="1" applyFill="1" applyBorder="1" applyAlignment="1" applyProtection="1">
      <alignment horizontal="center" vertical="center" wrapText="1"/>
      <protection hidden="1"/>
    </xf>
    <xf numFmtId="0" fontId="41"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7" fillId="2" borderId="10" xfId="0" applyFont="1" applyFill="1" applyBorder="1" applyAlignment="1" applyProtection="1">
      <alignment horizontal="center" vertical="center" wrapText="1"/>
      <protection hidden="1"/>
    </xf>
    <xf numFmtId="0" fontId="7" fillId="2" borderId="11" xfId="0" applyFont="1" applyFill="1" applyBorder="1" applyAlignment="1" applyProtection="1">
      <alignment horizontal="center" vertical="center" wrapText="1"/>
      <protection hidden="1"/>
    </xf>
    <xf numFmtId="0" fontId="55" fillId="2" borderId="5" xfId="0" applyFont="1" applyFill="1" applyBorder="1" applyAlignment="1" applyProtection="1">
      <alignment horizontal="left" vertical="center" wrapText="1"/>
      <protection hidden="1"/>
    </xf>
    <xf numFmtId="0" fontId="55" fillId="2" borderId="4" xfId="0" applyFont="1" applyFill="1" applyBorder="1" applyAlignment="1" applyProtection="1">
      <alignment horizontal="left" vertical="center" wrapText="1"/>
      <protection hidden="1"/>
    </xf>
    <xf numFmtId="0" fontId="35"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0" fontId="58" fillId="2" borderId="5" xfId="0" applyFont="1" applyFill="1" applyBorder="1" applyAlignment="1" applyProtection="1">
      <alignment horizontal="left" vertical="center" wrapText="1"/>
      <protection hidden="1"/>
    </xf>
    <xf numFmtId="0" fontId="58" fillId="2" borderId="4" xfId="0" applyFont="1" applyFill="1" applyBorder="1" applyAlignment="1" applyProtection="1">
      <alignment horizontal="left" vertical="center" wrapText="1"/>
      <protection hidden="1"/>
    </xf>
    <xf numFmtId="0" fontId="31" fillId="2" borderId="0" xfId="0" applyFont="1" applyFill="1" applyAlignment="1" applyProtection="1">
      <alignment horizontal="right" vertical="center"/>
      <protection hidden="1"/>
    </xf>
    <xf numFmtId="0" fontId="54"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57"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4" borderId="5" xfId="0" applyFont="1" applyFill="1" applyBorder="1" applyAlignment="1" applyProtection="1">
      <alignment horizontal="left" vertical="center" wrapText="1"/>
      <protection hidden="1"/>
    </xf>
    <xf numFmtId="0" fontId="7" fillId="4" borderId="4" xfId="0" applyFont="1" applyFill="1" applyBorder="1" applyAlignment="1" applyProtection="1">
      <alignment horizontal="left" vertical="center" wrapText="1"/>
      <protection hidden="1"/>
    </xf>
    <xf numFmtId="0" fontId="3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1" fillId="8" borderId="0" xfId="0" applyFont="1" applyFill="1" applyAlignment="1">
      <alignment horizontal="center"/>
    </xf>
    <xf numFmtId="0" fontId="56" fillId="8" borderId="0" xfId="0" applyFont="1" applyFill="1" applyAlignment="1" applyProtection="1">
      <alignment horizontal="left" vertical="center" wrapText="1"/>
      <protection hidden="1"/>
    </xf>
    <xf numFmtId="0" fontId="60" fillId="8" borderId="0" xfId="0" applyFont="1" applyFill="1" applyAlignment="1" applyProtection="1">
      <alignment horizontal="right" vertical="center"/>
      <protection hidden="1"/>
    </xf>
    <xf numFmtId="0" fontId="38" fillId="2" borderId="6" xfId="0" applyFont="1" applyFill="1" applyBorder="1" applyAlignment="1" applyProtection="1">
      <alignment horizontal="center" vertical="center" wrapText="1"/>
      <protection hidden="1"/>
    </xf>
    <xf numFmtId="0" fontId="38" fillId="2" borderId="8" xfId="0" applyFont="1" applyFill="1" applyBorder="1" applyAlignment="1" applyProtection="1">
      <alignment horizontal="center" vertical="center" wrapText="1"/>
      <protection hidden="1"/>
    </xf>
    <xf numFmtId="0" fontId="54" fillId="9" borderId="0" xfId="0" applyFont="1" applyFill="1" applyAlignment="1" applyProtection="1">
      <alignment horizontal="center" vertical="center" wrapText="1"/>
      <protection hidden="1"/>
    </xf>
    <xf numFmtId="0" fontId="41" fillId="16" borderId="0" xfId="0" applyFont="1" applyFill="1" applyAlignment="1" applyProtection="1">
      <alignment horizontal="center" vertical="center" wrapText="1"/>
      <protection hidden="1"/>
    </xf>
    <xf numFmtId="0" fontId="70" fillId="19" borderId="0" xfId="0" applyFont="1" applyFill="1" applyAlignment="1" applyProtection="1">
      <alignment horizontal="center" vertical="center" wrapText="1"/>
      <protection hidden="1"/>
    </xf>
    <xf numFmtId="0" fontId="3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0" fillId="17" borderId="0" xfId="0" applyFont="1" applyFill="1" applyAlignment="1" applyProtection="1">
      <alignment horizontal="center" vertical="center" wrapText="1"/>
      <protection hidden="1"/>
    </xf>
    <xf numFmtId="0" fontId="40" fillId="3" borderId="0" xfId="0" applyFont="1" applyFill="1" applyAlignment="1" applyProtection="1">
      <alignment horizontal="center" vertical="center"/>
      <protection hidden="1"/>
    </xf>
    <xf numFmtId="0" fontId="41" fillId="17" borderId="0" xfId="0" applyFont="1" applyFill="1" applyAlignment="1" applyProtection="1">
      <alignment horizontal="center" vertical="center"/>
      <protection hidden="1"/>
    </xf>
    <xf numFmtId="0" fontId="54"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66BAC3"/>
      <color rgb="FFDFE382"/>
      <color rgb="FFD2EF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1171575</xdr:colOff>
      <xdr:row>1</xdr:row>
      <xdr:rowOff>161925</xdr:rowOff>
    </xdr:from>
    <xdr:ext cx="1162050" cy="476250"/>
    <xdr:pic>
      <xdr:nvPicPr>
        <xdr:cNvPr id="2" name="Picture 1">
          <a:extLst>
            <a:ext uri="{FF2B5EF4-FFF2-40B4-BE49-F238E27FC236}">
              <a16:creationId xmlns:a16="http://schemas.microsoft.com/office/drawing/2014/main" id="{BC1241DB-4A80-4B15-AA41-BA24A21C5C03}"/>
            </a:ext>
          </a:extLst>
        </xdr:cNvPr>
        <xdr:cNvPicPr>
          <a:picLocks noChangeAspect="1"/>
        </xdr:cNvPicPr>
      </xdr:nvPicPr>
      <xdr:blipFill>
        <a:blip xmlns:r="http://schemas.openxmlformats.org/officeDocument/2006/relationships" r:embed="rId1"/>
        <a:stretch>
          <a:fillRect/>
        </a:stretch>
      </xdr:blipFill>
      <xdr:spPr>
        <a:xfrm>
          <a:off x="7553325" y="352425"/>
          <a:ext cx="1162050" cy="476250"/>
        </a:xfrm>
        <a:prstGeom prst="rect">
          <a:avLst/>
        </a:prstGeom>
      </xdr:spPr>
    </xdr:pic>
    <xdr:clientData/>
  </xdr:oneCellAnchor>
  <xdr:twoCellAnchor>
    <xdr:from>
      <xdr:col>0</xdr:col>
      <xdr:colOff>50800</xdr:colOff>
      <xdr:row>1</xdr:row>
      <xdr:rowOff>361112</xdr:rowOff>
    </xdr:from>
    <xdr:to>
      <xdr:col>3</xdr:col>
      <xdr:colOff>660400</xdr:colOff>
      <xdr:row>2</xdr:row>
      <xdr:rowOff>176099</xdr:rowOff>
    </xdr:to>
    <xdr:sp macro="" textlink="">
      <xdr:nvSpPr>
        <xdr:cNvPr id="3" name="Triangle 3">
          <a:extLst>
            <a:ext uri="{FF2B5EF4-FFF2-40B4-BE49-F238E27FC236}">
              <a16:creationId xmlns:a16="http://schemas.microsoft.com/office/drawing/2014/main" id="{E43306F9-1C31-4CC2-8256-C9C6B72A2925}"/>
            </a:ext>
          </a:extLst>
        </xdr:cNvPr>
        <xdr:cNvSpPr/>
      </xdr:nvSpPr>
      <xdr:spPr>
        <a:xfrm>
          <a:off x="50800" y="380162"/>
          <a:ext cx="2276475" cy="176937"/>
        </a:xfrm>
        <a:prstGeom prst="ellips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419" sz="2000" b="1">
              <a:latin typeface="Arial" panose="020B0604020202020204" pitchFamily="34" charset="0"/>
              <a:cs typeface="Arial" panose="020B0604020202020204" pitchFamily="34" charset="0"/>
            </a:rPr>
            <a:t>VPH</a:t>
          </a:r>
        </a:p>
      </xdr:txBody>
    </xdr:sp>
    <xdr:clientData/>
  </xdr:twoCellAnchor>
  <xdr:oneCellAnchor>
    <xdr:from>
      <xdr:col>22</xdr:col>
      <xdr:colOff>0</xdr:colOff>
      <xdr:row>5</xdr:row>
      <xdr:rowOff>476250</xdr:rowOff>
    </xdr:from>
    <xdr:ext cx="184731" cy="264560"/>
    <xdr:sp macro="" textlink="">
      <xdr:nvSpPr>
        <xdr:cNvPr id="4" name="TextBox 3">
          <a:extLst>
            <a:ext uri="{FF2B5EF4-FFF2-40B4-BE49-F238E27FC236}">
              <a16:creationId xmlns:a16="http://schemas.microsoft.com/office/drawing/2014/main" id="{4848503C-0935-4004-8EA2-D70A91F9F948}"/>
            </a:ext>
          </a:extLst>
        </xdr:cNvPr>
        <xdr:cNvSpPr txBox="1"/>
      </xdr:nvSpPr>
      <xdr:spPr>
        <a:xfrm>
          <a:off x="127825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532914</xdr:colOff>
      <xdr:row>5</xdr:row>
      <xdr:rowOff>542425</xdr:rowOff>
    </xdr:from>
    <xdr:to>
      <xdr:col>4</xdr:col>
      <xdr:colOff>76199</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012974" y="1845445"/>
          <a:ext cx="1737845" cy="2703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a:t>
          </a:r>
          <a:r>
            <a:rPr lang="es-419" sz="1000" baseline="0">
              <a:latin typeface="Arial" panose="020B0604020202020204" pitchFamily="34" charset="0"/>
              <a:cs typeface="Arial" panose="020B0604020202020204" pitchFamily="34" charset="0"/>
            </a:rPr>
            <a:t>v</a:t>
          </a:r>
          <a:r>
            <a:rPr lang="es-419" sz="1000">
              <a:latin typeface="Arial" panose="020B0604020202020204" pitchFamily="34" charset="0"/>
              <a:cs typeface="Arial" panose="020B0604020202020204" pitchFamily="34" charset="0"/>
            </a:rPr>
            <a:t>olumen más</a:t>
          </a:r>
          <a:r>
            <a:rPr lang="es-419" sz="1000" baseline="0">
              <a:latin typeface="Arial" panose="020B0604020202020204" pitchFamily="34" charset="0"/>
              <a:cs typeface="Arial" panose="020B0604020202020204" pitchFamily="34" charset="0"/>
            </a:rPr>
            <a:t> bajo</a:t>
          </a:r>
          <a:endParaRPr lang="es-419" sz="1000">
            <a:latin typeface="Arial" panose="020B0604020202020204" pitchFamily="34" charset="0"/>
            <a:cs typeface="Arial" panose="020B0604020202020204" pitchFamily="34" charset="0"/>
          </a:endParaRP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a:t>
          </a:r>
          <a:r>
            <a:rPr lang="es-419" sz="1000" baseline="0">
              <a:latin typeface="Arial" panose="020B0604020202020204" pitchFamily="34" charset="0"/>
              <a:cs typeface="Arial" panose="020B0604020202020204" pitchFamily="34" charset="0"/>
            </a:rPr>
            <a:t> alto</a:t>
          </a:r>
          <a:endParaRPr lang="es-419" sz="10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83821</xdr:colOff>
      <xdr:row>5</xdr:row>
      <xdr:rowOff>281940</xdr:rowOff>
    </xdr:from>
    <xdr:to>
      <xdr:col>5</xdr:col>
      <xdr:colOff>1</xdr:colOff>
      <xdr:row>5</xdr:row>
      <xdr:rowOff>518160</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028701" y="1752600"/>
          <a:ext cx="1417320" cy="23622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bajo</a:t>
          </a:r>
        </a:p>
      </xdr:txBody>
    </xdr:sp>
    <xdr:clientData/>
  </xdr:twoCellAnchor>
  <xdr:twoCellAnchor>
    <xdr:from>
      <xdr:col>3</xdr:col>
      <xdr:colOff>91440</xdr:colOff>
      <xdr:row>5</xdr:row>
      <xdr:rowOff>792479</xdr:rowOff>
    </xdr:from>
    <xdr:to>
      <xdr:col>4</xdr:col>
      <xdr:colOff>53340</xdr:colOff>
      <xdr:row>5</xdr:row>
      <xdr:rowOff>937260</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036320" y="2263139"/>
          <a:ext cx="1363980" cy="14478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a:t>
          </a:r>
          <a:r>
            <a:rPr lang="es-419" sz="800" baseline="0">
              <a:latin typeface="Arial" panose="020B0604020202020204" pitchFamily="34" charset="0"/>
              <a:cs typeface="Arial" panose="020B0604020202020204" pitchFamily="34" charset="0"/>
            </a:rPr>
            <a:t> o </a:t>
          </a:r>
          <a:r>
            <a:rPr lang="es-419" sz="800">
              <a:latin typeface="Arial" panose="020B0604020202020204" pitchFamily="34" charset="0"/>
              <a:cs typeface="Arial" panose="020B0604020202020204" pitchFamily="34" charset="0"/>
            </a:rPr>
            <a:t>volumen más</a:t>
          </a:r>
          <a:r>
            <a:rPr lang="es-419" sz="800" baseline="0">
              <a:latin typeface="Arial" panose="020B0604020202020204" pitchFamily="34" charset="0"/>
              <a:cs typeface="Arial" panose="020B0604020202020204" pitchFamily="34" charset="0"/>
            </a:rPr>
            <a:t> alto</a:t>
          </a:r>
          <a:endParaRPr lang="es-419" sz="800">
            <a:latin typeface="Arial" panose="020B0604020202020204" pitchFamily="34" charset="0"/>
            <a:cs typeface="Arial" panose="020B0604020202020204" pitchFamily="34" charset="0"/>
          </a:endParaRPr>
        </a:p>
      </xdr:txBody>
    </xdr:sp>
    <xdr:clientData/>
  </xdr:twoCellAnchor>
  <xdr:oneCellAnchor>
    <xdr:from>
      <xdr:col>3</xdr:col>
      <xdr:colOff>5081</xdr:colOff>
      <xdr:row>5</xdr:row>
      <xdr:rowOff>288453</xdr:rowOff>
    </xdr:from>
    <xdr:ext cx="154940"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965201" y="1759113"/>
          <a:ext cx="154940" cy="684335"/>
        </a:xfrm>
        <a:prstGeom prst="rect">
          <a:avLst/>
        </a:prstGeom>
      </xdr:spPr>
    </xdr:pic>
    <xdr:clientData/>
  </xdr:one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avi.org/our-alliance/market-shaping/product-information-vaccines-cold-chain-equipment" TargetMode="External"/><Relationship Id="rId2" Type="http://schemas.openxmlformats.org/officeDocument/2006/relationships/hyperlink" Target="https://immunizationeconomics.org/thinkwell-idcc/" TargetMode="External"/><Relationship Id="rId1" Type="http://schemas.openxmlformats.org/officeDocument/2006/relationships/hyperlink" Target="https://www.unicef.org/supply/documents/syringe-and-safety-box-bundles-price-data"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unicef.org/supply/handling-fe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C3E8D-6845-471C-A64D-15AC3C7F9CFE}">
  <sheetPr>
    <tabColor theme="3"/>
  </sheetPr>
  <dimension ref="A1:P59"/>
  <sheetViews>
    <sheetView tabSelected="1" zoomScaleNormal="100" zoomScaleSheetLayoutView="70" workbookViewId="0"/>
  </sheetViews>
  <sheetFormatPr defaultColWidth="8.6640625" defaultRowHeight="15" x14ac:dyDescent="0.25"/>
  <cols>
    <col min="1" max="1" width="4.33203125" style="10" customWidth="1"/>
    <col min="2" max="3" width="3.33203125" style="10" customWidth="1"/>
    <col min="4" max="4" width="8.6640625" style="10" customWidth="1"/>
    <col min="5" max="5" width="7.33203125" style="10" customWidth="1"/>
    <col min="6" max="6" width="9.109375" style="10" customWidth="1"/>
    <col min="7" max="11" width="8.6640625" style="10"/>
    <col min="12" max="12" width="11.44140625" style="10" customWidth="1"/>
    <col min="13" max="13" width="32" style="10" customWidth="1"/>
    <col min="14" max="15" width="3.33203125" style="10" customWidth="1"/>
    <col min="16" max="16" width="4.33203125" style="10" customWidth="1"/>
    <col min="17" max="16384" width="8.6640625" style="10"/>
  </cols>
  <sheetData>
    <row r="1" spans="1:16" ht="15" customHeight="1" x14ac:dyDescent="0.25">
      <c r="A1" s="11"/>
      <c r="B1" s="273"/>
      <c r="C1" s="273"/>
      <c r="D1" s="273"/>
      <c r="E1" s="273"/>
      <c r="F1" s="273"/>
      <c r="G1" s="273"/>
      <c r="H1" s="273"/>
      <c r="I1" s="273"/>
      <c r="J1" s="273"/>
      <c r="K1" s="273"/>
      <c r="L1" s="273"/>
      <c r="M1" s="273"/>
      <c r="N1" s="273"/>
      <c r="O1" s="273"/>
      <c r="P1" s="11"/>
    </row>
    <row r="2" spans="1:16" ht="122.1" customHeight="1" x14ac:dyDescent="0.25">
      <c r="A2" s="11"/>
      <c r="C2" s="45"/>
      <c r="D2" s="45"/>
      <c r="E2" s="374" t="s">
        <v>126</v>
      </c>
      <c r="F2" s="374"/>
      <c r="G2" s="374"/>
      <c r="H2" s="374"/>
      <c r="I2" s="374"/>
      <c r="J2" s="374"/>
      <c r="K2" s="374"/>
      <c r="L2" s="374"/>
      <c r="M2" s="44"/>
      <c r="N2" s="44"/>
      <c r="P2" s="11"/>
    </row>
    <row r="3" spans="1:16" ht="54" customHeight="1" x14ac:dyDescent="0.25">
      <c r="A3" s="11"/>
      <c r="C3" s="43"/>
      <c r="D3" s="43"/>
      <c r="E3" s="375" t="s">
        <v>160</v>
      </c>
      <c r="F3" s="375"/>
      <c r="G3" s="375"/>
      <c r="H3" s="375"/>
      <c r="I3" s="375"/>
      <c r="J3" s="375"/>
      <c r="K3" s="375"/>
      <c r="L3" s="375"/>
      <c r="M3" s="379" t="s">
        <v>171</v>
      </c>
      <c r="N3" s="379"/>
      <c r="P3" s="11"/>
    </row>
    <row r="4" spans="1:16" ht="35.1" customHeight="1" x14ac:dyDescent="0.25">
      <c r="A4" s="11"/>
      <c r="B4" s="11"/>
      <c r="C4" s="371" t="s">
        <v>0</v>
      </c>
      <c r="D4" s="371"/>
      <c r="E4" s="371"/>
      <c r="F4" s="371"/>
      <c r="G4" s="371"/>
      <c r="H4" s="371"/>
      <c r="I4" s="371"/>
      <c r="J4" s="371"/>
      <c r="K4" s="371"/>
      <c r="L4" s="371"/>
      <c r="M4" s="371"/>
      <c r="N4" s="42"/>
      <c r="O4" s="11"/>
      <c r="P4" s="11"/>
    </row>
    <row r="5" spans="1:16" ht="8.1" customHeight="1" x14ac:dyDescent="0.25">
      <c r="A5" s="11"/>
      <c r="B5" s="11"/>
      <c r="C5" s="11"/>
      <c r="D5" s="41"/>
      <c r="E5" s="41"/>
      <c r="F5" s="41"/>
      <c r="G5" s="41"/>
      <c r="H5" s="41"/>
      <c r="I5" s="41"/>
      <c r="J5" s="41"/>
      <c r="K5" s="41"/>
      <c r="L5" s="41"/>
      <c r="M5" s="41"/>
      <c r="N5" s="41"/>
      <c r="O5" s="11"/>
      <c r="P5" s="11"/>
    </row>
    <row r="6" spans="1:16" ht="46.35" customHeight="1" x14ac:dyDescent="0.25">
      <c r="A6" s="11"/>
      <c r="B6" s="36"/>
      <c r="C6" s="40"/>
      <c r="D6" s="373" t="s">
        <v>1</v>
      </c>
      <c r="E6" s="373"/>
      <c r="F6" s="373"/>
      <c r="G6" s="373"/>
      <c r="H6" s="373"/>
      <c r="I6" s="373"/>
      <c r="J6" s="373"/>
      <c r="K6" s="373"/>
      <c r="L6" s="373"/>
      <c r="M6" s="373"/>
      <c r="N6" s="35"/>
      <c r="O6" s="40"/>
      <c r="P6" s="11"/>
    </row>
    <row r="7" spans="1:16" ht="8.1" customHeight="1" x14ac:dyDescent="0.25">
      <c r="A7" s="11"/>
      <c r="B7" s="11"/>
      <c r="C7" s="11"/>
      <c r="D7" s="11"/>
      <c r="E7" s="11"/>
      <c r="F7" s="11"/>
      <c r="G7" s="11"/>
      <c r="H7" s="11"/>
      <c r="I7" s="11"/>
      <c r="J7" s="11"/>
      <c r="K7" s="11"/>
      <c r="L7" s="11"/>
      <c r="M7" s="11"/>
      <c r="N7" s="11"/>
      <c r="O7" s="11"/>
      <c r="P7" s="11"/>
    </row>
    <row r="8" spans="1:16" ht="409.5" customHeight="1" x14ac:dyDescent="0.25">
      <c r="A8" s="11"/>
      <c r="B8" s="11"/>
      <c r="D8" s="376" t="s">
        <v>169</v>
      </c>
      <c r="E8" s="376"/>
      <c r="F8" s="376"/>
      <c r="G8" s="376"/>
      <c r="H8" s="376"/>
      <c r="I8" s="376"/>
      <c r="J8" s="376"/>
      <c r="K8" s="376"/>
      <c r="L8" s="376"/>
      <c r="M8" s="376"/>
      <c r="N8" s="39"/>
      <c r="O8" s="11"/>
      <c r="P8" s="11"/>
    </row>
    <row r="9" spans="1:16" ht="8.1" customHeight="1" x14ac:dyDescent="0.25">
      <c r="A9" s="11"/>
      <c r="B9" s="11"/>
      <c r="C9" s="11"/>
      <c r="D9" s="38"/>
      <c r="E9" s="38"/>
      <c r="F9" s="38"/>
      <c r="G9" s="38"/>
      <c r="H9" s="38"/>
      <c r="I9" s="38"/>
      <c r="J9" s="38"/>
      <c r="K9" s="38"/>
      <c r="L9" s="38"/>
      <c r="M9" s="38"/>
      <c r="N9" s="38"/>
      <c r="O9" s="11"/>
      <c r="P9" s="11"/>
    </row>
    <row r="10" spans="1:16" ht="115.95" customHeight="1" x14ac:dyDescent="0.25">
      <c r="A10" s="11"/>
      <c r="B10" s="11"/>
      <c r="C10" s="11"/>
      <c r="D10" s="377" t="s">
        <v>161</v>
      </c>
      <c r="E10" s="378"/>
      <c r="F10" s="378"/>
      <c r="G10" s="378"/>
      <c r="H10" s="378"/>
      <c r="I10" s="378"/>
      <c r="J10" s="378"/>
      <c r="K10" s="378"/>
      <c r="L10" s="378"/>
      <c r="M10" s="378"/>
      <c r="N10" s="37"/>
      <c r="O10" s="11"/>
      <c r="P10" s="11"/>
    </row>
    <row r="11" spans="1:16" ht="8.1" customHeight="1" x14ac:dyDescent="0.25">
      <c r="A11" s="11"/>
      <c r="B11" s="11"/>
      <c r="C11" s="11"/>
      <c r="D11" s="11"/>
      <c r="E11" s="11"/>
      <c r="F11" s="11"/>
      <c r="G11" s="11"/>
      <c r="H11" s="11"/>
      <c r="I11" s="11"/>
      <c r="J11" s="11"/>
      <c r="K11" s="11"/>
      <c r="L11" s="11"/>
      <c r="M11" s="11"/>
      <c r="N11" s="11"/>
      <c r="O11" s="11"/>
      <c r="P11" s="11"/>
    </row>
    <row r="12" spans="1:16" ht="49.35" customHeight="1" x14ac:dyDescent="0.25">
      <c r="A12" s="11"/>
      <c r="B12" s="36"/>
      <c r="C12" s="34"/>
      <c r="D12" s="373" t="s">
        <v>2</v>
      </c>
      <c r="E12" s="373"/>
      <c r="F12" s="373"/>
      <c r="G12" s="373"/>
      <c r="H12" s="373"/>
      <c r="I12" s="373"/>
      <c r="J12" s="373"/>
      <c r="K12" s="373"/>
      <c r="L12" s="373"/>
      <c r="M12" s="373"/>
      <c r="N12" s="35"/>
      <c r="O12" s="34"/>
      <c r="P12" s="11"/>
    </row>
    <row r="13" spans="1:16" ht="5.0999999999999996" customHeight="1" x14ac:dyDescent="0.25">
      <c r="A13" s="11"/>
      <c r="B13" s="11"/>
      <c r="C13" s="11"/>
      <c r="D13" s="11"/>
      <c r="E13" s="11"/>
      <c r="F13" s="11"/>
      <c r="G13" s="11"/>
      <c r="H13" s="11"/>
      <c r="I13" s="11"/>
      <c r="J13" s="11"/>
      <c r="K13" s="11"/>
      <c r="L13" s="11"/>
      <c r="M13" s="11"/>
      <c r="N13" s="11"/>
      <c r="O13" s="11"/>
      <c r="P13" s="11"/>
    </row>
    <row r="14" spans="1:16" ht="29.1" customHeight="1" x14ac:dyDescent="0.25">
      <c r="A14" s="11"/>
      <c r="B14" s="11"/>
      <c r="C14" s="33"/>
      <c r="D14" s="372" t="s">
        <v>148</v>
      </c>
      <c r="E14" s="372"/>
      <c r="F14" s="372"/>
      <c r="G14" s="372"/>
      <c r="H14" s="372"/>
      <c r="I14" s="372"/>
      <c r="J14" s="372"/>
      <c r="K14" s="372"/>
      <c r="L14" s="372"/>
      <c r="M14" s="372"/>
      <c r="N14" s="32"/>
      <c r="O14" s="11"/>
      <c r="P14" s="11"/>
    </row>
    <row r="15" spans="1:16" ht="8.1" customHeight="1" x14ac:dyDescent="0.25">
      <c r="A15" s="11"/>
      <c r="B15" s="11"/>
      <c r="O15" s="11"/>
      <c r="P15" s="11"/>
    </row>
    <row r="16" spans="1:16" ht="15.6" customHeight="1" x14ac:dyDescent="0.25">
      <c r="A16" s="11"/>
      <c r="B16" s="11"/>
      <c r="D16" s="31"/>
      <c r="E16" s="380" t="s">
        <v>3</v>
      </c>
      <c r="F16" s="380"/>
      <c r="G16" s="380"/>
      <c r="H16" s="380"/>
      <c r="I16" s="380"/>
      <c r="J16" s="380"/>
      <c r="K16" s="380"/>
      <c r="L16" s="380"/>
      <c r="M16" s="380"/>
      <c r="N16" s="30"/>
      <c r="O16" s="11"/>
      <c r="P16" s="11"/>
    </row>
    <row r="17" spans="1:16" ht="13.35" customHeight="1" x14ac:dyDescent="0.25">
      <c r="A17" s="11"/>
      <c r="B17" s="11"/>
      <c r="D17" s="28"/>
      <c r="E17" s="380"/>
      <c r="F17" s="380"/>
      <c r="G17" s="380"/>
      <c r="H17" s="380"/>
      <c r="I17" s="380"/>
      <c r="J17" s="380"/>
      <c r="K17" s="380"/>
      <c r="L17" s="380"/>
      <c r="M17" s="380"/>
      <c r="N17" s="30"/>
      <c r="O17" s="11"/>
      <c r="P17" s="11"/>
    </row>
    <row r="18" spans="1:16" ht="20.100000000000001" customHeight="1" x14ac:dyDescent="0.25">
      <c r="A18" s="11"/>
      <c r="B18" s="11"/>
      <c r="D18" s="28"/>
      <c r="E18" s="380"/>
      <c r="F18" s="380"/>
      <c r="G18" s="380"/>
      <c r="H18" s="380"/>
      <c r="I18" s="380"/>
      <c r="J18" s="380"/>
      <c r="K18" s="380"/>
      <c r="L18" s="380"/>
      <c r="M18" s="380"/>
      <c r="N18" s="30"/>
      <c r="O18" s="11"/>
      <c r="P18" s="11"/>
    </row>
    <row r="19" spans="1:16" ht="6" customHeight="1" x14ac:dyDescent="0.25">
      <c r="A19" s="11"/>
      <c r="B19" s="11"/>
      <c r="D19" s="28"/>
      <c r="E19" s="28"/>
      <c r="F19" s="21"/>
      <c r="G19" s="21"/>
      <c r="H19" s="21"/>
      <c r="I19" s="21"/>
      <c r="J19" s="21"/>
      <c r="K19" s="21"/>
      <c r="L19" s="21"/>
      <c r="M19" s="21"/>
      <c r="O19" s="11"/>
      <c r="P19" s="11"/>
    </row>
    <row r="20" spans="1:16" ht="15.6" customHeight="1" x14ac:dyDescent="0.25">
      <c r="A20" s="11"/>
      <c r="B20" s="11"/>
      <c r="D20" s="29"/>
      <c r="E20" s="380" t="s">
        <v>146</v>
      </c>
      <c r="F20" s="380"/>
      <c r="G20" s="380"/>
      <c r="H20" s="380"/>
      <c r="I20" s="380"/>
      <c r="J20" s="380"/>
      <c r="K20" s="380"/>
      <c r="L20" s="380"/>
      <c r="M20" s="380"/>
      <c r="N20" s="24"/>
      <c r="O20" s="11"/>
      <c r="P20" s="11"/>
    </row>
    <row r="21" spans="1:16" ht="17.100000000000001" customHeight="1" x14ac:dyDescent="0.25">
      <c r="A21" s="11"/>
      <c r="B21" s="11"/>
      <c r="D21" s="28"/>
      <c r="E21" s="380"/>
      <c r="F21" s="380"/>
      <c r="G21" s="380"/>
      <c r="H21" s="380"/>
      <c r="I21" s="380"/>
      <c r="J21" s="380"/>
      <c r="K21" s="380"/>
      <c r="L21" s="380"/>
      <c r="M21" s="380"/>
      <c r="N21" s="24"/>
      <c r="O21" s="11"/>
      <c r="P21" s="11"/>
    </row>
    <row r="22" spans="1:16" ht="6" customHeight="1" x14ac:dyDescent="0.25">
      <c r="A22" s="11"/>
      <c r="B22" s="11"/>
      <c r="D22" s="28"/>
      <c r="E22" s="28"/>
      <c r="F22" s="21"/>
      <c r="G22" s="21"/>
      <c r="H22" s="21"/>
      <c r="I22" s="21"/>
      <c r="J22" s="21"/>
      <c r="K22" s="21"/>
      <c r="L22" s="21"/>
      <c r="M22" s="21"/>
      <c r="O22" s="11"/>
      <c r="P22" s="11"/>
    </row>
    <row r="23" spans="1:16" x14ac:dyDescent="0.25">
      <c r="A23" s="11"/>
      <c r="B23" s="11"/>
      <c r="D23" s="27"/>
      <c r="E23" s="401" t="s">
        <v>170</v>
      </c>
      <c r="F23" s="402"/>
      <c r="G23" s="402"/>
      <c r="H23" s="402"/>
      <c r="I23" s="402"/>
      <c r="J23" s="402"/>
      <c r="K23" s="402"/>
      <c r="L23" s="402"/>
      <c r="M23" s="402"/>
      <c r="N23" s="24"/>
      <c r="O23" s="11"/>
      <c r="P23" s="11"/>
    </row>
    <row r="24" spans="1:16" ht="10.35" customHeight="1" x14ac:dyDescent="0.25">
      <c r="A24" s="11"/>
      <c r="B24" s="11"/>
      <c r="D24" s="21"/>
      <c r="E24" s="21"/>
      <c r="F24" s="21"/>
      <c r="G24" s="21"/>
      <c r="H24" s="21"/>
      <c r="I24" s="21"/>
      <c r="J24" s="21"/>
      <c r="K24" s="21"/>
      <c r="L24" s="21"/>
      <c r="M24" s="21"/>
      <c r="O24" s="11"/>
      <c r="P24" s="11"/>
    </row>
    <row r="25" spans="1:16" ht="79.95" customHeight="1" x14ac:dyDescent="0.25">
      <c r="A25" s="11"/>
      <c r="B25" s="11"/>
      <c r="D25" s="381" t="s">
        <v>4</v>
      </c>
      <c r="E25" s="381"/>
      <c r="F25" s="381"/>
      <c r="G25" s="382" t="s">
        <v>167</v>
      </c>
      <c r="H25" s="382"/>
      <c r="I25" s="382"/>
      <c r="J25" s="382"/>
      <c r="K25" s="382"/>
      <c r="L25" s="382"/>
      <c r="M25" s="382"/>
      <c r="N25" s="24"/>
      <c r="O25" s="11"/>
      <c r="P25" s="11"/>
    </row>
    <row r="26" spans="1:16" ht="8.1" customHeight="1" x14ac:dyDescent="0.25">
      <c r="A26" s="11"/>
      <c r="B26" s="11"/>
      <c r="D26" s="21"/>
      <c r="E26" s="21"/>
      <c r="F26" s="21"/>
      <c r="G26" s="21"/>
      <c r="H26" s="21"/>
      <c r="I26" s="21"/>
      <c r="J26" s="21"/>
      <c r="K26" s="21"/>
      <c r="L26" s="21"/>
      <c r="M26" s="21"/>
      <c r="O26" s="11"/>
      <c r="P26" s="11"/>
    </row>
    <row r="27" spans="1:16" ht="250.95" customHeight="1" x14ac:dyDescent="0.25">
      <c r="A27" s="11"/>
      <c r="B27" s="11"/>
      <c r="D27" s="381" t="s">
        <v>5</v>
      </c>
      <c r="E27" s="381"/>
      <c r="F27" s="381"/>
      <c r="G27" s="382" t="s">
        <v>168</v>
      </c>
      <c r="H27" s="382"/>
      <c r="I27" s="382"/>
      <c r="J27" s="382"/>
      <c r="K27" s="382"/>
      <c r="L27" s="382"/>
      <c r="M27" s="382"/>
      <c r="O27" s="11"/>
      <c r="P27" s="11"/>
    </row>
    <row r="28" spans="1:16" ht="8.1" customHeight="1" x14ac:dyDescent="0.25">
      <c r="A28" s="11"/>
      <c r="B28" s="11"/>
      <c r="D28" s="21"/>
      <c r="E28" s="21"/>
      <c r="F28" s="21"/>
      <c r="G28" s="21"/>
      <c r="H28" s="21"/>
      <c r="I28" s="21"/>
      <c r="J28" s="21"/>
      <c r="K28" s="21"/>
      <c r="L28" s="21"/>
      <c r="M28" s="21"/>
      <c r="O28" s="11"/>
      <c r="P28" s="11"/>
    </row>
    <row r="29" spans="1:16" ht="223.2" customHeight="1" x14ac:dyDescent="0.25">
      <c r="A29" s="11"/>
      <c r="B29" s="11"/>
      <c r="D29" s="381" t="s">
        <v>6</v>
      </c>
      <c r="E29" s="381"/>
      <c r="F29" s="381"/>
      <c r="G29" s="382" t="s">
        <v>172</v>
      </c>
      <c r="H29" s="382"/>
      <c r="I29" s="382"/>
      <c r="J29" s="382"/>
      <c r="K29" s="382"/>
      <c r="L29" s="382"/>
      <c r="M29" s="382"/>
      <c r="N29" s="24"/>
      <c r="O29" s="11"/>
      <c r="P29" s="11"/>
    </row>
    <row r="30" spans="1:16" ht="24.6" customHeight="1" x14ac:dyDescent="0.25">
      <c r="A30" s="11"/>
      <c r="B30" s="11"/>
      <c r="D30" s="394" t="s">
        <v>7</v>
      </c>
      <c r="E30" s="395"/>
      <c r="F30" s="395"/>
      <c r="G30" s="395"/>
      <c r="H30" s="395"/>
      <c r="I30" s="395"/>
      <c r="J30" s="395"/>
      <c r="K30" s="395"/>
      <c r="L30" s="395"/>
      <c r="M30" s="396"/>
      <c r="N30" s="26"/>
      <c r="O30" s="11"/>
      <c r="P30" s="11"/>
    </row>
    <row r="31" spans="1:16" ht="32.1" customHeight="1" x14ac:dyDescent="0.25">
      <c r="A31" s="11"/>
      <c r="B31" s="11"/>
      <c r="D31" s="390" t="s">
        <v>8</v>
      </c>
      <c r="E31" s="391"/>
      <c r="F31" s="391"/>
      <c r="G31" s="397" t="s">
        <v>8</v>
      </c>
      <c r="H31" s="397"/>
      <c r="I31" s="397"/>
      <c r="J31" s="397"/>
      <c r="K31" s="397"/>
      <c r="L31" s="397"/>
      <c r="M31" s="398"/>
      <c r="N31" s="25"/>
      <c r="O31" s="11"/>
      <c r="P31" s="11"/>
    </row>
    <row r="32" spans="1:16" ht="27.6" customHeight="1" x14ac:dyDescent="0.25">
      <c r="A32" s="11"/>
      <c r="B32" s="11"/>
      <c r="D32" s="390" t="s">
        <v>9</v>
      </c>
      <c r="E32" s="391"/>
      <c r="F32" s="391"/>
      <c r="G32" s="397" t="s">
        <v>10</v>
      </c>
      <c r="H32" s="397"/>
      <c r="I32" s="397"/>
      <c r="J32" s="397"/>
      <c r="K32" s="397"/>
      <c r="L32" s="397"/>
      <c r="M32" s="398"/>
      <c r="N32" s="24"/>
      <c r="O32" s="11"/>
      <c r="P32" s="11"/>
    </row>
    <row r="33" spans="1:16" ht="29.85" customHeight="1" x14ac:dyDescent="0.25">
      <c r="A33" s="11"/>
      <c r="B33" s="11"/>
      <c r="D33" s="392" t="s">
        <v>11</v>
      </c>
      <c r="E33" s="393"/>
      <c r="F33" s="393"/>
      <c r="G33" s="399" t="s">
        <v>12</v>
      </c>
      <c r="H33" s="399"/>
      <c r="I33" s="399"/>
      <c r="J33" s="399"/>
      <c r="K33" s="399"/>
      <c r="L33" s="399"/>
      <c r="M33" s="400"/>
      <c r="N33" s="24"/>
      <c r="O33" s="11"/>
      <c r="P33" s="11"/>
    </row>
    <row r="34" spans="1:16" ht="8.1" customHeight="1" x14ac:dyDescent="0.25">
      <c r="A34" s="11"/>
      <c r="B34" s="11"/>
      <c r="D34" s="21"/>
      <c r="E34" s="21"/>
      <c r="F34" s="21"/>
      <c r="G34" s="21"/>
      <c r="H34" s="21"/>
      <c r="I34" s="21"/>
      <c r="J34" s="21"/>
      <c r="K34" s="21"/>
      <c r="L34" s="21"/>
      <c r="M34" s="21"/>
      <c r="O34" s="11"/>
      <c r="P34" s="11"/>
    </row>
    <row r="35" spans="1:16" ht="155.4" customHeight="1" x14ac:dyDescent="0.25">
      <c r="A35" s="11"/>
      <c r="B35" s="11"/>
      <c r="D35" s="386" t="s">
        <v>13</v>
      </c>
      <c r="E35" s="386"/>
      <c r="F35" s="386"/>
      <c r="G35" s="387" t="s">
        <v>147</v>
      </c>
      <c r="H35" s="388"/>
      <c r="I35" s="388"/>
      <c r="J35" s="388"/>
      <c r="K35" s="388"/>
      <c r="L35" s="388"/>
      <c r="M35" s="389"/>
      <c r="N35" s="24"/>
      <c r="O35" s="11"/>
      <c r="P35" s="11"/>
    </row>
    <row r="36" spans="1:16" ht="18" customHeight="1" x14ac:dyDescent="0.25">
      <c r="A36" s="11"/>
      <c r="B36" s="11"/>
      <c r="D36" s="383" t="s">
        <v>7</v>
      </c>
      <c r="E36" s="384"/>
      <c r="F36" s="384"/>
      <c r="G36" s="384"/>
      <c r="H36" s="384"/>
      <c r="I36" s="384"/>
      <c r="J36" s="384"/>
      <c r="K36" s="384"/>
      <c r="L36" s="384"/>
      <c r="M36" s="385"/>
      <c r="N36" s="23"/>
      <c r="O36" s="11"/>
      <c r="P36" s="11"/>
    </row>
    <row r="37" spans="1:16" ht="55.5" customHeight="1" x14ac:dyDescent="0.25">
      <c r="A37" s="11"/>
      <c r="B37" s="11"/>
      <c r="D37" s="392" t="s">
        <v>14</v>
      </c>
      <c r="E37" s="393"/>
      <c r="F37" s="393"/>
      <c r="G37" s="403" t="s">
        <v>145</v>
      </c>
      <c r="H37" s="403"/>
      <c r="I37" s="403"/>
      <c r="J37" s="403"/>
      <c r="K37" s="403"/>
      <c r="L37" s="403"/>
      <c r="M37" s="404"/>
      <c r="N37" s="22"/>
      <c r="O37" s="11"/>
      <c r="P37" s="11"/>
    </row>
    <row r="38" spans="1:16" ht="8.1" customHeight="1" x14ac:dyDescent="0.25">
      <c r="A38" s="11"/>
      <c r="B38" s="11"/>
      <c r="D38" s="21"/>
      <c r="E38" s="21"/>
      <c r="F38" s="21"/>
      <c r="G38" s="21"/>
      <c r="H38" s="21"/>
      <c r="I38" s="21"/>
      <c r="J38" s="21"/>
      <c r="K38" s="21"/>
      <c r="L38" s="21"/>
      <c r="M38" s="21"/>
      <c r="O38" s="11"/>
      <c r="P38" s="11"/>
    </row>
    <row r="39" spans="1:16" ht="25.35" customHeight="1" x14ac:dyDescent="0.4">
      <c r="A39" s="11"/>
      <c r="B39" s="11"/>
      <c r="D39" s="409" t="s">
        <v>15</v>
      </c>
      <c r="E39" s="410"/>
      <c r="F39" s="410"/>
      <c r="G39" s="410"/>
      <c r="H39" s="410"/>
      <c r="I39" s="410"/>
      <c r="J39" s="410"/>
      <c r="K39" s="410"/>
      <c r="L39" s="410"/>
      <c r="M39" s="411"/>
      <c r="N39" s="13"/>
      <c r="O39" s="11"/>
      <c r="P39" s="11"/>
    </row>
    <row r="40" spans="1:16" ht="8.1" customHeight="1" x14ac:dyDescent="0.25">
      <c r="A40" s="11"/>
      <c r="B40" s="11"/>
      <c r="D40" s="21"/>
      <c r="E40" s="21"/>
      <c r="F40" s="21"/>
      <c r="G40" s="21"/>
      <c r="H40" s="21"/>
      <c r="I40" s="21"/>
      <c r="J40" s="21"/>
      <c r="K40" s="21"/>
      <c r="L40" s="21"/>
      <c r="M40" s="21"/>
      <c r="O40" s="11"/>
      <c r="P40" s="11"/>
    </row>
    <row r="41" spans="1:16" ht="87.6" customHeight="1" x14ac:dyDescent="0.25">
      <c r="A41" s="11"/>
      <c r="B41" s="11"/>
      <c r="D41" s="412" t="s">
        <v>16</v>
      </c>
      <c r="E41" s="413"/>
      <c r="F41" s="413"/>
      <c r="G41" s="413"/>
      <c r="H41" s="413"/>
      <c r="I41" s="413"/>
      <c r="J41" s="413"/>
      <c r="K41" s="413"/>
      <c r="L41" s="413"/>
      <c r="M41" s="414"/>
      <c r="N41" s="16"/>
      <c r="O41" s="11"/>
      <c r="P41" s="11"/>
    </row>
    <row r="42" spans="1:16" ht="8.1" customHeight="1" x14ac:dyDescent="0.25">
      <c r="A42" s="11"/>
      <c r="B42" s="11"/>
      <c r="O42" s="11"/>
      <c r="P42" s="11"/>
    </row>
    <row r="43" spans="1:16" ht="34.35" customHeight="1" x14ac:dyDescent="0.4">
      <c r="A43" s="11"/>
      <c r="B43" s="11"/>
      <c r="C43" s="20"/>
      <c r="D43" s="406" t="s">
        <v>144</v>
      </c>
      <c r="E43" s="406"/>
      <c r="F43" s="406"/>
      <c r="G43" s="406"/>
      <c r="H43" s="406"/>
      <c r="I43" s="406"/>
      <c r="J43" s="406"/>
      <c r="K43" s="406"/>
      <c r="L43" s="406"/>
      <c r="M43" s="406"/>
      <c r="N43" s="19"/>
      <c r="O43" s="11"/>
      <c r="P43" s="11"/>
    </row>
    <row r="44" spans="1:16" ht="7.95" customHeight="1" x14ac:dyDescent="0.25">
      <c r="A44" s="11"/>
      <c r="B44" s="11"/>
      <c r="O44" s="11"/>
      <c r="P44" s="11"/>
    </row>
    <row r="45" spans="1:16" ht="119.25" customHeight="1" x14ac:dyDescent="0.25">
      <c r="A45" s="11"/>
      <c r="B45" s="11"/>
      <c r="D45" s="415" t="s">
        <v>166</v>
      </c>
      <c r="E45" s="415"/>
      <c r="F45" s="415"/>
      <c r="G45" s="415"/>
      <c r="H45" s="415"/>
      <c r="I45" s="415"/>
      <c r="J45" s="415"/>
      <c r="K45" s="415"/>
      <c r="L45" s="415"/>
      <c r="M45" s="415"/>
      <c r="N45" s="16"/>
      <c r="O45" s="11"/>
      <c r="P45" s="11"/>
    </row>
    <row r="46" spans="1:16" ht="8.1" customHeight="1" x14ac:dyDescent="0.25">
      <c r="A46" s="11"/>
      <c r="B46" s="11"/>
      <c r="O46" s="11"/>
      <c r="P46" s="11"/>
    </row>
    <row r="47" spans="1:16" ht="35.1" customHeight="1" x14ac:dyDescent="0.3">
      <c r="A47" s="11"/>
      <c r="B47" s="11"/>
      <c r="C47" s="18"/>
      <c r="D47" s="407" t="s">
        <v>17</v>
      </c>
      <c r="E47" s="407"/>
      <c r="F47" s="407"/>
      <c r="G47" s="407"/>
      <c r="H47" s="407"/>
      <c r="I47" s="407"/>
      <c r="J47" s="407"/>
      <c r="K47" s="407"/>
      <c r="L47" s="407"/>
      <c r="M47" s="407"/>
      <c r="N47" s="17"/>
      <c r="O47" s="11"/>
      <c r="P47" s="11"/>
    </row>
    <row r="48" spans="1:16" ht="8.1" customHeight="1" x14ac:dyDescent="0.3">
      <c r="A48" s="11"/>
      <c r="B48" s="11"/>
      <c r="D48" s="13"/>
      <c r="E48" s="13"/>
      <c r="F48" s="13"/>
      <c r="G48" s="13"/>
      <c r="H48" s="13"/>
      <c r="I48" s="13"/>
      <c r="J48" s="13"/>
      <c r="K48" s="13"/>
      <c r="L48" s="13"/>
      <c r="M48" s="13"/>
      <c r="N48" s="13"/>
      <c r="O48" s="11"/>
      <c r="P48" s="11"/>
    </row>
    <row r="49" spans="1:16" ht="107.4" customHeight="1" x14ac:dyDescent="0.25">
      <c r="A49" s="11"/>
      <c r="B49" s="11"/>
      <c r="D49" s="416" t="s">
        <v>165</v>
      </c>
      <c r="E49" s="416"/>
      <c r="F49" s="416"/>
      <c r="G49" s="416"/>
      <c r="H49" s="416"/>
      <c r="I49" s="416"/>
      <c r="J49" s="416"/>
      <c r="K49" s="416"/>
      <c r="L49" s="416"/>
      <c r="M49" s="416"/>
      <c r="N49" s="16"/>
      <c r="O49" s="11"/>
      <c r="P49" s="11"/>
    </row>
    <row r="50" spans="1:16" ht="8.1" customHeight="1" x14ac:dyDescent="0.3">
      <c r="A50" s="11"/>
      <c r="B50" s="11"/>
      <c r="D50" s="13"/>
      <c r="E50" s="13"/>
      <c r="F50" s="13"/>
      <c r="G50" s="13"/>
      <c r="H50" s="13"/>
      <c r="I50" s="13"/>
      <c r="J50" s="13"/>
      <c r="K50" s="13"/>
      <c r="L50" s="13"/>
      <c r="M50" s="13"/>
      <c r="N50" s="13"/>
      <c r="O50" s="11"/>
      <c r="P50" s="11"/>
    </row>
    <row r="51" spans="1:16" ht="25.35" customHeight="1" x14ac:dyDescent="0.3">
      <c r="A51" s="11"/>
      <c r="B51" s="11"/>
      <c r="C51" s="15"/>
      <c r="D51" s="408" t="s">
        <v>18</v>
      </c>
      <c r="E51" s="408"/>
      <c r="F51" s="408"/>
      <c r="G51" s="408"/>
      <c r="H51" s="408"/>
      <c r="I51" s="408"/>
      <c r="J51" s="408"/>
      <c r="K51" s="408"/>
      <c r="L51" s="408"/>
      <c r="M51" s="408"/>
      <c r="N51" s="14"/>
      <c r="O51" s="11"/>
      <c r="P51" s="11"/>
    </row>
    <row r="52" spans="1:16" ht="8.1" customHeight="1" x14ac:dyDescent="0.3">
      <c r="A52" s="11"/>
      <c r="B52" s="11"/>
      <c r="D52" s="13"/>
      <c r="E52" s="13"/>
      <c r="F52" s="13"/>
      <c r="G52" s="13"/>
      <c r="H52" s="13"/>
      <c r="I52" s="13"/>
      <c r="J52" s="13"/>
      <c r="K52" s="13"/>
      <c r="L52" s="13"/>
      <c r="M52" s="13"/>
      <c r="N52" s="13"/>
      <c r="O52" s="11"/>
      <c r="P52" s="11"/>
    </row>
    <row r="53" spans="1:16" ht="364.5" customHeight="1" x14ac:dyDescent="0.25">
      <c r="A53" s="11"/>
      <c r="B53" s="11"/>
      <c r="D53" s="405" t="s">
        <v>164</v>
      </c>
      <c r="E53" s="405"/>
      <c r="F53" s="405"/>
      <c r="G53" s="405"/>
      <c r="H53" s="405"/>
      <c r="I53" s="405"/>
      <c r="J53" s="405"/>
      <c r="K53" s="405"/>
      <c r="L53" s="405"/>
      <c r="M53" s="405"/>
      <c r="N53" s="12"/>
      <c r="O53" s="11"/>
      <c r="P53" s="11"/>
    </row>
    <row r="54" spans="1:16" ht="8.1" customHeight="1" x14ac:dyDescent="0.25">
      <c r="A54" s="11"/>
      <c r="B54" s="11"/>
      <c r="C54" s="11"/>
      <c r="D54" s="11"/>
      <c r="E54" s="11"/>
      <c r="F54" s="11"/>
      <c r="G54" s="11"/>
      <c r="H54" s="11"/>
      <c r="I54" s="11"/>
      <c r="J54" s="11"/>
      <c r="K54" s="11"/>
      <c r="L54" s="11"/>
      <c r="M54" s="11"/>
      <c r="N54" s="11"/>
      <c r="O54" s="11"/>
      <c r="P54" s="11"/>
    </row>
    <row r="56" spans="1:16" x14ac:dyDescent="0.25">
      <c r="D56" s="5"/>
    </row>
    <row r="57" spans="1:16" x14ac:dyDescent="0.25">
      <c r="D57" s="5"/>
    </row>
    <row r="58" spans="1:16" x14ac:dyDescent="0.25">
      <c r="D58" s="5"/>
    </row>
    <row r="59" spans="1:16" x14ac:dyDescent="0.25">
      <c r="D59" s="5"/>
    </row>
  </sheetData>
  <sheetProtection algorithmName="SHA-512" hashValue="aEPHZUeZOj26o+qB5jRZzVbaDZcQdt5ge0Y3JsLbExobGQzgQdQQJ3QrlLEadpsrcG4pMqYtV0e/p9x5F4lnOw==" saltValue="odChajok/xn/UbWTmD8J0A==" spinCount="100000" sheet="1" formatRows="0" insertHyperlinks="0"/>
  <mergeCells count="38">
    <mergeCell ref="D53:M53"/>
    <mergeCell ref="D43:M43"/>
    <mergeCell ref="D47:M47"/>
    <mergeCell ref="D51:M51"/>
    <mergeCell ref="D39:M39"/>
    <mergeCell ref="D41:M41"/>
    <mergeCell ref="D45:M45"/>
    <mergeCell ref="D49:M49"/>
    <mergeCell ref="G32:M32"/>
    <mergeCell ref="G33:M33"/>
    <mergeCell ref="E23:M23"/>
    <mergeCell ref="D37:F37"/>
    <mergeCell ref="G37:M37"/>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 ref="M3:N3"/>
  </mergeCells>
  <hyperlinks>
    <hyperlink ref="G33" r:id="rId1" xr:uid="{9CFD4863-84E7-45E6-922B-FA93187EE8A8}"/>
    <hyperlink ref="G37:M37" r:id="rId2" display="Immunization Delivery Cost Catalogue" xr:uid="{D2B2CB76-C2FC-4258-8B75-2E768C9ADFA8}"/>
    <hyperlink ref="G31:M31" r:id="rId3" display="Gavi detailed product profiles" xr:uid="{772AFFCE-36CF-4D8C-A794-397A818215F1}"/>
    <hyperlink ref="G32" r:id="rId4" xr:uid="{CF158BF2-555A-421E-95AD-3B74EC09F362}"/>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Q178"/>
  <sheetViews>
    <sheetView zoomScaleNormal="100" workbookViewId="0"/>
  </sheetViews>
  <sheetFormatPr defaultColWidth="8.6640625" defaultRowHeight="13.8" outlineLevelRow="1" x14ac:dyDescent="0.3"/>
  <cols>
    <col min="1" max="1" width="1.6640625" style="46" customWidth="1"/>
    <col min="2" max="4" width="3.33203125" style="46" customWidth="1"/>
    <col min="5" max="5" width="4" style="46" customWidth="1"/>
    <col min="6" max="6" width="43.44140625" style="46" customWidth="1"/>
    <col min="7" max="7" width="22.6640625" style="46" customWidth="1"/>
    <col min="8" max="8" width="1.44140625" style="46" customWidth="1"/>
    <col min="9" max="9" width="22.6640625" style="46" customWidth="1"/>
    <col min="10" max="10" width="1.44140625" style="46" customWidth="1"/>
    <col min="11" max="11" width="22.6640625" style="46" customWidth="1"/>
    <col min="12" max="12" width="2.33203125" style="46" customWidth="1"/>
    <col min="13" max="13" width="22.6640625" style="46" customWidth="1"/>
    <col min="14" max="14" width="4.33203125" style="46" customWidth="1"/>
    <col min="15" max="15" width="4.44140625" style="46" customWidth="1"/>
    <col min="16" max="16" width="4.6640625" style="46" customWidth="1"/>
    <col min="17" max="16384" width="8.6640625" style="46"/>
  </cols>
  <sheetData>
    <row r="1" spans="1:16" ht="8.1" customHeight="1" x14ac:dyDescent="0.3">
      <c r="B1" s="277"/>
      <c r="C1" s="277"/>
      <c r="D1" s="277"/>
      <c r="E1" s="277"/>
      <c r="F1" s="277"/>
      <c r="G1" s="277"/>
      <c r="H1" s="277"/>
      <c r="I1" s="277"/>
      <c r="J1" s="277"/>
      <c r="K1" s="277"/>
      <c r="L1" s="277"/>
      <c r="M1" s="277"/>
      <c r="N1" s="277"/>
      <c r="O1" s="277"/>
    </row>
    <row r="2" spans="1:16" ht="19.350000000000001" customHeight="1" x14ac:dyDescent="0.3">
      <c r="B2" s="440" t="s">
        <v>130</v>
      </c>
      <c r="C2" s="440"/>
      <c r="D2" s="440"/>
      <c r="E2" s="440"/>
      <c r="F2" s="440"/>
      <c r="G2" s="440"/>
      <c r="H2" s="440"/>
      <c r="I2" s="440"/>
      <c r="J2" s="440"/>
      <c r="K2" s="440"/>
      <c r="L2" s="440"/>
      <c r="M2" s="440"/>
      <c r="N2" s="440"/>
      <c r="O2" s="440"/>
    </row>
    <row r="3" spans="1:16" ht="14.85" customHeight="1" x14ac:dyDescent="0.3">
      <c r="A3" s="177"/>
      <c r="B3" s="176"/>
      <c r="C3" s="176"/>
      <c r="D3" s="176"/>
      <c r="E3" s="51"/>
      <c r="F3" s="51"/>
      <c r="G3" s="51"/>
      <c r="H3" s="51"/>
      <c r="I3" s="51"/>
      <c r="J3" s="51"/>
      <c r="K3" s="51"/>
      <c r="L3" s="51"/>
      <c r="M3" s="175"/>
      <c r="N3" s="175"/>
      <c r="O3" s="51"/>
      <c r="P3" s="174"/>
    </row>
    <row r="4" spans="1:16" ht="60" customHeight="1" x14ac:dyDescent="0.3">
      <c r="B4" s="51"/>
      <c r="C4" s="173"/>
      <c r="D4" s="173"/>
      <c r="E4" s="173"/>
      <c r="F4" s="441" t="s">
        <v>148</v>
      </c>
      <c r="G4" s="441"/>
      <c r="H4" s="441"/>
      <c r="I4" s="441"/>
      <c r="J4" s="441"/>
      <c r="K4" s="441"/>
      <c r="L4" s="441"/>
      <c r="M4" s="441"/>
      <c r="N4" s="172"/>
      <c r="O4" s="170"/>
      <c r="P4" s="169"/>
    </row>
    <row r="5" spans="1:16" ht="8.1" customHeight="1" x14ac:dyDescent="0.3">
      <c r="B5" s="51"/>
      <c r="C5" s="51"/>
      <c r="D5" s="51"/>
      <c r="E5" s="51"/>
      <c r="F5" s="171"/>
      <c r="G5" s="170"/>
      <c r="H5" s="170"/>
      <c r="I5" s="51"/>
      <c r="J5" s="170"/>
      <c r="K5" s="51"/>
      <c r="L5" s="51"/>
      <c r="M5" s="51"/>
      <c r="N5" s="51"/>
      <c r="O5" s="170"/>
      <c r="P5" s="169"/>
    </row>
    <row r="6" spans="1:16" ht="46.35" customHeight="1" x14ac:dyDescent="0.3">
      <c r="B6" s="51"/>
      <c r="C6" s="51"/>
      <c r="D6" s="326"/>
      <c r="E6" s="326"/>
      <c r="F6" s="425" t="s">
        <v>4</v>
      </c>
      <c r="G6" s="425"/>
      <c r="H6" s="425"/>
      <c r="I6" s="425"/>
      <c r="J6" s="425"/>
      <c r="K6" s="425"/>
      <c r="L6" s="425"/>
      <c r="M6" s="425"/>
      <c r="N6" s="86"/>
      <c r="O6" s="156"/>
      <c r="P6" s="166"/>
    </row>
    <row r="7" spans="1:16" ht="8.1" customHeight="1" x14ac:dyDescent="0.3">
      <c r="B7" s="51"/>
      <c r="C7" s="51"/>
      <c r="D7" s="51"/>
      <c r="E7" s="51"/>
      <c r="F7" s="168"/>
      <c r="G7" s="168"/>
      <c r="H7" s="168"/>
      <c r="I7" s="168"/>
      <c r="J7" s="168"/>
      <c r="K7" s="168"/>
      <c r="L7" s="167"/>
      <c r="M7" s="156"/>
      <c r="N7" s="156"/>
      <c r="O7" s="156"/>
      <c r="P7" s="166"/>
    </row>
    <row r="8" spans="1:16" ht="42" customHeight="1" x14ac:dyDescent="0.3">
      <c r="B8" s="51"/>
      <c r="C8" s="51"/>
      <c r="D8" s="328"/>
      <c r="E8" s="327"/>
      <c r="F8" s="324" t="s">
        <v>19</v>
      </c>
      <c r="G8" s="165">
        <v>2026</v>
      </c>
      <c r="H8" s="164"/>
      <c r="I8" s="442" t="s">
        <v>20</v>
      </c>
      <c r="J8" s="442"/>
      <c r="K8" s="442"/>
      <c r="L8" s="442"/>
      <c r="M8" s="443"/>
      <c r="N8" s="163"/>
      <c r="O8" s="156"/>
      <c r="P8" s="162"/>
    </row>
    <row r="9" spans="1:16" ht="42" customHeight="1" x14ac:dyDescent="0.3">
      <c r="B9" s="51"/>
      <c r="C9" s="51"/>
      <c r="D9" s="328"/>
      <c r="E9" s="327"/>
      <c r="F9" s="148" t="s">
        <v>149</v>
      </c>
      <c r="G9" s="161">
        <v>100000</v>
      </c>
      <c r="H9" s="160"/>
      <c r="I9" s="447" t="s">
        <v>21</v>
      </c>
      <c r="J9" s="447"/>
      <c r="K9" s="447"/>
      <c r="L9" s="447"/>
      <c r="M9" s="448"/>
      <c r="N9" s="157"/>
      <c r="O9" s="156"/>
      <c r="P9" s="159"/>
    </row>
    <row r="10" spans="1:16" ht="42" customHeight="1" x14ac:dyDescent="0.3">
      <c r="B10" s="51"/>
      <c r="C10" s="51"/>
      <c r="D10" s="328"/>
      <c r="E10" s="327"/>
      <c r="F10" s="148" t="s">
        <v>134</v>
      </c>
      <c r="G10" s="161">
        <v>400000</v>
      </c>
      <c r="H10" s="160"/>
      <c r="I10" s="287" t="s">
        <v>22</v>
      </c>
      <c r="J10" s="287"/>
      <c r="K10" s="287"/>
      <c r="L10" s="287"/>
      <c r="M10" s="288"/>
      <c r="N10" s="157"/>
      <c r="O10" s="156"/>
      <c r="P10" s="159"/>
    </row>
    <row r="11" spans="1:16" ht="42" customHeight="1" x14ac:dyDescent="0.3">
      <c r="B11" s="51"/>
      <c r="C11" s="51"/>
      <c r="D11" s="330"/>
      <c r="E11" s="331"/>
      <c r="F11" s="332" t="s">
        <v>23</v>
      </c>
      <c r="G11" s="105">
        <v>0.02</v>
      </c>
      <c r="H11" s="158"/>
      <c r="I11" s="447" t="s">
        <v>24</v>
      </c>
      <c r="J11" s="447"/>
      <c r="K11" s="447"/>
      <c r="L11" s="447"/>
      <c r="M11" s="448"/>
      <c r="N11" s="157"/>
      <c r="O11" s="156"/>
      <c r="P11" s="155"/>
    </row>
    <row r="12" spans="1:16" ht="65.400000000000006" customHeight="1" x14ac:dyDescent="0.3">
      <c r="B12" s="51"/>
      <c r="C12" s="51"/>
      <c r="D12" s="333"/>
      <c r="E12" s="335"/>
      <c r="F12" s="336" t="s">
        <v>150</v>
      </c>
      <c r="G12" s="340">
        <f>SUM(G13,G16,G19)</f>
        <v>1</v>
      </c>
      <c r="H12" s="329"/>
      <c r="I12" s="449" t="s">
        <v>25</v>
      </c>
      <c r="J12" s="449"/>
      <c r="K12" s="449"/>
      <c r="L12" s="449"/>
      <c r="M12" s="450"/>
      <c r="N12" s="157"/>
      <c r="O12" s="156"/>
      <c r="P12" s="155"/>
    </row>
    <row r="13" spans="1:16" ht="42" customHeight="1" x14ac:dyDescent="0.3">
      <c r="B13" s="51"/>
      <c r="C13" s="51"/>
      <c r="D13" s="51"/>
      <c r="E13" s="337"/>
      <c r="F13" s="338" t="s">
        <v>151</v>
      </c>
      <c r="G13" s="342">
        <v>0.25</v>
      </c>
      <c r="H13" s="343"/>
      <c r="I13" s="438" t="s">
        <v>26</v>
      </c>
      <c r="J13" s="438"/>
      <c r="K13" s="438"/>
      <c r="L13" s="438"/>
      <c r="M13" s="439"/>
      <c r="N13" s="157"/>
      <c r="O13" s="156"/>
      <c r="P13" s="155"/>
    </row>
    <row r="14" spans="1:16" ht="42" customHeight="1" x14ac:dyDescent="0.3">
      <c r="B14" s="51"/>
      <c r="C14" s="51"/>
      <c r="D14" s="51"/>
      <c r="E14" s="51"/>
      <c r="F14" s="344" t="s">
        <v>152</v>
      </c>
      <c r="G14" s="345">
        <v>0.8</v>
      </c>
      <c r="H14" s="346"/>
      <c r="I14" s="431" t="s">
        <v>27</v>
      </c>
      <c r="J14" s="431"/>
      <c r="K14" s="431"/>
      <c r="L14" s="431"/>
      <c r="M14" s="432"/>
      <c r="N14" s="157"/>
      <c r="O14" s="156"/>
      <c r="P14" s="155"/>
    </row>
    <row r="15" spans="1:16" ht="42" customHeight="1" x14ac:dyDescent="0.3">
      <c r="B15" s="51"/>
      <c r="C15" s="51"/>
      <c r="D15" s="51"/>
      <c r="E15" s="51"/>
      <c r="F15" s="347" t="s">
        <v>153</v>
      </c>
      <c r="G15" s="348">
        <v>0.7</v>
      </c>
      <c r="H15" s="346"/>
      <c r="I15" s="431" t="s">
        <v>27</v>
      </c>
      <c r="J15" s="431"/>
      <c r="K15" s="431"/>
      <c r="L15" s="431"/>
      <c r="M15" s="432"/>
      <c r="N15" s="157"/>
      <c r="O15" s="156"/>
      <c r="P15" s="155"/>
    </row>
    <row r="16" spans="1:16" ht="42" customHeight="1" x14ac:dyDescent="0.3">
      <c r="B16" s="51"/>
      <c r="C16" s="51"/>
      <c r="D16" s="51"/>
      <c r="E16" s="337"/>
      <c r="F16" s="338" t="s">
        <v>154</v>
      </c>
      <c r="G16" s="342">
        <v>0.25</v>
      </c>
      <c r="H16" s="343"/>
      <c r="I16" s="438" t="s">
        <v>26</v>
      </c>
      <c r="J16" s="438"/>
      <c r="K16" s="438"/>
      <c r="L16" s="438"/>
      <c r="M16" s="439"/>
      <c r="N16" s="157"/>
      <c r="O16" s="156"/>
      <c r="P16" s="155"/>
    </row>
    <row r="17" spans="2:16" ht="42" customHeight="1" x14ac:dyDescent="0.3">
      <c r="B17" s="51"/>
      <c r="C17" s="51"/>
      <c r="D17" s="51"/>
      <c r="E17" s="51"/>
      <c r="F17" s="344" t="s">
        <v>155</v>
      </c>
      <c r="G17" s="345">
        <v>0.8</v>
      </c>
      <c r="H17" s="346"/>
      <c r="I17" s="431" t="s">
        <v>27</v>
      </c>
      <c r="J17" s="431"/>
      <c r="K17" s="431"/>
      <c r="L17" s="431"/>
      <c r="M17" s="432"/>
      <c r="N17" s="157"/>
      <c r="O17" s="156"/>
      <c r="P17" s="155"/>
    </row>
    <row r="18" spans="2:16" ht="42" customHeight="1" x14ac:dyDescent="0.3">
      <c r="B18" s="51"/>
      <c r="C18" s="51"/>
      <c r="D18" s="51"/>
      <c r="E18" s="51"/>
      <c r="F18" s="347" t="s">
        <v>156</v>
      </c>
      <c r="G18" s="348">
        <v>0.7</v>
      </c>
      <c r="H18" s="346"/>
      <c r="I18" s="431" t="s">
        <v>27</v>
      </c>
      <c r="J18" s="431"/>
      <c r="K18" s="431"/>
      <c r="L18" s="431"/>
      <c r="M18" s="432"/>
      <c r="N18" s="157"/>
      <c r="O18" s="156"/>
      <c r="P18" s="155"/>
    </row>
    <row r="19" spans="2:16" ht="42" customHeight="1" x14ac:dyDescent="0.3">
      <c r="B19" s="51"/>
      <c r="C19" s="51"/>
      <c r="D19" s="51"/>
      <c r="E19" s="337"/>
      <c r="F19" s="338" t="s">
        <v>157</v>
      </c>
      <c r="G19" s="342">
        <v>0.5</v>
      </c>
      <c r="H19" s="343"/>
      <c r="I19" s="438" t="s">
        <v>26</v>
      </c>
      <c r="J19" s="438"/>
      <c r="K19" s="438"/>
      <c r="L19" s="438"/>
      <c r="M19" s="439"/>
      <c r="N19" s="157"/>
      <c r="O19" s="156"/>
      <c r="P19" s="155"/>
    </row>
    <row r="20" spans="2:16" ht="42" customHeight="1" x14ac:dyDescent="0.3">
      <c r="B20" s="51"/>
      <c r="C20" s="51"/>
      <c r="D20" s="51"/>
      <c r="E20" s="51"/>
      <c r="F20" s="344" t="s">
        <v>158</v>
      </c>
      <c r="G20" s="345">
        <v>0.8</v>
      </c>
      <c r="H20" s="349"/>
      <c r="I20" s="431" t="s">
        <v>27</v>
      </c>
      <c r="J20" s="431"/>
      <c r="K20" s="431"/>
      <c r="L20" s="431"/>
      <c r="M20" s="432"/>
      <c r="N20" s="157"/>
      <c r="O20" s="156"/>
      <c r="P20" s="155"/>
    </row>
    <row r="21" spans="2:16" ht="42" customHeight="1" x14ac:dyDescent="0.3">
      <c r="B21" s="51"/>
      <c r="C21" s="51"/>
      <c r="D21" s="51"/>
      <c r="E21" s="51"/>
      <c r="F21" s="347" t="s">
        <v>159</v>
      </c>
      <c r="G21" s="350">
        <v>0.75</v>
      </c>
      <c r="H21" s="349"/>
      <c r="I21" s="431" t="s">
        <v>27</v>
      </c>
      <c r="J21" s="431"/>
      <c r="K21" s="431"/>
      <c r="L21" s="431"/>
      <c r="M21" s="432"/>
      <c r="N21" s="157"/>
      <c r="O21" s="156"/>
      <c r="P21" s="155"/>
    </row>
    <row r="22" spans="2:16" ht="65.400000000000006" customHeight="1" x14ac:dyDescent="0.3">
      <c r="B22" s="51"/>
      <c r="C22" s="51"/>
      <c r="D22" s="333"/>
      <c r="E22" s="335"/>
      <c r="F22" s="336" t="s">
        <v>28</v>
      </c>
      <c r="G22" s="341">
        <f>SUM(G23,G26,G29)</f>
        <v>1</v>
      </c>
      <c r="H22" s="334"/>
      <c r="I22" s="449" t="s">
        <v>25</v>
      </c>
      <c r="J22" s="449"/>
      <c r="K22" s="449"/>
      <c r="L22" s="449"/>
      <c r="M22" s="450"/>
      <c r="N22" s="157"/>
      <c r="O22" s="156"/>
      <c r="P22" s="155"/>
    </row>
    <row r="23" spans="2:16" ht="42" customHeight="1" x14ac:dyDescent="0.3">
      <c r="B23" s="51"/>
      <c r="C23" s="51"/>
      <c r="D23" s="51"/>
      <c r="E23" s="337"/>
      <c r="F23" s="339" t="s">
        <v>135</v>
      </c>
      <c r="G23" s="352">
        <v>0.9</v>
      </c>
      <c r="H23" s="353"/>
      <c r="I23" s="438" t="s">
        <v>26</v>
      </c>
      <c r="J23" s="438"/>
      <c r="K23" s="438"/>
      <c r="L23" s="438"/>
      <c r="M23" s="439"/>
      <c r="N23" s="157"/>
      <c r="O23" s="156"/>
      <c r="P23" s="155"/>
    </row>
    <row r="24" spans="2:16" ht="42" customHeight="1" x14ac:dyDescent="0.3">
      <c r="B24" s="51"/>
      <c r="C24" s="51"/>
      <c r="D24" s="51"/>
      <c r="E24" s="51"/>
      <c r="F24" s="344" t="s">
        <v>136</v>
      </c>
      <c r="G24" s="350">
        <v>0.9</v>
      </c>
      <c r="H24" s="349"/>
      <c r="I24" s="431" t="s">
        <v>29</v>
      </c>
      <c r="J24" s="431"/>
      <c r="K24" s="431"/>
      <c r="L24" s="431"/>
      <c r="M24" s="432"/>
      <c r="N24" s="157"/>
      <c r="O24" s="156"/>
      <c r="P24" s="155"/>
    </row>
    <row r="25" spans="2:16" ht="42" customHeight="1" x14ac:dyDescent="0.3">
      <c r="B25" s="51"/>
      <c r="C25" s="51"/>
      <c r="D25" s="51"/>
      <c r="E25" s="51"/>
      <c r="F25" s="347" t="s">
        <v>137</v>
      </c>
      <c r="G25" s="350">
        <v>0.8</v>
      </c>
      <c r="H25" s="349"/>
      <c r="I25" s="431" t="s">
        <v>29</v>
      </c>
      <c r="J25" s="431"/>
      <c r="K25" s="431"/>
      <c r="L25" s="431"/>
      <c r="M25" s="432"/>
      <c r="N25" s="157"/>
      <c r="O25" s="156"/>
      <c r="P25" s="155"/>
    </row>
    <row r="26" spans="2:16" ht="42" customHeight="1" x14ac:dyDescent="0.3">
      <c r="B26" s="51"/>
      <c r="C26" s="51"/>
      <c r="D26" s="51"/>
      <c r="E26" s="337"/>
      <c r="F26" s="339" t="s">
        <v>30</v>
      </c>
      <c r="G26" s="352">
        <v>0.1</v>
      </c>
      <c r="H26" s="353"/>
      <c r="I26" s="438" t="s">
        <v>26</v>
      </c>
      <c r="J26" s="438"/>
      <c r="K26" s="438"/>
      <c r="L26" s="438"/>
      <c r="M26" s="439"/>
      <c r="N26" s="157"/>
      <c r="O26" s="156"/>
      <c r="P26" s="155"/>
    </row>
    <row r="27" spans="2:16" ht="42" customHeight="1" x14ac:dyDescent="0.3">
      <c r="B27" s="51"/>
      <c r="C27" s="51"/>
      <c r="D27" s="51"/>
      <c r="E27" s="51"/>
      <c r="F27" s="344" t="s">
        <v>31</v>
      </c>
      <c r="G27" s="350">
        <v>0.9</v>
      </c>
      <c r="H27" s="349"/>
      <c r="I27" s="431" t="s">
        <v>29</v>
      </c>
      <c r="J27" s="431"/>
      <c r="K27" s="431"/>
      <c r="L27" s="431"/>
      <c r="M27" s="432"/>
      <c r="N27" s="157"/>
      <c r="O27" s="156"/>
      <c r="P27" s="155"/>
    </row>
    <row r="28" spans="2:16" ht="42" customHeight="1" x14ac:dyDescent="0.3">
      <c r="B28" s="51"/>
      <c r="C28" s="51"/>
      <c r="D28" s="51"/>
      <c r="E28" s="51"/>
      <c r="F28" s="347" t="s">
        <v>32</v>
      </c>
      <c r="G28" s="350">
        <v>0.8</v>
      </c>
      <c r="H28" s="349"/>
      <c r="I28" s="431" t="s">
        <v>29</v>
      </c>
      <c r="J28" s="431"/>
      <c r="K28" s="431"/>
      <c r="L28" s="431"/>
      <c r="M28" s="432"/>
      <c r="N28" s="157"/>
      <c r="O28" s="156"/>
      <c r="P28" s="155"/>
    </row>
    <row r="29" spans="2:16" ht="42" customHeight="1" x14ac:dyDescent="0.3">
      <c r="B29" s="51"/>
      <c r="C29" s="51"/>
      <c r="D29" s="51"/>
      <c r="E29" s="337"/>
      <c r="F29" s="339" t="s">
        <v>33</v>
      </c>
      <c r="G29" s="352">
        <v>0</v>
      </c>
      <c r="H29" s="353"/>
      <c r="I29" s="438" t="s">
        <v>26</v>
      </c>
      <c r="J29" s="438"/>
      <c r="K29" s="438"/>
      <c r="L29" s="438"/>
      <c r="M29" s="439"/>
      <c r="N29" s="157"/>
      <c r="O29" s="156"/>
      <c r="P29" s="155"/>
    </row>
    <row r="30" spans="2:16" ht="42" customHeight="1" x14ac:dyDescent="0.3">
      <c r="B30" s="51"/>
      <c r="C30" s="51"/>
      <c r="D30" s="51"/>
      <c r="E30" s="51"/>
      <c r="F30" s="344" t="s">
        <v>34</v>
      </c>
      <c r="G30" s="350">
        <v>0</v>
      </c>
      <c r="H30" s="349"/>
      <c r="I30" s="431" t="s">
        <v>29</v>
      </c>
      <c r="J30" s="431"/>
      <c r="K30" s="431"/>
      <c r="L30" s="431"/>
      <c r="M30" s="432"/>
      <c r="N30" s="157"/>
      <c r="O30" s="156"/>
      <c r="P30" s="155"/>
    </row>
    <row r="31" spans="2:16" ht="42" customHeight="1" x14ac:dyDescent="0.3">
      <c r="B31" s="51"/>
      <c r="C31" s="51"/>
      <c r="D31" s="51"/>
      <c r="E31" s="51"/>
      <c r="F31" s="351" t="s">
        <v>35</v>
      </c>
      <c r="G31" s="350">
        <v>0</v>
      </c>
      <c r="H31" s="349"/>
      <c r="I31" s="431" t="s">
        <v>29</v>
      </c>
      <c r="J31" s="431"/>
      <c r="K31" s="431"/>
      <c r="L31" s="431"/>
      <c r="M31" s="432"/>
      <c r="N31" s="157"/>
      <c r="O31" s="156"/>
      <c r="P31" s="155"/>
    </row>
    <row r="32" spans="2:16" ht="14.1" customHeight="1" x14ac:dyDescent="0.3">
      <c r="B32" s="51"/>
      <c r="C32" s="51"/>
      <c r="D32" s="51"/>
      <c r="E32" s="51"/>
      <c r="F32" s="151"/>
      <c r="G32" s="151"/>
      <c r="H32" s="151"/>
      <c r="I32" s="154"/>
      <c r="J32" s="151"/>
      <c r="K32" s="153"/>
      <c r="L32" s="153"/>
      <c r="M32" s="152"/>
      <c r="N32" s="152"/>
      <c r="O32" s="151"/>
      <c r="P32" s="150"/>
    </row>
    <row r="33" spans="2:16" ht="46.35" customHeight="1" x14ac:dyDescent="0.3">
      <c r="B33" s="51"/>
      <c r="C33" s="51"/>
      <c r="D33" s="51"/>
      <c r="E33" s="51"/>
      <c r="F33" s="425" t="s">
        <v>5</v>
      </c>
      <c r="G33" s="425"/>
      <c r="H33" s="425"/>
      <c r="I33" s="425"/>
      <c r="J33" s="425"/>
      <c r="K33" s="425"/>
      <c r="L33" s="425"/>
      <c r="M33" s="425"/>
      <c r="N33" s="152"/>
      <c r="O33" s="151"/>
      <c r="P33" s="150"/>
    </row>
    <row r="34" spans="2:16" ht="8.1" customHeight="1" x14ac:dyDescent="0.3">
      <c r="B34" s="51"/>
      <c r="C34" s="51"/>
      <c r="D34" s="51"/>
      <c r="E34" s="51"/>
      <c r="F34" s="151"/>
      <c r="G34" s="151"/>
      <c r="H34" s="151"/>
      <c r="I34" s="154"/>
      <c r="J34" s="151"/>
      <c r="K34" s="153"/>
      <c r="L34" s="153"/>
      <c r="M34" s="152"/>
      <c r="N34" s="152"/>
      <c r="O34" s="151"/>
      <c r="P34" s="150"/>
    </row>
    <row r="35" spans="2:16" ht="52.5" customHeight="1" x14ac:dyDescent="0.3">
      <c r="B35" s="51"/>
      <c r="C35" s="51"/>
      <c r="D35" s="51"/>
      <c r="E35" s="51"/>
      <c r="F35" s="57" t="s">
        <v>36</v>
      </c>
      <c r="G35" s="266" t="s">
        <v>107</v>
      </c>
      <c r="H35" s="293"/>
      <c r="I35" s="427" t="s">
        <v>138</v>
      </c>
      <c r="J35" s="427"/>
      <c r="K35" s="427"/>
      <c r="L35" s="427"/>
      <c r="M35" s="428"/>
      <c r="N35" s="152"/>
      <c r="O35" s="151"/>
      <c r="P35" s="150"/>
    </row>
    <row r="36" spans="2:16" ht="52.5" customHeight="1" x14ac:dyDescent="0.3">
      <c r="B36" s="51"/>
      <c r="C36" s="51"/>
      <c r="D36" s="51"/>
      <c r="E36" s="51"/>
      <c r="F36" s="57" t="s">
        <v>38</v>
      </c>
      <c r="G36" s="266" t="s">
        <v>108</v>
      </c>
      <c r="H36" s="313"/>
      <c r="I36" s="427" t="s">
        <v>40</v>
      </c>
      <c r="J36" s="427"/>
      <c r="K36" s="427"/>
      <c r="L36" s="427"/>
      <c r="M36" s="428"/>
      <c r="N36" s="152"/>
      <c r="O36" s="151"/>
      <c r="P36" s="150"/>
    </row>
    <row r="37" spans="2:16" ht="107.4" customHeight="1" x14ac:dyDescent="0.3">
      <c r="B37" s="51"/>
      <c r="C37" s="51"/>
      <c r="D37" s="51"/>
      <c r="E37" s="51"/>
      <c r="F37" s="289" t="s">
        <v>41</v>
      </c>
      <c r="G37" s="294">
        <v>3</v>
      </c>
      <c r="H37" s="292"/>
      <c r="I37" s="427" t="s">
        <v>139</v>
      </c>
      <c r="J37" s="427"/>
      <c r="K37" s="427"/>
      <c r="L37" s="427"/>
      <c r="M37" s="428"/>
      <c r="N37" s="152"/>
      <c r="O37" s="151"/>
      <c r="P37" s="150"/>
    </row>
    <row r="38" spans="2:16" ht="8.1" customHeight="1" x14ac:dyDescent="0.3">
      <c r="B38" s="51"/>
      <c r="C38" s="51"/>
      <c r="D38" s="51"/>
      <c r="E38" s="51"/>
      <c r="F38" s="151"/>
      <c r="G38" s="151"/>
      <c r="H38" s="151"/>
      <c r="I38" s="154"/>
      <c r="J38" s="151"/>
      <c r="K38" s="153"/>
      <c r="L38" s="153"/>
      <c r="M38" s="152"/>
      <c r="N38" s="152"/>
      <c r="O38" s="151"/>
      <c r="P38" s="150"/>
    </row>
    <row r="39" spans="2:16" ht="37.200000000000003" customHeight="1" x14ac:dyDescent="0.3">
      <c r="B39" s="51"/>
      <c r="C39" s="51"/>
      <c r="D39" s="51"/>
      <c r="E39" s="51"/>
      <c r="F39" s="444" t="s">
        <v>42</v>
      </c>
      <c r="G39" s="445"/>
      <c r="H39" s="152"/>
      <c r="I39" s="446" t="s">
        <v>174</v>
      </c>
      <c r="J39" s="446"/>
      <c r="K39" s="446"/>
      <c r="L39" s="446"/>
      <c r="M39" s="446"/>
      <c r="N39" s="152"/>
      <c r="O39" s="151"/>
      <c r="P39" s="150"/>
    </row>
    <row r="40" spans="2:16" ht="139.19999999999999" customHeight="1" x14ac:dyDescent="0.3">
      <c r="B40" s="51"/>
      <c r="C40" s="51"/>
      <c r="D40" s="51"/>
      <c r="E40" s="51"/>
      <c r="F40" s="289" t="s">
        <v>43</v>
      </c>
      <c r="G40" s="302">
        <v>0.15</v>
      </c>
      <c r="H40" s="325"/>
      <c r="I40" s="429" t="s">
        <v>140</v>
      </c>
      <c r="J40" s="429"/>
      <c r="K40" s="429"/>
      <c r="L40" s="429"/>
      <c r="M40" s="430"/>
      <c r="N40" s="152"/>
      <c r="O40" s="151"/>
      <c r="P40" s="150"/>
    </row>
    <row r="41" spans="2:16" ht="25.35" customHeight="1" x14ac:dyDescent="0.3">
      <c r="B41" s="51"/>
      <c r="C41" s="51"/>
      <c r="D41" s="51"/>
      <c r="E41" s="51"/>
      <c r="F41" s="267">
        <f>G8</f>
        <v>2026</v>
      </c>
      <c r="G41" s="367">
        <f>IF($G$35="Transición preparatoria",MIN(0.8,G40),IF($G$35="Transición acelerada",_xlfn.XLOOKUP(F41,'Opciones de vacunas'!$E$21:$E$25,'Opciones de vacunas'!$F$21:$F$25),0.04))</f>
        <v>0.04</v>
      </c>
      <c r="H41" s="419"/>
      <c r="I41" s="420"/>
      <c r="J41" s="420"/>
      <c r="K41" s="420"/>
      <c r="L41" s="420"/>
      <c r="M41" s="421"/>
      <c r="N41" s="152"/>
      <c r="O41" s="151"/>
      <c r="P41" s="150"/>
    </row>
    <row r="42" spans="2:16" ht="25.35" customHeight="1" x14ac:dyDescent="0.3">
      <c r="B42" s="51"/>
      <c r="C42" s="51"/>
      <c r="D42" s="51"/>
      <c r="E42" s="51"/>
      <c r="F42" s="267">
        <f>$G$8+1</f>
        <v>2027</v>
      </c>
      <c r="G42" s="367">
        <f>IF($G$35="Transición preparatoria",MIN(0.8,G41*1.15),IF($G$35="Transición acelerada",_xlfn.XLOOKUP(F42,'Opciones de vacunas'!$E$21:$E$25,'Opciones de vacunas'!$F$21:$F$25),0.04))</f>
        <v>0.04</v>
      </c>
      <c r="H42" s="419"/>
      <c r="I42" s="420"/>
      <c r="J42" s="420"/>
      <c r="K42" s="420"/>
      <c r="L42" s="420"/>
      <c r="M42" s="421"/>
      <c r="N42" s="152"/>
      <c r="O42" s="151"/>
      <c r="P42" s="150"/>
    </row>
    <row r="43" spans="2:16" ht="25.35" customHeight="1" x14ac:dyDescent="0.3">
      <c r="B43" s="51"/>
      <c r="C43" s="51"/>
      <c r="D43" s="51"/>
      <c r="E43" s="51"/>
      <c r="F43" s="267">
        <f>$G$8+2</f>
        <v>2028</v>
      </c>
      <c r="G43" s="367">
        <f>IF($G$35="Transición preparatoria",MIN(0.8,G42*1.15),IF($G$35="Transición acelerada",_xlfn.XLOOKUP(F43,'Opciones de vacunas'!$E$21:$E$25,'Opciones de vacunas'!$F$21:$F$25),0.04))</f>
        <v>0.04</v>
      </c>
      <c r="H43" s="419"/>
      <c r="I43" s="420"/>
      <c r="J43" s="420"/>
      <c r="K43" s="420"/>
      <c r="L43" s="420"/>
      <c r="M43" s="421"/>
      <c r="N43" s="152"/>
      <c r="O43" s="151"/>
      <c r="P43" s="150"/>
    </row>
    <row r="44" spans="2:16" ht="25.35" customHeight="1" x14ac:dyDescent="0.3">
      <c r="B44" s="51"/>
      <c r="C44" s="51"/>
      <c r="D44" s="51"/>
      <c r="E44" s="51"/>
      <c r="F44" s="267">
        <f>$G$8+3</f>
        <v>2029</v>
      </c>
      <c r="G44" s="367">
        <f>IF($G$35="Transición preparatoria",MIN(0.8,G43*1.15),IF($G$35="Transición acelerada",_xlfn.XLOOKUP(F44,'Opciones de vacunas'!$E$21:$E$25,'Opciones de vacunas'!$F$21:$F$25),0.04))</f>
        <v>0.04</v>
      </c>
      <c r="H44" s="419"/>
      <c r="I44" s="420"/>
      <c r="J44" s="420"/>
      <c r="K44" s="420"/>
      <c r="L44" s="420"/>
      <c r="M44" s="421"/>
      <c r="N44" s="152"/>
      <c r="O44" s="151"/>
      <c r="P44" s="150"/>
    </row>
    <row r="45" spans="2:16" ht="24.75" customHeight="1" x14ac:dyDescent="0.3">
      <c r="B45" s="51"/>
      <c r="C45" s="51"/>
      <c r="D45" s="51"/>
      <c r="E45" s="51"/>
      <c r="F45" s="267">
        <f>$G$8+4</f>
        <v>2030</v>
      </c>
      <c r="G45" s="367">
        <f>IF($G$35="Transición preparatoria",MIN(0.8,G44*1.15),IF($G$35="Transición acelerada",_xlfn.XLOOKUP(F45,'Opciones de vacunas'!$E$21:$E$25,'Opciones de vacunas'!$F$21:$F$25),0.04))</f>
        <v>0.04</v>
      </c>
      <c r="H45" s="422"/>
      <c r="I45" s="423"/>
      <c r="J45" s="423"/>
      <c r="K45" s="423"/>
      <c r="L45" s="423"/>
      <c r="M45" s="424"/>
      <c r="N45" s="152"/>
      <c r="O45" s="151"/>
      <c r="P45" s="150"/>
    </row>
    <row r="46" spans="2:16" ht="8.1" customHeight="1" x14ac:dyDescent="0.3">
      <c r="B46" s="51"/>
      <c r="C46" s="51"/>
      <c r="D46" s="51"/>
      <c r="E46" s="51"/>
      <c r="F46" s="151"/>
      <c r="G46" s="151"/>
      <c r="H46" s="151"/>
      <c r="I46" s="154"/>
      <c r="J46" s="151"/>
      <c r="K46" s="153"/>
      <c r="L46" s="153"/>
      <c r="M46" s="152"/>
      <c r="N46" s="152"/>
      <c r="O46" s="151"/>
      <c r="P46" s="150"/>
    </row>
    <row r="47" spans="2:16" ht="45" customHeight="1" x14ac:dyDescent="0.3">
      <c r="B47" s="51"/>
      <c r="C47" s="51"/>
      <c r="D47" s="51"/>
      <c r="E47" s="51"/>
      <c r="F47" s="425" t="s">
        <v>6</v>
      </c>
      <c r="G47" s="425"/>
      <c r="H47" s="425"/>
      <c r="I47" s="425"/>
      <c r="J47" s="425"/>
      <c r="K47" s="425"/>
      <c r="L47" s="425"/>
      <c r="M47" s="425"/>
      <c r="N47" s="86"/>
      <c r="O47" s="85"/>
      <c r="P47" s="83"/>
    </row>
    <row r="48" spans="2:16" ht="8.1" customHeight="1" x14ac:dyDescent="0.3">
      <c r="B48" s="51"/>
      <c r="C48" s="51"/>
      <c r="D48" s="51"/>
      <c r="E48" s="51"/>
      <c r="F48" s="51"/>
      <c r="G48" s="51"/>
      <c r="H48" s="51"/>
      <c r="I48" s="51"/>
      <c r="J48" s="51"/>
      <c r="K48" s="51"/>
      <c r="L48" s="51"/>
      <c r="M48" s="51"/>
      <c r="N48" s="51"/>
      <c r="O48" s="51"/>
    </row>
    <row r="49" spans="2:16" ht="58.35" customHeight="1" x14ac:dyDescent="0.3">
      <c r="B49" s="51"/>
      <c r="C49" s="51"/>
      <c r="D49" s="51"/>
      <c r="E49" s="51"/>
      <c r="F49" s="149"/>
      <c r="G49" s="148" t="s">
        <v>44</v>
      </c>
      <c r="H49" s="146"/>
      <c r="I49" s="147" t="s">
        <v>45</v>
      </c>
      <c r="J49" s="146"/>
      <c r="K49" s="147" t="s">
        <v>46</v>
      </c>
      <c r="L49" s="146"/>
      <c r="M49" s="57" t="s">
        <v>47</v>
      </c>
      <c r="N49" s="141"/>
      <c r="O49" s="51"/>
    </row>
    <row r="50" spans="2:16" ht="147" customHeight="1" x14ac:dyDescent="0.3">
      <c r="B50" s="51"/>
      <c r="C50" s="51"/>
      <c r="D50" s="51"/>
      <c r="E50" s="51"/>
      <c r="F50" s="145" t="s">
        <v>48</v>
      </c>
      <c r="G50" s="144" t="s">
        <v>49</v>
      </c>
      <c r="H50" s="143"/>
      <c r="I50" s="144" t="s">
        <v>50</v>
      </c>
      <c r="J50" s="143"/>
      <c r="K50" s="144" t="s">
        <v>51</v>
      </c>
      <c r="L50" s="143"/>
      <c r="M50" s="144" t="s">
        <v>52</v>
      </c>
      <c r="N50" s="142"/>
      <c r="O50" s="141"/>
      <c r="P50" s="140"/>
    </row>
    <row r="51" spans="2:16" ht="84.6" customHeight="1" x14ac:dyDescent="0.3">
      <c r="B51" s="51"/>
      <c r="C51" s="51"/>
      <c r="D51" s="51"/>
      <c r="E51" s="51"/>
      <c r="F51" s="268" t="s">
        <v>53</v>
      </c>
      <c r="G51" s="274" t="str">
        <f>VLOOKUP(G50,'Opciones de vacunas'!$A$3:$E$7,5,FALSE)</f>
        <v>Suministro suficiente</v>
      </c>
      <c r="H51" s="275"/>
      <c r="I51" s="274" t="str">
        <f>VLOOKUP(I50,'Opciones de vacunas'!$A$3:$E$7,5,FALSE)</f>
        <v>Pendiente de acuerdo con la División de Suministros de UNICEF</v>
      </c>
      <c r="J51" s="275"/>
      <c r="K51" s="274" t="str">
        <f>VLOOKUP(K50,'Opciones de vacunas'!$A$3:$E$7,5,FALSE)</f>
        <v>Requiere planificación</v>
      </c>
      <c r="L51" s="275"/>
      <c r="M51" s="274" t="str">
        <f>VLOOKUP(M50,'Opciones de vacunas'!$A$3:$E$7,5,FALSE)</f>
        <v>Requiere planificación</v>
      </c>
      <c r="N51" s="142"/>
      <c r="O51" s="141"/>
      <c r="P51" s="140"/>
    </row>
    <row r="52" spans="2:16" ht="8.25" customHeight="1" x14ac:dyDescent="0.3">
      <c r="B52" s="51"/>
      <c r="C52" s="51"/>
      <c r="D52" s="51"/>
      <c r="E52" s="51"/>
      <c r="F52" s="139"/>
      <c r="G52" s="138"/>
      <c r="H52" s="134"/>
      <c r="I52" s="138"/>
      <c r="J52" s="134"/>
      <c r="K52" s="138"/>
      <c r="L52" s="134"/>
      <c r="M52" s="138"/>
      <c r="N52" s="138"/>
      <c r="O52" s="137"/>
      <c r="P52" s="136"/>
    </row>
    <row r="53" spans="2:16" ht="39" customHeight="1" x14ac:dyDescent="0.3">
      <c r="B53" s="51"/>
      <c r="C53" s="51"/>
      <c r="D53" s="51"/>
      <c r="E53" s="51"/>
      <c r="F53" s="268" t="s">
        <v>54</v>
      </c>
      <c r="G53" s="143"/>
      <c r="H53" s="143"/>
      <c r="I53" s="143"/>
      <c r="J53" s="143"/>
      <c r="K53" s="143"/>
      <c r="L53" s="143"/>
      <c r="M53" s="143"/>
      <c r="N53" s="135"/>
      <c r="O53" s="134"/>
      <c r="P53" s="133"/>
    </row>
    <row r="54" spans="2:16" ht="25.35" customHeight="1" x14ac:dyDescent="0.3">
      <c r="B54" s="51"/>
      <c r="C54" s="51"/>
      <c r="D54" s="51"/>
      <c r="E54" s="51"/>
      <c r="F54" s="276">
        <f>F41</f>
        <v>2026</v>
      </c>
      <c r="G54" s="354" cm="1">
        <f t="array" ref="G54">INDEX('Precios de vacunas'!$C$1:$C$70,MATCH(1,(G50='Precios de vacunas'!$A$1:$A$70)*(F54='Precios de vacunas'!$B$1:$B$70),0))</f>
        <v>2.9</v>
      </c>
      <c r="H54" s="261"/>
      <c r="I54" s="354" cm="1">
        <f t="array" ref="I54">INDEX('Precios de vacunas'!$C$1:$C$70,MATCH(1,(I50='Precios de vacunas'!$A$1:$A$70)*(F54='Precios de vacunas'!$B$1:$B$70),0))</f>
        <v>2.8</v>
      </c>
      <c r="J54" s="261"/>
      <c r="K54" s="354" cm="1">
        <f t="array" ref="K54">INDEX('Precios de vacunas'!$C$1:$C$70,MATCH(1,(K50='Precios de vacunas'!$A$1:$A$70)*(F54='Precios de vacunas'!$B$1:$B$70),0))</f>
        <v>5.18</v>
      </c>
      <c r="L54" s="261"/>
      <c r="M54" s="354" cm="1">
        <f t="array" ref="M54">INDEX('Precios de vacunas'!$C$1:$C$70,MATCH(1,(M50='Precios de vacunas'!$A$1:$A$70)*(F54='Precios de vacunas'!$B$1:$B$70),0))</f>
        <v>4.5</v>
      </c>
      <c r="N54" s="135"/>
      <c r="O54" s="134"/>
      <c r="P54" s="133"/>
    </row>
    <row r="55" spans="2:16" ht="25.35" customHeight="1" x14ac:dyDescent="0.3">
      <c r="B55" s="51"/>
      <c r="C55" s="51"/>
      <c r="D55" s="51"/>
      <c r="E55" s="51"/>
      <c r="F55" s="276">
        <f>F42</f>
        <v>2027</v>
      </c>
      <c r="G55" s="354" cm="1">
        <f t="array" ref="G55">INDEX('Precios de vacunas'!$C$1:$C$70,MATCH(1,(G50='Precios de vacunas'!$A$1:$A$70)*(F55='Precios de vacunas'!$B$1:$B$70),0))</f>
        <v>2.9</v>
      </c>
      <c r="H55" s="261"/>
      <c r="I55" s="354" cm="1">
        <f t="array" ref="I55">INDEX('Precios de vacunas'!$C$1:$C$70,MATCH(1,(I50='Precios de vacunas'!$A$1:$A$70)*(F55='Precios de vacunas'!$B$1:$B$70),0))</f>
        <v>2.8</v>
      </c>
      <c r="J55" s="261"/>
      <c r="K55" s="354" cm="1">
        <f t="array" ref="K55">INDEX('Precios de vacunas'!$C$1:$C$70,MATCH(1,(K50='Precios de vacunas'!$A$1:$A$70)*(F55='Precios de vacunas'!$B$1:$B$70),0))</f>
        <v>5.18</v>
      </c>
      <c r="L55" s="261"/>
      <c r="M55" s="354" cm="1">
        <f t="array" ref="M55">INDEX('Precios de vacunas'!$C$1:$C$70,MATCH(1,(M50='Precios de vacunas'!$A$1:$A$70)*(F55='Precios de vacunas'!$B$1:$B$70),0))</f>
        <v>4.5</v>
      </c>
      <c r="N55" s="135"/>
      <c r="O55" s="134"/>
      <c r="P55" s="133"/>
    </row>
    <row r="56" spans="2:16" ht="25.35" customHeight="1" x14ac:dyDescent="0.3">
      <c r="B56" s="51"/>
      <c r="C56" s="51"/>
      <c r="D56" s="51"/>
      <c r="E56" s="51"/>
      <c r="F56" s="276">
        <f>F43</f>
        <v>2028</v>
      </c>
      <c r="G56" s="354" cm="1">
        <f t="array" ref="G56">INDEX('Precios de vacunas'!$C$1:$C$70,MATCH(1,(G50='Precios de vacunas'!$A$1:$A$70)*(F56='Precios de vacunas'!$B$1:$B$70),0))</f>
        <v>2.9</v>
      </c>
      <c r="H56" s="261"/>
      <c r="I56" s="354" cm="1">
        <f t="array" ref="I56">INDEX('Precios de vacunas'!$C$1:$C$70,MATCH(1,(I50='Precios de vacunas'!$A$1:$A$70)*(F56='Precios de vacunas'!$B$1:$B$70),0))</f>
        <v>2.8</v>
      </c>
      <c r="J56" s="261"/>
      <c r="K56" s="354" cm="1">
        <f t="array" ref="K56">INDEX('Precios de vacunas'!$C$1:$C$70,MATCH(1,(K50='Precios de vacunas'!$A$1:$A$70)*(F56='Precios de vacunas'!$B$1:$B$70),0))</f>
        <v>5.18</v>
      </c>
      <c r="L56" s="261"/>
      <c r="M56" s="354" cm="1">
        <f t="array" ref="M56">INDEX('Precios de vacunas'!$C$1:$C$70,MATCH(1,(M50='Precios de vacunas'!$A$1:$A$70)*(F56='Precios de vacunas'!$B$1:$B$70),0))</f>
        <v>4.5</v>
      </c>
      <c r="N56" s="135"/>
      <c r="O56" s="134"/>
      <c r="P56" s="133"/>
    </row>
    <row r="57" spans="2:16" ht="25.35" customHeight="1" x14ac:dyDescent="0.3">
      <c r="B57" s="51"/>
      <c r="C57" s="51"/>
      <c r="D57" s="51"/>
      <c r="E57" s="51"/>
      <c r="F57" s="276">
        <f>F44</f>
        <v>2029</v>
      </c>
      <c r="G57" s="354" cm="1">
        <f t="array" ref="G57">INDEX('Precios de vacunas'!$C$1:$C$70,MATCH(1,(G50='Precios de vacunas'!$A$1:$A$70)*(F57='Precios de vacunas'!$B$1:$B$70),0))</f>
        <v>2.9</v>
      </c>
      <c r="H57" s="261"/>
      <c r="I57" s="354" cm="1">
        <f t="array" ref="I57">INDEX('Precios de vacunas'!$C$1:$C$70,MATCH(1,(I50='Precios de vacunas'!$A$1:$A$70)*(F57='Precios de vacunas'!$B$1:$B$70),0))</f>
        <v>2.8</v>
      </c>
      <c r="J57" s="261"/>
      <c r="K57" s="354" cm="1">
        <f t="array" ref="K57">INDEX('Precios de vacunas'!$C$1:$C$70,MATCH(1,(K50='Precios de vacunas'!$A$1:$A$70)*(F57='Precios de vacunas'!$B$1:$B$70),0))</f>
        <v>5.18</v>
      </c>
      <c r="L57" s="261"/>
      <c r="M57" s="354" cm="1">
        <f t="array" ref="M57">INDEX('Precios de vacunas'!$C$1:$C$70,MATCH(1,(M50='Precios de vacunas'!$A$1:$A$70)*(F57='Precios de vacunas'!$B$1:$B$70),0))</f>
        <v>4.5</v>
      </c>
      <c r="N57" s="135"/>
      <c r="O57" s="134"/>
      <c r="P57" s="133"/>
    </row>
    <row r="58" spans="2:16" ht="25.35" customHeight="1" x14ac:dyDescent="0.3">
      <c r="B58" s="51"/>
      <c r="C58" s="51"/>
      <c r="D58" s="51"/>
      <c r="E58" s="51"/>
      <c r="F58" s="276">
        <f>F45</f>
        <v>2030</v>
      </c>
      <c r="G58" s="354" cm="1">
        <f t="array" ref="G58">INDEX('Precios de vacunas'!$C$1:$C$70,MATCH(1,(G50='Precios de vacunas'!$A$1:$A$70)*(F58='Precios de vacunas'!$B$1:$B$70),0))</f>
        <v>2.9</v>
      </c>
      <c r="H58" s="261"/>
      <c r="I58" s="354" cm="1">
        <f t="array" ref="I58">INDEX('Precios de vacunas'!$C$1:$C$70,MATCH(1,(I50='Precios de vacunas'!$A$1:$A$70)*(F58='Precios de vacunas'!$B$1:$B$70),0))</f>
        <v>2.8</v>
      </c>
      <c r="J58" s="261"/>
      <c r="K58" s="354" cm="1">
        <f t="array" ref="K58">INDEX('Precios de vacunas'!$C$1:$C$70,MATCH(1,(K50='Precios de vacunas'!$A$1:$A$70)*(F58='Precios de vacunas'!$B$1:$B$70),0))</f>
        <v>5.18</v>
      </c>
      <c r="L58" s="261"/>
      <c r="M58" s="354" cm="1">
        <f t="array" ref="M58">INDEX('Precios de vacunas'!$C$1:$C$70,MATCH(1,(M50='Precios de vacunas'!$A$1:$A$70)*(F58='Precios de vacunas'!$B$1:$B$70),0))</f>
        <v>4.5</v>
      </c>
      <c r="N58" s="135"/>
      <c r="O58" s="134"/>
      <c r="P58" s="133"/>
    </row>
    <row r="59" spans="2:16" ht="8.25" customHeight="1" x14ac:dyDescent="0.3">
      <c r="B59" s="51"/>
      <c r="C59" s="51"/>
      <c r="D59" s="51"/>
      <c r="E59" s="51"/>
      <c r="F59" s="141"/>
      <c r="G59" s="141"/>
      <c r="H59" s="141"/>
      <c r="I59" s="141"/>
      <c r="J59" s="141"/>
      <c r="K59" s="141"/>
      <c r="L59" s="141"/>
      <c r="M59" s="141"/>
      <c r="N59" s="135"/>
      <c r="O59" s="134"/>
      <c r="P59" s="133"/>
    </row>
    <row r="60" spans="2:16" ht="42" customHeight="1" x14ac:dyDescent="0.3">
      <c r="B60" s="51"/>
      <c r="C60" s="51"/>
      <c r="D60" s="51"/>
      <c r="E60" s="51"/>
      <c r="F60" s="268" t="s">
        <v>55</v>
      </c>
      <c r="G60" s="143"/>
      <c r="H60" s="143"/>
      <c r="I60" s="143"/>
      <c r="J60" s="143"/>
      <c r="K60" s="143"/>
      <c r="L60" s="143"/>
      <c r="M60" s="143"/>
      <c r="N60" s="135"/>
      <c r="O60" s="134"/>
      <c r="P60" s="133"/>
    </row>
    <row r="61" spans="2:16" ht="25.35" customHeight="1" x14ac:dyDescent="0.3">
      <c r="B61" s="51"/>
      <c r="C61" s="51"/>
      <c r="D61" s="51"/>
      <c r="E61" s="51"/>
      <c r="F61" s="276">
        <f>F41</f>
        <v>2026</v>
      </c>
      <c r="G61" s="354">
        <f>G41*G54</f>
        <v>0.11599999999999999</v>
      </c>
      <c r="H61" s="261"/>
      <c r="I61" s="354">
        <f>G41*I54</f>
        <v>0.11199999999999999</v>
      </c>
      <c r="J61" s="261"/>
      <c r="K61" s="354">
        <f>G41*K54</f>
        <v>0.2072</v>
      </c>
      <c r="L61" s="261"/>
      <c r="M61" s="354">
        <f>G41*M54</f>
        <v>0.18</v>
      </c>
      <c r="N61" s="135"/>
      <c r="O61" s="134"/>
      <c r="P61" s="133"/>
    </row>
    <row r="62" spans="2:16" ht="25.35" customHeight="1" x14ac:dyDescent="0.3">
      <c r="B62" s="51"/>
      <c r="C62" s="51"/>
      <c r="D62" s="51"/>
      <c r="E62" s="51"/>
      <c r="F62" s="276">
        <f>F42</f>
        <v>2027</v>
      </c>
      <c r="G62" s="354">
        <f t="shared" ref="G62:G65" si="0">G42*G55</f>
        <v>0.11599999999999999</v>
      </c>
      <c r="H62" s="261"/>
      <c r="I62" s="354">
        <f t="shared" ref="I62:I65" si="1">G42*I55</f>
        <v>0.11199999999999999</v>
      </c>
      <c r="J62" s="261"/>
      <c r="K62" s="354">
        <f t="shared" ref="K62:K65" si="2">G42*K55</f>
        <v>0.2072</v>
      </c>
      <c r="L62" s="261"/>
      <c r="M62" s="354">
        <f t="shared" ref="M62:M65" si="3">G42*M55</f>
        <v>0.18</v>
      </c>
      <c r="N62" s="135"/>
      <c r="O62" s="134"/>
      <c r="P62" s="133"/>
    </row>
    <row r="63" spans="2:16" ht="25.35" customHeight="1" x14ac:dyDescent="0.3">
      <c r="B63" s="51"/>
      <c r="C63" s="51"/>
      <c r="D63" s="51"/>
      <c r="E63" s="51"/>
      <c r="F63" s="276">
        <f>F43</f>
        <v>2028</v>
      </c>
      <c r="G63" s="354">
        <f t="shared" si="0"/>
        <v>0.11599999999999999</v>
      </c>
      <c r="H63" s="261"/>
      <c r="I63" s="354">
        <f t="shared" si="1"/>
        <v>0.11199999999999999</v>
      </c>
      <c r="J63" s="261"/>
      <c r="K63" s="354">
        <f t="shared" si="2"/>
        <v>0.2072</v>
      </c>
      <c r="L63" s="261"/>
      <c r="M63" s="354">
        <f t="shared" si="3"/>
        <v>0.18</v>
      </c>
      <c r="N63" s="135"/>
      <c r="O63" s="134"/>
      <c r="P63" s="133"/>
    </row>
    <row r="64" spans="2:16" ht="25.35" customHeight="1" x14ac:dyDescent="0.3">
      <c r="B64" s="51"/>
      <c r="C64" s="51"/>
      <c r="D64" s="51"/>
      <c r="E64" s="51"/>
      <c r="F64" s="276">
        <f>F44</f>
        <v>2029</v>
      </c>
      <c r="G64" s="354">
        <f t="shared" si="0"/>
        <v>0.11599999999999999</v>
      </c>
      <c r="H64" s="261"/>
      <c r="I64" s="354">
        <f t="shared" si="1"/>
        <v>0.11199999999999999</v>
      </c>
      <c r="J64" s="261"/>
      <c r="K64" s="354">
        <f t="shared" si="2"/>
        <v>0.2072</v>
      </c>
      <c r="L64" s="261"/>
      <c r="M64" s="354">
        <f t="shared" si="3"/>
        <v>0.18</v>
      </c>
      <c r="N64" s="135"/>
      <c r="O64" s="134"/>
      <c r="P64" s="133"/>
    </row>
    <row r="65" spans="2:17" ht="25.35" customHeight="1" x14ac:dyDescent="0.3">
      <c r="B65" s="51"/>
      <c r="C65" s="51"/>
      <c r="D65" s="51"/>
      <c r="E65" s="51"/>
      <c r="F65" s="276">
        <f>F45</f>
        <v>2030</v>
      </c>
      <c r="G65" s="354">
        <f t="shared" si="0"/>
        <v>0.11599999999999999</v>
      </c>
      <c r="H65" s="261"/>
      <c r="I65" s="354">
        <f t="shared" si="1"/>
        <v>0.11199999999999999</v>
      </c>
      <c r="J65" s="261"/>
      <c r="K65" s="354">
        <f t="shared" si="2"/>
        <v>0.2072</v>
      </c>
      <c r="L65" s="261"/>
      <c r="M65" s="354">
        <f t="shared" si="3"/>
        <v>0.18</v>
      </c>
      <c r="N65" s="135"/>
      <c r="O65" s="134"/>
      <c r="P65" s="133"/>
    </row>
    <row r="66" spans="2:17" ht="8.25" customHeight="1" x14ac:dyDescent="0.3">
      <c r="B66" s="51"/>
      <c r="C66" s="51"/>
      <c r="D66" s="51"/>
      <c r="E66" s="51"/>
      <c r="F66" s="141"/>
      <c r="G66" s="141"/>
      <c r="H66" s="141"/>
      <c r="I66" s="141"/>
      <c r="J66" s="141"/>
      <c r="K66" s="141"/>
      <c r="L66" s="141"/>
      <c r="M66" s="141"/>
      <c r="N66" s="135"/>
      <c r="O66" s="134"/>
      <c r="P66" s="133"/>
    </row>
    <row r="67" spans="2:17" ht="42" customHeight="1" x14ac:dyDescent="0.3">
      <c r="B67" s="51"/>
      <c r="C67" s="51"/>
      <c r="D67" s="51"/>
      <c r="E67" s="51"/>
      <c r="F67" s="268" t="s">
        <v>56</v>
      </c>
      <c r="G67" s="143"/>
      <c r="H67" s="143"/>
      <c r="I67" s="143"/>
      <c r="J67" s="143"/>
      <c r="K67" s="143"/>
      <c r="L67" s="143"/>
      <c r="M67" s="143"/>
      <c r="N67" s="135"/>
      <c r="O67" s="134"/>
      <c r="P67" s="133"/>
    </row>
    <row r="68" spans="2:17" ht="25.35" customHeight="1" x14ac:dyDescent="0.3">
      <c r="B68" s="51"/>
      <c r="C68" s="51"/>
      <c r="D68" s="51"/>
      <c r="E68" s="51"/>
      <c r="F68" s="276" t="s">
        <v>141</v>
      </c>
      <c r="G68" s="354">
        <f>IF($G$35="Transición preparatoria",0.1*G54,IF($G$35="Transición acelerada",0.2*G54,0.05*G54))</f>
        <v>0.14499999999999999</v>
      </c>
      <c r="H68" s="261"/>
      <c r="I68" s="354">
        <f>IF($G$35="Transición preparatoria",0.1*I54,IF($G$35="Transición acelerada",0.2*I54,0.05*I54))</f>
        <v>0.13999999999999999</v>
      </c>
      <c r="J68" s="261"/>
      <c r="K68" s="354">
        <f>IF($G$35="Transición preparatoria",0.1*K54,IF($G$35="Transición acelerada",0.2*K54,0.05*K54))</f>
        <v>0.25900000000000001</v>
      </c>
      <c r="L68" s="261"/>
      <c r="M68" s="354">
        <f>IF($G$35="Transición preparatoria",0.1*M54,IF($G$35="Transición acelerada",0.2*M54,0.05*M54))</f>
        <v>0.22500000000000001</v>
      </c>
      <c r="N68" s="135"/>
      <c r="O68" s="134"/>
      <c r="P68" s="133"/>
    </row>
    <row r="69" spans="2:17" ht="8.25" customHeight="1" x14ac:dyDescent="0.3">
      <c r="B69" s="51"/>
      <c r="C69" s="51"/>
      <c r="D69" s="51"/>
      <c r="E69" s="51"/>
      <c r="F69" s="139"/>
      <c r="G69" s="139"/>
      <c r="H69" s="139"/>
      <c r="I69" s="139"/>
      <c r="J69" s="139"/>
      <c r="K69" s="139"/>
      <c r="L69" s="139"/>
      <c r="M69" s="139"/>
      <c r="N69" s="135"/>
      <c r="O69" s="134"/>
      <c r="P69" s="133"/>
    </row>
    <row r="70" spans="2:17" ht="144" customHeight="1" x14ac:dyDescent="0.3">
      <c r="B70" s="51"/>
      <c r="C70" s="51"/>
      <c r="D70" s="51"/>
      <c r="E70" s="51"/>
      <c r="F70" s="317" t="s">
        <v>173</v>
      </c>
      <c r="G70" s="322">
        <v>1</v>
      </c>
      <c r="H70" s="319"/>
      <c r="I70" s="323">
        <v>2</v>
      </c>
      <c r="J70" s="132"/>
      <c r="K70" s="323">
        <v>1</v>
      </c>
      <c r="L70" s="132"/>
      <c r="M70" s="323">
        <v>1</v>
      </c>
      <c r="N70" s="417" t="str">
        <f>IF(OR(AND(G50='Opciones de vacunas'!$A$4,'Datos del Modelo'!G70&lt;2),AND(I50='Opciones de vacunas'!$A$4,'Datos del Modelo'!I70&lt;2),AND(K50='Opciones de vacunas'!$A$4,'Datos del Modelo'!K70&lt;2),AND(M50='Opciones de vacunas'!$A$4,'Datos del Modelo'!M70&lt;2)),"!! Walrinvax requiere 2 dosis","")</f>
        <v/>
      </c>
      <c r="O70" s="418"/>
      <c r="P70" s="88"/>
    </row>
    <row r="71" spans="2:17" ht="36.6" customHeight="1" x14ac:dyDescent="0.3">
      <c r="B71" s="51"/>
      <c r="C71" s="51"/>
      <c r="D71" s="51"/>
      <c r="E71" s="51"/>
      <c r="F71" s="318" t="s">
        <v>57</v>
      </c>
      <c r="G71" s="320">
        <f>IFERROR(INDEX('Opciones de vacunas'!$A$3:$D$7,MATCH(G50,'Opciones de vacunas'!$A$3:$A$7,0),2),"-")</f>
        <v>2</v>
      </c>
      <c r="H71" s="319"/>
      <c r="I71" s="321">
        <f>IFERROR(INDEX('Opciones de vacunas'!$A$3:$D$7,MATCH(I50,'Opciones de vacunas'!$A$3:$A$7,0),2),"-")</f>
        <v>2</v>
      </c>
      <c r="J71" s="132"/>
      <c r="K71" s="321">
        <f>IFERROR(INDEX('Opciones de vacunas'!$A$3:$D$7,MATCH(K50,'Opciones de vacunas'!$A$3:$A$7,0),2),"-")</f>
        <v>2</v>
      </c>
      <c r="L71" s="132"/>
      <c r="M71" s="321">
        <f>IFERROR(INDEX('Opciones de vacunas'!$A$3:$D$7,MATCH(M50,'Opciones de vacunas'!$A$3:$A$7,0),2),"-")</f>
        <v>2</v>
      </c>
      <c r="N71" s="90"/>
      <c r="O71" s="89"/>
      <c r="P71" s="88"/>
    </row>
    <row r="72" spans="2:17" ht="39" customHeight="1" x14ac:dyDescent="0.3">
      <c r="B72" s="51"/>
      <c r="C72" s="51"/>
      <c r="D72" s="51"/>
      <c r="E72" s="51"/>
      <c r="F72" s="315" t="s">
        <v>58</v>
      </c>
      <c r="G72" s="290">
        <f>IFERROR(INDEX('Opciones de vacunas'!$A$3:$D$7,MATCH(G50,'Opciones de vacunas'!$A$3:$A$7,0),4),"-")</f>
        <v>14.6</v>
      </c>
      <c r="H72" s="131"/>
      <c r="I72" s="290">
        <f>IFERROR(INDEX('Opciones de vacunas'!$A$3:$D$7,MATCH(I50,'Opciones de vacunas'!$A$3:$A$7,0),4),"-")</f>
        <v>11.8</v>
      </c>
      <c r="J72" s="131"/>
      <c r="K72" s="290">
        <f>IFERROR(INDEX('Opciones de vacunas'!$A$3:$D$7,MATCH(K50,'Opciones de vacunas'!$A$3:$A$7,0),4),"-")</f>
        <v>4.8</v>
      </c>
      <c r="L72" s="131"/>
      <c r="M72" s="290">
        <f>IFERROR(INDEX('Opciones de vacunas'!$A$3:$D$7,MATCH(M50,'Opciones de vacunas'!$A$3:$A$7,0),4),"-")</f>
        <v>15</v>
      </c>
      <c r="N72" s="130"/>
      <c r="O72" s="129"/>
      <c r="P72" s="128"/>
    </row>
    <row r="73" spans="2:17" ht="39" customHeight="1" x14ac:dyDescent="0.3">
      <c r="B73" s="51"/>
      <c r="C73" s="51"/>
      <c r="D73" s="51"/>
      <c r="E73" s="51"/>
      <c r="F73" s="78" t="s">
        <v>59</v>
      </c>
      <c r="G73" s="127">
        <v>0.05</v>
      </c>
      <c r="H73" s="103"/>
      <c r="I73" s="126">
        <v>0.05</v>
      </c>
      <c r="J73" s="103"/>
      <c r="K73" s="125">
        <v>0.1</v>
      </c>
      <c r="L73" s="103"/>
      <c r="M73" s="125">
        <v>0.05</v>
      </c>
      <c r="N73" s="101"/>
      <c r="O73" s="100"/>
      <c r="P73" s="99"/>
    </row>
    <row r="74" spans="2:17" ht="20.100000000000001" customHeight="1" x14ac:dyDescent="0.3">
      <c r="B74" s="51"/>
      <c r="C74" s="51"/>
      <c r="D74" s="51"/>
      <c r="E74" s="51"/>
      <c r="F74" s="124" t="s">
        <v>60</v>
      </c>
      <c r="G74" s="123">
        <f>IFERROR(INDEX('Opciones de vacunas'!$A$3:$D$7,MATCH(G50,'Opciones de vacunas'!$A$3:$A$7,0),3),"-")</f>
        <v>0.05</v>
      </c>
      <c r="H74" s="121"/>
      <c r="I74" s="122">
        <f>IFERROR(INDEX('Opciones de vacunas'!$A$3:$D$7,MATCH(I50,'Opciones de vacunas'!$A$3:$A$7,0),3),"-")</f>
        <v>0.05</v>
      </c>
      <c r="J74" s="121"/>
      <c r="K74" s="120">
        <f>IFERROR(INDEX('Opciones de vacunas'!$A$3:$D$7,MATCH(K50,'Opciones de vacunas'!$A$3:$A$7,0),3),"-")</f>
        <v>0.1</v>
      </c>
      <c r="L74" s="121"/>
      <c r="M74" s="120">
        <f>IFERROR(INDEX('Opciones de vacunas'!$A$3:$D$7,MATCH(G50,'Opciones de vacunas'!$A$3:$A$7,0),3),"-")</f>
        <v>0.05</v>
      </c>
      <c r="N74" s="119"/>
      <c r="O74" s="100"/>
      <c r="P74" s="99"/>
      <c r="Q74" s="118"/>
    </row>
    <row r="75" spans="2:17" ht="39" customHeight="1" x14ac:dyDescent="0.3">
      <c r="B75" s="51"/>
      <c r="C75" s="51"/>
      <c r="D75" s="51"/>
      <c r="E75" s="51"/>
      <c r="F75" s="57" t="s">
        <v>61</v>
      </c>
      <c r="G75" s="116">
        <f>(1/(1-G73))</f>
        <v>1.0526315789473684</v>
      </c>
      <c r="H75" s="117"/>
      <c r="I75" s="116">
        <f>(1/(1-I73))</f>
        <v>1.0526315789473684</v>
      </c>
      <c r="J75" s="117"/>
      <c r="K75" s="116">
        <f>(1/(1-K73))</f>
        <v>1.1111111111111112</v>
      </c>
      <c r="L75" s="117"/>
      <c r="M75" s="116">
        <f>(1/(1-M73))</f>
        <v>1.0526315789473684</v>
      </c>
      <c r="N75" s="115"/>
      <c r="O75" s="114"/>
      <c r="P75" s="113"/>
    </row>
    <row r="76" spans="2:17" ht="39" customHeight="1" x14ac:dyDescent="0.3">
      <c r="B76" s="51"/>
      <c r="C76" s="51"/>
      <c r="D76" s="51"/>
      <c r="E76" s="51"/>
      <c r="F76" s="57" t="s">
        <v>62</v>
      </c>
      <c r="G76" s="112">
        <v>0.05</v>
      </c>
      <c r="H76" s="110"/>
      <c r="I76" s="111">
        <v>0.05</v>
      </c>
      <c r="J76" s="110"/>
      <c r="K76" s="109">
        <v>0.05</v>
      </c>
      <c r="L76" s="110"/>
      <c r="M76" s="109">
        <v>0.05</v>
      </c>
      <c r="N76" s="108"/>
      <c r="O76" s="107"/>
      <c r="P76" s="106"/>
    </row>
    <row r="77" spans="2:17" ht="39" customHeight="1" x14ac:dyDescent="0.3">
      <c r="B77" s="51"/>
      <c r="C77" s="51"/>
      <c r="D77" s="51"/>
      <c r="E77" s="51"/>
      <c r="F77" s="57" t="s">
        <v>63</v>
      </c>
      <c r="G77" s="105">
        <v>7.0000000000000007E-2</v>
      </c>
      <c r="H77" s="103"/>
      <c r="I77" s="104">
        <v>7.0000000000000007E-2</v>
      </c>
      <c r="J77" s="103"/>
      <c r="K77" s="102">
        <v>7.0000000000000007E-2</v>
      </c>
      <c r="L77" s="103"/>
      <c r="M77" s="102">
        <v>7.0000000000000007E-2</v>
      </c>
      <c r="N77" s="101"/>
      <c r="O77" s="100"/>
      <c r="P77" s="99"/>
    </row>
    <row r="78" spans="2:17" ht="39" customHeight="1" x14ac:dyDescent="0.3">
      <c r="B78" s="51"/>
      <c r="C78" s="51"/>
      <c r="D78" s="51"/>
      <c r="E78" s="51"/>
      <c r="F78" s="57" t="s">
        <v>64</v>
      </c>
      <c r="G78" s="105">
        <v>0.25</v>
      </c>
      <c r="H78" s="103"/>
      <c r="I78" s="104">
        <v>0.25</v>
      </c>
      <c r="J78" s="103"/>
      <c r="K78" s="102">
        <v>0.25</v>
      </c>
      <c r="L78" s="103"/>
      <c r="M78" s="102">
        <v>0.25</v>
      </c>
      <c r="N78" s="101"/>
      <c r="O78" s="100"/>
      <c r="P78" s="99"/>
    </row>
    <row r="79" spans="2:17" ht="39" customHeight="1" x14ac:dyDescent="0.3">
      <c r="B79" s="51"/>
      <c r="C79" s="51"/>
      <c r="D79" s="51"/>
      <c r="E79" s="51"/>
      <c r="F79" s="57" t="s">
        <v>65</v>
      </c>
      <c r="G79" s="355">
        <v>0.8</v>
      </c>
      <c r="H79" s="98"/>
      <c r="I79" s="356">
        <v>0.8</v>
      </c>
      <c r="J79" s="98"/>
      <c r="K79" s="357">
        <v>0.8</v>
      </c>
      <c r="L79" s="98"/>
      <c r="M79" s="357">
        <v>0.8</v>
      </c>
      <c r="N79" s="97"/>
      <c r="O79" s="96"/>
      <c r="P79" s="95"/>
    </row>
    <row r="80" spans="2:17" ht="39" customHeight="1" x14ac:dyDescent="0.3">
      <c r="B80" s="51"/>
      <c r="C80" s="51"/>
      <c r="D80" s="51"/>
      <c r="E80" s="51"/>
      <c r="F80" s="57" t="s">
        <v>66</v>
      </c>
      <c r="G80" s="94">
        <v>100</v>
      </c>
      <c r="H80" s="92"/>
      <c r="I80" s="93">
        <v>100</v>
      </c>
      <c r="J80" s="92"/>
      <c r="K80" s="91">
        <v>100</v>
      </c>
      <c r="L80" s="92"/>
      <c r="M80" s="91">
        <v>100</v>
      </c>
      <c r="N80" s="90"/>
      <c r="O80" s="89"/>
      <c r="P80" s="88"/>
    </row>
    <row r="81" spans="2:16" ht="39" customHeight="1" x14ac:dyDescent="0.3">
      <c r="B81" s="51"/>
      <c r="C81" s="51"/>
      <c r="D81" s="51"/>
      <c r="E81" s="51"/>
      <c r="F81" s="57" t="s">
        <v>67</v>
      </c>
      <c r="G81" s="357">
        <v>0.04</v>
      </c>
      <c r="H81" s="264"/>
      <c r="I81" s="357">
        <v>0.04</v>
      </c>
      <c r="J81" s="264"/>
      <c r="K81" s="357">
        <v>0.04</v>
      </c>
      <c r="L81" s="264"/>
      <c r="M81" s="357">
        <v>0.04</v>
      </c>
      <c r="N81" s="265"/>
      <c r="O81" s="89"/>
      <c r="P81" s="88"/>
    </row>
    <row r="82" spans="2:16" ht="8.1" customHeight="1" x14ac:dyDescent="0.3">
      <c r="B82" s="51"/>
      <c r="C82" s="51"/>
      <c r="D82" s="51"/>
      <c r="E82" s="51"/>
      <c r="F82" s="87"/>
      <c r="G82" s="51"/>
      <c r="H82" s="51"/>
      <c r="I82" s="51"/>
      <c r="J82" s="51"/>
      <c r="K82" s="51"/>
      <c r="L82" s="51"/>
      <c r="M82" s="87"/>
      <c r="N82" s="87"/>
      <c r="O82" s="51"/>
    </row>
    <row r="83" spans="2:16" ht="45" customHeight="1" x14ac:dyDescent="0.3">
      <c r="B83" s="51"/>
      <c r="C83" s="51"/>
      <c r="D83" s="51"/>
      <c r="E83" s="51"/>
      <c r="F83" s="425" t="s">
        <v>13</v>
      </c>
      <c r="G83" s="425"/>
      <c r="H83" s="425"/>
      <c r="I83" s="425"/>
      <c r="J83" s="425"/>
      <c r="K83" s="425"/>
      <c r="L83" s="425"/>
      <c r="M83" s="425"/>
      <c r="N83" s="86"/>
      <c r="O83" s="85"/>
      <c r="P83" s="83"/>
    </row>
    <row r="84" spans="2:16" ht="8.1" customHeight="1" x14ac:dyDescent="0.3">
      <c r="B84" s="51"/>
      <c r="C84" s="51"/>
      <c r="D84" s="51"/>
      <c r="E84" s="51"/>
      <c r="F84" s="84"/>
      <c r="G84" s="84"/>
      <c r="H84" s="84"/>
      <c r="I84" s="84"/>
      <c r="J84" s="84"/>
      <c r="K84" s="51"/>
      <c r="L84" s="51"/>
      <c r="M84" s="84"/>
      <c r="N84" s="84"/>
      <c r="O84" s="84"/>
      <c r="P84" s="83"/>
    </row>
    <row r="85" spans="2:16" ht="79.95" customHeight="1" x14ac:dyDescent="0.3">
      <c r="B85" s="51"/>
      <c r="C85" s="51"/>
      <c r="D85" s="51"/>
      <c r="E85" s="51"/>
      <c r="F85" s="57" t="s">
        <v>142</v>
      </c>
      <c r="G85" s="358">
        <v>0</v>
      </c>
      <c r="H85" s="82"/>
      <c r="I85" s="359">
        <v>0</v>
      </c>
      <c r="J85" s="82"/>
      <c r="K85" s="358">
        <v>0</v>
      </c>
      <c r="L85" s="82"/>
      <c r="M85" s="359">
        <v>0</v>
      </c>
      <c r="N85" s="81"/>
      <c r="O85" s="80"/>
      <c r="P85" s="79"/>
    </row>
    <row r="86" spans="2:16" ht="33.6" customHeight="1" x14ac:dyDescent="0.3">
      <c r="B86" s="51"/>
      <c r="C86" s="51"/>
      <c r="D86" s="51"/>
      <c r="E86" s="51"/>
      <c r="F86" s="78" t="s">
        <v>14</v>
      </c>
      <c r="G86" s="300"/>
      <c r="H86" s="77"/>
      <c r="I86" s="300"/>
      <c r="J86" s="77"/>
      <c r="K86" s="300"/>
      <c r="L86" s="77"/>
      <c r="M86" s="300"/>
      <c r="N86" s="76"/>
      <c r="O86" s="75"/>
      <c r="P86" s="74"/>
    </row>
    <row r="87" spans="2:16" ht="25.35" customHeight="1" x14ac:dyDescent="0.3">
      <c r="B87" s="51"/>
      <c r="C87" s="51"/>
      <c r="D87" s="51"/>
      <c r="E87" s="51"/>
      <c r="F87" s="303" t="s">
        <v>132</v>
      </c>
      <c r="G87" s="360">
        <v>1</v>
      </c>
      <c r="H87" s="77"/>
      <c r="I87" s="360">
        <v>1</v>
      </c>
      <c r="J87" s="77"/>
      <c r="K87" s="360">
        <v>1</v>
      </c>
      <c r="L87" s="77"/>
      <c r="M87" s="360">
        <v>1</v>
      </c>
      <c r="N87" s="76"/>
      <c r="O87" s="75"/>
      <c r="P87" s="74"/>
    </row>
    <row r="88" spans="2:16" ht="25.35" customHeight="1" x14ac:dyDescent="0.3">
      <c r="B88" s="51"/>
      <c r="C88" s="51"/>
      <c r="D88" s="51"/>
      <c r="E88" s="51"/>
      <c r="F88" s="303" t="s">
        <v>68</v>
      </c>
      <c r="G88" s="360">
        <v>1</v>
      </c>
      <c r="H88" s="77"/>
      <c r="I88" s="360">
        <v>1</v>
      </c>
      <c r="J88" s="77"/>
      <c r="K88" s="360">
        <v>1</v>
      </c>
      <c r="L88" s="77"/>
      <c r="M88" s="360">
        <v>1</v>
      </c>
      <c r="N88" s="76"/>
      <c r="O88" s="75"/>
      <c r="P88" s="74"/>
    </row>
    <row r="89" spans="2:16" ht="25.35" customHeight="1" x14ac:dyDescent="0.3">
      <c r="B89" s="51"/>
      <c r="C89" s="51"/>
      <c r="D89" s="51"/>
      <c r="E89" s="51"/>
      <c r="F89" s="303" t="s">
        <v>69</v>
      </c>
      <c r="G89" s="360">
        <v>1</v>
      </c>
      <c r="H89" s="77"/>
      <c r="I89" s="360">
        <v>1</v>
      </c>
      <c r="J89" s="77"/>
      <c r="K89" s="360">
        <v>1</v>
      </c>
      <c r="L89" s="77"/>
      <c r="M89" s="360">
        <v>1</v>
      </c>
      <c r="N89" s="76"/>
      <c r="O89" s="75"/>
      <c r="P89" s="74"/>
    </row>
    <row r="90" spans="2:16" ht="20.25" customHeight="1" x14ac:dyDescent="0.3">
      <c r="B90" s="51"/>
      <c r="C90" s="51"/>
      <c r="D90" s="51"/>
      <c r="E90" s="51"/>
      <c r="F90" s="370" t="s">
        <v>143</v>
      </c>
      <c r="G90" s="301"/>
      <c r="H90" s="77"/>
      <c r="I90" s="301"/>
      <c r="J90" s="77"/>
      <c r="K90" s="301"/>
      <c r="L90" s="77"/>
      <c r="M90" s="301"/>
      <c r="N90" s="76"/>
      <c r="O90" s="75"/>
      <c r="P90" s="74"/>
    </row>
    <row r="91" spans="2:16" ht="18.600000000000001" customHeight="1" x14ac:dyDescent="0.3">
      <c r="B91" s="51"/>
      <c r="C91" s="51"/>
      <c r="D91" s="51"/>
      <c r="E91" s="51"/>
      <c r="F91" s="51"/>
      <c r="G91" s="285"/>
      <c r="H91" s="286"/>
      <c r="I91" s="285"/>
      <c r="J91" s="286"/>
      <c r="K91" s="285"/>
      <c r="L91" s="286"/>
      <c r="M91" s="285"/>
      <c r="N91" s="51"/>
      <c r="O91" s="71"/>
      <c r="P91" s="67"/>
    </row>
    <row r="92" spans="2:16" ht="60" customHeight="1" x14ac:dyDescent="0.3">
      <c r="B92" s="51"/>
      <c r="C92" s="51"/>
      <c r="D92" s="51"/>
      <c r="E92" s="73"/>
      <c r="F92" s="437" t="s">
        <v>15</v>
      </c>
      <c r="G92" s="437"/>
      <c r="H92" s="437"/>
      <c r="I92" s="437"/>
      <c r="J92" s="437"/>
      <c r="K92" s="437"/>
      <c r="L92" s="437"/>
      <c r="M92" s="437"/>
      <c r="N92" s="72"/>
      <c r="O92" s="71"/>
      <c r="P92" s="67"/>
    </row>
    <row r="93" spans="2:16" ht="32.1" customHeight="1" x14ac:dyDescent="0.4">
      <c r="B93" s="51"/>
      <c r="C93" s="51"/>
      <c r="D93" s="51"/>
      <c r="E93" s="70"/>
      <c r="F93" s="426" t="s">
        <v>70</v>
      </c>
      <c r="G93" s="426"/>
      <c r="H93" s="426"/>
      <c r="I93" s="426"/>
      <c r="J93" s="426"/>
      <c r="K93" s="426"/>
      <c r="L93" s="426"/>
      <c r="M93" s="426"/>
      <c r="N93" s="69"/>
      <c r="O93" s="68"/>
      <c r="P93" s="67"/>
    </row>
    <row r="94" spans="2:16" ht="8.1" hidden="1" customHeight="1" outlineLevel="1" x14ac:dyDescent="0.3">
      <c r="B94" s="51"/>
      <c r="C94" s="51"/>
      <c r="D94" s="51"/>
      <c r="E94" s="51"/>
      <c r="F94" s="65"/>
      <c r="G94" s="64"/>
      <c r="H94" s="64"/>
      <c r="I94" s="66"/>
      <c r="J94" s="64"/>
      <c r="K94" s="51"/>
      <c r="L94" s="51"/>
      <c r="M94" s="65"/>
      <c r="N94" s="65"/>
      <c r="O94" s="64"/>
      <c r="P94" s="63"/>
    </row>
    <row r="95" spans="2:16" ht="24" hidden="1" customHeight="1" outlineLevel="1" x14ac:dyDescent="0.3">
      <c r="B95" s="51"/>
      <c r="C95" s="51"/>
      <c r="D95" s="51"/>
      <c r="E95" s="51"/>
      <c r="F95" s="434" t="s">
        <v>71</v>
      </c>
      <c r="G95" s="435"/>
      <c r="H95" s="435"/>
      <c r="I95" s="435"/>
      <c r="J95" s="435"/>
      <c r="K95" s="435"/>
      <c r="L95" s="435"/>
      <c r="M95" s="436"/>
      <c r="N95" s="62"/>
      <c r="O95" s="64"/>
      <c r="P95" s="63"/>
    </row>
    <row r="96" spans="2:16" ht="8.1" hidden="1" customHeight="1" outlineLevel="1" x14ac:dyDescent="0.3">
      <c r="B96" s="51"/>
      <c r="C96" s="51"/>
      <c r="D96" s="51"/>
      <c r="E96" s="51"/>
      <c r="F96" s="65"/>
      <c r="G96" s="64"/>
      <c r="H96" s="64"/>
      <c r="I96" s="66"/>
      <c r="J96" s="64"/>
      <c r="K96" s="51"/>
      <c r="L96" s="51"/>
      <c r="M96" s="65"/>
      <c r="N96" s="65"/>
      <c r="O96" s="64"/>
      <c r="P96" s="63"/>
    </row>
    <row r="97" spans="2:15" ht="50.85" hidden="1" customHeight="1" outlineLevel="1" x14ac:dyDescent="0.3">
      <c r="B97" s="51"/>
      <c r="C97" s="51"/>
      <c r="D97" s="51"/>
      <c r="E97" s="51"/>
      <c r="F97" s="57" t="s">
        <v>72</v>
      </c>
      <c r="G97" s="56">
        <v>0.2</v>
      </c>
      <c r="H97" s="55"/>
      <c r="I97" s="54">
        <v>0.3</v>
      </c>
      <c r="J97" s="55"/>
      <c r="K97" s="54">
        <v>0.25</v>
      </c>
      <c r="L97" s="55"/>
      <c r="M97" s="54">
        <v>0.25</v>
      </c>
      <c r="N97" s="53"/>
      <c r="O97" s="51"/>
    </row>
    <row r="98" spans="2:15" ht="8.1" hidden="1" customHeight="1" outlineLevel="1" x14ac:dyDescent="0.3">
      <c r="B98" s="51"/>
      <c r="C98" s="51"/>
      <c r="D98" s="51"/>
      <c r="E98" s="51"/>
      <c r="F98" s="51"/>
      <c r="G98" s="51"/>
      <c r="H98" s="51"/>
      <c r="I98" s="51"/>
      <c r="J98" s="51"/>
      <c r="K98" s="51"/>
      <c r="L98" s="51"/>
      <c r="M98" s="51"/>
      <c r="N98" s="51"/>
      <c r="O98" s="51"/>
    </row>
    <row r="99" spans="2:15" ht="24" hidden="1" customHeight="1" outlineLevel="1" x14ac:dyDescent="0.3">
      <c r="B99" s="51"/>
      <c r="C99" s="51"/>
      <c r="D99" s="51"/>
      <c r="E99" s="51"/>
      <c r="F99" s="434" t="s">
        <v>73</v>
      </c>
      <c r="G99" s="435"/>
      <c r="H99" s="435"/>
      <c r="I99" s="435"/>
      <c r="J99" s="435"/>
      <c r="K99" s="435"/>
      <c r="L99" s="435"/>
      <c r="M99" s="436"/>
      <c r="N99" s="62"/>
      <c r="O99" s="51"/>
    </row>
    <row r="100" spans="2:15" ht="8.1" hidden="1" customHeight="1" outlineLevel="1" x14ac:dyDescent="0.3">
      <c r="B100" s="51"/>
      <c r="C100" s="51"/>
      <c r="D100" s="51"/>
      <c r="E100" s="51"/>
      <c r="F100" s="51"/>
      <c r="G100" s="51"/>
      <c r="H100" s="51"/>
      <c r="I100" s="51"/>
      <c r="J100" s="51"/>
      <c r="K100" s="51"/>
      <c r="L100" s="51"/>
      <c r="M100" s="51"/>
      <c r="N100" s="51"/>
      <c r="O100" s="51"/>
    </row>
    <row r="101" spans="2:15" ht="50.85" hidden="1" customHeight="1" outlineLevel="1" x14ac:dyDescent="0.3">
      <c r="B101" s="51"/>
      <c r="C101" s="51"/>
      <c r="D101" s="51"/>
      <c r="E101" s="51"/>
      <c r="F101" s="57" t="s">
        <v>72</v>
      </c>
      <c r="G101" s="56">
        <v>0.2</v>
      </c>
      <c r="H101" s="55"/>
      <c r="I101" s="54">
        <v>0.3</v>
      </c>
      <c r="J101" s="55"/>
      <c r="K101" s="54">
        <v>0.5</v>
      </c>
      <c r="L101" s="55"/>
      <c r="M101" s="54">
        <v>0</v>
      </c>
      <c r="N101" s="53"/>
      <c r="O101" s="51"/>
    </row>
    <row r="102" spans="2:15" ht="8.1" hidden="1" customHeight="1" outlineLevel="1" x14ac:dyDescent="0.3">
      <c r="B102" s="51"/>
      <c r="C102" s="51"/>
      <c r="D102" s="51"/>
      <c r="E102" s="51"/>
      <c r="F102" s="61"/>
      <c r="G102" s="60"/>
      <c r="H102" s="59"/>
      <c r="I102" s="58"/>
      <c r="J102" s="59"/>
      <c r="K102" s="58"/>
      <c r="L102" s="59"/>
      <c r="M102" s="58"/>
      <c r="N102" s="58"/>
      <c r="O102" s="51"/>
    </row>
    <row r="103" spans="2:15" ht="24" hidden="1" customHeight="1" outlineLevel="1" x14ac:dyDescent="0.3">
      <c r="B103" s="51"/>
      <c r="C103" s="51"/>
      <c r="D103" s="51"/>
      <c r="E103" s="51"/>
      <c r="F103" s="434" t="s">
        <v>74</v>
      </c>
      <c r="G103" s="435"/>
      <c r="H103" s="435"/>
      <c r="I103" s="435"/>
      <c r="J103" s="435"/>
      <c r="K103" s="435"/>
      <c r="L103" s="435"/>
      <c r="M103" s="436"/>
      <c r="N103" s="62"/>
      <c r="O103" s="51"/>
    </row>
    <row r="104" spans="2:15" ht="8.1" hidden="1" customHeight="1" outlineLevel="1" x14ac:dyDescent="0.3">
      <c r="B104" s="51"/>
      <c r="C104" s="51"/>
      <c r="D104" s="51"/>
      <c r="E104" s="51"/>
      <c r="F104" s="61"/>
      <c r="G104" s="60"/>
      <c r="H104" s="59"/>
      <c r="I104" s="58"/>
      <c r="J104" s="59"/>
      <c r="K104" s="58"/>
      <c r="L104" s="59"/>
      <c r="M104" s="58"/>
      <c r="N104" s="58"/>
      <c r="O104" s="51"/>
    </row>
    <row r="105" spans="2:15" ht="50.85" hidden="1" customHeight="1" outlineLevel="1" x14ac:dyDescent="0.3">
      <c r="B105" s="51"/>
      <c r="C105" s="51"/>
      <c r="D105" s="51"/>
      <c r="E105" s="51"/>
      <c r="F105" s="57" t="s">
        <v>72</v>
      </c>
      <c r="G105" s="56">
        <v>0.5</v>
      </c>
      <c r="H105" s="55"/>
      <c r="I105" s="54">
        <v>0</v>
      </c>
      <c r="J105" s="55"/>
      <c r="K105" s="54">
        <v>0.5</v>
      </c>
      <c r="L105" s="55"/>
      <c r="M105" s="54">
        <v>0</v>
      </c>
      <c r="N105" s="53"/>
      <c r="O105" s="51"/>
    </row>
    <row r="106" spans="2:15" ht="28.35" hidden="1" customHeight="1" outlineLevel="1" x14ac:dyDescent="0.3">
      <c r="B106" s="51"/>
      <c r="C106" s="51"/>
      <c r="D106" s="51"/>
      <c r="E106" s="51"/>
      <c r="F106" s="433" t="s">
        <v>75</v>
      </c>
      <c r="G106" s="433"/>
      <c r="H106" s="433"/>
      <c r="I106" s="433"/>
      <c r="J106" s="433"/>
      <c r="K106" s="433"/>
      <c r="L106" s="433"/>
      <c r="M106" s="433"/>
      <c r="N106" s="52"/>
      <c r="O106" s="51"/>
    </row>
    <row r="107" spans="2:15" ht="14.85" customHeight="1" collapsed="1" x14ac:dyDescent="0.3">
      <c r="F107" s="50"/>
      <c r="G107" s="49"/>
      <c r="H107" s="48"/>
      <c r="I107" s="47"/>
      <c r="J107" s="48"/>
      <c r="K107" s="47"/>
      <c r="L107" s="48"/>
      <c r="M107" s="47"/>
      <c r="N107" s="47"/>
    </row>
    <row r="108" spans="2:15" ht="20.100000000000001" customHeight="1" x14ac:dyDescent="0.3"/>
    <row r="109" spans="2:15" ht="20.100000000000001" customHeight="1" x14ac:dyDescent="0.3"/>
    <row r="110" spans="2:15" ht="20.100000000000001" customHeight="1" x14ac:dyDescent="0.3"/>
    <row r="111" spans="2:15" ht="20.100000000000001" customHeight="1" x14ac:dyDescent="0.3"/>
    <row r="112" spans="2:15"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9.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18" customHeight="1" x14ac:dyDescent="0.3"/>
    <row r="130" ht="25.35" customHeight="1" x14ac:dyDescent="0.3"/>
    <row r="131" ht="18"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5" ht="25.35" customHeight="1" x14ac:dyDescent="0.3"/>
    <row r="157" ht="36" customHeight="1" x14ac:dyDescent="0.3"/>
    <row r="158" ht="20.100000000000001" customHeight="1" x14ac:dyDescent="0.3"/>
    <row r="159" ht="20.100000000000001" customHeight="1" x14ac:dyDescent="0.3"/>
    <row r="160" ht="20.100000000000001" customHeight="1" x14ac:dyDescent="0.3"/>
    <row r="161" ht="20.100000000000001" customHeight="1" x14ac:dyDescent="0.3"/>
    <row r="162" ht="20.100000000000001" customHeight="1" x14ac:dyDescent="0.3"/>
    <row r="163" ht="20.100000000000001" customHeight="1" x14ac:dyDescent="0.3"/>
    <row r="164" ht="20.100000000000001" customHeight="1" x14ac:dyDescent="0.3"/>
    <row r="165" ht="20.100000000000001" customHeight="1" x14ac:dyDescent="0.3"/>
    <row r="166" ht="20.100000000000001" customHeight="1" x14ac:dyDescent="0.3"/>
    <row r="167" ht="20.100000000000001" customHeight="1" x14ac:dyDescent="0.3"/>
    <row r="169" ht="20.100000000000001" customHeight="1" x14ac:dyDescent="0.3"/>
    <row r="170" ht="20.100000000000001" customHeight="1" x14ac:dyDescent="0.3"/>
    <row r="171" ht="20.100000000000001" customHeight="1" x14ac:dyDescent="0.3"/>
    <row r="172" ht="20.100000000000001" customHeight="1" x14ac:dyDescent="0.3"/>
    <row r="173" ht="20.100000000000001" customHeight="1" x14ac:dyDescent="0.3"/>
    <row r="174" ht="20.100000000000001" customHeight="1" x14ac:dyDescent="0.3"/>
    <row r="175" ht="20.100000000000001" customHeight="1" x14ac:dyDescent="0.3"/>
    <row r="176" ht="20.100000000000001" customHeight="1" x14ac:dyDescent="0.3"/>
    <row r="177" ht="20.100000000000001" customHeight="1" x14ac:dyDescent="0.3"/>
    <row r="178" ht="20.100000000000001" customHeight="1" x14ac:dyDescent="0.3"/>
  </sheetData>
  <sheetProtection algorithmName="SHA-512" hashValue="CrYD89eJ/pRgdIpwnbR1NifnSgd/pl4dUdoUpbYK/6AlbBjNicvLyqGZmRME8E78s4jQDtt5MIsXtkO7wdmA0A==" saltValue="b2icbwCMXXeR0ifnVRA9Pw==" spinCount="100000" sheet="1" formatRows="0"/>
  <mergeCells count="43">
    <mergeCell ref="I12:M12"/>
    <mergeCell ref="I22:M22"/>
    <mergeCell ref="I24:M24"/>
    <mergeCell ref="I25:M25"/>
    <mergeCell ref="I27:M27"/>
    <mergeCell ref="I13:M13"/>
    <mergeCell ref="I16:M16"/>
    <mergeCell ref="I15:M15"/>
    <mergeCell ref="B2:O2"/>
    <mergeCell ref="F4:M4"/>
    <mergeCell ref="F6:M6"/>
    <mergeCell ref="F47:M47"/>
    <mergeCell ref="I8:M8"/>
    <mergeCell ref="F39:G39"/>
    <mergeCell ref="I35:M35"/>
    <mergeCell ref="I39:M39"/>
    <mergeCell ref="I9:M9"/>
    <mergeCell ref="I11:M11"/>
    <mergeCell ref="I20:M20"/>
    <mergeCell ref="I29:M29"/>
    <mergeCell ref="F33:M33"/>
    <mergeCell ref="I30:M30"/>
    <mergeCell ref="I31:M31"/>
    <mergeCell ref="I14:M14"/>
    <mergeCell ref="I28:M28"/>
    <mergeCell ref="I17:M17"/>
    <mergeCell ref="I18:M18"/>
    <mergeCell ref="I36:M36"/>
    <mergeCell ref="F106:M106"/>
    <mergeCell ref="F103:M103"/>
    <mergeCell ref="F92:M92"/>
    <mergeCell ref="F95:M95"/>
    <mergeCell ref="F99:M99"/>
    <mergeCell ref="I19:M19"/>
    <mergeCell ref="I26:M26"/>
    <mergeCell ref="I21:M21"/>
    <mergeCell ref="I23:M23"/>
    <mergeCell ref="N70:O70"/>
    <mergeCell ref="H41:M45"/>
    <mergeCell ref="F83:M83"/>
    <mergeCell ref="F93:M93"/>
    <mergeCell ref="I37:M37"/>
    <mergeCell ref="I40:M40"/>
  </mergeCells>
  <hyperlinks>
    <hyperlink ref="F90" r:id="rId1" xr:uid="{ADAC4FE8-4F70-426A-99A6-F84A3D8EAE52}"/>
  </hyperlinks>
  <printOptions horizontalCentered="1" verticalCentered="1"/>
  <pageMargins left="0.25" right="0.25" top="0.75" bottom="0.75" header="0.3" footer="0.3"/>
  <pageSetup scale="70" orientation="landscape" r:id="rId2"/>
  <rowBreaks count="4" manualBreakCount="4">
    <brk id="45" min="4" max="14" man="1"/>
    <brk id="69" min="4" max="14" man="1"/>
    <brk id="90" min="4" max="13" man="1"/>
    <brk id="156" max="16383" man="1"/>
  </rowBreaks>
  <ignoredErrors>
    <ignoredError sqref="G22 G12 N70"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'Opciones de vacunas'!$A$9:$A$11</xm:f>
          </x14:formula1>
          <xm:sqref>G35</xm:sqref>
        </x14:dataValidation>
        <x14:dataValidation type="list" allowBlank="1" showInputMessage="1" showErrorMessage="1" xr:uid="{AC6AB85C-DE0E-4E96-A382-15160659D437}">
          <x14:formula1>
            <xm:f>'Opciones de vacunas'!$B$13:$B$33</xm:f>
          </x14:formula1>
          <xm:sqref>G97 M105 K105 I105 G105 M101 K101 I101 G101 M97 K97 I97</xm:sqref>
        </x14:dataValidation>
        <x14:dataValidation type="list" allowBlank="1" showInputMessage="1" showErrorMessage="1" xr:uid="{7F244FE7-AB34-4E03-85C6-219C43C0F3F0}">
          <x14:formula1>
            <xm:f>'Opciones de vacunas'!$B$9:$B$10</xm:f>
          </x14:formula1>
          <xm:sqref>G36</xm:sqref>
        </x14:dataValidation>
        <x14:dataValidation type="list" allowBlank="1" showInputMessage="1" showErrorMessage="1" xr:uid="{7D635E66-60DC-492C-BEBE-5A0171D9CD77}">
          <x14:formula1>
            <xm:f>'Opciones de vacunas'!$A$3:$A$6</xm:f>
          </x14:formula1>
          <xm:sqref>G50 I50 K50 M50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6640625" defaultRowHeight="13.8" outlineLevelRow="1" x14ac:dyDescent="0.25"/>
  <cols>
    <col min="1" max="1" width="1.6640625" style="178" customWidth="1"/>
    <col min="2" max="2" width="5.33203125" style="178" customWidth="1"/>
    <col min="3" max="3" width="19.33203125" style="178" customWidth="1"/>
    <col min="4" max="4" width="12.6640625" style="178" customWidth="1"/>
    <col min="5" max="5" width="2.44140625" style="178" customWidth="1"/>
    <col min="6" max="6" width="20.44140625" style="178" customWidth="1"/>
    <col min="7" max="7" width="7" style="178" customWidth="1"/>
    <col min="8" max="8" width="20.44140625" style="178" customWidth="1"/>
    <col min="9" max="9" width="6.6640625" style="178" customWidth="1"/>
    <col min="10" max="10" width="20.44140625" style="178" customWidth="1"/>
    <col min="11" max="11" width="6.6640625" style="178" customWidth="1"/>
    <col min="12" max="12" width="20.44140625" style="178" customWidth="1"/>
    <col min="13" max="13" width="8.6640625" style="178" bestFit="1" customWidth="1"/>
    <col min="14" max="16384" width="8.6640625" style="178"/>
  </cols>
  <sheetData>
    <row r="1" spans="2:15" ht="8.1" customHeight="1" x14ac:dyDescent="0.25">
      <c r="B1" s="278"/>
      <c r="C1" s="278"/>
      <c r="D1" s="278"/>
      <c r="E1" s="278"/>
      <c r="F1" s="278"/>
      <c r="G1" s="278"/>
      <c r="H1" s="278"/>
      <c r="I1" s="278"/>
      <c r="J1" s="278"/>
      <c r="K1" s="278"/>
      <c r="L1" s="278"/>
      <c r="M1" s="278"/>
    </row>
    <row r="2" spans="2:15" ht="19.350000000000001" customHeight="1" x14ac:dyDescent="0.25">
      <c r="B2" s="440" t="s">
        <v>133</v>
      </c>
      <c r="C2" s="440"/>
      <c r="D2" s="440"/>
      <c r="E2" s="440"/>
      <c r="F2" s="440"/>
      <c r="G2" s="440"/>
      <c r="H2" s="440"/>
      <c r="I2" s="440"/>
      <c r="J2" s="440"/>
      <c r="K2" s="440"/>
      <c r="L2" s="440"/>
      <c r="M2" s="440"/>
    </row>
    <row r="3" spans="2:15" ht="8.1" customHeight="1" x14ac:dyDescent="0.25">
      <c r="B3" s="226"/>
      <c r="C3" s="454"/>
      <c r="D3" s="454"/>
      <c r="E3" s="454"/>
      <c r="F3" s="454"/>
      <c r="G3" s="454"/>
      <c r="H3" s="454"/>
      <c r="I3" s="454"/>
      <c r="J3" s="454"/>
      <c r="K3" s="454"/>
      <c r="L3" s="454"/>
      <c r="M3" s="454"/>
    </row>
    <row r="4" spans="2:15" ht="60" customHeight="1" x14ac:dyDescent="0.25">
      <c r="B4" s="226"/>
      <c r="C4" s="458" t="s">
        <v>162</v>
      </c>
      <c r="D4" s="458"/>
      <c r="E4" s="458"/>
      <c r="F4" s="458"/>
      <c r="G4" s="458"/>
      <c r="H4" s="458"/>
      <c r="I4" s="458"/>
      <c r="J4" s="458"/>
      <c r="K4" s="458"/>
      <c r="L4" s="458"/>
      <c r="M4" s="228"/>
    </row>
    <row r="5" spans="2:15" ht="8.1" customHeight="1" x14ac:dyDescent="0.25">
      <c r="B5" s="227"/>
      <c r="C5" s="227"/>
      <c r="D5" s="227"/>
      <c r="E5" s="227"/>
      <c r="F5" s="226"/>
      <c r="G5" s="226"/>
      <c r="H5" s="226"/>
      <c r="I5" s="226"/>
      <c r="J5" s="226"/>
      <c r="K5" s="226"/>
      <c r="L5" s="226"/>
      <c r="M5" s="225"/>
    </row>
    <row r="6" spans="2:15" ht="46.35" customHeight="1" x14ac:dyDescent="0.25">
      <c r="B6" s="453"/>
      <c r="C6" s="188"/>
      <c r="D6" s="188"/>
      <c r="E6" s="184"/>
      <c r="F6" s="283" t="s">
        <v>44</v>
      </c>
      <c r="G6" s="224"/>
      <c r="H6" s="281" t="s">
        <v>45</v>
      </c>
      <c r="I6" s="223"/>
      <c r="J6" s="281" t="s">
        <v>46</v>
      </c>
      <c r="K6" s="223"/>
      <c r="L6" s="283" t="s">
        <v>47</v>
      </c>
      <c r="M6" s="220"/>
    </row>
    <row r="7" spans="2:15" ht="8.1" customHeight="1" x14ac:dyDescent="0.25">
      <c r="B7" s="453"/>
      <c r="C7" s="188"/>
      <c r="D7" s="188"/>
      <c r="E7" s="184"/>
      <c r="F7" s="221"/>
      <c r="G7" s="221"/>
      <c r="H7" s="222"/>
      <c r="I7" s="222"/>
      <c r="J7" s="222"/>
      <c r="K7" s="222"/>
      <c r="L7" s="221"/>
      <c r="M7" s="220"/>
    </row>
    <row r="8" spans="2:15" ht="110.1" customHeight="1" x14ac:dyDescent="0.25">
      <c r="B8" s="453"/>
      <c r="C8" s="219"/>
      <c r="D8" s="188"/>
      <c r="E8" s="184"/>
      <c r="F8" s="282" t="str">
        <f>Resultados!F6</f>
        <v>CECOLIN
bivalente, 1 dosis/frasco, líquido</v>
      </c>
      <c r="G8" s="218"/>
      <c r="H8" s="282" t="str">
        <f>Resultados!H6</f>
        <v>WALRINVAX 
bivalente, 1 dosis/frasco, líquido</v>
      </c>
      <c r="I8" s="218"/>
      <c r="J8" s="282" t="str">
        <f>Resultados!J6</f>
        <v>CERVARIX
bivalente, 2 dosis/frasco, líquido</v>
      </c>
      <c r="K8" s="218"/>
      <c r="L8" s="282" t="str">
        <f>Resultados!L6</f>
        <v>GARDASIL4
tetravalente, 1 dosis/frasco, líquido</v>
      </c>
      <c r="M8" s="217"/>
    </row>
    <row r="9" spans="2:15" ht="8.1" customHeight="1" x14ac:dyDescent="0.25">
      <c r="B9" s="179"/>
      <c r="C9" s="215"/>
      <c r="D9" s="215"/>
      <c r="E9" s="215"/>
      <c r="F9" s="216" t="s">
        <v>76</v>
      </c>
      <c r="G9" s="215"/>
      <c r="H9" s="214" t="s">
        <v>76</v>
      </c>
      <c r="I9" s="215"/>
      <c r="J9" s="214" t="s">
        <v>76</v>
      </c>
      <c r="K9" s="215"/>
      <c r="L9" s="214" t="s">
        <v>76</v>
      </c>
      <c r="M9" s="213"/>
      <c r="O9" s="212"/>
    </row>
    <row r="10" spans="2:15" s="207" customFormat="1" ht="40.35" customHeight="1" x14ac:dyDescent="0.25">
      <c r="B10" s="179"/>
      <c r="C10" s="456" t="s">
        <v>77</v>
      </c>
      <c r="D10" s="185" t="s">
        <v>78</v>
      </c>
      <c r="E10" s="201"/>
      <c r="F10" s="279">
        <f>Resultados!F19/1000000</f>
        <v>0.83883097246315774</v>
      </c>
      <c r="G10" s="210"/>
      <c r="H10" s="279">
        <f>Resultados!H19/1000000</f>
        <v>1.5924425938894735</v>
      </c>
      <c r="I10" s="210"/>
      <c r="J10" s="279">
        <f>Resultados!J19/1000000</f>
        <v>0.88422999075555564</v>
      </c>
      <c r="K10" s="210"/>
      <c r="L10" s="279">
        <f>IF(Panel!L8&lt;&gt;0, Resultados!L19/1000000," " )</f>
        <v>0.83883097246315774</v>
      </c>
      <c r="M10" s="208"/>
    </row>
    <row r="11" spans="2:15" s="207" customFormat="1" ht="40.35" customHeight="1" x14ac:dyDescent="0.25">
      <c r="B11" s="179"/>
      <c r="C11" s="457"/>
      <c r="D11" s="185" t="s">
        <v>79</v>
      </c>
      <c r="E11" s="201"/>
      <c r="F11" s="280">
        <f>F10/5</f>
        <v>0.16776619449263155</v>
      </c>
      <c r="G11" s="211"/>
      <c r="H11" s="280">
        <f>H10/5</f>
        <v>0.31848851877789469</v>
      </c>
      <c r="I11" s="210"/>
      <c r="J11" s="280">
        <f>J10/5</f>
        <v>0.17684599815111113</v>
      </c>
      <c r="K11" s="210"/>
      <c r="L11" s="280">
        <f>IF(Panel!L8&lt;&gt;0,L10/5, " ")</f>
        <v>0.16776619449263155</v>
      </c>
      <c r="M11" s="208"/>
    </row>
    <row r="12" spans="2:15" s="207" customFormat="1" ht="8.1" customHeight="1" x14ac:dyDescent="0.25">
      <c r="B12" s="179"/>
      <c r="C12" s="184"/>
      <c r="D12" s="186"/>
      <c r="E12" s="201"/>
      <c r="F12" s="209"/>
      <c r="G12" s="211"/>
      <c r="H12" s="209"/>
      <c r="I12" s="210"/>
      <c r="J12" s="209"/>
      <c r="K12" s="210"/>
      <c r="L12" s="209"/>
      <c r="M12" s="208"/>
    </row>
    <row r="13" spans="2:15" ht="72" customHeight="1" x14ac:dyDescent="0.25">
      <c r="B13" s="179"/>
      <c r="C13" s="283" t="s">
        <v>125</v>
      </c>
      <c r="D13" s="185" t="s">
        <v>79</v>
      </c>
      <c r="E13" s="201"/>
      <c r="F13" s="284">
        <f>AVERAGE(Resultados!F28:F32)/1000000</f>
        <v>2.4493864395924212</v>
      </c>
      <c r="G13" s="200"/>
      <c r="H13" s="284">
        <f>AVERAGE(Resultados!H28:H32)/1000000</f>
        <v>3.7581645215791575</v>
      </c>
      <c r="I13" s="199">
        <f>(H13-F13)/F13</f>
        <v>0.53432894900998862</v>
      </c>
      <c r="J13" s="284">
        <f>AVERAGE(Resultados!J28:J32)/1000000</f>
        <v>0.8488607911253333</v>
      </c>
      <c r="K13" s="199">
        <f>(J13-F13)/F13</f>
        <v>-0.65343941756018531</v>
      </c>
      <c r="L13" s="284">
        <f>IF(Panel!L8&lt;&gt;0,AVERAGE(Resultados!L28:L32)/1000000," ")</f>
        <v>2.5164929173894737</v>
      </c>
      <c r="M13" s="198">
        <f>(L13-F13)/F13</f>
        <v>2.7397260273972539E-2</v>
      </c>
    </row>
    <row r="14" spans="2:15" ht="8.1" customHeight="1" x14ac:dyDescent="0.25">
      <c r="B14" s="179"/>
      <c r="C14" s="188"/>
      <c r="D14" s="186"/>
      <c r="E14" s="201"/>
      <c r="F14" s="203"/>
      <c r="G14" s="200"/>
      <c r="H14" s="203"/>
      <c r="I14" s="205"/>
      <c r="J14" s="203"/>
      <c r="K14" s="204"/>
      <c r="L14" s="203"/>
      <c r="M14" s="202"/>
    </row>
    <row r="15" spans="2:15" ht="49.5" customHeight="1" x14ac:dyDescent="0.25">
      <c r="B15" s="179"/>
      <c r="C15" s="456" t="s">
        <v>80</v>
      </c>
      <c r="D15" s="185" t="s">
        <v>78</v>
      </c>
      <c r="E15" s="201"/>
      <c r="F15" s="284">
        <f>Resultados!F38/1000000</f>
        <v>0.15855264468312921</v>
      </c>
      <c r="G15" s="206"/>
      <c r="H15" s="284">
        <f>Resultados!H38/1000000</f>
        <v>0.29293673084343241</v>
      </c>
      <c r="I15" s="199">
        <f>(H15-F15)/F15</f>
        <v>0.84756761029671013</v>
      </c>
      <c r="J15" s="284">
        <f>Resultados!J38/1000000</f>
        <v>0.26566786278909726</v>
      </c>
      <c r="K15" s="199">
        <f>(J15-F15)/F15</f>
        <v>0.67558140275767753</v>
      </c>
      <c r="L15" s="284">
        <f>IF(Panel!L8&lt;&gt;0,Resultados!L38/1000000," ")</f>
        <v>0.22547078563139369</v>
      </c>
      <c r="M15" s="198">
        <f>(L15-F15)/F15</f>
        <v>0.42205628977051624</v>
      </c>
    </row>
    <row r="16" spans="2:15" ht="48.75" customHeight="1" x14ac:dyDescent="0.25">
      <c r="B16" s="179"/>
      <c r="C16" s="457"/>
      <c r="D16" s="185" t="s">
        <v>79</v>
      </c>
      <c r="E16" s="201"/>
      <c r="F16" s="284">
        <f>F15/5</f>
        <v>3.1710528936625841E-2</v>
      </c>
      <c r="G16" s="200"/>
      <c r="H16" s="284">
        <f>H15/5</f>
        <v>5.858734616868648E-2</v>
      </c>
      <c r="I16" s="199">
        <f>(H16-F16)/F16</f>
        <v>0.84756761029671002</v>
      </c>
      <c r="J16" s="284">
        <f>J15/5</f>
        <v>5.3133572557819454E-2</v>
      </c>
      <c r="K16" s="199">
        <f>(J16-F16)/F16</f>
        <v>0.67558140275767764</v>
      </c>
      <c r="L16" s="284">
        <f>IF(Panel!L8&lt;&gt;0,L15/5," ")</f>
        <v>4.509415712627874E-2</v>
      </c>
      <c r="M16" s="198">
        <f>(L16-F16)/F16</f>
        <v>0.42205628977051635</v>
      </c>
    </row>
    <row r="17" spans="2:13" ht="8.1" customHeight="1" x14ac:dyDescent="0.25">
      <c r="B17" s="179"/>
      <c r="C17" s="184"/>
      <c r="D17" s="186"/>
      <c r="E17" s="201"/>
      <c r="F17" s="203"/>
      <c r="G17" s="200"/>
      <c r="H17" s="203"/>
      <c r="I17" s="205"/>
      <c r="J17" s="203"/>
      <c r="K17" s="204"/>
      <c r="L17" s="203"/>
      <c r="M17" s="202"/>
    </row>
    <row r="18" spans="2:13" ht="51.75" customHeight="1" x14ac:dyDescent="0.25">
      <c r="B18" s="179"/>
      <c r="C18" s="456" t="s">
        <v>81</v>
      </c>
      <c r="D18" s="185" t="s">
        <v>78</v>
      </c>
      <c r="E18" s="201"/>
      <c r="F18" s="284">
        <f>Resultados!F47/1000000</f>
        <v>0.93487585748312929</v>
      </c>
      <c r="G18" s="200"/>
      <c r="H18" s="284">
        <f>Resultados!H47/1000000</f>
        <v>1.7665528552434324</v>
      </c>
      <c r="I18" s="199">
        <f>(H18-F18)/F18</f>
        <v>0.88961223150990565</v>
      </c>
      <c r="J18" s="284">
        <f>Resultados!J47/1000000</f>
        <v>1.0419910755890973</v>
      </c>
      <c r="K18" s="199">
        <f>(J18-F18)/F18</f>
        <v>0.11457694328992876</v>
      </c>
      <c r="L18" s="284">
        <f>IF(Panel!L8&lt;&gt;0,Resultados!L47/1000000," ")</f>
        <v>1.0017939984313937</v>
      </c>
      <c r="M18" s="198">
        <f>(L18-F18)/F18</f>
        <v>7.157970805709038E-2</v>
      </c>
    </row>
    <row r="19" spans="2:13" ht="57.75" customHeight="1" x14ac:dyDescent="0.25">
      <c r="B19" s="179"/>
      <c r="C19" s="457"/>
      <c r="D19" s="185" t="s">
        <v>79</v>
      </c>
      <c r="E19" s="201"/>
      <c r="F19" s="284">
        <f>F18/5</f>
        <v>0.18697517149662585</v>
      </c>
      <c r="G19" s="200"/>
      <c r="H19" s="284">
        <f>H18/5</f>
        <v>0.35331057104868646</v>
      </c>
      <c r="I19" s="199">
        <f>(H19-F19)/F19</f>
        <v>0.88961223150990554</v>
      </c>
      <c r="J19" s="284">
        <f>J18/5</f>
        <v>0.20839821511781947</v>
      </c>
      <c r="K19" s="199">
        <f>(J19-F19)/F19</f>
        <v>0.11457694328992889</v>
      </c>
      <c r="L19" s="284">
        <f>IF(Panel!L8&lt;&gt;0,L18/5," ")</f>
        <v>0.20035879968627873</v>
      </c>
      <c r="M19" s="198">
        <f>(L19-F19)/F19</f>
        <v>7.157970805709038E-2</v>
      </c>
    </row>
    <row r="20" spans="2:13" ht="21" customHeight="1" x14ac:dyDescent="0.25">
      <c r="B20" s="179"/>
      <c r="C20" s="455" t="s">
        <v>82</v>
      </c>
      <c r="D20" s="455"/>
      <c r="E20" s="455"/>
      <c r="F20" s="455"/>
      <c r="G20" s="455"/>
      <c r="H20" s="455"/>
      <c r="I20" s="455"/>
      <c r="J20" s="455"/>
      <c r="K20" s="455"/>
      <c r="L20" s="455"/>
      <c r="M20" s="455"/>
    </row>
    <row r="21" spans="2:13" ht="17.399999999999999" x14ac:dyDescent="0.25">
      <c r="C21" s="197"/>
      <c r="D21" s="197"/>
      <c r="E21" s="197"/>
      <c r="F21" s="197"/>
      <c r="G21" s="197"/>
      <c r="H21" s="197"/>
      <c r="I21" s="197"/>
      <c r="J21" s="118"/>
      <c r="K21" s="118"/>
      <c r="L21" s="197"/>
      <c r="M21" s="197"/>
    </row>
    <row r="22" spans="2:13" ht="15.6" x14ac:dyDescent="0.25">
      <c r="B22" s="179"/>
      <c r="C22" s="196"/>
      <c r="D22" s="196"/>
      <c r="E22" s="196"/>
      <c r="F22" s="195"/>
      <c r="G22" s="195"/>
      <c r="H22" s="195"/>
      <c r="I22" s="195"/>
      <c r="J22" s="195"/>
      <c r="K22" s="195"/>
      <c r="L22" s="195"/>
      <c r="M22" s="195"/>
    </row>
    <row r="23" spans="2:13" ht="32.1" customHeight="1" x14ac:dyDescent="0.25">
      <c r="B23" s="179"/>
      <c r="C23" s="459" t="s">
        <v>163</v>
      </c>
      <c r="D23" s="459"/>
      <c r="E23" s="459"/>
      <c r="F23" s="459"/>
      <c r="G23" s="459"/>
      <c r="H23" s="459"/>
      <c r="I23" s="459"/>
      <c r="J23" s="459"/>
      <c r="K23" s="459"/>
      <c r="L23" s="459"/>
      <c r="M23" s="181"/>
    </row>
    <row r="24" spans="2:13" ht="27" customHeight="1" x14ac:dyDescent="0.25">
      <c r="B24" s="179"/>
      <c r="C24" s="452" t="s">
        <v>83</v>
      </c>
      <c r="D24" s="452"/>
      <c r="E24" s="452"/>
      <c r="F24" s="452"/>
      <c r="G24" s="452"/>
      <c r="H24" s="452"/>
      <c r="I24" s="452"/>
      <c r="J24" s="452"/>
      <c r="K24" s="181"/>
      <c r="L24" s="180"/>
      <c r="M24" s="180"/>
    </row>
    <row r="25" spans="2:13" ht="34.35" hidden="1" customHeight="1" outlineLevel="1" x14ac:dyDescent="0.25">
      <c r="B25" s="179"/>
      <c r="C25" s="184"/>
      <c r="D25" s="184"/>
      <c r="E25" s="184"/>
      <c r="F25" s="191" t="s">
        <v>71</v>
      </c>
      <c r="G25" s="194"/>
      <c r="H25" s="193" t="s">
        <v>73</v>
      </c>
      <c r="I25" s="192"/>
      <c r="J25" s="191" t="s">
        <v>74</v>
      </c>
      <c r="K25" s="181"/>
      <c r="L25" s="180"/>
      <c r="M25" s="180"/>
    </row>
    <row r="26" spans="2:13" ht="8.1" hidden="1" customHeight="1" outlineLevel="1" x14ac:dyDescent="0.25">
      <c r="B26" s="179"/>
      <c r="C26" s="184"/>
      <c r="D26" s="184"/>
      <c r="E26" s="184"/>
      <c r="F26" s="181"/>
      <c r="G26" s="181"/>
      <c r="H26" s="180"/>
      <c r="I26" s="180"/>
      <c r="J26" s="181"/>
      <c r="K26" s="181"/>
      <c r="L26" s="180"/>
      <c r="M26" s="180"/>
    </row>
    <row r="27" spans="2:13" ht="40.35" hidden="1" customHeight="1" outlineLevel="1" x14ac:dyDescent="0.25">
      <c r="B27" s="179"/>
      <c r="C27" s="451" t="s">
        <v>77</v>
      </c>
      <c r="D27" s="185" t="s">
        <v>78</v>
      </c>
      <c r="E27" s="184"/>
      <c r="F27" s="190">
        <f>('Datos del Modelo'!$G97*Resultados!$F19+'Datos del Modelo'!$I97*Resultados!$H19+'Datos del Modelo'!$K97*Resultados!$J19+'Datos del Modelo'!$M97*Resultados!$L19)/1000000</f>
        <v>1.0762642134641518</v>
      </c>
      <c r="G27" s="183"/>
      <c r="H27" s="190">
        <f>('Datos del Modelo'!$G101*Resultados!$F19+'Datos del Modelo'!$I101*Resultados!$H19+'Datos del Modelo'!$K101*Resultados!$J19+'Datos del Modelo'!$M101*Resultados!$L19)/1000000</f>
        <v>1.0876139680372514</v>
      </c>
      <c r="I27" s="182"/>
      <c r="J27" s="190">
        <f>('Datos del Modelo'!$G105*Resultados!$F19+'Datos del Modelo'!$I105*Resultados!$H19+'Datos del Modelo'!$K105*Resultados!$J19+'Datos del Modelo'!$M105*Resultados!$L19)/1000000</f>
        <v>0.86153048160935675</v>
      </c>
      <c r="K27" s="181"/>
      <c r="L27" s="180"/>
      <c r="M27" s="180"/>
    </row>
    <row r="28" spans="2:13" ht="40.35" hidden="1" customHeight="1" outlineLevel="1" x14ac:dyDescent="0.25">
      <c r="B28" s="179"/>
      <c r="C28" s="451"/>
      <c r="D28" s="185" t="s">
        <v>79</v>
      </c>
      <c r="E28" s="184"/>
      <c r="F28" s="189">
        <f>F27/5</f>
        <v>0.21525284269283035</v>
      </c>
      <c r="G28" s="183"/>
      <c r="H28" s="189">
        <f>H27/5</f>
        <v>0.21752279360745028</v>
      </c>
      <c r="I28" s="182"/>
      <c r="J28" s="189">
        <f>J27/5</f>
        <v>0.17230609632187135</v>
      </c>
      <c r="K28" s="181"/>
      <c r="L28" s="180"/>
      <c r="M28" s="180"/>
    </row>
    <row r="29" spans="2:13" ht="8.1" hidden="1" customHeight="1" outlineLevel="1" x14ac:dyDescent="0.25">
      <c r="B29" s="179"/>
      <c r="C29" s="184"/>
      <c r="D29" s="186"/>
      <c r="E29" s="184"/>
      <c r="F29" s="187"/>
      <c r="G29" s="183"/>
      <c r="H29" s="187"/>
      <c r="I29" s="182"/>
      <c r="J29" s="187"/>
      <c r="K29" s="181"/>
      <c r="L29" s="180"/>
      <c r="M29" s="180"/>
    </row>
    <row r="30" spans="2:13" ht="72" hidden="1" customHeight="1" outlineLevel="1" x14ac:dyDescent="0.25">
      <c r="B30" s="179"/>
      <c r="C30" s="283" t="s">
        <v>125</v>
      </c>
      <c r="D30" s="185" t="s">
        <v>79</v>
      </c>
      <c r="E30" s="184"/>
      <c r="F30" s="189">
        <f>('Datos del Modelo'!$G97*SUM(Resultados!$F28:$F32)/5+'Datos del Modelo'!$I97*SUM(Resultados!$H28:$H32)/5+'Datos del Modelo'!$K97*SUM(Resultados!$J28:$J32)/5+'Datos del Modelo'!$M97*SUM(Resultados!$L28:$L32)/5)/1000000</f>
        <v>2.4586650715209331</v>
      </c>
      <c r="G30" s="183"/>
      <c r="H30" s="189">
        <f>('Datos del Modelo'!$G101*SUM(Resultados!$F28:$F32)/5+'Datos del Modelo'!$I101*SUM(Resultados!$H28:$H32)/5+'Datos del Modelo'!$K101*SUM(Resultados!$J28:$J32)/5+'Datos del Modelo'!$M101*SUM(Resultados!$L28:$L32)/5)/1000000</f>
        <v>2.0417570399548981</v>
      </c>
      <c r="I30" s="182"/>
      <c r="J30" s="189">
        <f>('Datos del Modelo'!$G105*SUM(Resultados!$F28:$F32)/5+'Datos del Modelo'!$I105*SUM(Resultados!$H28:$H32)/5+'Datos del Modelo'!$K105*SUM(Resultados!$J28:$J32)/5+'Datos del Modelo'!$M105*SUM(Resultados!$L28:$L32)/5)/1000000</f>
        <v>1.6491236153588773</v>
      </c>
      <c r="K30" s="181"/>
      <c r="L30" s="180"/>
      <c r="M30" s="180"/>
    </row>
    <row r="31" spans="2:13" ht="8.1" hidden="1" customHeight="1" outlineLevel="1" x14ac:dyDescent="0.25">
      <c r="B31" s="179"/>
      <c r="C31" s="188"/>
      <c r="D31" s="186"/>
      <c r="E31" s="184"/>
      <c r="F31" s="187"/>
      <c r="G31" s="183"/>
      <c r="H31" s="187"/>
      <c r="I31" s="182"/>
      <c r="J31" s="187"/>
      <c r="K31" s="181"/>
      <c r="L31" s="180"/>
      <c r="M31" s="180"/>
    </row>
    <row r="32" spans="2:13" ht="40.35" hidden="1" customHeight="1" outlineLevel="1" x14ac:dyDescent="0.25">
      <c r="B32" s="179"/>
      <c r="C32" s="451" t="s">
        <v>84</v>
      </c>
      <c r="D32" s="185" t="s">
        <v>78</v>
      </c>
      <c r="E32" s="184"/>
      <c r="F32" s="362">
        <f>('Datos del Modelo'!$G97*Resultados!$F38+'Datos del Modelo'!$I97*Resultados!$H38+'Datos del Modelo'!$K97*Resultados!$J38+'Datos del Modelo'!$M97*Resultados!$L38)/1000000</f>
        <v>0.24237621029477829</v>
      </c>
      <c r="G32" s="183"/>
      <c r="H32" s="362">
        <f>('Datos del Modelo'!$G101*Resultados!$F38+'Datos del Modelo'!$I101*Resultados!$H38+'Datos del Modelo'!$K101*Resultados!$J38+'Datos del Modelo'!$M101*Resultados!$L38)/1000000</f>
        <v>0.25242547958420419</v>
      </c>
      <c r="I32" s="182"/>
      <c r="J32" s="362">
        <f>('Datos del Modelo'!$G105*Resultados!$F38+'Datos del Modelo'!$I105*Resultados!$H38+'Datos del Modelo'!$K105*Resultados!$J38+'Datos del Modelo'!$M105*Resultados!$L38)/1000000</f>
        <v>0.21211025373611322</v>
      </c>
      <c r="K32" s="181"/>
      <c r="L32" s="180"/>
      <c r="M32" s="180"/>
    </row>
    <row r="33" spans="2:13" ht="44.25" hidden="1" customHeight="1" outlineLevel="1" x14ac:dyDescent="0.25">
      <c r="B33" s="179"/>
      <c r="C33" s="451"/>
      <c r="D33" s="185" t="s">
        <v>79</v>
      </c>
      <c r="E33" s="184"/>
      <c r="F33" s="362">
        <f>F32/5</f>
        <v>4.8475242058955662E-2</v>
      </c>
      <c r="G33" s="183"/>
      <c r="H33" s="362">
        <f>H32/5</f>
        <v>5.048509591684084E-2</v>
      </c>
      <c r="I33" s="182"/>
      <c r="J33" s="362">
        <f>J32/5</f>
        <v>4.2422050747222648E-2</v>
      </c>
      <c r="K33" s="181"/>
      <c r="L33" s="180"/>
      <c r="M33" s="180"/>
    </row>
    <row r="34" spans="2:13" ht="8.1" hidden="1" customHeight="1" outlineLevel="1" x14ac:dyDescent="0.25">
      <c r="B34" s="179"/>
      <c r="C34" s="184"/>
      <c r="D34" s="186"/>
      <c r="E34" s="184"/>
      <c r="F34" s="183"/>
      <c r="G34" s="183"/>
      <c r="H34" s="183"/>
      <c r="I34" s="182"/>
      <c r="J34" s="183"/>
      <c r="K34" s="181"/>
      <c r="L34" s="180"/>
      <c r="M34" s="180"/>
    </row>
    <row r="35" spans="2:13" ht="54.75" hidden="1" customHeight="1" outlineLevel="1" x14ac:dyDescent="0.25">
      <c r="B35" s="179"/>
      <c r="C35" s="451" t="s">
        <v>81</v>
      </c>
      <c r="D35" s="185" t="s">
        <v>78</v>
      </c>
      <c r="E35" s="184"/>
      <c r="F35" s="361">
        <f>('Datos del Modelo'!$G97*Resultados!$F47+'Datos del Modelo'!$I97*Resultados!$H47+'Datos del Modelo'!$K97*Resultados!$J47+'Datos del Modelo'!M$97*Resultados!$L47)/1000000</f>
        <v>1.2278872965747782</v>
      </c>
      <c r="G35" s="183"/>
      <c r="H35" s="361">
        <f>('Datos del Modelo'!$G101*Resultados!$F47+'Datos del Modelo'!$I101*Resultados!$H47+'Datos del Modelo'!$K101*Resultados!$J47+'Datos del Modelo'!$M101*Resultados!$L47)/1000000</f>
        <v>1.2379365658642041</v>
      </c>
      <c r="I35" s="182"/>
      <c r="J35" s="361">
        <f>('Datos del Modelo'!$G105*Resultados!$F47+'Datos del Modelo'!$I105*Resultados!$H47+'Datos del Modelo'!$K105*Resultados!$J47+'Datos del Modelo'!$M105*Resultados!$L47)/1000000</f>
        <v>0.9884334665361133</v>
      </c>
      <c r="K35" s="181"/>
      <c r="L35" s="180"/>
      <c r="M35" s="180"/>
    </row>
    <row r="36" spans="2:13" ht="55.5" hidden="1" customHeight="1" outlineLevel="1" x14ac:dyDescent="0.25">
      <c r="B36" s="179"/>
      <c r="C36" s="451"/>
      <c r="D36" s="185" t="s">
        <v>79</v>
      </c>
      <c r="E36" s="184"/>
      <c r="F36" s="362">
        <f>F35/5</f>
        <v>0.24557745931495564</v>
      </c>
      <c r="G36" s="183"/>
      <c r="H36" s="362">
        <f>H35/5</f>
        <v>0.24758731317284083</v>
      </c>
      <c r="I36" s="182"/>
      <c r="J36" s="362">
        <f>J35/5</f>
        <v>0.19768669330722266</v>
      </c>
      <c r="K36" s="181"/>
      <c r="L36" s="180"/>
      <c r="M36" s="180"/>
    </row>
    <row r="37" spans="2:13" hidden="1" outlineLevel="1" x14ac:dyDescent="0.25">
      <c r="B37" s="179"/>
      <c r="C37" s="179"/>
      <c r="D37" s="179"/>
      <c r="E37" s="179"/>
      <c r="F37" s="179"/>
      <c r="G37" s="179"/>
      <c r="H37" s="179"/>
      <c r="I37" s="179"/>
      <c r="J37" s="179"/>
      <c r="K37" s="179"/>
      <c r="L37" s="179"/>
      <c r="M37" s="179"/>
    </row>
    <row r="38" spans="2:13" collapsed="1" x14ac:dyDescent="0.25"/>
  </sheetData>
  <sheetProtection algorithmName="SHA-512" hashValue="0GU4Hk5Mo4WtROk4gLk0mEab1/mdPD6k2pa/yZF0Zs2w0gUDezl/jhSBvV/9/N2YVVD1wi70ZrvJqyFq1QONuQ==" saltValue="5WB7er7PZB5x6D+gGaDLiQ=="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13 H13 J13 L13">
    <cfRule type="colorScale" priority="6">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 F30 J30">
    <cfRule type="colorScale" priority="3">
      <colorScale>
        <cfvo type="min"/>
        <cfvo type="percentile" val="50"/>
        <cfvo type="max"/>
        <color rgb="FF00BB6B"/>
        <color rgb="FFE2E278"/>
        <color theme="3"/>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ignoredErrors>
    <ignoredError sqref="I16 I19"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6640625" defaultRowHeight="13.8" x14ac:dyDescent="0.25"/>
  <cols>
    <col min="1" max="1" width="2.44140625" style="229" customWidth="1"/>
    <col min="2" max="3" width="5.6640625" style="229" customWidth="1"/>
    <col min="4" max="4" width="20.44140625" style="229" customWidth="1"/>
    <col min="5" max="5" width="1.44140625" style="229" customWidth="1"/>
    <col min="6" max="6" width="22.44140625" style="229" customWidth="1"/>
    <col min="7" max="7" width="1.44140625" style="229" customWidth="1"/>
    <col min="8" max="8" width="22.44140625" style="229" customWidth="1"/>
    <col min="9" max="9" width="1.44140625" style="229" customWidth="1"/>
    <col min="10" max="10" width="22.44140625" style="229" customWidth="1"/>
    <col min="11" max="11" width="1.44140625" style="229" customWidth="1"/>
    <col min="12" max="12" width="22.44140625" style="229" customWidth="1"/>
    <col min="13" max="14" width="5.6640625" style="229" customWidth="1"/>
    <col min="15" max="17" width="10.44140625" style="229" bestFit="1" customWidth="1"/>
    <col min="18" max="16384" width="8.6640625" style="229"/>
  </cols>
  <sheetData>
    <row r="1" spans="1:15" ht="8.1" customHeight="1" x14ac:dyDescent="0.25">
      <c r="B1" s="461"/>
      <c r="C1" s="461"/>
      <c r="D1" s="461"/>
      <c r="E1" s="461"/>
      <c r="F1" s="461"/>
      <c r="G1" s="461"/>
      <c r="H1" s="461"/>
      <c r="I1" s="461"/>
      <c r="J1" s="461"/>
      <c r="K1" s="461"/>
      <c r="L1" s="461"/>
      <c r="M1" s="461"/>
      <c r="N1" s="272"/>
    </row>
    <row r="2" spans="1:15" ht="19.350000000000001" customHeight="1" x14ac:dyDescent="0.25">
      <c r="A2" s="440" t="s">
        <v>133</v>
      </c>
      <c r="B2" s="440"/>
      <c r="C2" s="440"/>
      <c r="D2" s="440"/>
      <c r="E2" s="440"/>
      <c r="F2" s="440"/>
      <c r="G2" s="440"/>
      <c r="H2" s="440"/>
      <c r="I2" s="440"/>
      <c r="J2" s="440"/>
      <c r="K2" s="440"/>
      <c r="L2" s="440"/>
      <c r="M2" s="440"/>
      <c r="N2" s="440"/>
      <c r="O2" s="262"/>
    </row>
    <row r="3" spans="1:15" ht="14.85" customHeight="1" x14ac:dyDescent="0.25">
      <c r="B3" s="234"/>
      <c r="C3" s="234"/>
      <c r="D3" s="464"/>
      <c r="E3" s="464"/>
      <c r="F3" s="464"/>
      <c r="G3" s="464"/>
      <c r="H3" s="464"/>
      <c r="I3" s="464"/>
      <c r="J3" s="464"/>
      <c r="K3" s="464"/>
      <c r="L3" s="464"/>
      <c r="M3" s="260"/>
      <c r="N3" s="260"/>
    </row>
    <row r="4" spans="1:15" ht="60" customHeight="1" x14ac:dyDescent="0.25">
      <c r="B4" s="234"/>
      <c r="C4" s="270"/>
      <c r="D4" s="466" t="s">
        <v>85</v>
      </c>
      <c r="E4" s="466"/>
      <c r="F4" s="466"/>
      <c r="G4" s="466"/>
      <c r="H4" s="466"/>
      <c r="I4" s="466"/>
      <c r="J4" s="466"/>
      <c r="K4" s="466"/>
      <c r="L4" s="466"/>
      <c r="M4" s="271"/>
      <c r="N4" s="260"/>
    </row>
    <row r="5" spans="1:15" ht="14.85" customHeight="1" x14ac:dyDescent="0.25">
      <c r="B5" s="234"/>
      <c r="C5" s="234"/>
      <c r="D5" s="260"/>
      <c r="E5" s="260"/>
      <c r="F5" s="260"/>
      <c r="G5" s="260"/>
      <c r="H5" s="260"/>
      <c r="I5" s="260"/>
      <c r="J5" s="260"/>
      <c r="K5" s="260"/>
      <c r="L5" s="230"/>
      <c r="M5" s="230"/>
      <c r="N5" s="230"/>
    </row>
    <row r="6" spans="1:15" s="256" customFormat="1" ht="121.35" customHeight="1" x14ac:dyDescent="0.25">
      <c r="B6" s="259"/>
      <c r="C6" s="259"/>
      <c r="D6" s="258"/>
      <c r="E6" s="258"/>
      <c r="F6" s="57" t="str">
        <f>'Datos del Modelo'!G50</f>
        <v>CECOLIN
bivalente, 1 dosis/frasco, líquido</v>
      </c>
      <c r="G6" s="238"/>
      <c r="H6" s="57" t="str">
        <f>'Datos del Modelo'!I50</f>
        <v>WALRINVAX 
bivalente, 1 dosis/frasco, líquido</v>
      </c>
      <c r="I6" s="238"/>
      <c r="J6" s="57" t="str">
        <f>'Datos del Modelo'!K50</f>
        <v>CERVARIX
bivalente, 2 dosis/frasco, líquido</v>
      </c>
      <c r="K6" s="238"/>
      <c r="L6" s="57" t="str">
        <f>'Datos del Modelo'!M50</f>
        <v>GARDASIL4
tetravalente, 1 dosis/frasco, líquido</v>
      </c>
      <c r="M6" s="257"/>
      <c r="N6" s="257"/>
    </row>
    <row r="7" spans="1:15" ht="15" customHeight="1" x14ac:dyDescent="0.25">
      <c r="B7" s="234"/>
      <c r="C7" s="234"/>
      <c r="D7" s="242"/>
      <c r="E7" s="242"/>
      <c r="F7" s="242"/>
      <c r="G7" s="242"/>
      <c r="H7" s="242"/>
      <c r="I7" s="242"/>
      <c r="J7" s="242"/>
      <c r="K7" s="242"/>
      <c r="L7" s="242"/>
      <c r="M7" s="230"/>
      <c r="N7" s="230"/>
    </row>
    <row r="8" spans="1:15" ht="41.1" customHeight="1" x14ac:dyDescent="0.25">
      <c r="B8" s="234"/>
      <c r="C8" s="234"/>
      <c r="D8" s="465" t="s">
        <v>86</v>
      </c>
      <c r="E8" s="465"/>
      <c r="F8" s="465"/>
      <c r="G8" s="465"/>
      <c r="H8" s="465"/>
      <c r="I8" s="465"/>
      <c r="J8" s="465"/>
      <c r="K8" s="465"/>
      <c r="L8" s="465"/>
      <c r="M8" s="230"/>
      <c r="N8" s="230"/>
    </row>
    <row r="9" spans="1:15" ht="8.1" customHeight="1" x14ac:dyDescent="0.25">
      <c r="B9" s="234"/>
      <c r="C9" s="234"/>
      <c r="D9" s="255"/>
      <c r="E9" s="255"/>
      <c r="F9" s="255"/>
      <c r="G9" s="255"/>
      <c r="H9" s="255"/>
      <c r="I9" s="255"/>
      <c r="J9" s="255"/>
      <c r="K9" s="255"/>
      <c r="L9" s="255"/>
      <c r="M9" s="230"/>
      <c r="N9" s="230"/>
    </row>
    <row r="10" spans="1:15" ht="35.1" customHeight="1" x14ac:dyDescent="0.25">
      <c r="B10" s="234"/>
      <c r="C10" s="234"/>
      <c r="D10" s="254" t="s">
        <v>87</v>
      </c>
      <c r="E10" s="253"/>
      <c r="F10" s="251">
        <f>SUM(F11:F15)</f>
        <v>776323.21279999998</v>
      </c>
      <c r="G10" s="252"/>
      <c r="H10" s="251">
        <f>SUM(H11:H15)</f>
        <v>1473616.1244000001</v>
      </c>
      <c r="I10" s="252"/>
      <c r="J10" s="251">
        <f>SUM(J11:J15)</f>
        <v>776323.21279999998</v>
      </c>
      <c r="K10" s="252"/>
      <c r="L10" s="251">
        <f>SUM(L11:L15)</f>
        <v>776323.21279999998</v>
      </c>
      <c r="M10" s="230"/>
      <c r="N10" s="230"/>
    </row>
    <row r="11" spans="1:15" ht="15.6" x14ac:dyDescent="0.25">
      <c r="B11" s="234"/>
      <c r="C11" s="234"/>
      <c r="D11" s="233">
        <f>'Datos del Modelo'!$G$8</f>
        <v>2026</v>
      </c>
      <c r="E11" s="232"/>
      <c r="F11" s="243">
        <f>(IF('Datos del Modelo'!G$70=2,(('Datos del Modelo'!$G$9*(1+'Datos del Modelo'!$G$11)^(D11-'Datos del Modelo'!$G$8))*(SUM('Datos del Modelo'!$G$13*'Datos del Modelo'!$G$14,'Datos del Modelo'!$G$16*'Datos del Modelo'!$G$17,'Datos del Modelo'!$G$19*'Datos del Modelo'!$G$20))+('Datos del Modelo'!$G$9*(1+'Datos del Modelo'!$G$11)^(D11-'Datos del Modelo'!$G$8))*(SUM('Datos del Modelo'!$G$13*'Datos del Modelo'!$G$15,'Datos del Modelo'!$G$16*'Datos del Modelo'!$G$18,'Datos del Modelo'!$G$19*'Datos del Modelo'!$G$21))),('Datos del Modelo'!$G$9*(1+'Datos del Modelo'!$G$11)^(D11-'Datos del Modelo'!$G$8))*(SUM('Datos del Modelo'!$G$13*'Datos del Modelo'!$G$14,'Datos del Modelo'!$G$16*'Datos del Modelo'!$G$17,'Datos del Modelo'!$G$19*'Datos del Modelo'!$G$20))))+(IF('Datos del Modelo'!G$70=2,(('Datos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440000</v>
      </c>
      <c r="G11" s="244"/>
      <c r="H11" s="243">
        <f>(IF('Datos del Modelo'!I$70=2,(('Datos del Modelo'!$G$9*(1+'Datos del Modelo'!$G$11)^(D11-'Datos del Modelo'!$G$8))*(SUM('Datos del Modelo'!$G$13*'Datos del Modelo'!$G$14,'Datos del Modelo'!$G$16*'Datos del Modelo'!$G$17,'Datos del Modelo'!$G$19*'Datos del Modelo'!$G$20))+('Datos del Modelo'!$G$9*(1+'Datos del Modelo'!$G$11)^(D11-'Datos del Modelo'!$G$8))*(SUM('Datos del Modelo'!$G$13*'Datos del Modelo'!$G$15,'Datos del Modelo'!$G$16*'Datos del Modelo'!$G$18,'Datos del Modelo'!$G$19*'Datos del Modelo'!$G$21))),('Datos del Modelo'!$G$9*(1+'Datos del Modelo'!$G$11)^(D11-'Datos del Modelo'!$G$8))*(SUM('Datos del Modelo'!$G$13*'Datos del Modelo'!$G$14,'Datos del Modelo'!$G$16*'Datos del Modelo'!$G$17,'Datos del Modelo'!$G$19*'Datos del Modelo'!$G$20))))+(IF('Datos del Modelo'!I$70=2,(('Datos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832500</v>
      </c>
      <c r="I11" s="244"/>
      <c r="J11" s="243">
        <f>(IF('Datos del Modelo'!K$70=2,(('Datos del Modelo'!$G$9*(1+'Datos del Modelo'!$G$11)^(D11-'Datos del Modelo'!$G$8))*(SUM('Datos del Modelo'!$G$13*'Datos del Modelo'!$G$14,'Datos del Modelo'!$G$16*'Datos del Modelo'!$G$17,'Datos del Modelo'!$G$19*'Datos del Modelo'!$G$20))+('Datos del Modelo'!$G$9*(1+'Datos del Modelo'!$G$11)^(D11-'Datos del Modelo'!$G$8))*(SUM('Datos del Modelo'!$G$13*'Datos del Modelo'!$G$15,'Datos del Modelo'!$G$16*'Datos del Modelo'!$G$18,'Datos del Modelo'!$G$19*'Datos del Modelo'!$G$21))),('Datos del Modelo'!$G$9*(1+'Datos del Modelo'!$G$11)^(D11-'Datos del Modelo'!$G$8))*(SUM('Datos del Modelo'!$G$13*'Datos del Modelo'!$G$14,'Datos del Modelo'!$G$16*'Datos del Modelo'!$G$17,'Datos del Modelo'!$G$19*'Datos del Modelo'!$G$20))))+(IF('Datos del Modelo'!K$70=2,(('Datos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440000</v>
      </c>
      <c r="K11" s="244"/>
      <c r="L11" s="243">
        <f>(IF('Datos del Modelo'!M$70=2,(('Datos del Modelo'!$G$9*(1+'Datos del Modelo'!$G$11)^(D11-'Datos del Modelo'!$G$8))*(SUM('Datos del Modelo'!$G$13*'Datos del Modelo'!$G$14,'Datos del Modelo'!$G$16*'Datos del Modelo'!$G$17,'Datos del Modelo'!$G$19*'Datos del Modelo'!$G$20))+('Datos del Modelo'!$G$9*(1+'Datos del Modelo'!$G$11)^(D11-'Datos del Modelo'!$G$8))*(SUM('Datos del Modelo'!$G$13*'Datos del Modelo'!$G$15,'Datos del Modelo'!$G$16*'Datos del Modelo'!$G$18,'Datos del Modelo'!$G$19*'Datos del Modelo'!$G$21))),('Datos del Modelo'!$G$9*(1+'Datos del Modelo'!$G$11)^(D11-'Datos del Modelo'!$G$8))*(SUM('Datos del Modelo'!$G$13*'Datos del Modelo'!$G$14,'Datos del Modelo'!$G$16*'Datos del Modelo'!$G$17,'Datos del Modelo'!$G$19*'Datos del Modelo'!$G$20))))+(IF('Datos del Modelo'!M$70=2,(('Datos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440000</v>
      </c>
      <c r="M11" s="230"/>
      <c r="N11" s="230"/>
    </row>
    <row r="12" spans="1:15" ht="15.6" x14ac:dyDescent="0.25">
      <c r="B12" s="234"/>
      <c r="C12" s="234"/>
      <c r="D12" s="233">
        <f>'Datos del Modelo'!$G$8+1</f>
        <v>2027</v>
      </c>
      <c r="E12" s="232"/>
      <c r="F12" s="243">
        <f>IF('Datos del Modelo'!G$70=2,(('Datos del Modelo'!$G$9*(1+'Datos del Modelo'!$G$11)^(D12-'Datos del Modelo'!$G$8))*(SUM('Datos del Modelo'!$G$13*'Datos del Modelo'!$G$14,'Datos del Modelo'!$G$16*'Datos del Modelo'!$G$17,'Datos del Modelo'!$G$19*'Datos del Modelo'!$G$20))+('Datos del Modelo'!$G$9*(1+'Datos del Modelo'!$G$11)^(D12-'Datos del Modelo'!$G$8))*(SUM('Datos del Modelo'!$G$13*'Datos del Modelo'!$G$15,'Datos del Modelo'!$G$16*'Datos del Modelo'!$G$18,'Datos del Modelo'!$G$19*'Datos del Modelo'!$G$21))),('Datos del Modelo'!$G$9*(1+'Datos del Modelo'!$G$11)^(D12-'Datos del Modelo'!$G$8))*(SUM('Datos del Modelo'!$G$13*'Datos del Modelo'!$G$14,'Datos del Modelo'!$G$16*'Datos del Modelo'!$G$17,'Datos del Modelo'!$G$19*'Datos del Modelo'!$G$20)))</f>
        <v>81600</v>
      </c>
      <c r="G12" s="244"/>
      <c r="H12" s="243">
        <f>IF('Datos del Modelo'!I$70=2,(('Datos del Modelo'!$G$9*(1+'Datos del Modelo'!$G$11)^(D12-'Datos del Modelo'!$G$8))*(SUM('Datos del Modelo'!$G$13*'Datos del Modelo'!$G$14,'Datos del Modelo'!$G$16*'Datos del Modelo'!$G$17,'Datos del Modelo'!$G$19*'Datos del Modelo'!$G$20))+('Datos del Modelo'!$G$9*(1+'Datos del Modelo'!$G$11)^(D12-'Datos del Modelo'!$G$8))*(SUM('Datos del Modelo'!$G$13*'Datos del Modelo'!$G$15,'Datos del Modelo'!$G$16*'Datos del Modelo'!$G$18,'Datos del Modelo'!$G$19*'Datos del Modelo'!$G$21))),('Datos del Modelo'!$G$9*(1+'Datos del Modelo'!$G$11)^(D12-'Datos del Modelo'!$G$8))*(SUM('Datos del Modelo'!$G$13*'Datos del Modelo'!$G$14,'Datos del Modelo'!$G$16*'Datos del Modelo'!$G$17,'Datos del Modelo'!$G$19*'Datos del Modelo'!$G$20)))</f>
        <v>155550</v>
      </c>
      <c r="I12" s="244"/>
      <c r="J12" s="243">
        <f>IF('Datos del Modelo'!K$70=2,(('Datos del Modelo'!$G$9*(1+'Datos del Modelo'!$G$11)^(D12-'Datos del Modelo'!$G$8))*(SUM('Datos del Modelo'!$G$13*'Datos del Modelo'!$G$14,'Datos del Modelo'!$G$16*'Datos del Modelo'!$G$17,'Datos del Modelo'!$G$19*'Datos del Modelo'!$G$20))+('Datos del Modelo'!$G$9*(1+'Datos del Modelo'!$G$11)^(D12-'Datos del Modelo'!$G$8))*(SUM('Datos del Modelo'!$G$13*'Datos del Modelo'!$G$15,'Datos del Modelo'!$G$16*'Datos del Modelo'!$G$18,'Datos del Modelo'!$G$19*'Datos del Modelo'!$G$21))),('Datos del Modelo'!$G$9*(1+'Datos del Modelo'!$G$11)^(D12-'Datos del Modelo'!$G$8))*(SUM('Datos del Modelo'!$G$13*'Datos del Modelo'!$G$14,'Datos del Modelo'!$G$16*'Datos del Modelo'!$G$17,'Datos del Modelo'!$G$19*'Datos del Modelo'!$G$20)))</f>
        <v>81600</v>
      </c>
      <c r="K12" s="244"/>
      <c r="L12" s="243">
        <f>IF('Datos del Modelo'!M$70=2,(('Datos del Modelo'!$G$9*(1+'Datos del Modelo'!$G$11)^(D12-'Datos del Modelo'!$G$8))*(SUM('Datos del Modelo'!$G$13*'Datos del Modelo'!$G$14,'Datos del Modelo'!$G$16*'Datos del Modelo'!$G$17,'Datos del Modelo'!$G$19*'Datos del Modelo'!$G$20))+('Datos del Modelo'!$G$9*(1+'Datos del Modelo'!$G$11)^(D12-'Datos del Modelo'!$G$8))*(SUM('Datos del Modelo'!$G$13*'Datos del Modelo'!$G$15,'Datos del Modelo'!$G$16*'Datos del Modelo'!$G$18,'Datos del Modelo'!$G$19*'Datos del Modelo'!$G$21))),('Datos del Modelo'!$G$9*(1+'Datos del Modelo'!$G$11)^(D12-'Datos del Modelo'!$G$8))*(SUM('Datos del Modelo'!$G$13*'Datos del Modelo'!$G$14,'Datos del Modelo'!$G$16*'Datos del Modelo'!$G$17,'Datos del Modelo'!$G$19*'Datos del Modelo'!$G$20)))</f>
        <v>81600</v>
      </c>
      <c r="M12" s="230"/>
      <c r="N12" s="230"/>
    </row>
    <row r="13" spans="1:15" ht="15.6" x14ac:dyDescent="0.25">
      <c r="B13" s="234"/>
      <c r="C13" s="234"/>
      <c r="D13" s="233">
        <f>'Datos del Modelo'!$G$8+2</f>
        <v>2028</v>
      </c>
      <c r="E13" s="232"/>
      <c r="F13" s="243">
        <f>IF('Datos del Modelo'!G$70=2,(('Datos del Modelo'!$G$9*(1+'Datos del Modelo'!$G$11)^(D13-'Datos del Modelo'!$G$8))*(SUM('Datos del Modelo'!$G$13*'Datos del Modelo'!$G$14,'Datos del Modelo'!$G$16*'Datos del Modelo'!$G$17,'Datos del Modelo'!$G$19*'Datos del Modelo'!$G$20))+('Datos del Modelo'!$G$9*(1+'Datos del Modelo'!$G$11)^(D13-'Datos del Modelo'!$G$8))*(SUM('Datos del Modelo'!$G$13*'Datos del Modelo'!$G$15,'Datos del Modelo'!$G$16*'Datos del Modelo'!$G$18,'Datos del Modelo'!$G$19*'Datos del Modelo'!$G$21))),('Datos del Modelo'!$G$9*(1+'Datos del Modelo'!$G$11)^(D13-'Datos del Modelo'!$G$8))*(SUM('Datos del Modelo'!$G$13*'Datos del Modelo'!$G$14,'Datos del Modelo'!$G$16*'Datos del Modelo'!$G$17,'Datos del Modelo'!$G$19*'Datos del Modelo'!$G$20)))</f>
        <v>83232</v>
      </c>
      <c r="G13" s="244"/>
      <c r="H13" s="243">
        <f>IF('Datos del Modelo'!I$70=2,(('Datos del Modelo'!$G$9*(1+'Datos del Modelo'!$G$11)^(D13-'Datos del Modelo'!$G$8))*(SUM('Datos del Modelo'!$G$13*'Datos del Modelo'!$G$14,'Datos del Modelo'!$G$16*'Datos del Modelo'!$G$17,'Datos del Modelo'!$G$19*'Datos del Modelo'!$G$20))+('Datos del Modelo'!$G$9*(1+'Datos del Modelo'!$G$11)^(D13-'Datos del Modelo'!$G$8))*(SUM('Datos del Modelo'!$G$13*'Datos del Modelo'!$G$15,'Datos del Modelo'!$G$16*'Datos del Modelo'!$G$18,'Datos del Modelo'!$G$19*'Datos del Modelo'!$G$21))),('Datos del Modelo'!$G$9*(1+'Datos del Modelo'!$G$11)^(D13-'Datos del Modelo'!$G$8))*(SUM('Datos del Modelo'!$G$13*'Datos del Modelo'!$G$14,'Datos del Modelo'!$G$16*'Datos del Modelo'!$G$17,'Datos del Modelo'!$G$19*'Datos del Modelo'!$G$20)))</f>
        <v>158661</v>
      </c>
      <c r="I13" s="244"/>
      <c r="J13" s="243">
        <f>IF('Datos del Modelo'!K$70=2,(('Datos del Modelo'!$G$9*(1+'Datos del Modelo'!$G$11)^(D13-'Datos del Modelo'!$G$8))*(SUM('Datos del Modelo'!$G$13*'Datos del Modelo'!$G$14,'Datos del Modelo'!$G$16*'Datos del Modelo'!$G$17,'Datos del Modelo'!$G$19*'Datos del Modelo'!$G$20))+('Datos del Modelo'!$G$9*(1+'Datos del Modelo'!$G$11)^(D13-'Datos del Modelo'!$G$8))*(SUM('Datos del Modelo'!$G$13*'Datos del Modelo'!$G$15,'Datos del Modelo'!$G$16*'Datos del Modelo'!$G$18,'Datos del Modelo'!$G$19*'Datos del Modelo'!$G$21))),('Datos del Modelo'!$G$9*(1+'Datos del Modelo'!$G$11)^(D13-'Datos del Modelo'!$G$8))*(SUM('Datos del Modelo'!$G$13*'Datos del Modelo'!$G$14,'Datos del Modelo'!$G$16*'Datos del Modelo'!$G$17,'Datos del Modelo'!$G$19*'Datos del Modelo'!$G$20)))</f>
        <v>83232</v>
      </c>
      <c r="K13" s="244"/>
      <c r="L13" s="243">
        <f>IF('Datos del Modelo'!M$70=2,(('Datos del Modelo'!$G$9*(1+'Datos del Modelo'!$G$11)^(D13-'Datos del Modelo'!$G$8))*(SUM('Datos del Modelo'!$G$13*'Datos del Modelo'!$G$14,'Datos del Modelo'!$G$16*'Datos del Modelo'!$G$17,'Datos del Modelo'!$G$19*'Datos del Modelo'!$G$20))+('Datos del Modelo'!$G$9*(1+'Datos del Modelo'!$G$11)^(D13-'Datos del Modelo'!$G$8))*(SUM('Datos del Modelo'!$G$13*'Datos del Modelo'!$G$15,'Datos del Modelo'!$G$16*'Datos del Modelo'!$G$18,'Datos del Modelo'!$G$19*'Datos del Modelo'!$G$21))),('Datos del Modelo'!$G$9*(1+'Datos del Modelo'!$G$11)^(D13-'Datos del Modelo'!$G$8))*(SUM('Datos del Modelo'!$G$13*'Datos del Modelo'!$G$14,'Datos del Modelo'!$G$16*'Datos del Modelo'!$G$17,'Datos del Modelo'!$G$19*'Datos del Modelo'!$G$20)))</f>
        <v>83232</v>
      </c>
      <c r="M13" s="230"/>
      <c r="N13" s="230"/>
    </row>
    <row r="14" spans="1:15" ht="15.6" x14ac:dyDescent="0.25">
      <c r="B14" s="234"/>
      <c r="C14" s="234"/>
      <c r="D14" s="233">
        <f>'Datos del Modelo'!$G$8+3</f>
        <v>2029</v>
      </c>
      <c r="E14" s="232"/>
      <c r="F14" s="243">
        <f>IF('Datos del Modelo'!G$70=2,(('Datos del Modelo'!$G$9*(1+'Datos del Modelo'!$G$11)^(D14-'Datos del Modelo'!$G$8))*(SUM('Datos del Modelo'!$G$13*'Datos del Modelo'!$G$14,'Datos del Modelo'!$G$16*'Datos del Modelo'!$G$17,'Datos del Modelo'!$G$19*'Datos del Modelo'!$G$20))+('Datos del Modelo'!$G$9*(1+'Datos del Modelo'!$G$11)^(D14-'Datos del Modelo'!$G$8))*(SUM('Datos del Modelo'!$G$13*'Datos del Modelo'!$G$15,'Datos del Modelo'!$G$16*'Datos del Modelo'!$G$18,'Datos del Modelo'!$G$19*'Datos del Modelo'!$G$21))),('Datos del Modelo'!$G$9*(1+'Datos del Modelo'!$G$11)^(D14-'Datos del Modelo'!$G$8))*(SUM('Datos del Modelo'!$G$13*'Datos del Modelo'!$G$14,'Datos del Modelo'!$G$16*'Datos del Modelo'!$G$17,'Datos del Modelo'!$G$19*'Datos del Modelo'!$G$20)))</f>
        <v>84896.639999999999</v>
      </c>
      <c r="G14" s="244"/>
      <c r="H14" s="243">
        <f>IF('Datos del Modelo'!I$70=2,(('Datos del Modelo'!$G$9*(1+'Datos del Modelo'!$G$11)^(D14-'Datos del Modelo'!$G$8))*(SUM('Datos del Modelo'!$G$13*'Datos del Modelo'!$G$14,'Datos del Modelo'!$G$16*'Datos del Modelo'!$G$17,'Datos del Modelo'!$G$19*'Datos del Modelo'!$G$20))+('Datos del Modelo'!$G$9*(1+'Datos del Modelo'!$G$11)^(D14-'Datos del Modelo'!$G$8))*(SUM('Datos del Modelo'!$G$13*'Datos del Modelo'!$G$15,'Datos del Modelo'!$G$16*'Datos del Modelo'!$G$18,'Datos del Modelo'!$G$19*'Datos del Modelo'!$G$21))),('Datos del Modelo'!$G$9*(1+'Datos del Modelo'!$G$11)^(D14-'Datos del Modelo'!$G$8))*(SUM('Datos del Modelo'!$G$13*'Datos del Modelo'!$G$14,'Datos del Modelo'!$G$16*'Datos del Modelo'!$G$17,'Datos del Modelo'!$G$19*'Datos del Modelo'!$G$20)))</f>
        <v>161834.21999999997</v>
      </c>
      <c r="I14" s="244"/>
      <c r="J14" s="243">
        <f>IF('Datos del Modelo'!K$70=2,(('Datos del Modelo'!$G$9*(1+'Datos del Modelo'!$G$11)^(D14-'Datos del Modelo'!$G$8))*(SUM('Datos del Modelo'!$G$13*'Datos del Modelo'!$G$14,'Datos del Modelo'!$G$16*'Datos del Modelo'!$G$17,'Datos del Modelo'!$G$19*'Datos del Modelo'!$G$20))+('Datos del Modelo'!$G$9*(1+'Datos del Modelo'!$G$11)^(D14-'Datos del Modelo'!$G$8))*(SUM('Datos del Modelo'!$G$13*'Datos del Modelo'!$G$15,'Datos del Modelo'!$G$16*'Datos del Modelo'!$G$18,'Datos del Modelo'!$G$19*'Datos del Modelo'!$G$21))),('Datos del Modelo'!$G$9*(1+'Datos del Modelo'!$G$11)^(D14-'Datos del Modelo'!$G$8))*(SUM('Datos del Modelo'!$G$13*'Datos del Modelo'!$G$14,'Datos del Modelo'!$G$16*'Datos del Modelo'!$G$17,'Datos del Modelo'!$G$19*'Datos del Modelo'!$G$20)))</f>
        <v>84896.639999999999</v>
      </c>
      <c r="K14" s="244"/>
      <c r="L14" s="243">
        <f>IF('Datos del Modelo'!M$70=2,(('Datos del Modelo'!$G$9*(1+'Datos del Modelo'!$G$11)^(D14-'Datos del Modelo'!$G$8))*(SUM('Datos del Modelo'!$G$13*'Datos del Modelo'!$G$14,'Datos del Modelo'!$G$16*'Datos del Modelo'!$G$17,'Datos del Modelo'!$G$19*'Datos del Modelo'!$G$20))+('Datos del Modelo'!$G$9*(1+'Datos del Modelo'!$G$11)^(D14-'Datos del Modelo'!$G$8))*(SUM('Datos del Modelo'!$G$13*'Datos del Modelo'!$G$15,'Datos del Modelo'!$G$16*'Datos del Modelo'!$G$18,'Datos del Modelo'!$G$19*'Datos del Modelo'!$G$21))),('Datos del Modelo'!$G$9*(1+'Datos del Modelo'!$G$11)^(D14-'Datos del Modelo'!$G$8))*(SUM('Datos del Modelo'!$G$13*'Datos del Modelo'!$G$14,'Datos del Modelo'!$G$16*'Datos del Modelo'!$G$17,'Datos del Modelo'!$G$19*'Datos del Modelo'!$G$20)))</f>
        <v>84896.639999999999</v>
      </c>
      <c r="M14" s="230"/>
      <c r="N14" s="230"/>
    </row>
    <row r="15" spans="1:15" ht="15.75" customHeight="1" x14ac:dyDescent="0.25">
      <c r="B15" s="234"/>
      <c r="C15" s="234"/>
      <c r="D15" s="233">
        <f>'Datos del Modelo'!$G$8+4</f>
        <v>2030</v>
      </c>
      <c r="E15" s="232"/>
      <c r="F15" s="243">
        <f>IF('Datos del Modelo'!G$70=2,(('Datos del Modelo'!$G$9*(1+'Datos del Modelo'!$G$11)^(D15-'Datos del Modelo'!$G$8))*(SUM('Datos del Modelo'!$G$13*'Datos del Modelo'!$G$14,'Datos del Modelo'!$G$16*'Datos del Modelo'!$G$17,'Datos del Modelo'!$G$19*'Datos del Modelo'!$G$20))+('Datos del Modelo'!$G$9*(1+'Datos del Modelo'!$G$11)^(D15-'Datos del Modelo'!$G$8))*(SUM('Datos del Modelo'!$G$13*'Datos del Modelo'!$G$15,'Datos del Modelo'!$G$16*'Datos del Modelo'!$G$18,'Datos del Modelo'!$G$19*'Datos del Modelo'!$G$21))),('Datos del Modelo'!$G$9*(1+'Datos del Modelo'!$G$11)^(D15-'Datos del Modelo'!$G$8))*(SUM('Datos del Modelo'!$G$13*'Datos del Modelo'!$G$14,'Datos del Modelo'!$G$16*'Datos del Modelo'!$G$17,'Datos del Modelo'!$G$19*'Datos del Modelo'!$G$20)))</f>
        <v>86594.572800000009</v>
      </c>
      <c r="G15" s="244"/>
      <c r="H15" s="243">
        <f>IF('Datos del Modelo'!I$70=2,(('Datos del Modelo'!$G$9*(1+'Datos del Modelo'!$G$11)^(D15-'Datos del Modelo'!$G$8))*(SUM('Datos del Modelo'!$G$13*'Datos del Modelo'!$G$14,'Datos del Modelo'!$G$16*'Datos del Modelo'!$G$17,'Datos del Modelo'!$G$19*'Datos del Modelo'!$G$20))+('Datos del Modelo'!$G$9*(1+'Datos del Modelo'!$G$11)^(D15-'Datos del Modelo'!$G$8))*(SUM('Datos del Modelo'!$G$13*'Datos del Modelo'!$G$15,'Datos del Modelo'!$G$16*'Datos del Modelo'!$G$18,'Datos del Modelo'!$G$19*'Datos del Modelo'!$G$21))),('Datos del Modelo'!$G$9*(1+'Datos del Modelo'!$G$11)^(D15-'Datos del Modelo'!$G$8))*(SUM('Datos del Modelo'!$G$13*'Datos del Modelo'!$G$14,'Datos del Modelo'!$G$16*'Datos del Modelo'!$G$17,'Datos del Modelo'!$G$19*'Datos del Modelo'!$G$20)))</f>
        <v>165070.9044</v>
      </c>
      <c r="I15" s="244"/>
      <c r="J15" s="243">
        <f>IF('Datos del Modelo'!K$70=2,(('Datos del Modelo'!$G$9*(1+'Datos del Modelo'!$G$11)^(D15-'Datos del Modelo'!$G$8))*(SUM('Datos del Modelo'!$G$13*'Datos del Modelo'!$G$14,'Datos del Modelo'!$G$16*'Datos del Modelo'!$G$17,'Datos del Modelo'!$G$19*'Datos del Modelo'!$G$20))+('Datos del Modelo'!$G$9*(1+'Datos del Modelo'!$G$11)^(D15-'Datos del Modelo'!$G$8))*(SUM('Datos del Modelo'!$G$13*'Datos del Modelo'!$G$15,'Datos del Modelo'!$G$16*'Datos del Modelo'!$G$18,'Datos del Modelo'!$G$19*'Datos del Modelo'!$G$21))),('Datos del Modelo'!$G$9*(1+'Datos del Modelo'!$G$11)^(D15-'Datos del Modelo'!$G$8))*(SUM('Datos del Modelo'!$G$13*'Datos del Modelo'!$G$14,'Datos del Modelo'!$G$16*'Datos del Modelo'!$G$17,'Datos del Modelo'!$G$19*'Datos del Modelo'!$G$20)))</f>
        <v>86594.572800000009</v>
      </c>
      <c r="K15" s="244"/>
      <c r="L15" s="243">
        <f>IF('Datos del Modelo'!M$70=2,(('Datos del Modelo'!$G$9*(1+'Datos del Modelo'!$G$11)^(D15-'Datos del Modelo'!$G$8))*(SUM('Datos del Modelo'!$G$13*'Datos del Modelo'!$G$14,'Datos del Modelo'!$G$16*'Datos del Modelo'!$G$17,'Datos del Modelo'!$G$19*'Datos del Modelo'!$G$20))+('Datos del Modelo'!$G$9*(1+'Datos del Modelo'!$G$11)^(D15-'Datos del Modelo'!$G$8))*(SUM('Datos del Modelo'!$G$13*'Datos del Modelo'!$G$15,'Datos del Modelo'!$G$16*'Datos del Modelo'!$G$18,'Datos del Modelo'!$G$19*'Datos del Modelo'!$G$21))),('Datos del Modelo'!$G$9*(1+'Datos del Modelo'!$G$11)^(D15-'Datos del Modelo'!$G$8))*(SUM('Datos del Modelo'!$G$13*'Datos del Modelo'!$G$14,'Datos del Modelo'!$G$16*'Datos del Modelo'!$G$17,'Datos del Modelo'!$G$19*'Datos del Modelo'!$G$20)))</f>
        <v>86594.572800000009</v>
      </c>
      <c r="M15" s="230"/>
      <c r="N15" s="230"/>
    </row>
    <row r="16" spans="1:15" ht="15" customHeight="1" x14ac:dyDescent="0.25">
      <c r="B16" s="234"/>
      <c r="C16" s="234"/>
      <c r="D16" s="241"/>
      <c r="E16" s="232"/>
      <c r="F16" s="250"/>
      <c r="G16" s="244"/>
      <c r="H16" s="250"/>
      <c r="I16" s="244"/>
      <c r="J16" s="250"/>
      <c r="K16" s="244"/>
      <c r="L16" s="250"/>
      <c r="M16" s="230"/>
      <c r="N16" s="230"/>
    </row>
    <row r="17" spans="2:14" ht="42" customHeight="1" x14ac:dyDescent="0.25">
      <c r="B17" s="234"/>
      <c r="C17" s="234"/>
      <c r="D17" s="463" t="s">
        <v>88</v>
      </c>
      <c r="E17" s="463"/>
      <c r="F17" s="463"/>
      <c r="G17" s="463"/>
      <c r="H17" s="463"/>
      <c r="I17" s="463"/>
      <c r="J17" s="463"/>
      <c r="K17" s="463"/>
      <c r="L17" s="463"/>
      <c r="M17" s="230"/>
      <c r="N17" s="230"/>
    </row>
    <row r="18" spans="2:14" ht="8.1" customHeight="1" x14ac:dyDescent="0.25">
      <c r="B18" s="234"/>
      <c r="C18" s="234"/>
      <c r="D18" s="238"/>
      <c r="E18" s="238"/>
      <c r="F18" s="238"/>
      <c r="G18" s="238"/>
      <c r="H18" s="238"/>
      <c r="I18" s="238"/>
      <c r="J18" s="238"/>
      <c r="K18" s="238"/>
      <c r="L18" s="238"/>
      <c r="M18" s="230"/>
      <c r="N18" s="230"/>
    </row>
    <row r="19" spans="2:14" ht="35.1" customHeight="1" x14ac:dyDescent="0.25">
      <c r="B19" s="234"/>
      <c r="C19" s="234"/>
      <c r="D19" s="254" t="s">
        <v>87</v>
      </c>
      <c r="E19" s="253"/>
      <c r="F19" s="251">
        <f>SUM(F20:F24)</f>
        <v>838830.97246315773</v>
      </c>
      <c r="G19" s="252"/>
      <c r="H19" s="251">
        <f>SUM(H20:H24)</f>
        <v>1592442.5938894735</v>
      </c>
      <c r="I19" s="252"/>
      <c r="J19" s="251">
        <f>SUM(J20:J24)</f>
        <v>884229.99075555569</v>
      </c>
      <c r="K19" s="252"/>
      <c r="L19" s="251">
        <f>SUM(L20:L24)</f>
        <v>838830.97246315773</v>
      </c>
      <c r="M19" s="230"/>
      <c r="N19" s="230"/>
    </row>
    <row r="20" spans="2:14" ht="15.6" x14ac:dyDescent="0.25">
      <c r="B20" s="234"/>
      <c r="C20" s="234"/>
      <c r="D20" s="233">
        <f>'Datos del Modelo'!$G$8</f>
        <v>2026</v>
      </c>
      <c r="E20" s="232"/>
      <c r="F20" s="243">
        <f>F11*'Datos del Modelo'!G$75+'Opciones de vacunas'!$B39*'Datos del Modelo'!G$78</f>
        <v>483157.89473684208</v>
      </c>
      <c r="G20" s="244"/>
      <c r="H20" s="243">
        <f>H11*'Datos del Modelo'!I$75+'Opciones de vacunas'!$C39*'Datos del Modelo'!I$78</f>
        <v>914440.78947368416</v>
      </c>
      <c r="I20" s="244"/>
      <c r="J20" s="243">
        <f>J11*'Datos del Modelo'!K$75+'Opciones de vacunas'!$D39*'Datos del Modelo'!K$78</f>
        <v>508888.88888888893</v>
      </c>
      <c r="K20" s="244"/>
      <c r="L20" s="243">
        <f>L11*'Datos del Modelo'!M$75+'Opciones de vacunas'!$E39*'Datos del Modelo'!M$78</f>
        <v>483157.89473684208</v>
      </c>
      <c r="M20" s="230"/>
      <c r="N20" s="230"/>
    </row>
    <row r="21" spans="2:14" ht="15.6" x14ac:dyDescent="0.25">
      <c r="B21" s="234"/>
      <c r="C21" s="234"/>
      <c r="D21" s="233">
        <f>'Datos del Modelo'!$G$8+1</f>
        <v>2027</v>
      </c>
      <c r="E21" s="232"/>
      <c r="F21" s="243">
        <f>F12*'Datos del Modelo'!G$75+('Opciones de vacunas'!$B40*'Datos del Modelo'!G$78-'Opciones de vacunas'!$B39*'Datos del Modelo'!G$78)</f>
        <v>86294.736842105252</v>
      </c>
      <c r="G21" s="244"/>
      <c r="H21" s="243">
        <f>H12*'Datos del Modelo'!I$75+('Opciones de vacunas'!$C40*'Datos del Modelo'!I$78-'Opciones de vacunas'!$C39*'Datos del Modelo'!I$78)</f>
        <v>164499.34210526315</v>
      </c>
      <c r="I21" s="244"/>
      <c r="J21" s="243">
        <f>J12*'Datos del Modelo'!K$75+('Opciones de vacunas'!$D40*'Datos del Modelo'!K$78-'Opciones de vacunas'!$D39*'Datos del Modelo'!K$78)</f>
        <v>91066.666666666672</v>
      </c>
      <c r="K21" s="244"/>
      <c r="L21" s="243">
        <f>L12*'Datos del Modelo'!M$75+('Opciones de vacunas'!$E40*'Datos del Modelo'!M$78-'Opciones de vacunas'!$E39*'Datos del Modelo'!M$78)</f>
        <v>86294.736842105252</v>
      </c>
      <c r="M21" s="230"/>
      <c r="N21" s="230"/>
    </row>
    <row r="22" spans="2:14" ht="15.6" x14ac:dyDescent="0.25">
      <c r="B22" s="234"/>
      <c r="C22" s="234"/>
      <c r="D22" s="233">
        <f>'Datos del Modelo'!$G$8+2</f>
        <v>2028</v>
      </c>
      <c r="E22" s="232"/>
      <c r="F22" s="243">
        <f>F13*'Datos del Modelo'!G$75+('Opciones de vacunas'!$B41*'Datos del Modelo'!G$78-'Opciones de vacunas'!$B40*'Datos del Modelo'!G$78)</f>
        <v>88020.631578947359</v>
      </c>
      <c r="G22" s="244"/>
      <c r="H22" s="243">
        <f>H13*'Datos del Modelo'!I$75+('Opciones de vacunas'!$C41*'Datos del Modelo'!I$78-'Opciones de vacunas'!$C40*'Datos del Modelo'!I$78)</f>
        <v>167789.3289473684</v>
      </c>
      <c r="I22" s="244"/>
      <c r="J22" s="243">
        <f>J13*'Datos del Modelo'!K$75+('Opciones de vacunas'!$D41*'Datos del Modelo'!K$78-'Opciones de vacunas'!$D40*'Datos del Modelo'!K$78)</f>
        <v>92888</v>
      </c>
      <c r="K22" s="244"/>
      <c r="L22" s="243">
        <f>L13*'Datos del Modelo'!M$75+('Opciones de vacunas'!$E41*'Datos del Modelo'!M$78-'Opciones de vacunas'!$E40*'Datos del Modelo'!M$78)</f>
        <v>88020.631578947359</v>
      </c>
      <c r="M22" s="230"/>
      <c r="N22" s="230"/>
    </row>
    <row r="23" spans="2:14" ht="15.6" x14ac:dyDescent="0.25">
      <c r="B23" s="234"/>
      <c r="C23" s="234"/>
      <c r="D23" s="233">
        <f>'Datos del Modelo'!$G$8+3</f>
        <v>2029</v>
      </c>
      <c r="E23" s="232"/>
      <c r="F23" s="243">
        <f>F14*'Datos del Modelo'!G$75+('Opciones de vacunas'!$B42*'Datos del Modelo'!G$78-'Opciones de vacunas'!$B41*'Datos del Modelo'!G$78)</f>
        <v>89781.044210526321</v>
      </c>
      <c r="G23" s="244"/>
      <c r="H23" s="243">
        <f>H14*'Datos del Modelo'!I$75+('Opciones de vacunas'!$C42*'Datos del Modelo'!I$78-'Opciones de vacunas'!$C41*'Datos del Modelo'!I$78)</f>
        <v>171145.11552631576</v>
      </c>
      <c r="I23" s="244"/>
      <c r="J23" s="243">
        <f>J14*'Datos del Modelo'!K$75+('Opciones de vacunas'!$D42*'Datos del Modelo'!K$78-'Opciones de vacunas'!$D41*'Datos del Modelo'!K$78)</f>
        <v>94745.760000000009</v>
      </c>
      <c r="K23" s="244"/>
      <c r="L23" s="243">
        <f>L14*'Datos del Modelo'!M$75+('Opciones de vacunas'!$E42*'Datos del Modelo'!M$78-'Opciones de vacunas'!$E41*'Datos del Modelo'!M$78)</f>
        <v>89781.044210526321</v>
      </c>
      <c r="M23" s="230"/>
      <c r="N23" s="230"/>
    </row>
    <row r="24" spans="2:14" ht="15.75" customHeight="1" x14ac:dyDescent="0.25">
      <c r="B24" s="234"/>
      <c r="C24" s="234"/>
      <c r="D24" s="233">
        <f>'Datos del Modelo'!$G$8+4</f>
        <v>2030</v>
      </c>
      <c r="E24" s="232"/>
      <c r="F24" s="243">
        <f>F15*'Datos del Modelo'!G$75+('Opciones de vacunas'!$B43*'Datos del Modelo'!G$78-'Opciones de vacunas'!$B42*'Datos del Modelo'!G$78)</f>
        <v>91576.665094736847</v>
      </c>
      <c r="G24" s="244"/>
      <c r="H24" s="243">
        <f>H15*'Datos del Modelo'!I$75+('Opciones de vacunas'!$C43*'Datos del Modelo'!I$78-'Opciones de vacunas'!$C42*'Datos del Modelo'!I$78)</f>
        <v>174568.0178368421</v>
      </c>
      <c r="I24" s="244"/>
      <c r="J24" s="243">
        <f>J15*'Datos del Modelo'!K$75+('Opciones de vacunas'!$D43*'Datos del Modelo'!K$78-'Opciones de vacunas'!$D42*'Datos del Modelo'!K$78)</f>
        <v>96640.675200000012</v>
      </c>
      <c r="K24" s="244"/>
      <c r="L24" s="243">
        <f>L15*'Datos del Modelo'!M$75+('Opciones de vacunas'!$E43*'Datos del Modelo'!M$78-'Opciones de vacunas'!$E42*'Datos del Modelo'!M$78)</f>
        <v>91576.665094736847</v>
      </c>
      <c r="M24" s="230"/>
      <c r="N24" s="230"/>
    </row>
    <row r="25" spans="2:14" ht="15" customHeight="1" x14ac:dyDescent="0.25">
      <c r="B25" s="234"/>
      <c r="C25" s="234"/>
      <c r="D25" s="241"/>
      <c r="E25" s="232"/>
      <c r="F25" s="250"/>
      <c r="G25" s="244"/>
      <c r="H25" s="250"/>
      <c r="I25" s="244"/>
      <c r="J25" s="250"/>
      <c r="K25" s="244"/>
      <c r="L25" s="250"/>
      <c r="M25" s="230"/>
      <c r="N25" s="230"/>
    </row>
    <row r="26" spans="2:14" s="247" customFormat="1" ht="42" customHeight="1" x14ac:dyDescent="0.25">
      <c r="B26" s="249"/>
      <c r="C26" s="249"/>
      <c r="D26" s="463" t="s">
        <v>89</v>
      </c>
      <c r="E26" s="463"/>
      <c r="F26" s="463"/>
      <c r="G26" s="463"/>
      <c r="H26" s="463"/>
      <c r="I26" s="463"/>
      <c r="J26" s="463"/>
      <c r="K26" s="463"/>
      <c r="L26" s="463"/>
      <c r="M26" s="248"/>
      <c r="N26" s="248"/>
    </row>
    <row r="27" spans="2:14" ht="8.1" customHeight="1" x14ac:dyDescent="0.25">
      <c r="B27" s="234"/>
      <c r="C27" s="234"/>
      <c r="D27" s="246"/>
      <c r="E27" s="238"/>
      <c r="F27" s="246"/>
      <c r="G27" s="238"/>
      <c r="H27" s="246"/>
      <c r="I27" s="238"/>
      <c r="J27" s="246"/>
      <c r="K27" s="238"/>
      <c r="L27" s="246"/>
      <c r="M27" s="245"/>
      <c r="N27" s="245"/>
    </row>
    <row r="28" spans="2:14" ht="15.6" x14ac:dyDescent="0.25">
      <c r="B28" s="234"/>
      <c r="C28" s="234"/>
      <c r="D28" s="233">
        <f>'Datos del Modelo'!$G$8</f>
        <v>2026</v>
      </c>
      <c r="E28" s="232"/>
      <c r="F28" s="243">
        <f>F20*'Datos del Modelo'!G$72</f>
        <v>7054105.2631578939</v>
      </c>
      <c r="G28" s="244"/>
      <c r="H28" s="243">
        <f>H20*'Datos del Modelo'!I$72</f>
        <v>10790401.315789474</v>
      </c>
      <c r="I28" s="244"/>
      <c r="J28" s="243">
        <f>J20*'Datos del Modelo'!K$72</f>
        <v>2442666.666666667</v>
      </c>
      <c r="K28" s="244"/>
      <c r="L28" s="243">
        <f>L20*'Datos del Modelo'!M$72</f>
        <v>7247368.421052631</v>
      </c>
      <c r="M28" s="230"/>
      <c r="N28" s="230"/>
    </row>
    <row r="29" spans="2:14" ht="15.6" x14ac:dyDescent="0.25">
      <c r="B29" s="234"/>
      <c r="C29" s="234"/>
      <c r="D29" s="233">
        <f>'Datos del Modelo'!$G$8+1</f>
        <v>2027</v>
      </c>
      <c r="E29" s="232"/>
      <c r="F29" s="243">
        <f>F21*'Datos del Modelo'!G$72</f>
        <v>1259903.1578947366</v>
      </c>
      <c r="G29" s="244"/>
      <c r="H29" s="243">
        <f>H21*'Datos del Modelo'!I$72</f>
        <v>1941092.2368421052</v>
      </c>
      <c r="I29" s="244"/>
      <c r="J29" s="243">
        <f>J21*'Datos del Modelo'!K$72</f>
        <v>437120</v>
      </c>
      <c r="K29" s="244"/>
      <c r="L29" s="243">
        <f>L21*'Datos del Modelo'!M$72</f>
        <v>1294421.0526315789</v>
      </c>
      <c r="M29" s="230"/>
      <c r="N29" s="230"/>
    </row>
    <row r="30" spans="2:14" ht="15.6" x14ac:dyDescent="0.25">
      <c r="B30" s="234"/>
      <c r="C30" s="234"/>
      <c r="D30" s="233">
        <f>'Datos del Modelo'!$G$8+2</f>
        <v>2028</v>
      </c>
      <c r="E30" s="232"/>
      <c r="F30" s="243">
        <f>F22*'Datos del Modelo'!G$72</f>
        <v>1285101.2210526315</v>
      </c>
      <c r="G30" s="244"/>
      <c r="H30" s="243">
        <f>H22*'Datos del Modelo'!I$72</f>
        <v>1979914.0815789471</v>
      </c>
      <c r="I30" s="244"/>
      <c r="J30" s="243">
        <f>J22*'Datos del Modelo'!K$72</f>
        <v>445862.39999999997</v>
      </c>
      <c r="K30" s="244"/>
      <c r="L30" s="243">
        <f>L22*'Datos del Modelo'!M$72</f>
        <v>1320309.4736842103</v>
      </c>
      <c r="M30" s="230"/>
      <c r="N30" s="230"/>
    </row>
    <row r="31" spans="2:14" ht="15.6" x14ac:dyDescent="0.25">
      <c r="B31" s="234"/>
      <c r="C31" s="234"/>
      <c r="D31" s="233">
        <f>'Datos del Modelo'!$G$8+3</f>
        <v>2029</v>
      </c>
      <c r="E31" s="232"/>
      <c r="F31" s="243">
        <f>F23*'Datos del Modelo'!G$72</f>
        <v>1310803.2454736843</v>
      </c>
      <c r="G31" s="244"/>
      <c r="H31" s="243">
        <f>H23*'Datos del Modelo'!I$72</f>
        <v>2019512.3632105261</v>
      </c>
      <c r="I31" s="244"/>
      <c r="J31" s="243">
        <f>J23*'Datos del Modelo'!K$72</f>
        <v>454779.64800000004</v>
      </c>
      <c r="K31" s="244"/>
      <c r="L31" s="243">
        <f>L23*'Datos del Modelo'!M$72</f>
        <v>1346715.6631578947</v>
      </c>
      <c r="M31" s="230"/>
      <c r="N31" s="230"/>
    </row>
    <row r="32" spans="2:14" ht="15.6" x14ac:dyDescent="0.25">
      <c r="B32" s="234"/>
      <c r="C32" s="234"/>
      <c r="D32" s="233">
        <f>'Datos del Modelo'!$G$8+4</f>
        <v>2030</v>
      </c>
      <c r="E32" s="232"/>
      <c r="F32" s="243">
        <f>F24*'Datos del Modelo'!G$72</f>
        <v>1337019.310383158</v>
      </c>
      <c r="G32" s="244"/>
      <c r="H32" s="243">
        <f>H24*'Datos del Modelo'!I$72</f>
        <v>2059902.6104747369</v>
      </c>
      <c r="I32" s="244"/>
      <c r="J32" s="243">
        <f>J24*'Datos del Modelo'!K$72</f>
        <v>463875.24096000002</v>
      </c>
      <c r="K32" s="244"/>
      <c r="L32" s="243">
        <f>L24*'Datos del Modelo'!M$72</f>
        <v>1373649.9764210526</v>
      </c>
      <c r="M32" s="230"/>
      <c r="N32" s="230"/>
    </row>
    <row r="33" spans="2:17" ht="15" customHeight="1" x14ac:dyDescent="0.25">
      <c r="B33" s="234"/>
      <c r="C33" s="234"/>
      <c r="D33" s="462"/>
      <c r="E33" s="462"/>
      <c r="F33" s="462"/>
      <c r="G33" s="462"/>
      <c r="H33" s="462"/>
      <c r="I33" s="462"/>
      <c r="J33" s="462"/>
      <c r="K33" s="462"/>
      <c r="L33" s="462"/>
      <c r="M33" s="242"/>
      <c r="N33" s="242"/>
    </row>
    <row r="34" spans="2:17" ht="40.35" customHeight="1" x14ac:dyDescent="0.25">
      <c r="B34" s="234"/>
      <c r="C34" s="468" t="s">
        <v>90</v>
      </c>
      <c r="D34" s="468"/>
      <c r="E34" s="468"/>
      <c r="F34" s="468"/>
      <c r="G34" s="468"/>
      <c r="H34" s="468"/>
      <c r="I34" s="468"/>
      <c r="J34" s="468"/>
      <c r="K34" s="468"/>
      <c r="L34" s="468"/>
      <c r="M34" s="468"/>
      <c r="N34" s="242"/>
    </row>
    <row r="35" spans="2:17" ht="15" customHeight="1" x14ac:dyDescent="0.25">
      <c r="B35" s="234"/>
      <c r="C35" s="234"/>
      <c r="D35" s="242"/>
      <c r="E35" s="242"/>
      <c r="F35" s="242"/>
      <c r="G35" s="242"/>
      <c r="H35" s="242"/>
      <c r="I35" s="242"/>
      <c r="J35" s="242"/>
      <c r="K35" s="242"/>
      <c r="L35" s="242"/>
      <c r="M35" s="242"/>
      <c r="N35" s="242"/>
    </row>
    <row r="36" spans="2:17" ht="41.1" customHeight="1" x14ac:dyDescent="0.25">
      <c r="B36" s="234"/>
      <c r="C36" s="234"/>
      <c r="D36" s="463" t="s">
        <v>91</v>
      </c>
      <c r="E36" s="463"/>
      <c r="F36" s="463"/>
      <c r="G36" s="463"/>
      <c r="H36" s="463"/>
      <c r="I36" s="463"/>
      <c r="J36" s="463"/>
      <c r="K36" s="463"/>
      <c r="L36" s="463"/>
      <c r="M36" s="230"/>
      <c r="N36" s="230"/>
    </row>
    <row r="37" spans="2:17" ht="8.1" customHeight="1" x14ac:dyDescent="0.25">
      <c r="B37" s="234"/>
      <c r="C37" s="234"/>
      <c r="D37" s="238"/>
      <c r="E37" s="238"/>
      <c r="F37" s="238"/>
      <c r="G37" s="238"/>
      <c r="H37" s="238"/>
      <c r="I37" s="238"/>
      <c r="J37" s="238"/>
      <c r="K37" s="238"/>
      <c r="L37" s="238"/>
      <c r="M37" s="230"/>
      <c r="N37" s="230"/>
    </row>
    <row r="38" spans="2:17" ht="35.1" customHeight="1" x14ac:dyDescent="0.25">
      <c r="B38" s="234"/>
      <c r="C38" s="234"/>
      <c r="D38" s="237" t="s">
        <v>87</v>
      </c>
      <c r="E38" s="236"/>
      <c r="F38" s="363">
        <f>SUM(F39:F43)</f>
        <v>158552.64468312921</v>
      </c>
      <c r="G38" s="235"/>
      <c r="H38" s="363">
        <f>SUM(H39:H43)</f>
        <v>292936.73084343242</v>
      </c>
      <c r="I38" s="235"/>
      <c r="J38" s="363">
        <f>SUM(J39:J43)</f>
        <v>265667.86278909724</v>
      </c>
      <c r="K38" s="235"/>
      <c r="L38" s="363">
        <f>SUM(L39:L43)</f>
        <v>225470.78563139369</v>
      </c>
      <c r="M38" s="230"/>
      <c r="N38" s="230"/>
    </row>
    <row r="39" spans="2:17" ht="15.6" x14ac:dyDescent="0.25">
      <c r="B39" s="234"/>
      <c r="C39" s="234"/>
      <c r="D39" s="233">
        <f>'Datos del Modelo'!$G$8</f>
        <v>2026</v>
      </c>
      <c r="E39" s="232"/>
      <c r="F39" s="365">
        <f>('Opciones de vacunas'!B47*('Datos del Modelo'!G61+'Datos del Modelo'!G61*'Datos del Modelo'!G$76+'Datos del Modelo'!G61*'Datos del Modelo'!G$77))+('Opciones de vacunas'!B53*('Datos del Modelo'!G68+'Datos del Modelo'!G68*'Datos del Modelo'!G$76+'Datos del Modelo'!G68*'Datos del Modelo'!G$77))+(F11/'Datos del Modelo'!G$80*'Datos del Modelo'!G$79)+(F11*'Datos del Modelo'!$G$81)</f>
        <v>96200.0842105263</v>
      </c>
      <c r="G39" s="240"/>
      <c r="H39" s="365">
        <f>('Opciones de vacunas'!C47*('Datos del Modelo'!I61+'Datos del Modelo'!I61*'Datos del Modelo'!I$76+'Datos del Modelo'!I61*'Datos del Modelo'!I$77))+('Opciones de vacunas'!C53*('Datos del Modelo'!I68+'Datos del Modelo'!I68*'Datos del Modelo'!I$76+'Datos del Modelo'!I68*'Datos del Modelo'!I$77))+(H11/'Datos del Modelo'!I$80*'Datos del Modelo'!I$79)+(H11*'Datos del Modelo'!$I$81)</f>
        <v>177114.61052631578</v>
      </c>
      <c r="I39" s="240"/>
      <c r="J39" s="365">
        <f>('Opciones de vacunas'!D47*('Datos del Modelo'!K61+'Datos del Modelo'!K61*'Datos del Modelo'!K$76+'Datos del Modelo'!K61*'Datos del Modelo'!K$77))+('Opciones de vacunas'!D53*('Datos del Modelo'!K68+'Datos del Modelo'!K68*'Datos del Modelo'!K$76+'Datos del Modelo'!K68*'Datos del Modelo'!K$77))+(J11/'Datos del Modelo'!K$80*'Datos del Modelo'!K$79)+(J11*'Datos del Modelo'!$K$81)</f>
        <v>162421.19111111111</v>
      </c>
      <c r="K39" s="240"/>
      <c r="L39" s="365">
        <f>('Opciones de vacunas'!E47*('Datos del Modelo'!M61+'Datos del Modelo'!M61*'Datos del Modelo'!M$76+'Datos del Modelo'!M61*'Datos del Modelo'!M$77))+('Opciones de vacunas'!E53*('Datos del Modelo'!M68+'Datos del Modelo'!M68*'Datos del Modelo'!M$76+'Datos del Modelo'!M68*'Datos del Modelo'!M$77))+(L11/'Datos del Modelo'!M$80*'Datos del Modelo'!M$79)+(L11*'Datos del Modelo'!$M$81)</f>
        <v>137623.57894736843</v>
      </c>
      <c r="M39" s="230"/>
      <c r="N39" s="230"/>
    </row>
    <row r="40" spans="2:17" ht="15.6" x14ac:dyDescent="0.25">
      <c r="B40" s="234"/>
      <c r="C40" s="234"/>
      <c r="D40" s="233">
        <f>'Datos del Modelo'!$G$8+1</f>
        <v>2027</v>
      </c>
      <c r="E40" s="232"/>
      <c r="F40" s="365">
        <f>F21*('Datos del Modelo'!G62+'Datos del Modelo'!G62*'Datos del Modelo'!G$76+'Datos del Modelo'!G62*'Datos del Modelo'!G$77)+(F12/'Datos del Modelo'!G$80*'Datos del Modelo'!G$79)+(F12*'Datos del Modelo'!$G$81)</f>
        <v>15128.212210526312</v>
      </c>
      <c r="G40" s="240"/>
      <c r="H40" s="365">
        <f>H21*('Datos del Modelo'!I62+'Datos del Modelo'!I62*'Datos del Modelo'!I$76+'Datos del Modelo'!I62*'Datos del Modelo'!I$77)+(H12/'Datos del Modelo'!I$80*'Datos del Modelo'!I$79)+(H12*'Datos del Modelo'!$I$81)</f>
        <v>28101.197473684209</v>
      </c>
      <c r="I40" s="240"/>
      <c r="J40" s="365">
        <f>J21*('Datos del Modelo'!K62+'Datos del Modelo'!K62*'Datos del Modelo'!K$76+'Datos del Modelo'!K62*'Datos del Modelo'!K$77)+(J12/'Datos del Modelo'!K$80*'Datos del Modelo'!K$79)+(J12*'Datos del Modelo'!$K$81)</f>
        <v>25050.094933333334</v>
      </c>
      <c r="K40" s="240"/>
      <c r="L40" s="365">
        <f>L21*('Datos del Modelo'!M62+'Datos del Modelo'!M62*'Datos del Modelo'!M$76+'Datos del Modelo'!M62*'Datos del Modelo'!M$77)+(L12/'Datos del Modelo'!M$80*'Datos del Modelo'!M$79)+(L12*'Datos del Modelo'!$M$81)</f>
        <v>21313.818947368418</v>
      </c>
      <c r="M40" s="230"/>
      <c r="N40" s="230"/>
    </row>
    <row r="41" spans="2:17" ht="15.6" x14ac:dyDescent="0.25">
      <c r="B41" s="234"/>
      <c r="C41" s="234"/>
      <c r="D41" s="233">
        <f>'Datos del Modelo'!$G$8+2</f>
        <v>2028</v>
      </c>
      <c r="E41" s="232"/>
      <c r="F41" s="365">
        <f>F22*('Datos del Modelo'!G63+'Datos del Modelo'!G63*'Datos del Modelo'!G$76+'Datos del Modelo'!G63*'Datos del Modelo'!G$77)+(F13/'Datos del Modelo'!G$80*'Datos del Modelo'!G$79)+(F13*'Datos del Modelo'!$G$81)</f>
        <v>15430.776454736839</v>
      </c>
      <c r="G41" s="240"/>
      <c r="H41" s="365">
        <f>H22*('Datos del Modelo'!I63+'Datos del Modelo'!I63*'Datos del Modelo'!I$76+'Datos del Modelo'!I63*'Datos del Modelo'!I$77)+(H13/'Datos del Modelo'!I$80*'Datos del Modelo'!I$79)+(H13*'Datos del Modelo'!$I$81)</f>
        <v>28663.221423157891</v>
      </c>
      <c r="I41" s="240"/>
      <c r="J41" s="365">
        <f>J22*('Datos del Modelo'!K63+'Datos del Modelo'!K63*'Datos del Modelo'!K$76+'Datos del Modelo'!K63*'Datos del Modelo'!K$77)+(J13/'Datos del Modelo'!K$80*'Datos del Modelo'!K$79)+(J13*'Datos del Modelo'!$K$81)</f>
        <v>25551.096831999999</v>
      </c>
      <c r="K41" s="240"/>
      <c r="L41" s="365">
        <f>L22*('Datos del Modelo'!M63+'Datos del Modelo'!M63*'Datos del Modelo'!M$76+'Datos del Modelo'!M63*'Datos del Modelo'!M$77)+(L13/'Datos del Modelo'!M$80*'Datos del Modelo'!M$79)+(L13*'Datos del Modelo'!$M$81)</f>
        <v>21740.095326315786</v>
      </c>
      <c r="M41" s="230"/>
      <c r="N41" s="230"/>
    </row>
    <row r="42" spans="2:17" ht="15.6" x14ac:dyDescent="0.25">
      <c r="B42" s="234"/>
      <c r="C42" s="234"/>
      <c r="D42" s="233">
        <f>'Datos del Modelo'!$G$8+3</f>
        <v>2029</v>
      </c>
      <c r="E42" s="232"/>
      <c r="F42" s="365">
        <f>F23*('Datos del Modelo'!G64+'Datos del Modelo'!G64*'Datos del Modelo'!G$76+'Datos del Modelo'!G64*'Datos del Modelo'!G$77)+(F14/'Datos del Modelo'!G$80*'Datos del Modelo'!G$79)+(F14*'Datos del Modelo'!$G$81)</f>
        <v>15739.391983831578</v>
      </c>
      <c r="G42" s="240"/>
      <c r="H42" s="365">
        <f>H23*('Datos del Modelo'!I64+'Datos del Modelo'!I64*'Datos del Modelo'!I$76+'Datos del Modelo'!I64*'Datos del Modelo'!I$77)+(H14/'Datos del Modelo'!I$80*'Datos del Modelo'!I$79)+(H14*'Datos del Modelo'!$I$81)</f>
        <v>29236.485851621048</v>
      </c>
      <c r="I42" s="240"/>
      <c r="J42" s="365">
        <f>J23*('Datos del Modelo'!K64+'Datos del Modelo'!K64*'Datos del Modelo'!K$76+'Datos del Modelo'!K64*'Datos del Modelo'!K$77)+(J14/'Datos del Modelo'!K$80*'Datos del Modelo'!K$79)+(J14*'Datos del Modelo'!$K$81)</f>
        <v>26062.118768640001</v>
      </c>
      <c r="K42" s="240"/>
      <c r="L42" s="365">
        <f>L23*('Datos del Modelo'!M64+'Datos del Modelo'!M64*'Datos del Modelo'!M$76+'Datos del Modelo'!M64*'Datos del Modelo'!M$77)+(L14/'Datos del Modelo'!M$80*'Datos del Modelo'!M$79)+(L14*'Datos del Modelo'!$M$81)</f>
        <v>22174.897232842108</v>
      </c>
      <c r="M42" s="230"/>
      <c r="N42" s="230"/>
    </row>
    <row r="43" spans="2:17" ht="15.75" customHeight="1" x14ac:dyDescent="0.25">
      <c r="B43" s="234"/>
      <c r="C43" s="234"/>
      <c r="D43" s="233">
        <f>'Datos del Modelo'!$G$8+4</f>
        <v>2030</v>
      </c>
      <c r="E43" s="232"/>
      <c r="F43" s="365">
        <f>F24*('Datos del Modelo'!G65+'Datos del Modelo'!G65*'Datos del Modelo'!G$76+'Datos del Modelo'!G65*'Datos del Modelo'!G$77)+(F15/'Datos del Modelo'!G$80*'Datos del Modelo'!G$79)+(F15*'Datos del Modelo'!$G$81)</f>
        <v>16054.17982350821</v>
      </c>
      <c r="G43" s="240"/>
      <c r="H43" s="365">
        <f>H24*('Datos del Modelo'!I65+'Datos del Modelo'!I65*'Datos del Modelo'!I$76+'Datos del Modelo'!I65*'Datos del Modelo'!I$77)+(H15/'Datos del Modelo'!I$80*'Datos del Modelo'!I$79)+(H15*'Datos del Modelo'!$I$81)</f>
        <v>29821.215568653475</v>
      </c>
      <c r="I43" s="240"/>
      <c r="J43" s="365">
        <f>J24*('Datos del Modelo'!K65+'Datos del Modelo'!K65*'Datos del Modelo'!K$76+'Datos del Modelo'!K65*'Datos del Modelo'!K$77)+(J15/'Datos del Modelo'!K$80*'Datos del Modelo'!K$79)+(J15*'Datos del Modelo'!$K$81)</f>
        <v>26583.361144012801</v>
      </c>
      <c r="K43" s="240"/>
      <c r="L43" s="365">
        <f>L24*('Datos del Modelo'!M65+'Datos del Modelo'!M65*'Datos del Modelo'!M$76+'Datos del Modelo'!M65*'Datos del Modelo'!M$77)+(L15/'Datos del Modelo'!M$80*'Datos del Modelo'!M$79)+(L15*'Datos del Modelo'!$M$81)</f>
        <v>22618.395177498947</v>
      </c>
      <c r="M43" s="230"/>
      <c r="N43" s="230"/>
    </row>
    <row r="44" spans="2:17" ht="15" customHeight="1" x14ac:dyDescent="0.25">
      <c r="B44" s="234"/>
      <c r="C44" s="234"/>
      <c r="D44" s="241"/>
      <c r="E44" s="232"/>
      <c r="F44" s="239"/>
      <c r="G44" s="240"/>
      <c r="H44" s="239"/>
      <c r="I44" s="240"/>
      <c r="J44" s="239"/>
      <c r="K44" s="240"/>
      <c r="L44" s="239"/>
      <c r="M44" s="230"/>
      <c r="N44" s="230"/>
    </row>
    <row r="45" spans="2:17" ht="42" customHeight="1" x14ac:dyDescent="0.25">
      <c r="B45" s="234"/>
      <c r="C45" s="234"/>
      <c r="D45" s="463" t="s">
        <v>92</v>
      </c>
      <c r="E45" s="463"/>
      <c r="F45" s="463"/>
      <c r="G45" s="463"/>
      <c r="H45" s="463"/>
      <c r="I45" s="463"/>
      <c r="J45" s="463"/>
      <c r="K45" s="463"/>
      <c r="L45" s="463"/>
      <c r="M45" s="230"/>
      <c r="N45" s="230"/>
    </row>
    <row r="46" spans="2:17" ht="8.1" customHeight="1" x14ac:dyDescent="0.25">
      <c r="B46" s="234"/>
      <c r="C46" s="234"/>
      <c r="D46" s="238"/>
      <c r="E46" s="238"/>
      <c r="F46" s="238"/>
      <c r="G46" s="238"/>
      <c r="H46" s="238"/>
      <c r="I46" s="238"/>
      <c r="J46" s="238"/>
      <c r="K46" s="238"/>
      <c r="L46" s="238"/>
      <c r="M46" s="230"/>
      <c r="N46" s="230"/>
    </row>
    <row r="47" spans="2:17" ht="35.1" customHeight="1" x14ac:dyDescent="0.25">
      <c r="B47" s="234"/>
      <c r="C47" s="234"/>
      <c r="D47" s="237" t="s">
        <v>87</v>
      </c>
      <c r="E47" s="236"/>
      <c r="F47" s="363">
        <f>SUM(F48:F52)</f>
        <v>934875.85748312925</v>
      </c>
      <c r="G47" s="235"/>
      <c r="H47" s="363">
        <f>SUM(H48:H52)</f>
        <v>1766552.8552434323</v>
      </c>
      <c r="I47" s="235"/>
      <c r="J47" s="363">
        <f>SUM(J48:J52)</f>
        <v>1041991.0755890972</v>
      </c>
      <c r="K47" s="235"/>
      <c r="L47" s="363">
        <f>SUM(L48:L52)</f>
        <v>1001793.9984313936</v>
      </c>
      <c r="M47" s="230"/>
      <c r="N47" s="230"/>
    </row>
    <row r="48" spans="2:17" ht="15.6" x14ac:dyDescent="0.25">
      <c r="B48" s="234"/>
      <c r="C48" s="234"/>
      <c r="D48" s="233">
        <f>'Datos del Modelo'!$G$8</f>
        <v>2026</v>
      </c>
      <c r="E48" s="232"/>
      <c r="F48" s="364">
        <f>F39+SUM(('Opciones de vacunas'!B57+'Opciones de vacunas'!B63)*'Datos del Modelo'!G$87,('Opciones de vacunas'!C57+'Opciones de vacunas'!C63)*'Datos del Modelo'!G$88,('Opciones de vacunas'!D57+'Opciones de vacunas'!D63)*'Datos del Modelo'!G$89)+'Datos del Modelo'!G85</f>
        <v>536200.08421052631</v>
      </c>
      <c r="G48" s="231"/>
      <c r="H48" s="364">
        <f>H39+SUM(('Opciones de vacunas'!E57+'Opciones de vacunas'!E63)*'Datos del Modelo'!I$87,('Opciones de vacunas'!F57+'Opciones de vacunas'!F63)*'Datos del Modelo'!I$88,('Opciones de vacunas'!G57+'Opciones de vacunas'!G63)*'Datos del Modelo'!I$89)+'Datos del Modelo'!I85</f>
        <v>1009614.6105263158</v>
      </c>
      <c r="I48" s="231"/>
      <c r="J48" s="364">
        <f>J39+SUM(('Opciones de vacunas'!H57+'Opciones de vacunas'!H63)*'Datos del Modelo'!K$87,('Opciones de vacunas'!I57+'Opciones de vacunas'!I63)*'Datos del Modelo'!K$88,('Opciones de vacunas'!J57+'Opciones de vacunas'!J63)*'Datos del Modelo'!K$89)+'Datos del Modelo'!K85</f>
        <v>602421.19111111108</v>
      </c>
      <c r="K48" s="231"/>
      <c r="L48" s="364">
        <f>L39+SUM(('Opciones de vacunas'!K57+'Opciones de vacunas'!K63)*'Datos del Modelo'!M$87,('Opciones de vacunas'!L57+'Opciones de vacunas'!L63)*'Datos del Modelo'!M$88,('Opciones de vacunas'!M57+'Opciones de vacunas'!M63)*'Datos del Modelo'!M$89)+'Datos del Modelo'!M85</f>
        <v>577623.57894736843</v>
      </c>
      <c r="M48" s="230"/>
      <c r="N48" s="230"/>
      <c r="O48" s="263"/>
      <c r="P48" s="263"/>
      <c r="Q48" s="263"/>
    </row>
    <row r="49" spans="2:14" ht="15.6" x14ac:dyDescent="0.25">
      <c r="B49" s="234"/>
      <c r="C49" s="234"/>
      <c r="D49" s="233">
        <f>'Datos del Modelo'!$G$8+1</f>
        <v>2027</v>
      </c>
      <c r="E49" s="232"/>
      <c r="F49" s="364">
        <f>F40+SUM('Opciones de vacunas'!B58*'Datos del Modelo'!G$87,'Opciones de vacunas'!C58*'Datos del Modelo'!G$88,'Opciones de vacunas'!D58*'Datos del Modelo'!G$89)</f>
        <v>96728.212210526312</v>
      </c>
      <c r="G49" s="231"/>
      <c r="H49" s="364">
        <f>H40+SUM('Opciones de vacunas'!E58*'Datos del Modelo'!I$87,'Opciones de vacunas'!F58*'Datos del Modelo'!I$88,'Opciones de vacunas'!G58*'Datos del Modelo'!I$89)</f>
        <v>183651.19747368421</v>
      </c>
      <c r="I49" s="231"/>
      <c r="J49" s="364">
        <f>J40+SUM('Opciones de vacunas'!H58*'Datos del Modelo'!K$87,'Opciones de vacunas'!I58*'Datos del Modelo'!K$88,'Opciones de vacunas'!J58*'Datos del Modelo'!K$89)</f>
        <v>106650.09493333334</v>
      </c>
      <c r="K49" s="231"/>
      <c r="L49" s="364">
        <f>L40+SUM('Opciones de vacunas'!K58*'Datos del Modelo'!M$87,'Opciones de vacunas'!L58*'Datos del Modelo'!M$88,'Opciones de vacunas'!M58*'Datos del Modelo'!M$89)</f>
        <v>102913.81894736842</v>
      </c>
      <c r="M49" s="230"/>
      <c r="N49" s="230"/>
    </row>
    <row r="50" spans="2:14" ht="15.6" x14ac:dyDescent="0.25">
      <c r="B50" s="234"/>
      <c r="C50" s="234"/>
      <c r="D50" s="233">
        <f>'Datos del Modelo'!$G$8+2</f>
        <v>2028</v>
      </c>
      <c r="E50" s="232"/>
      <c r="F50" s="364">
        <f>F41+SUM('Opciones de vacunas'!B59*'Datos del Modelo'!G$87,'Opciones de vacunas'!C59*'Datos del Modelo'!G$88,'Opciones de vacunas'!D59*'Datos del Modelo'!G$89)</f>
        <v>98662.776454736842</v>
      </c>
      <c r="G50" s="231"/>
      <c r="H50" s="364">
        <f>H41+SUM('Opciones de vacunas'!E59*'Datos del Modelo'!I$87,'Opciones de vacunas'!F59*'Datos del Modelo'!I$88,'Opciones de vacunas'!G59*'Datos del Modelo'!I$89)</f>
        <v>187324.2214231579</v>
      </c>
      <c r="I50" s="231"/>
      <c r="J50" s="364">
        <f>J41+SUM('Opciones de vacunas'!H59*'Datos del Modelo'!K$87,'Opciones de vacunas'!I59*'Datos del Modelo'!K$88,'Opciones de vacunas'!J59*'Datos del Modelo'!K$89)</f>
        <v>108783.096832</v>
      </c>
      <c r="K50" s="231"/>
      <c r="L50" s="364">
        <f>L41+SUM('Opciones de vacunas'!K59*'Datos del Modelo'!M$87,'Opciones de vacunas'!L59*'Datos del Modelo'!M$88,'Opciones de vacunas'!M59*'Datos del Modelo'!M$89)</f>
        <v>104972.09532631579</v>
      </c>
      <c r="M50" s="230"/>
      <c r="N50" s="230"/>
    </row>
    <row r="51" spans="2:14" ht="15.6" x14ac:dyDescent="0.25">
      <c r="B51" s="234"/>
      <c r="C51" s="234"/>
      <c r="D51" s="233">
        <f>'Datos del Modelo'!$G$8+3</f>
        <v>2029</v>
      </c>
      <c r="E51" s="232"/>
      <c r="F51" s="364">
        <f>F42+SUM('Opciones de vacunas'!B60*'Datos del Modelo'!G$87,'Opciones de vacunas'!C60*'Datos del Modelo'!G$88,'Opciones de vacunas'!D60*'Datos del Modelo'!G$89)</f>
        <v>100636.03198383158</v>
      </c>
      <c r="G51" s="231"/>
      <c r="H51" s="364">
        <f>H42+SUM('Opciones de vacunas'!E60*'Datos del Modelo'!I$87,'Opciones de vacunas'!F60*'Datos del Modelo'!I$88,'Opciones de vacunas'!G60*'Datos del Modelo'!I$89)</f>
        <v>191070.70585162102</v>
      </c>
      <c r="I51" s="231"/>
      <c r="J51" s="364">
        <f>J42+SUM('Opciones de vacunas'!H60*'Datos del Modelo'!K$87,'Opciones de vacunas'!I60*'Datos del Modelo'!K$88,'Opciones de vacunas'!J60*'Datos del Modelo'!K$89)</f>
        <v>110958.75876863999</v>
      </c>
      <c r="K51" s="231"/>
      <c r="L51" s="364">
        <f>L42+SUM('Opciones de vacunas'!K60*'Datos del Modelo'!M$87,'Opciones de vacunas'!L60*'Datos del Modelo'!M$88,'Opciones de vacunas'!M60*'Datos del Modelo'!M$89)</f>
        <v>107071.53723284211</v>
      </c>
      <c r="M51" s="230"/>
      <c r="N51" s="230"/>
    </row>
    <row r="52" spans="2:14" ht="15.6" x14ac:dyDescent="0.25">
      <c r="B52" s="234"/>
      <c r="C52" s="234"/>
      <c r="D52" s="233">
        <f>'Datos del Modelo'!$G$8+4</f>
        <v>2030</v>
      </c>
      <c r="E52" s="232"/>
      <c r="F52" s="364">
        <f>F43+SUM('Opciones de vacunas'!B61*'Datos del Modelo'!G$87,'Opciones de vacunas'!C61*'Datos del Modelo'!G$88,'Opciones de vacunas'!D61*'Datos del Modelo'!G$89)</f>
        <v>102648.75262350822</v>
      </c>
      <c r="G52" s="231"/>
      <c r="H52" s="364">
        <f>H43+SUM('Opciones de vacunas'!E61*'Datos del Modelo'!I$87,'Opciones de vacunas'!F61*'Datos del Modelo'!I$88,'Opciones de vacunas'!G61*'Datos del Modelo'!I$89)</f>
        <v>194892.11996865348</v>
      </c>
      <c r="I52" s="231"/>
      <c r="J52" s="364">
        <f>J43+SUM('Opciones de vacunas'!H61*'Datos del Modelo'!K$87,'Opciones de vacunas'!I61*'Datos del Modelo'!K$88,'Opciones de vacunas'!J61*'Datos del Modelo'!K$89)</f>
        <v>113177.93394401281</v>
      </c>
      <c r="K52" s="231"/>
      <c r="L52" s="364">
        <f>L43+SUM('Opciones de vacunas'!K61*'Datos del Modelo'!M$87,'Opciones de vacunas'!L61*'Datos del Modelo'!M$88,'Opciones de vacunas'!M61*'Datos del Modelo'!M$89)</f>
        <v>109212.96797749895</v>
      </c>
      <c r="M52" s="230"/>
      <c r="N52" s="230"/>
    </row>
    <row r="53" spans="2:14" ht="15" customHeight="1" x14ac:dyDescent="0.25">
      <c r="B53" s="230"/>
      <c r="C53" s="230"/>
      <c r="D53" s="230"/>
      <c r="E53" s="230"/>
      <c r="F53" s="230"/>
      <c r="G53" s="230"/>
      <c r="H53" s="230"/>
      <c r="I53" s="230"/>
      <c r="J53" s="230"/>
      <c r="K53" s="230"/>
      <c r="L53" s="230"/>
      <c r="M53" s="230"/>
      <c r="N53" s="230"/>
    </row>
    <row r="54" spans="2:14" ht="40.35" customHeight="1" x14ac:dyDescent="0.25">
      <c r="B54" s="230"/>
      <c r="C54" s="467" t="s">
        <v>93</v>
      </c>
      <c r="D54" s="467"/>
      <c r="E54" s="467"/>
      <c r="F54" s="467"/>
      <c r="G54" s="467"/>
      <c r="H54" s="467"/>
      <c r="I54" s="467"/>
      <c r="J54" s="467"/>
      <c r="K54" s="467"/>
      <c r="L54" s="467"/>
      <c r="M54" s="467"/>
      <c r="N54" s="230"/>
    </row>
    <row r="55" spans="2:14" ht="15" customHeight="1" x14ac:dyDescent="0.25">
      <c r="B55" s="230"/>
      <c r="C55" s="230"/>
      <c r="D55" s="230"/>
      <c r="E55" s="230"/>
      <c r="F55" s="230"/>
      <c r="G55" s="230"/>
      <c r="H55" s="230"/>
      <c r="I55" s="230"/>
      <c r="J55" s="230"/>
      <c r="K55" s="230"/>
      <c r="L55" s="230"/>
      <c r="M55" s="230"/>
      <c r="N55" s="230"/>
    </row>
    <row r="56" spans="2:14" ht="42" customHeight="1" x14ac:dyDescent="0.25">
      <c r="B56" s="234"/>
      <c r="C56" s="234"/>
      <c r="D56" s="460" t="s">
        <v>94</v>
      </c>
      <c r="E56" s="460"/>
      <c r="F56" s="460"/>
      <c r="G56" s="460"/>
      <c r="H56" s="460"/>
      <c r="I56" s="460"/>
      <c r="J56" s="460"/>
      <c r="K56" s="460"/>
      <c r="L56" s="460"/>
      <c r="M56" s="230"/>
      <c r="N56" s="230"/>
    </row>
    <row r="57" spans="2:14" ht="15.6" x14ac:dyDescent="0.25">
      <c r="B57" s="234"/>
      <c r="C57" s="234"/>
      <c r="D57" s="238"/>
      <c r="E57" s="238"/>
      <c r="F57" s="238"/>
      <c r="G57" s="238"/>
      <c r="H57" s="238"/>
      <c r="I57" s="238"/>
      <c r="J57" s="238"/>
      <c r="K57" s="238"/>
      <c r="L57" s="238"/>
      <c r="M57" s="230"/>
      <c r="N57" s="230"/>
    </row>
    <row r="58" spans="2:14" ht="31.2" x14ac:dyDescent="0.25">
      <c r="B58" s="234"/>
      <c r="C58" s="234"/>
      <c r="D58" s="237" t="s">
        <v>87</v>
      </c>
      <c r="E58" s="236"/>
      <c r="F58" s="363">
        <f>SUM(F59:F63)</f>
        <v>2761786.5127747362</v>
      </c>
      <c r="G58" s="235"/>
      <c r="H58" s="363">
        <f>SUM(H59:H63)</f>
        <v>5064633.5484085893</v>
      </c>
      <c r="I58" s="235"/>
      <c r="J58" s="363">
        <f>SUM(J59:J63)</f>
        <v>5167212.2285818327</v>
      </c>
      <c r="K58" s="235"/>
      <c r="L58" s="363">
        <f>SUM(L59:L63)</f>
        <v>4264971.615428715</v>
      </c>
      <c r="M58" s="230"/>
      <c r="N58" s="230"/>
    </row>
    <row r="59" spans="2:14" ht="15.6" x14ac:dyDescent="0.25">
      <c r="B59" s="234"/>
      <c r="C59" s="234"/>
      <c r="D59" s="233">
        <f>'Datos del Modelo'!$G$8</f>
        <v>2026</v>
      </c>
      <c r="E59" s="232"/>
      <c r="F59" s="365">
        <f>F20*('Datos del Modelo'!G54+'Datos del Modelo'!G54*'Datos del Modelo'!G$76+'Datos del Modelo'!G54*'Datos del Modelo'!G$77)+(F11/'Datos del Modelo'!G$80*'Datos del Modelo'!G$79)+(F11*'Datos del Modelo'!$G$81)</f>
        <v>1590416.8421052629</v>
      </c>
      <c r="G59" s="240"/>
      <c r="H59" s="365">
        <f>H20*('Datos del Modelo'!I54+'Datos del Modelo'!I54*'Datos del Modelo'!I$76+'Datos del Modelo'!I54*'Datos del Modelo'!I$77)+(H11/'Datos del Modelo'!I$80*'Datos del Modelo'!I$79)+(H11*'Datos del Modelo'!$I$81)</f>
        <v>2907646.3157894737</v>
      </c>
      <c r="I59" s="240"/>
      <c r="J59" s="365">
        <f>J20*('Datos del Modelo'!K54+'Datos del Modelo'!K54*'Datos del Modelo'!K$76+'Datos del Modelo'!K54*'Datos del Modelo'!K$77)+(J11/'Datos del Modelo'!K$80*'Datos del Modelo'!K$79)+(J11*'Datos del Modelo'!$K$81)</f>
        <v>2973489.7777777785</v>
      </c>
      <c r="K59" s="240"/>
      <c r="L59" s="365">
        <f>L20*('Datos del Modelo'!M54+'Datos del Modelo'!M54*'Datos del Modelo'!M$76+'Datos del Modelo'!M54*'Datos del Modelo'!M$77)+(L11/'Datos del Modelo'!M$80*'Datos del Modelo'!M$79)+(L11*'Datos del Modelo'!$M$81)</f>
        <v>2456235.789473684</v>
      </c>
      <c r="M59" s="230"/>
      <c r="N59" s="230"/>
    </row>
    <row r="60" spans="2:14" ht="15.6" x14ac:dyDescent="0.25">
      <c r="B60" s="234"/>
      <c r="C60" s="234"/>
      <c r="D60" s="233">
        <f>'Datos del Modelo'!$G$8+1</f>
        <v>2027</v>
      </c>
      <c r="E60" s="232"/>
      <c r="F60" s="365">
        <f>F21*('Datos del Modelo'!G55+'Datos del Modelo'!G55*'Datos del Modelo'!G$76+'Datos del Modelo'!G55*'Datos del Modelo'!G$77)+(F12/'Datos del Modelo'!G$80*'Datos del Modelo'!G$79)+(F12*'Datos del Modelo'!$G$81)</f>
        <v>284202.10526315781</v>
      </c>
      <c r="G60" s="240"/>
      <c r="H60" s="365">
        <f>H21*('Datos del Modelo'!I55+'Datos del Modelo'!I55*'Datos del Modelo'!I$76+'Datos del Modelo'!I55*'Datos del Modelo'!I$77)+(H12/'Datos del Modelo'!I$80*'Datos del Modelo'!I$79)+(H12*'Datos del Modelo'!$I$81)</f>
        <v>523336.33684210526</v>
      </c>
      <c r="I60" s="240"/>
      <c r="J60" s="365">
        <f>J21*('Datos del Modelo'!K55+'Datos del Modelo'!K55*'Datos del Modelo'!K$76+'Datos del Modelo'!K55*'Datos del Modelo'!K$77)+(J12/'Datos del Modelo'!K$80*'Datos del Modelo'!K$79)+(J12*'Datos del Modelo'!$K$81)</f>
        <v>532249.17333333346</v>
      </c>
      <c r="K60" s="240"/>
      <c r="L60" s="365">
        <f>L21*('Datos del Modelo'!M55+'Datos del Modelo'!M55*'Datos del Modelo'!M$76+'Datos del Modelo'!M55*'Datos del Modelo'!M$77)+(L12/'Datos del Modelo'!M$80*'Datos del Modelo'!M$79)+(L12*'Datos del Modelo'!$M$81)</f>
        <v>438842.27368421044</v>
      </c>
      <c r="M60" s="230"/>
      <c r="N60" s="230"/>
    </row>
    <row r="61" spans="2:14" ht="15.6" x14ac:dyDescent="0.25">
      <c r="B61" s="234"/>
      <c r="C61" s="234"/>
      <c r="D61" s="233">
        <f>'Datos del Modelo'!$G$8+2</f>
        <v>2028</v>
      </c>
      <c r="E61" s="232"/>
      <c r="F61" s="365">
        <f>F22*('Datos del Modelo'!G56+'Datos del Modelo'!G56*'Datos del Modelo'!G$76+'Datos del Modelo'!G56*'Datos del Modelo'!G$77)+(F13/'Datos del Modelo'!G$80*'Datos del Modelo'!G$79)+(F13*'Datos del Modelo'!$G$81)</f>
        <v>289886.14736842108</v>
      </c>
      <c r="G61" s="240"/>
      <c r="H61" s="365">
        <f>H22*('Datos del Modelo'!I56+'Datos del Modelo'!I56*'Datos del Modelo'!I$76+'Datos del Modelo'!I56*'Datos del Modelo'!I$77)+(H13/'Datos del Modelo'!I$80*'Datos del Modelo'!I$79)+(H13*'Datos del Modelo'!$I$81)</f>
        <v>533803.06357894721</v>
      </c>
      <c r="I61" s="240"/>
      <c r="J61" s="365">
        <f>J22*('Datos del Modelo'!K56+'Datos del Modelo'!K56*'Datos del Modelo'!K$76+'Datos del Modelo'!K56*'Datos del Modelo'!K$77)+(J13/'Datos del Modelo'!K$80*'Datos del Modelo'!K$79)+(J13*'Datos del Modelo'!$K$81)</f>
        <v>542894.15680000011</v>
      </c>
      <c r="K61" s="240"/>
      <c r="L61" s="365">
        <f>L22*('Datos del Modelo'!M56+'Datos del Modelo'!M56*'Datos del Modelo'!M$76+'Datos del Modelo'!M56*'Datos del Modelo'!M$77)+(L13/'Datos del Modelo'!M$80*'Datos del Modelo'!M$79)+(L13*'Datos del Modelo'!$M$81)</f>
        <v>447619.11915789475</v>
      </c>
      <c r="M61" s="230"/>
      <c r="N61" s="230"/>
    </row>
    <row r="62" spans="2:14" ht="15.6" x14ac:dyDescent="0.25">
      <c r="B62" s="234"/>
      <c r="C62" s="234"/>
      <c r="D62" s="233">
        <f>'Datos del Modelo'!$G$8+3</f>
        <v>2029</v>
      </c>
      <c r="E62" s="232"/>
      <c r="F62" s="365">
        <f>F23*('Datos del Modelo'!G57+'Datos del Modelo'!G57*'Datos del Modelo'!G$76+'Datos del Modelo'!G57*'Datos del Modelo'!G$77)+(F14/'Datos del Modelo'!G$80*'Datos del Modelo'!G$79)+(F14*'Datos del Modelo'!$G$81)</f>
        <v>295683.87031578948</v>
      </c>
      <c r="G62" s="240"/>
      <c r="H62" s="365">
        <f>H23*('Datos del Modelo'!I57+'Datos del Modelo'!I57*'Datos del Modelo'!I$76+'Datos del Modelo'!I57*'Datos del Modelo'!I$77)+(H14/'Datos del Modelo'!I$80*'Datos del Modelo'!I$79)+(H14*'Datos del Modelo'!$I$81)</f>
        <v>544479.12485052634</v>
      </c>
      <c r="I62" s="240"/>
      <c r="J62" s="365">
        <f>J23*('Datos del Modelo'!K57+'Datos del Modelo'!K57*'Datos del Modelo'!K$76+'Datos del Modelo'!K57*'Datos del Modelo'!K$77)+(J14/'Datos del Modelo'!K$80*'Datos del Modelo'!K$79)+(J14*'Datos del Modelo'!$K$81)</f>
        <v>553752.03993600013</v>
      </c>
      <c r="K62" s="240"/>
      <c r="L62" s="365">
        <f>L23*('Datos del Modelo'!M57+'Datos del Modelo'!M57*'Datos del Modelo'!M$76+'Datos del Modelo'!M57*'Datos del Modelo'!M$77)+(L14/'Datos del Modelo'!M$80*'Datos del Modelo'!M$79)+(L14*'Datos del Modelo'!$M$81)</f>
        <v>456571.50154105265</v>
      </c>
      <c r="M62" s="230"/>
      <c r="N62" s="230"/>
    </row>
    <row r="63" spans="2:14" ht="15.6" x14ac:dyDescent="0.25">
      <c r="B63" s="234"/>
      <c r="C63" s="234"/>
      <c r="D63" s="233">
        <f>'Datos del Modelo'!$G$8+4</f>
        <v>2030</v>
      </c>
      <c r="E63" s="232"/>
      <c r="F63" s="365">
        <f>F24*('Datos del Modelo'!G58+'Datos del Modelo'!G58*'Datos del Modelo'!G$76+'Datos del Modelo'!G58*'Datos del Modelo'!G$77)+(F15/'Datos del Modelo'!G$80*'Datos del Modelo'!G$79)+(F15*'Datos del Modelo'!$G$81)</f>
        <v>301597.54772210529</v>
      </c>
      <c r="G63" s="240"/>
      <c r="H63" s="365">
        <f>H24*('Datos del Modelo'!I58+'Datos del Modelo'!I58*'Datos del Modelo'!I$76+'Datos del Modelo'!I58*'Datos del Modelo'!I$77)+(H15/'Datos del Modelo'!I$80*'Datos del Modelo'!I$79)+(H15*'Datos del Modelo'!$I$81)</f>
        <v>555368.70734753681</v>
      </c>
      <c r="I63" s="240"/>
      <c r="J63" s="365">
        <f>J24*('Datos del Modelo'!K58+'Datos del Modelo'!K58*'Datos del Modelo'!K$76+'Datos del Modelo'!K58*'Datos del Modelo'!K$77)+(J15/'Datos del Modelo'!K$80*'Datos del Modelo'!K$79)+(J15*'Datos del Modelo'!$K$81)</f>
        <v>564827.08073471999</v>
      </c>
      <c r="K63" s="240"/>
      <c r="L63" s="365">
        <f>L24*('Datos del Modelo'!M58+'Datos del Modelo'!M58*'Datos del Modelo'!M$76+'Datos del Modelo'!M58*'Datos del Modelo'!M$77)+(L15/'Datos del Modelo'!M$80*'Datos del Modelo'!M$79)+(L15*'Datos del Modelo'!$M$81)</f>
        <v>465702.93157187372</v>
      </c>
      <c r="M63" s="230"/>
      <c r="N63" s="230"/>
    </row>
    <row r="64" spans="2:14" ht="15.6" x14ac:dyDescent="0.25">
      <c r="B64" s="234"/>
      <c r="C64" s="234"/>
      <c r="D64" s="241"/>
      <c r="E64" s="232"/>
      <c r="F64" s="239"/>
      <c r="G64" s="240"/>
      <c r="H64" s="239"/>
      <c r="I64" s="240"/>
      <c r="J64" s="239"/>
      <c r="K64" s="240"/>
      <c r="L64" s="239"/>
      <c r="M64" s="230"/>
      <c r="N64" s="230"/>
    </row>
    <row r="65" spans="2:14" ht="42" customHeight="1" x14ac:dyDescent="0.25">
      <c r="B65" s="234"/>
      <c r="C65" s="234"/>
      <c r="D65" s="460" t="s">
        <v>95</v>
      </c>
      <c r="E65" s="460"/>
      <c r="F65" s="460"/>
      <c r="G65" s="460"/>
      <c r="H65" s="460"/>
      <c r="I65" s="460"/>
      <c r="J65" s="460"/>
      <c r="K65" s="460"/>
      <c r="L65" s="460"/>
      <c r="M65" s="230"/>
      <c r="N65" s="230"/>
    </row>
    <row r="66" spans="2:14" ht="15.6" x14ac:dyDescent="0.25">
      <c r="B66" s="234"/>
      <c r="C66" s="234"/>
      <c r="D66" s="238"/>
      <c r="E66" s="238"/>
      <c r="F66" s="238"/>
      <c r="G66" s="238"/>
      <c r="H66" s="238"/>
      <c r="I66" s="238"/>
      <c r="J66" s="238"/>
      <c r="K66" s="238"/>
      <c r="L66" s="238"/>
      <c r="M66" s="230"/>
      <c r="N66" s="230"/>
    </row>
    <row r="67" spans="2:14" ht="31.2" x14ac:dyDescent="0.25">
      <c r="B67" s="234"/>
      <c r="C67" s="234"/>
      <c r="D67" s="237" t="s">
        <v>87</v>
      </c>
      <c r="E67" s="236"/>
      <c r="F67" s="363">
        <f>SUM(F68:F72)</f>
        <v>3538109.725574736</v>
      </c>
      <c r="G67" s="235"/>
      <c r="H67" s="363">
        <f>SUM(H68:H72)</f>
        <v>6538249.6728085894</v>
      </c>
      <c r="I67" s="235"/>
      <c r="J67" s="363">
        <f>SUM(J68:J72)</f>
        <v>5943535.4413818317</v>
      </c>
      <c r="K67" s="235"/>
      <c r="L67" s="363">
        <f>SUM(L68:L72)</f>
        <v>5041294.8282287158</v>
      </c>
      <c r="M67" s="230"/>
      <c r="N67" s="230"/>
    </row>
    <row r="68" spans="2:14" ht="15.6" x14ac:dyDescent="0.25">
      <c r="B68" s="234"/>
      <c r="C68" s="234"/>
      <c r="D68" s="233">
        <f>'Datos del Modelo'!$G$8</f>
        <v>2026</v>
      </c>
      <c r="E68" s="232"/>
      <c r="F68" s="364">
        <f>F59+SUM(('Opciones de vacunas'!B57+'Opciones de vacunas'!B63)*'Datos del Modelo'!G$87,('Opciones de vacunas'!C57+'Opciones de vacunas'!C63)*'Datos del Modelo'!G$88,('Opciones de vacunas'!D57+'Opciones de vacunas'!D63)*'Datos del Modelo'!G$89)+'Datos del Modelo'!G85</f>
        <v>2030416.8421052629</v>
      </c>
      <c r="G68" s="231"/>
      <c r="H68" s="364">
        <f>H59+SUM(('Opciones de vacunas'!E57+'Opciones de vacunas'!E63)*'Datos del Modelo'!I$87,('Opciones de vacunas'!F57+'Opciones de vacunas'!F63)*'Datos del Modelo'!I$88,('Opciones de vacunas'!G57+'Opciones de vacunas'!G63)*'Datos del Modelo'!I$89)+'Datos del Modelo'!I85</f>
        <v>3740146.3157894737</v>
      </c>
      <c r="I68" s="231"/>
      <c r="J68" s="364">
        <f>J59+SUM(('Opciones de vacunas'!H57+'Opciones de vacunas'!H63)*'Datos del Modelo'!K$87,('Opciones de vacunas'!I57+'Opciones de vacunas'!I63)*'Datos del Modelo'!K$88,('Opciones de vacunas'!J57+'Opciones de vacunas'!J63)*'Datos del Modelo'!K$89)+'Datos del Modelo'!K85</f>
        <v>3413489.7777777785</v>
      </c>
      <c r="K68" s="231"/>
      <c r="L68" s="364">
        <f>L59+SUM(('Opciones de vacunas'!K57+'Opciones de vacunas'!K63)*'Datos del Modelo'!M$87,('Opciones de vacunas'!L57+'Opciones de vacunas'!L63)*'Datos del Modelo'!M$88,('Opciones de vacunas'!M57+'Opciones de vacunas'!M63)*'Datos del Modelo'!M$89)+'Datos del Modelo'!M85</f>
        <v>2896235.789473684</v>
      </c>
      <c r="M68" s="230"/>
      <c r="N68" s="230"/>
    </row>
    <row r="69" spans="2:14" ht="15.6" x14ac:dyDescent="0.25">
      <c r="B69" s="234"/>
      <c r="C69" s="234"/>
      <c r="D69" s="233">
        <f>'Datos del Modelo'!$G$8+1</f>
        <v>2027</v>
      </c>
      <c r="E69" s="232"/>
      <c r="F69" s="364">
        <f>F60+SUM('Opciones de vacunas'!B58*'Datos del Modelo'!G$87,'Opciones de vacunas'!C58*'Datos del Modelo'!G$88,'Opciones de vacunas'!D58*'Datos del Modelo'!G$89)</f>
        <v>365802.10526315781</v>
      </c>
      <c r="G69" s="231"/>
      <c r="H69" s="364">
        <f>H60+SUM('Opciones de vacunas'!E58*'Datos del Modelo'!I$87,'Opciones de vacunas'!F58*'Datos del Modelo'!I$88,'Opciones de vacunas'!G58*'Datos del Modelo'!I$89)</f>
        <v>678886.33684210526</v>
      </c>
      <c r="I69" s="231"/>
      <c r="J69" s="364">
        <f>J60+SUM('Opciones de vacunas'!H58*'Datos del Modelo'!K$87,'Opciones de vacunas'!I58*'Datos del Modelo'!K$88,'Opciones de vacunas'!J58*'Datos del Modelo'!K$89)</f>
        <v>613849.17333333346</v>
      </c>
      <c r="K69" s="231"/>
      <c r="L69" s="364">
        <f>L60+SUM('Opciones de vacunas'!K58*'Datos del Modelo'!M$87,'Opciones de vacunas'!L58*'Datos del Modelo'!M$88,'Opciones de vacunas'!M58*'Datos del Modelo'!M$89)</f>
        <v>520442.27368421044</v>
      </c>
      <c r="M69" s="230"/>
      <c r="N69" s="230"/>
    </row>
    <row r="70" spans="2:14" ht="15.6" x14ac:dyDescent="0.25">
      <c r="B70" s="234"/>
      <c r="C70" s="234"/>
      <c r="D70" s="233">
        <f>'Datos del Modelo'!$G$8+2</f>
        <v>2028</v>
      </c>
      <c r="E70" s="232"/>
      <c r="F70" s="364">
        <f>F61+SUM('Opciones de vacunas'!B59*'Datos del Modelo'!G$87,'Opciones de vacunas'!C59*'Datos del Modelo'!G$88,'Opciones de vacunas'!D59*'Datos del Modelo'!G$89)</f>
        <v>373118.14736842108</v>
      </c>
      <c r="G70" s="231"/>
      <c r="H70" s="364">
        <f>H61+SUM('Opciones de vacunas'!E59*'Datos del Modelo'!I$87,'Opciones de vacunas'!F59*'Datos del Modelo'!I$88,'Opciones de vacunas'!G59*'Datos del Modelo'!I$89)</f>
        <v>692464.06357894721</v>
      </c>
      <c r="I70" s="231"/>
      <c r="J70" s="364">
        <f>J61+SUM('Opciones de vacunas'!H59*'Datos del Modelo'!K$87,'Opciones de vacunas'!I59*'Datos del Modelo'!K$88,'Opciones de vacunas'!J59*'Datos del Modelo'!K$89)</f>
        <v>626126.15680000011</v>
      </c>
      <c r="K70" s="231"/>
      <c r="L70" s="364">
        <f>L61+SUM('Opciones de vacunas'!K59*'Datos del Modelo'!M$87,'Opciones de vacunas'!L59*'Datos del Modelo'!M$88,'Opciones de vacunas'!M59*'Datos del Modelo'!M$89)</f>
        <v>530851.11915789475</v>
      </c>
      <c r="M70" s="230"/>
      <c r="N70" s="230"/>
    </row>
    <row r="71" spans="2:14" ht="15.6" x14ac:dyDescent="0.25">
      <c r="B71" s="234"/>
      <c r="C71" s="234"/>
      <c r="D71" s="233">
        <f>'Datos del Modelo'!$G$8+3</f>
        <v>2029</v>
      </c>
      <c r="E71" s="232"/>
      <c r="F71" s="364">
        <f>F62+SUM('Opciones de vacunas'!B60*'Datos del Modelo'!G$87,'Opciones de vacunas'!C60*'Datos del Modelo'!G$88,'Opciones de vacunas'!D60*'Datos del Modelo'!G$89)</f>
        <v>380580.51031578949</v>
      </c>
      <c r="G71" s="231"/>
      <c r="H71" s="364">
        <f>H62+SUM('Opciones de vacunas'!E60*'Datos del Modelo'!I$87,'Opciones de vacunas'!F60*'Datos del Modelo'!I$88,'Opciones de vacunas'!G60*'Datos del Modelo'!I$89)</f>
        <v>706313.34485052631</v>
      </c>
      <c r="I71" s="231"/>
      <c r="J71" s="364">
        <f>J62+SUM('Opciones de vacunas'!H60*'Datos del Modelo'!K$87,'Opciones de vacunas'!I60*'Datos del Modelo'!K$88,'Opciones de vacunas'!J60*'Datos del Modelo'!K$89)</f>
        <v>638648.67993600015</v>
      </c>
      <c r="K71" s="231"/>
      <c r="L71" s="364">
        <f>L62+SUM('Opciones de vacunas'!K60*'Datos del Modelo'!M$87,'Opciones de vacunas'!L60*'Datos del Modelo'!M$88,'Opciones de vacunas'!M60*'Datos del Modelo'!M$89)</f>
        <v>541468.14154105261</v>
      </c>
      <c r="M71" s="230"/>
      <c r="N71" s="230"/>
    </row>
    <row r="72" spans="2:14" ht="15.6" x14ac:dyDescent="0.25">
      <c r="B72" s="234"/>
      <c r="C72" s="234"/>
      <c r="D72" s="233">
        <f>'Datos del Modelo'!$G$8+4</f>
        <v>2030</v>
      </c>
      <c r="E72" s="232"/>
      <c r="F72" s="364">
        <f>F63+SUM('Opciones de vacunas'!B61*'Datos del Modelo'!G$87,'Opciones de vacunas'!C61*'Datos del Modelo'!G$88,'Opciones de vacunas'!D61*'Datos del Modelo'!G$89)</f>
        <v>388192.12052210531</v>
      </c>
      <c r="G72" s="231"/>
      <c r="H72" s="364">
        <f>H63+SUM('Opciones de vacunas'!E61*'Datos del Modelo'!I$87,'Opciones de vacunas'!F61*'Datos del Modelo'!I$88,'Opciones de vacunas'!G61*'Datos del Modelo'!I$89)</f>
        <v>720439.61174753681</v>
      </c>
      <c r="I72" s="231"/>
      <c r="J72" s="364">
        <f>J63+SUM('Opciones de vacunas'!H61*'Datos del Modelo'!K$87,'Opciones de vacunas'!I61*'Datos del Modelo'!K$88,'Opciones de vacunas'!J61*'Datos del Modelo'!K$89)</f>
        <v>651421.65353471995</v>
      </c>
      <c r="K72" s="231"/>
      <c r="L72" s="364">
        <f>L63+SUM('Opciones de vacunas'!K61*'Datos del Modelo'!M$87,'Opciones de vacunas'!L61*'Datos del Modelo'!M$88,'Opciones de vacunas'!M61*'Datos del Modelo'!M$89)</f>
        <v>552297.50437187369</v>
      </c>
      <c r="M72" s="230"/>
      <c r="N72" s="230"/>
    </row>
    <row r="73" spans="2:14" x14ac:dyDescent="0.25">
      <c r="B73" s="230"/>
      <c r="C73" s="230"/>
      <c r="D73" s="230"/>
      <c r="E73" s="230"/>
      <c r="F73" s="230"/>
      <c r="G73" s="230"/>
      <c r="H73" s="230"/>
      <c r="I73" s="230"/>
      <c r="J73" s="230"/>
      <c r="K73" s="230"/>
      <c r="L73" s="230"/>
      <c r="M73" s="230"/>
      <c r="N73" s="230"/>
    </row>
  </sheetData>
  <sheetProtection algorithmName="SHA-512" hashValue="4++EMqeZlFO3LRV8LZTN1x4dof04+Hv4BMruM7935SnYSxyakLxZiD73fctSyzO4ZkVaEycFkX7YO+//wj3eMw==" saltValue="KtN4+gBVaGGAzo7bE4BNdQ=="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38 H38 J38 L38">
    <cfRule type="colorScale" priority="13">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cfRule type="colorScale" priority="14">
      <colorScale>
        <cfvo type="min"/>
        <cfvo type="percentile" val="50"/>
        <cfvo type="max"/>
        <color theme="6"/>
        <color rgb="FFDFE382"/>
        <color theme="3"/>
      </colorScale>
    </cfRule>
  </conditionalFormatting>
  <conditionalFormatting sqref="H47 F47 J47 L47">
    <cfRule type="colorScale" priority="12">
      <colorScale>
        <cfvo type="min"/>
        <cfvo type="percentile" val="50"/>
        <cfvo type="max"/>
        <color theme="6"/>
        <color rgb="FFDFE382"/>
        <color theme="3"/>
      </colorScale>
    </cfRule>
  </conditionalFormatting>
  <conditionalFormatting sqref="H58 F58 J58 L58">
    <cfRule type="colorScale" priority="2">
      <colorScale>
        <cfvo type="min"/>
        <cfvo type="percentile" val="50"/>
        <cfvo type="max"/>
        <color theme="6"/>
        <color rgb="FFDFE382"/>
        <color theme="3"/>
      </colorScale>
    </cfRule>
  </conditionalFormatting>
  <conditionalFormatting sqref="H58 F58 J58">
    <cfRule type="colorScale" priority="3">
      <colorScale>
        <cfvo type="min"/>
        <cfvo type="percentile" val="50"/>
        <cfvo type="max"/>
        <color theme="6"/>
        <color rgb="FFDFE382"/>
        <color theme="3"/>
      </colorScale>
    </cfRule>
  </conditionalFormatting>
  <conditionalFormatting sqref="H67 F67 J67 L67">
    <cfRule type="colorScale" priority="1">
      <colorScale>
        <cfvo type="min"/>
        <cfvo type="percentile" val="50"/>
        <cfvo type="max"/>
        <color theme="6"/>
        <color rgb="FFDFE382"/>
        <color theme="3"/>
      </colorScale>
    </cfRule>
  </conditionalFormatting>
  <conditionalFormatting sqref="J38 L38 H38 F38">
    <cfRule type="colorScale" priority="15">
      <colorScale>
        <cfvo type="min"/>
        <cfvo type="max"/>
        <color theme="6"/>
        <color rgb="FFDFE382"/>
      </colorScale>
    </cfRule>
  </conditionalFormatting>
  <conditionalFormatting sqref="J58 L58 H58 F58">
    <cfRule type="colorScale" priority="4">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63"/>
  <sheetViews>
    <sheetView topLeftCell="A35" workbookViewId="0">
      <selection activeCell="M14" sqref="M14"/>
    </sheetView>
  </sheetViews>
  <sheetFormatPr defaultColWidth="8.6640625" defaultRowHeight="14.4" x14ac:dyDescent="0.3"/>
  <cols>
    <col min="1" max="1" width="52" customWidth="1"/>
    <col min="2" max="5" width="20.44140625" customWidth="1"/>
    <col min="6" max="6" width="40" customWidth="1"/>
    <col min="7" max="27" width="20.44140625" customWidth="1"/>
  </cols>
  <sheetData>
    <row r="1" spans="1:6" ht="30.6" x14ac:dyDescent="0.3">
      <c r="A1" s="3" t="s">
        <v>96</v>
      </c>
      <c r="B1" s="3" t="s">
        <v>97</v>
      </c>
      <c r="C1" s="3" t="s">
        <v>98</v>
      </c>
      <c r="D1" s="368" t="s">
        <v>99</v>
      </c>
      <c r="E1" s="368" t="s">
        <v>100</v>
      </c>
    </row>
    <row r="2" spans="1:6" x14ac:dyDescent="0.3">
      <c r="A2" s="3"/>
      <c r="B2" s="3"/>
      <c r="C2" s="3"/>
      <c r="D2" s="3"/>
      <c r="E2" s="3"/>
    </row>
    <row r="3" spans="1:6" ht="28.8" x14ac:dyDescent="0.3">
      <c r="A3" s="7" t="s">
        <v>49</v>
      </c>
      <c r="B3" s="4">
        <v>2</v>
      </c>
      <c r="C3" s="2">
        <v>0.05</v>
      </c>
      <c r="D3" s="1">
        <v>14.6</v>
      </c>
      <c r="E3" s="8" t="s">
        <v>101</v>
      </c>
    </row>
    <row r="4" spans="1:6" ht="43.2" x14ac:dyDescent="0.3">
      <c r="A4" s="7" t="s">
        <v>50</v>
      </c>
      <c r="B4" s="4">
        <v>2</v>
      </c>
      <c r="C4" s="2">
        <v>0.05</v>
      </c>
      <c r="D4" s="1">
        <v>11.8</v>
      </c>
      <c r="E4" s="369" t="s">
        <v>102</v>
      </c>
    </row>
    <row r="5" spans="1:6" ht="28.8" x14ac:dyDescent="0.3">
      <c r="A5" s="7" t="s">
        <v>51</v>
      </c>
      <c r="B5" s="4">
        <v>2</v>
      </c>
      <c r="C5" s="2">
        <v>0.1</v>
      </c>
      <c r="D5" s="1">
        <v>4.8</v>
      </c>
      <c r="E5" s="8" t="s">
        <v>103</v>
      </c>
    </row>
    <row r="6" spans="1:6" ht="28.8" x14ac:dyDescent="0.3">
      <c r="A6" s="7" t="s">
        <v>52</v>
      </c>
      <c r="B6" s="4">
        <v>2</v>
      </c>
      <c r="C6" s="2">
        <v>0.05</v>
      </c>
      <c r="D6" s="1">
        <v>15</v>
      </c>
      <c r="E6" s="8" t="s">
        <v>103</v>
      </c>
    </row>
    <row r="7" spans="1:6" ht="86.4" x14ac:dyDescent="0.3">
      <c r="A7" s="316" t="s">
        <v>104</v>
      </c>
      <c r="B7" s="4">
        <v>2</v>
      </c>
      <c r="C7" s="2">
        <v>0.05</v>
      </c>
      <c r="D7" s="1">
        <v>3.5</v>
      </c>
      <c r="E7" s="8" t="s">
        <v>105</v>
      </c>
      <c r="F7" s="368" t="s">
        <v>127</v>
      </c>
    </row>
    <row r="8" spans="1:6" ht="28.8" x14ac:dyDescent="0.3">
      <c r="A8" s="314" t="s">
        <v>36</v>
      </c>
      <c r="B8" s="368" t="s">
        <v>106</v>
      </c>
    </row>
    <row r="9" spans="1:6" x14ac:dyDescent="0.3">
      <c r="A9" t="s">
        <v>107</v>
      </c>
      <c r="B9" t="s">
        <v>108</v>
      </c>
    </row>
    <row r="10" spans="1:6" x14ac:dyDescent="0.3">
      <c r="A10" s="7" t="s">
        <v>37</v>
      </c>
      <c r="B10" t="s">
        <v>39</v>
      </c>
    </row>
    <row r="11" spans="1:6" x14ac:dyDescent="0.3">
      <c r="A11" t="s">
        <v>109</v>
      </c>
    </row>
    <row r="12" spans="1:6" x14ac:dyDescent="0.3">
      <c r="D12" s="7" t="s">
        <v>37</v>
      </c>
      <c r="F12" t="s">
        <v>109</v>
      </c>
    </row>
    <row r="13" spans="1:6" x14ac:dyDescent="0.3">
      <c r="A13" s="6"/>
      <c r="B13" s="269">
        <v>0</v>
      </c>
      <c r="D13" s="291">
        <v>0.04</v>
      </c>
      <c r="E13" s="295">
        <v>1</v>
      </c>
      <c r="F13" s="291">
        <f>'Datos del Modelo'!G40</f>
        <v>0.15</v>
      </c>
    </row>
    <row r="14" spans="1:6" x14ac:dyDescent="0.3">
      <c r="B14" s="269">
        <v>0.05</v>
      </c>
      <c r="D14" s="291">
        <f>D13*1.15</f>
        <v>4.5999999999999999E-2</v>
      </c>
      <c r="E14" s="295">
        <v>2</v>
      </c>
      <c r="F14" s="291">
        <v>0.4</v>
      </c>
    </row>
    <row r="15" spans="1:6" x14ac:dyDescent="0.3">
      <c r="B15" s="269">
        <v>0.1</v>
      </c>
      <c r="D15" s="291">
        <f t="shared" ref="D15:D36" si="0">D14*1.15</f>
        <v>5.2899999999999996E-2</v>
      </c>
      <c r="E15" s="295">
        <v>3</v>
      </c>
      <c r="F15" s="291">
        <v>0.5</v>
      </c>
    </row>
    <row r="16" spans="1:6" x14ac:dyDescent="0.3">
      <c r="B16" s="269">
        <v>0.15</v>
      </c>
      <c r="D16" s="291">
        <f t="shared" si="0"/>
        <v>6.0834999999999993E-2</v>
      </c>
      <c r="E16" s="295">
        <v>4</v>
      </c>
      <c r="F16" s="291">
        <v>0.6</v>
      </c>
    </row>
    <row r="17" spans="2:9" x14ac:dyDescent="0.3">
      <c r="B17" s="269">
        <v>0.2</v>
      </c>
      <c r="D17" s="291">
        <f t="shared" si="0"/>
        <v>6.9960249999999988E-2</v>
      </c>
      <c r="E17" s="295">
        <v>5</v>
      </c>
      <c r="F17" s="291">
        <v>0.7</v>
      </c>
    </row>
    <row r="18" spans="2:9" x14ac:dyDescent="0.3">
      <c r="B18" s="269">
        <v>0.25</v>
      </c>
      <c r="D18" s="291">
        <f t="shared" si="0"/>
        <v>8.0454287499999985E-2</v>
      </c>
      <c r="E18" s="295">
        <v>6</v>
      </c>
      <c r="F18" s="291">
        <v>0.8</v>
      </c>
    </row>
    <row r="19" spans="2:9" x14ac:dyDescent="0.3">
      <c r="B19" s="269">
        <v>0.3</v>
      </c>
      <c r="D19" s="291">
        <f t="shared" si="0"/>
        <v>9.2522430624999971E-2</v>
      </c>
      <c r="E19" s="295">
        <v>7</v>
      </c>
      <c r="F19" s="291">
        <v>0.9</v>
      </c>
    </row>
    <row r="20" spans="2:9" x14ac:dyDescent="0.3">
      <c r="B20" s="269">
        <v>0.35</v>
      </c>
      <c r="D20" s="291">
        <f t="shared" si="0"/>
        <v>0.10640079521874996</v>
      </c>
      <c r="E20" s="295">
        <v>8</v>
      </c>
      <c r="F20" s="291">
        <v>0.9</v>
      </c>
    </row>
    <row r="21" spans="2:9" x14ac:dyDescent="0.3">
      <c r="B21" s="269">
        <v>0.4</v>
      </c>
      <c r="D21" s="291">
        <f t="shared" si="0"/>
        <v>0.12236091450156245</v>
      </c>
      <c r="E21" s="295">
        <f>'Datos del Modelo'!F41</f>
        <v>2026</v>
      </c>
      <c r="F21" s="291" cm="1">
        <f t="array" ref="F21">IF('Datos del Modelo'!$G$36=B9,INDEX('Opciones de vacunas'!$F$13:$F$20,MATCH('Datos del Modelo'!$G$37,'Opciones de vacunas'!$E$13:$E$20),0),'Datos del Modelo'!$G$40)</f>
        <v>0.5</v>
      </c>
      <c r="G21" t="s">
        <v>110</v>
      </c>
      <c r="I21" s="269"/>
    </row>
    <row r="22" spans="2:9" x14ac:dyDescent="0.3">
      <c r="B22" s="269">
        <v>0.45</v>
      </c>
      <c r="D22" s="291">
        <f t="shared" si="0"/>
        <v>0.14071505167679679</v>
      </c>
      <c r="E22" s="295">
        <f>'Datos del Modelo'!F42</f>
        <v>2027</v>
      </c>
      <c r="F22" s="291">
        <f>MIN(1,F21+(1-$F$21)/(9-'Datos del Modelo'!$G$37))</f>
        <v>0.58333333333333337</v>
      </c>
      <c r="G22" s="297" t="s">
        <v>111</v>
      </c>
      <c r="H22" s="298"/>
      <c r="I22" s="269"/>
    </row>
    <row r="23" spans="2:9" x14ac:dyDescent="0.3">
      <c r="B23" s="269">
        <v>0.5</v>
      </c>
      <c r="D23" s="291">
        <f t="shared" si="0"/>
        <v>0.1618223094283163</v>
      </c>
      <c r="E23" s="295">
        <f>'Datos del Modelo'!F43</f>
        <v>2028</v>
      </c>
      <c r="F23" s="291">
        <f>MIN(1,F22+(1-$F$21)/(9-'Datos del Modelo'!$G$37))</f>
        <v>0.66666666666666674</v>
      </c>
      <c r="G23" t="s">
        <v>112</v>
      </c>
      <c r="H23" s="299"/>
      <c r="I23" s="269"/>
    </row>
    <row r="24" spans="2:9" x14ac:dyDescent="0.3">
      <c r="B24" s="269">
        <v>0.55000000000000004</v>
      </c>
      <c r="D24" s="291">
        <f t="shared" si="0"/>
        <v>0.18609565584256374</v>
      </c>
      <c r="E24" s="295">
        <f>'Datos del Modelo'!F44</f>
        <v>2029</v>
      </c>
      <c r="F24" s="291">
        <f>MIN(1,F23+(1-$F$21)/(9-'Datos del Modelo'!$G$37))</f>
        <v>0.75000000000000011</v>
      </c>
      <c r="G24" s="297" t="s">
        <v>113</v>
      </c>
      <c r="H24" s="299"/>
      <c r="I24" s="269"/>
    </row>
    <row r="25" spans="2:9" x14ac:dyDescent="0.3">
      <c r="B25" s="269">
        <v>0.6</v>
      </c>
      <c r="D25" s="291">
        <f t="shared" si="0"/>
        <v>0.21401000421894828</v>
      </c>
      <c r="E25" s="295">
        <f>'Datos del Modelo'!F45</f>
        <v>2030</v>
      </c>
      <c r="F25" s="291">
        <f>MIN(1,F24+(1-$F$21)/(9-'Datos del Modelo'!$G$37))</f>
        <v>0.83333333333333348</v>
      </c>
      <c r="G25" t="s">
        <v>114</v>
      </c>
      <c r="H25" s="299"/>
      <c r="I25" s="269"/>
    </row>
    <row r="26" spans="2:9" x14ac:dyDescent="0.3">
      <c r="B26" s="269">
        <v>0.65</v>
      </c>
      <c r="D26" s="291">
        <f t="shared" si="0"/>
        <v>0.24611150485179051</v>
      </c>
      <c r="E26" s="295"/>
      <c r="F26" s="291">
        <f>MIN(1,F25+(1-$F$21)/(9-'Datos del Modelo'!$G$37))</f>
        <v>0.91666666666666685</v>
      </c>
      <c r="G26" s="297" t="s">
        <v>115</v>
      </c>
      <c r="H26" s="299"/>
      <c r="I26" s="269"/>
    </row>
    <row r="27" spans="2:9" x14ac:dyDescent="0.3">
      <c r="B27" s="269">
        <v>0.7</v>
      </c>
      <c r="D27" s="291">
        <f t="shared" si="0"/>
        <v>0.28302823057955906</v>
      </c>
      <c r="E27" s="291"/>
      <c r="F27" s="291">
        <f>MIN(1,F26+(1-$F$21)/(9-'Datos del Modelo'!$G$37))</f>
        <v>1</v>
      </c>
      <c r="G27" t="s">
        <v>116</v>
      </c>
      <c r="H27" s="299"/>
      <c r="I27" s="269"/>
    </row>
    <row r="28" spans="2:9" x14ac:dyDescent="0.3">
      <c r="B28" s="269">
        <v>0.75</v>
      </c>
      <c r="D28" s="291">
        <f t="shared" si="0"/>
        <v>0.32548246516649287</v>
      </c>
      <c r="E28" s="291"/>
      <c r="F28" s="291">
        <f>MIN(1,F27+(1-$F$21)/(9-'Datos del Modelo'!$G$37))</f>
        <v>1</v>
      </c>
      <c r="G28" s="297" t="s">
        <v>117</v>
      </c>
      <c r="H28" s="299"/>
      <c r="I28" s="269"/>
    </row>
    <row r="29" spans="2:9" x14ac:dyDescent="0.3">
      <c r="B29" s="269">
        <v>0.8</v>
      </c>
      <c r="D29" s="291">
        <f t="shared" si="0"/>
        <v>0.37430483494146677</v>
      </c>
      <c r="E29" s="291"/>
      <c r="F29" s="291">
        <f>MIN(1,F28+(1-$F$21)/(9-'Datos del Modelo'!$G$37))</f>
        <v>1</v>
      </c>
      <c r="G29" t="s">
        <v>118</v>
      </c>
      <c r="I29" s="269"/>
    </row>
    <row r="30" spans="2:9" x14ac:dyDescent="0.3">
      <c r="B30" s="269">
        <v>0.85</v>
      </c>
      <c r="D30" s="291">
        <f t="shared" si="0"/>
        <v>0.43045056018268674</v>
      </c>
      <c r="E30" s="291"/>
      <c r="F30" s="291"/>
    </row>
    <row r="31" spans="2:9" x14ac:dyDescent="0.3">
      <c r="B31" s="269">
        <v>0.9</v>
      </c>
      <c r="D31" s="291">
        <f t="shared" si="0"/>
        <v>0.49501814421008972</v>
      </c>
      <c r="E31" s="291"/>
      <c r="F31" s="291"/>
    </row>
    <row r="32" spans="2:9" x14ac:dyDescent="0.3">
      <c r="B32" s="269">
        <v>0.95</v>
      </c>
      <c r="D32" s="291">
        <f t="shared" si="0"/>
        <v>0.56927086584160314</v>
      </c>
      <c r="E32" s="291"/>
      <c r="F32" s="291"/>
    </row>
    <row r="33" spans="1:5" x14ac:dyDescent="0.3">
      <c r="B33" s="269">
        <v>1</v>
      </c>
      <c r="D33" s="291">
        <f t="shared" si="0"/>
        <v>0.6546614957178436</v>
      </c>
      <c r="E33" s="291"/>
    </row>
    <row r="34" spans="1:5" x14ac:dyDescent="0.3">
      <c r="D34" s="291">
        <f>D33*1.15</f>
        <v>0.75286072007552007</v>
      </c>
    </row>
    <row r="35" spans="1:5" x14ac:dyDescent="0.3">
      <c r="D35" s="291">
        <f t="shared" si="0"/>
        <v>0.86578982808684801</v>
      </c>
    </row>
    <row r="36" spans="1:5" x14ac:dyDescent="0.3">
      <c r="D36" s="291">
        <f t="shared" si="0"/>
        <v>0.99565830229987518</v>
      </c>
    </row>
    <row r="38" spans="1:5" x14ac:dyDescent="0.3">
      <c r="A38" s="304" t="s">
        <v>128</v>
      </c>
      <c r="B38" s="305" t="str">
        <f>'Datos del Modelo'!G50</f>
        <v>CECOLIN
bivalente, 1 dosis/frasco, líquido</v>
      </c>
      <c r="C38" s="305" t="str">
        <f>'Datos del Modelo'!I50</f>
        <v>WALRINVAX 
bivalente, 1 dosis/frasco, líquido</v>
      </c>
      <c r="D38" s="305" t="str">
        <f>'Datos del Modelo'!K50</f>
        <v>CERVARIX
bivalente, 2 dosis/frasco, líquido</v>
      </c>
      <c r="E38" s="306" t="str">
        <f>'Datos del Modelo'!M50</f>
        <v>GARDASIL4
tetravalente, 1 dosis/frasco, líquido</v>
      </c>
    </row>
    <row r="39" spans="1:5" x14ac:dyDescent="0.3">
      <c r="A39" s="307">
        <f>'Datos del Modelo'!$G$8</f>
        <v>2026</v>
      </c>
      <c r="B39" s="296">
        <f>IF('Datos del Modelo'!G$70=2,(('Datos del Modelo'!$G$9*(1+'Datos del Modelo'!$G$11)^(Resultados!$D11-'Datos del Modelo'!$G$8))*(SUM('Datos del Modelo'!$G$13*'Datos del Modelo'!$G$14,'Datos del Modelo'!$G$16*'Datos del Modelo'!$G$17,'Datos del Modelo'!$G$19*'Datos del Modelo'!$G$20))+('Datos del Modelo'!$G$9*(1+'Datos del Modelo'!$G$11)^(Resultados!$D11-'Datos del Modelo'!$G$8))*(SUM('Datos del Modelo'!$G$13*'Datos del Modelo'!$G$15,'Datos del Modelo'!$G$16*'Datos del Modelo'!$G$18,'Datos del Modelo'!$G$19*'Datos del Modelo'!$G$21))),('Datos del Modelo'!$G$9*(1+'Datos del Modelo'!$G$11)^(Resultados!$D11-'Datos del Modelo'!$G$8))*(SUM('Datos del Modelo'!$G$13*'Datos del Modelo'!$G$14,'Datos del Modelo'!$G$16*'Datos del Modelo'!$G$17,'Datos del Modelo'!$G$19*'Datos del Modelo'!$G$20)))</f>
        <v>80000</v>
      </c>
      <c r="C39" s="296">
        <f>IF('Datos del Modelo'!I$70=2,(('Datos del Modelo'!$G$9*(1+'Datos del Modelo'!$G$11)^(Resultados!$D11-'Datos del Modelo'!$G$8))*(SUM('Datos del Modelo'!$G$13*'Datos del Modelo'!$G$14,'Datos del Modelo'!$G$16*'Datos del Modelo'!$G$17,'Datos del Modelo'!$G$19*'Datos del Modelo'!$G$20))+('Datos del Modelo'!$G$9*(1+'Datos del Modelo'!$G$11)^(Resultados!$D11-'Datos del Modelo'!$G$8))*(SUM('Datos del Modelo'!$G$13*'Datos del Modelo'!$G$15,'Datos del Modelo'!$G$16*'Datos del Modelo'!$G$18,'Datos del Modelo'!$G$19*'Datos del Modelo'!$G$21))),('Datos del Modelo'!$G$9*(1+'Datos del Modelo'!$G$11)^(Resultados!$D11-'Datos del Modelo'!$G$8))*(SUM('Datos del Modelo'!$G$13*'Datos del Modelo'!$G$14,'Datos del Modelo'!$G$16*'Datos del Modelo'!$G$17,'Datos del Modelo'!$G$19*'Datos del Modelo'!$G$20)))</f>
        <v>152500</v>
      </c>
      <c r="D39" s="296">
        <f>IF('Datos del Modelo'!K$70=2,(('Datos del Modelo'!$G$9*(1+'Datos del Modelo'!$G$11)^(Resultados!$D11-'Datos del Modelo'!$G$8))*(SUM('Datos del Modelo'!$G$13*'Datos del Modelo'!$G$14,'Datos del Modelo'!$G$16*'Datos del Modelo'!$G$17,'Datos del Modelo'!$G$19*'Datos del Modelo'!$G$20))+('Datos del Modelo'!$G$9*(1+'Datos del Modelo'!$G$11)^(Resultados!$D11-'Datos del Modelo'!$G$8))*(SUM('Datos del Modelo'!$G$13*'Datos del Modelo'!$G$15,'Datos del Modelo'!$G$16*'Datos del Modelo'!$G$18,'Datos del Modelo'!$G$19*'Datos del Modelo'!$G$21))),('Datos del Modelo'!$G$9*(1+'Datos del Modelo'!$G$11)^(Resultados!$D11-'Datos del Modelo'!$G$8))*(SUM('Datos del Modelo'!$G$13*'Datos del Modelo'!$G$14,'Datos del Modelo'!$G$16*'Datos del Modelo'!$G$17,'Datos del Modelo'!$G$19*'Datos del Modelo'!$G$20)))</f>
        <v>80000</v>
      </c>
      <c r="E39" s="308">
        <f>IF('Datos del Modelo'!M$70=2,(('Datos del Modelo'!$G$9*(1+'Datos del Modelo'!$G$11)^(Resultados!$D11-'Datos del Modelo'!$G$8))*(SUM('Datos del Modelo'!$G$13*'Datos del Modelo'!$G$14,'Datos del Modelo'!$G$16*'Datos del Modelo'!$G$17,'Datos del Modelo'!$G$19*'Datos del Modelo'!$G$20))+('Datos del Modelo'!$G$9*(1+'Datos del Modelo'!$G$11)^(Resultados!$D11-'Datos del Modelo'!$G$8))*(SUM('Datos del Modelo'!$G$13*'Datos del Modelo'!$G$15,'Datos del Modelo'!$G$16*'Datos del Modelo'!$G$18,'Datos del Modelo'!$G$19*'Datos del Modelo'!$G$21))),('Datos del Modelo'!$G$9*(1+'Datos del Modelo'!$G$11)^(Resultados!$D11-'Datos del Modelo'!$G$8))*(SUM('Datos del Modelo'!$G$13*'Datos del Modelo'!$G$14,'Datos del Modelo'!$G$16*'Datos del Modelo'!$G$17,'Datos del Modelo'!$G$19*'Datos del Modelo'!$G$20)))</f>
        <v>80000</v>
      </c>
    </row>
    <row r="40" spans="1:5" x14ac:dyDescent="0.3">
      <c r="A40" s="307">
        <f>'Datos del Modelo'!$G$8+1</f>
        <v>2027</v>
      </c>
      <c r="B40" s="296">
        <f>IF('Datos del Modelo'!G$70=2,(('Datos del Modelo'!$G$9*(1+'Datos del Modelo'!$G$11)^(Resultados!$D12-'Datos del Modelo'!$G$8))*(SUM('Datos del Modelo'!$G$13*'Datos del Modelo'!$G$14,'Datos del Modelo'!$G$16*'Datos del Modelo'!$G$17,'Datos del Modelo'!$G$19*'Datos del Modelo'!$G$20))+('Datos del Modelo'!$G$9*(1+'Datos del Modelo'!$G$11)^(Resultados!$D12-'Datos del Modelo'!$G$8))*(SUM('Datos del Modelo'!$G$13*'Datos del Modelo'!$G$15,'Datos del Modelo'!$G$16*'Datos del Modelo'!$G$18,'Datos del Modelo'!$G$19*'Datos del Modelo'!$G$21))),('Datos del Modelo'!$G$9*(1+'Datos del Modelo'!$G$11)^(Resultados!$D12-'Datos del Modelo'!$G$8))*(SUM('Datos del Modelo'!$G$13*'Datos del Modelo'!$G$14,'Datos del Modelo'!$G$16*'Datos del Modelo'!$G$17,'Datos del Modelo'!$G$19*'Datos del Modelo'!$G$20)))</f>
        <v>81600</v>
      </c>
      <c r="C40" s="296">
        <f>IF('Datos del Modelo'!I$70=2,(('Datos del Modelo'!$G$9*(1+'Datos del Modelo'!$G$11)^(Resultados!$D12-'Datos del Modelo'!$G$8))*(SUM('Datos del Modelo'!$G$13*'Datos del Modelo'!$G$14,'Datos del Modelo'!$G$16*'Datos del Modelo'!$G$17,'Datos del Modelo'!$G$19*'Datos del Modelo'!$G$20))+('Datos del Modelo'!$G$9*(1+'Datos del Modelo'!$G$11)^(Resultados!$D12-'Datos del Modelo'!$G$8))*(SUM('Datos del Modelo'!$G$13*'Datos del Modelo'!$G$15,'Datos del Modelo'!$G$16*'Datos del Modelo'!$G$18,'Datos del Modelo'!$G$19*'Datos del Modelo'!$G$21))),('Datos del Modelo'!$G$9*(1+'Datos del Modelo'!$G$11)^(Resultados!$D12-'Datos del Modelo'!$G$8))*(SUM('Datos del Modelo'!$G$13*'Datos del Modelo'!$G$14,'Datos del Modelo'!$G$16*'Datos del Modelo'!$G$17,'Datos del Modelo'!$G$19*'Datos del Modelo'!$G$20)))</f>
        <v>155550</v>
      </c>
      <c r="D40" s="296">
        <f>IF('Datos del Modelo'!K$70=2,(('Datos del Modelo'!$G$9*(1+'Datos del Modelo'!$G$11)^(Resultados!$D12-'Datos del Modelo'!$G$8))*(SUM('Datos del Modelo'!$G$13*'Datos del Modelo'!$G$14,'Datos del Modelo'!$G$16*'Datos del Modelo'!$G$17,'Datos del Modelo'!$G$19*'Datos del Modelo'!$G$20))+('Datos del Modelo'!$G$9*(1+'Datos del Modelo'!$G$11)^(Resultados!$D12-'Datos del Modelo'!$G$8))*(SUM('Datos del Modelo'!$G$13*'Datos del Modelo'!$G$15,'Datos del Modelo'!$G$16*'Datos del Modelo'!$G$18,'Datos del Modelo'!$G$19*'Datos del Modelo'!$G$21))),('Datos del Modelo'!$G$9*(1+'Datos del Modelo'!$G$11)^(Resultados!$D12-'Datos del Modelo'!$G$8))*(SUM('Datos del Modelo'!$G$13*'Datos del Modelo'!$G$14,'Datos del Modelo'!$G$16*'Datos del Modelo'!$G$17,'Datos del Modelo'!$G$19*'Datos del Modelo'!$G$20)))</f>
        <v>81600</v>
      </c>
      <c r="E40" s="308">
        <f>IF('Datos del Modelo'!M$70=2,(('Datos del Modelo'!$G$9*(1+'Datos del Modelo'!$G$11)^(Resultados!$D12-'Datos del Modelo'!$G$8))*(SUM('Datos del Modelo'!$G$13*'Datos del Modelo'!$G$14,'Datos del Modelo'!$G$16*'Datos del Modelo'!$G$17,'Datos del Modelo'!$G$19*'Datos del Modelo'!$G$20))+('Datos del Modelo'!$G$9*(1+'Datos del Modelo'!$G$11)^(Resultados!$D12-'Datos del Modelo'!$G$8))*(SUM('Datos del Modelo'!$G$13*'Datos del Modelo'!$G$15,'Datos del Modelo'!$G$16*'Datos del Modelo'!$G$18,'Datos del Modelo'!$G$19*'Datos del Modelo'!$G$21))),('Datos del Modelo'!$G$9*(1+'Datos del Modelo'!$G$11)^(Resultados!$D12-'Datos del Modelo'!$G$8))*(SUM('Datos del Modelo'!$G$13*'Datos del Modelo'!$G$14,'Datos del Modelo'!$G$16*'Datos del Modelo'!$G$17,'Datos del Modelo'!$G$19*'Datos del Modelo'!$G$20)))</f>
        <v>81600</v>
      </c>
    </row>
    <row r="41" spans="1:5" x14ac:dyDescent="0.3">
      <c r="A41" s="307">
        <f>'Datos del Modelo'!$G$8+2</f>
        <v>2028</v>
      </c>
      <c r="B41" s="296">
        <f>IF('Datos del Modelo'!G$70=2,(('Datos del Modelo'!$G$9*(1+'Datos del Modelo'!$G$11)^(Resultados!D13-'Datos del Modelo'!$G$8))*(SUM('Datos del Modelo'!$G$13*'Datos del Modelo'!$G$14,'Datos del Modelo'!$G$16*'Datos del Modelo'!$G$17,'Datos del Modelo'!$G$19*'Datos del Modelo'!$G$20))+('Datos del Modelo'!$G$9*(1+'Datos del Modelo'!$G$11)^(Resultados!D13-'Datos del Modelo'!$G$8))*(SUM('Datos del Modelo'!$G$13*'Datos del Modelo'!$G$15,'Datos del Modelo'!$G$16*'Datos del Modelo'!$G$18,'Datos del Modelo'!$G$19*'Datos del Modelo'!$G$21))),('Datos del Modelo'!$G$9*(1+'Datos del Modelo'!$G$11)^(Resultados!D13-'Datos del Modelo'!$G$8))*(SUM('Datos del Modelo'!$G$13*'Datos del Modelo'!$G$14,'Datos del Modelo'!$G$16*'Datos del Modelo'!$G$17,'Datos del Modelo'!$G$19*'Datos del Modelo'!$G$20)))</f>
        <v>83232</v>
      </c>
      <c r="C41" s="296">
        <f>IF('Datos del Modelo'!I$70=2,(('Datos del Modelo'!$G$9*(1+'Datos del Modelo'!$G$11)^(Resultados!$D13-'Datos del Modelo'!$G$8))*(SUM('Datos del Modelo'!$G$13*'Datos del Modelo'!$G$14,'Datos del Modelo'!$G$16*'Datos del Modelo'!$G$17,'Datos del Modelo'!$G$19*'Datos del Modelo'!$G$20))+('Datos del Modelo'!$G$9*(1+'Datos del Modelo'!$G$11)^(Resultados!$D13-'Datos del Modelo'!$G$8))*(SUM('Datos del Modelo'!$G$13*'Datos del Modelo'!$G$15,'Datos del Modelo'!$G$16*'Datos del Modelo'!$G$18,'Datos del Modelo'!$G$19*'Datos del Modelo'!$G$21))),('Datos del Modelo'!$G$9*(1+'Datos del Modelo'!$G$11)^(Resultados!$D13-'Datos del Modelo'!$G$8))*(SUM('Datos del Modelo'!$G$13*'Datos del Modelo'!$G$14,'Datos del Modelo'!$G$16*'Datos del Modelo'!$G$17,'Datos del Modelo'!$G$19*'Datos del Modelo'!$G$20)))</f>
        <v>158661</v>
      </c>
      <c r="D41" s="296">
        <f>IF('Datos del Modelo'!K$70=2,(('Datos del Modelo'!$G$9*(1+'Datos del Modelo'!$G$11)^(Resultados!$D13-'Datos del Modelo'!$G$8))*(SUM('Datos del Modelo'!$G$13*'Datos del Modelo'!$G$14,'Datos del Modelo'!$G$16*'Datos del Modelo'!$G$17,'Datos del Modelo'!$G$19*'Datos del Modelo'!$G$20))+('Datos del Modelo'!$G$9*(1+'Datos del Modelo'!$G$11)^(Resultados!$D13-'Datos del Modelo'!$G$8))*(SUM('Datos del Modelo'!$G$13*'Datos del Modelo'!$G$15,'Datos del Modelo'!$G$16*'Datos del Modelo'!$G$18,'Datos del Modelo'!$G$19*'Datos del Modelo'!$G$21))),('Datos del Modelo'!$G$9*(1+'Datos del Modelo'!$G$11)^(Resultados!$D13-'Datos del Modelo'!$G$8))*(SUM('Datos del Modelo'!$G$13*'Datos del Modelo'!$G$14,'Datos del Modelo'!$G$16*'Datos del Modelo'!$G$17,'Datos del Modelo'!$G$19*'Datos del Modelo'!$G$20)))</f>
        <v>83232</v>
      </c>
      <c r="E41" s="308">
        <f>IF('Datos del Modelo'!M$70=2,(('Datos del Modelo'!$G$9*(1+'Datos del Modelo'!$G$11)^(Resultados!$D13-'Datos del Modelo'!$G$8))*(SUM('Datos del Modelo'!$G$13*'Datos del Modelo'!$G$14,'Datos del Modelo'!$G$16*'Datos del Modelo'!$G$17,'Datos del Modelo'!$G$19*'Datos del Modelo'!$G$20))+('Datos del Modelo'!$G$9*(1+'Datos del Modelo'!$G$11)^(Resultados!$D13-'Datos del Modelo'!$G$8))*(SUM('Datos del Modelo'!$G$13*'Datos del Modelo'!$G$15,'Datos del Modelo'!$G$16*'Datos del Modelo'!$G$18,'Datos del Modelo'!$G$19*'Datos del Modelo'!$G$21))),('Datos del Modelo'!$G$9*(1+'Datos del Modelo'!$G$11)^(Resultados!$D13-'Datos del Modelo'!$G$8))*(SUM('Datos del Modelo'!$G$13*'Datos del Modelo'!$G$14,'Datos del Modelo'!$G$16*'Datos del Modelo'!$G$17,'Datos del Modelo'!$G$19*'Datos del Modelo'!$G$20)))</f>
        <v>83232</v>
      </c>
    </row>
    <row r="42" spans="1:5" x14ac:dyDescent="0.3">
      <c r="A42" s="307">
        <f>'Datos del Modelo'!$G$8+3</f>
        <v>2029</v>
      </c>
      <c r="B42" s="296">
        <f>IF('Datos del Modelo'!G$70=2,(('Datos del Modelo'!$G$9*(1+'Datos del Modelo'!$G$11)^(Resultados!D14-'Datos del Modelo'!$G$8))*(SUM('Datos del Modelo'!$G$13*'Datos del Modelo'!$G$14,'Datos del Modelo'!$G$16*'Datos del Modelo'!$G$17,'Datos del Modelo'!$G$19*'Datos del Modelo'!$G$20))+('Datos del Modelo'!$G$9*(1+'Datos del Modelo'!$G$11)^(Resultados!D14-'Datos del Modelo'!$G$8))*(SUM('Datos del Modelo'!$G$13*'Datos del Modelo'!$G$15,'Datos del Modelo'!$G$16*'Datos del Modelo'!$G$18,'Datos del Modelo'!$G$19*'Datos del Modelo'!$G$21))),('Datos del Modelo'!$G$9*(1+'Datos del Modelo'!$G$11)^(Resultados!D14-'Datos del Modelo'!$G$8))*(SUM('Datos del Modelo'!$G$13*'Datos del Modelo'!$G$14,'Datos del Modelo'!$G$16*'Datos del Modelo'!$G$17,'Datos del Modelo'!$G$19*'Datos del Modelo'!$G$20)))</f>
        <v>84896.639999999999</v>
      </c>
      <c r="C42" s="296">
        <f>IF('Datos del Modelo'!I$70=2,(('Datos del Modelo'!$G$9*(1+'Datos del Modelo'!$G$11)^(Resultados!$D14-'Datos del Modelo'!$G$8))*(SUM('Datos del Modelo'!$G$13*'Datos del Modelo'!$G$14,'Datos del Modelo'!$G$16*'Datos del Modelo'!$G$17,'Datos del Modelo'!$G$19*'Datos del Modelo'!$G$20))+('Datos del Modelo'!$G$9*(1+'Datos del Modelo'!$G$11)^(Resultados!$D14-'Datos del Modelo'!$G$8))*(SUM('Datos del Modelo'!$G$13*'Datos del Modelo'!$G$15,'Datos del Modelo'!$G$16*'Datos del Modelo'!$G$18,'Datos del Modelo'!$G$19*'Datos del Modelo'!$G$21))),('Datos del Modelo'!$G$9*(1+'Datos del Modelo'!$G$11)^(Resultados!$D14-'Datos del Modelo'!$G$8))*(SUM('Datos del Modelo'!$G$13*'Datos del Modelo'!$G$14,'Datos del Modelo'!$G$16*'Datos del Modelo'!$G$17,'Datos del Modelo'!$G$19*'Datos del Modelo'!$G$20)))</f>
        <v>161834.21999999997</v>
      </c>
      <c r="D42" s="296">
        <f>IF('Datos del Modelo'!K$70=2,(('Datos del Modelo'!$G$9*(1+'Datos del Modelo'!$G$11)^(Resultados!$D14-'Datos del Modelo'!$G$8))*(SUM('Datos del Modelo'!$G$13*'Datos del Modelo'!$G$14,'Datos del Modelo'!$G$16*'Datos del Modelo'!$G$17,'Datos del Modelo'!$G$19*'Datos del Modelo'!$G$20))+('Datos del Modelo'!$G$9*(1+'Datos del Modelo'!$G$11)^(Resultados!$D14-'Datos del Modelo'!$G$8))*(SUM('Datos del Modelo'!$G$13*'Datos del Modelo'!$G$15,'Datos del Modelo'!$G$16*'Datos del Modelo'!$G$18,'Datos del Modelo'!$G$19*'Datos del Modelo'!$G$21))),('Datos del Modelo'!$G$9*(1+'Datos del Modelo'!$G$11)^(Resultados!$D14-'Datos del Modelo'!$G$8))*(SUM('Datos del Modelo'!$G$13*'Datos del Modelo'!$G$14,'Datos del Modelo'!$G$16*'Datos del Modelo'!$G$17,'Datos del Modelo'!$G$19*'Datos del Modelo'!$G$20)))</f>
        <v>84896.639999999999</v>
      </c>
      <c r="E42" s="308">
        <f>IF('Datos del Modelo'!M$70=2,(('Datos del Modelo'!$G$9*(1+'Datos del Modelo'!$G$11)^(Resultados!$D14-'Datos del Modelo'!$G$8))*(SUM('Datos del Modelo'!$G$13*'Datos del Modelo'!$G$14,'Datos del Modelo'!$G$16*'Datos del Modelo'!$G$17,'Datos del Modelo'!$G$19*'Datos del Modelo'!$G$20))+('Datos del Modelo'!$G$9*(1+'Datos del Modelo'!$G$11)^(Resultados!$D14-'Datos del Modelo'!$G$8))*(SUM('Datos del Modelo'!$G$13*'Datos del Modelo'!$G$15,'Datos del Modelo'!$G$16*'Datos del Modelo'!$G$18,'Datos del Modelo'!$G$19*'Datos del Modelo'!$G$21))),('Datos del Modelo'!$G$9*(1+'Datos del Modelo'!$G$11)^(Resultados!$D14-'Datos del Modelo'!$G$8))*(SUM('Datos del Modelo'!$G$13*'Datos del Modelo'!$G$14,'Datos del Modelo'!$G$16*'Datos del Modelo'!$G$17,'Datos del Modelo'!$G$19*'Datos del Modelo'!$G$20)))</f>
        <v>84896.639999999999</v>
      </c>
    </row>
    <row r="43" spans="1:5" x14ac:dyDescent="0.3">
      <c r="A43" s="307">
        <f>'Datos del Modelo'!$G$8+4</f>
        <v>2030</v>
      </c>
      <c r="B43" s="296">
        <f>IF('Datos del Modelo'!G$70=2,(('Datos del Modelo'!$G$9*(1+'Datos del Modelo'!$G$11)^(Resultados!D15-'Datos del Modelo'!$G$8))*(SUM('Datos del Modelo'!$G$13*'Datos del Modelo'!$G$14,'Datos del Modelo'!$G$16*'Datos del Modelo'!$G$17,'Datos del Modelo'!$G$19*'Datos del Modelo'!$G$20))+('Datos del Modelo'!$G$9*(1+'Datos del Modelo'!$G$11)^(Resultados!D15-'Datos del Modelo'!$G$8))*(SUM('Datos del Modelo'!$G$13*'Datos del Modelo'!$G$15,'Datos del Modelo'!$G$16*'Datos del Modelo'!$G$18,'Datos del Modelo'!$G$19*'Datos del Modelo'!$G$21))),('Datos del Modelo'!$G$9*(1+'Datos del Modelo'!$G$11)^(Resultados!D15-'Datos del Modelo'!$G$8))*(SUM('Datos del Modelo'!$G$13*'Datos del Modelo'!$G$14,'Datos del Modelo'!$G$16*'Datos del Modelo'!$G$17,'Datos del Modelo'!$G$19*'Datos del Modelo'!$G$20)))</f>
        <v>86594.572800000009</v>
      </c>
      <c r="C43" s="296">
        <f>IF('Datos del Modelo'!I$70=2,(('Datos del Modelo'!$G$9*(1+'Datos del Modelo'!$G$11)^(Resultados!$D15-'Datos del Modelo'!$G$8))*(SUM('Datos del Modelo'!$G$13*'Datos del Modelo'!$G$14,'Datos del Modelo'!$G$16*'Datos del Modelo'!$G$17,'Datos del Modelo'!$G$19*'Datos del Modelo'!$G$20))+('Datos del Modelo'!$G$9*(1+'Datos del Modelo'!$G$11)^(Resultados!$D15-'Datos del Modelo'!$G$8))*(SUM('Datos del Modelo'!$G$13*'Datos del Modelo'!$G$15,'Datos del Modelo'!$G$16*'Datos del Modelo'!$G$18,'Datos del Modelo'!$G$19*'Datos del Modelo'!$G$21))),('Datos del Modelo'!$G$9*(1+'Datos del Modelo'!$G$11)^(Resultados!$D15-'Datos del Modelo'!$G$8))*(SUM('Datos del Modelo'!$G$13*'Datos del Modelo'!$G$14,'Datos del Modelo'!$G$16*'Datos del Modelo'!$G$17,'Datos del Modelo'!$G$19*'Datos del Modelo'!$G$20)))</f>
        <v>165070.9044</v>
      </c>
      <c r="D43" s="296">
        <f>IF('Datos del Modelo'!K$70=2,(('Datos del Modelo'!$G$9*(1+'Datos del Modelo'!$G$11)^(Resultados!$D15-'Datos del Modelo'!$G$8))*(SUM('Datos del Modelo'!$G$13*'Datos del Modelo'!$G$14,'Datos del Modelo'!$G$16*'Datos del Modelo'!$G$17,'Datos del Modelo'!$G$19*'Datos del Modelo'!$G$20))+('Datos del Modelo'!$G$9*(1+'Datos del Modelo'!$G$11)^(Resultados!$D15-'Datos del Modelo'!$G$8))*(SUM('Datos del Modelo'!$G$13*'Datos del Modelo'!$G$15,'Datos del Modelo'!$G$16*'Datos del Modelo'!$G$18,'Datos del Modelo'!$G$19*'Datos del Modelo'!$G$21))),('Datos del Modelo'!$G$9*(1+'Datos del Modelo'!$G$11)^(Resultados!$D15-'Datos del Modelo'!$G$8))*(SUM('Datos del Modelo'!$G$13*'Datos del Modelo'!$G$14,'Datos del Modelo'!$G$16*'Datos del Modelo'!$G$17,'Datos del Modelo'!$G$19*'Datos del Modelo'!$G$20)))</f>
        <v>86594.572800000009</v>
      </c>
      <c r="E43" s="308">
        <f>IF('Datos del Modelo'!M$70=2,(('Datos del Modelo'!$G$9*(1+'Datos del Modelo'!$G$11)^(Resultados!$D15-'Datos del Modelo'!$G$8))*(SUM('Datos del Modelo'!$G$13*'Datos del Modelo'!$G$14,'Datos del Modelo'!$G$16*'Datos del Modelo'!$G$17,'Datos del Modelo'!$G$19*'Datos del Modelo'!$G$20))+('Datos del Modelo'!$G$9*(1+'Datos del Modelo'!$G$11)^(Resultados!$D15-'Datos del Modelo'!$G$8))*(SUM('Datos del Modelo'!$G$13*'Datos del Modelo'!$G$15,'Datos del Modelo'!$G$16*'Datos del Modelo'!$G$18,'Datos del Modelo'!$G$19*'Datos del Modelo'!$G$21))),('Datos del Modelo'!$G$9*(1+'Datos del Modelo'!$G$11)^(Resultados!$D15-'Datos del Modelo'!$G$8))*(SUM('Datos del Modelo'!$G$13*'Datos del Modelo'!$G$14,'Datos del Modelo'!$G$16*'Datos del Modelo'!$G$17,'Datos del Modelo'!$G$19*'Datos del Modelo'!$G$20)))</f>
        <v>86594.572800000009</v>
      </c>
    </row>
    <row r="44" spans="1:5" x14ac:dyDescent="0.3">
      <c r="A44" s="307" t="s">
        <v>119</v>
      </c>
      <c r="E44" s="309"/>
    </row>
    <row r="45" spans="1:5" x14ac:dyDescent="0.3">
      <c r="A45" s="307">
        <f>'Datos del Modelo'!$G$8</f>
        <v>2026</v>
      </c>
      <c r="B45">
        <f>IF('Datos del Modelo'!G$70=2,(('Datos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360000</v>
      </c>
      <c r="C45">
        <f>IF('Datos del Modelo'!I$70=2,(('Datos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680000</v>
      </c>
      <c r="D45">
        <f>IF('Datos del Modelo'!K$70=2,(('Datos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360000</v>
      </c>
      <c r="E45" s="309">
        <f>IF('Datos del Modelo'!M$70=2,(('Datos del Modelo'!$G$10*SUM('Datos del Modelo'!$G$23*'Datos del Modelo'!$G$24,'Datos del Modelo'!$G$26*'Datos del Modelo'!$G$27,'Datos del Modelo'!$G$29*'Datos del Modelo'!$G$30))+('Datos del Modelo'!$G$10*SUM('Datos del Modelo'!$G$23*'Datos del Modelo'!$G$25,'Datos del Modelo'!$G$26*'Datos del Modelo'!$G$28,'Datos del Modelo'!$G$29*'Datos del Modelo'!$G$31))),('Datos del Modelo'!$G$10*SUM('Datos del Modelo'!$G$23*'Datos del Modelo'!$G$24,'Datos del Modelo'!$G$26*'Datos del Modelo'!$G$27,'Datos del Modelo'!$G$29*'Datos del Modelo'!$G$30)))</f>
        <v>360000</v>
      </c>
    </row>
    <row r="46" spans="1:5" x14ac:dyDescent="0.3">
      <c r="A46" s="307" t="s">
        <v>129</v>
      </c>
      <c r="B46" s="296"/>
      <c r="E46" s="309"/>
    </row>
    <row r="47" spans="1:5" x14ac:dyDescent="0.3">
      <c r="A47" s="307">
        <f>'Datos del Modelo'!$G$8</f>
        <v>2026</v>
      </c>
      <c r="B47" s="296">
        <f>B39*('Datos del Modelo'!$G$75+'Datos del Modelo'!$G$78)</f>
        <v>104210.52631578947</v>
      </c>
      <c r="C47" s="296">
        <f>C39*('Datos del Modelo'!$I$75+'Datos del Modelo'!$I$78)</f>
        <v>198651.31578947368</v>
      </c>
      <c r="D47" s="296">
        <f>D39*('Datos del Modelo'!$K$75+'Datos del Modelo'!$K$78)</f>
        <v>108888.88888888889</v>
      </c>
      <c r="E47" s="308">
        <f>E39*('Datos del Modelo'!$M$75+'Datos del Modelo'!$M$78)</f>
        <v>104210.52631578947</v>
      </c>
    </row>
    <row r="48" spans="1:5" x14ac:dyDescent="0.3">
      <c r="A48" s="307">
        <f>'Datos del Modelo'!$G$8+1</f>
        <v>2027</v>
      </c>
      <c r="B48" s="296">
        <f>B40*('Datos del Modelo'!$G$75+'Datos del Modelo'!$G$78)-(B39*'Datos del Modelo'!$G$78)</f>
        <v>86294.736842105252</v>
      </c>
      <c r="C48" s="296">
        <f>C40*('Datos del Modelo'!$I$75+'Datos del Modelo'!$I$78)-(C39*'Datos del Modelo'!$I$78)</f>
        <v>164499.34210526315</v>
      </c>
      <c r="D48" s="296">
        <f>D40*('Datos del Modelo'!$K$75+'Datos del Modelo'!$K$78)-(D39*'Datos del Modelo'!$K$78)</f>
        <v>91066.666666666672</v>
      </c>
      <c r="E48" s="308">
        <f>E40*('Datos del Modelo'!$M$75+'Datos del Modelo'!$M$78)-(E39*'Datos del Modelo'!$M$78)</f>
        <v>86294.736842105252</v>
      </c>
    </row>
    <row r="49" spans="1:13" x14ac:dyDescent="0.3">
      <c r="A49" s="307">
        <f>'Datos del Modelo'!$G$8+2</f>
        <v>2028</v>
      </c>
      <c r="B49" s="296">
        <f>B41*('Datos del Modelo'!$G$75+'Datos del Modelo'!$G$78)-(B40*'Datos del Modelo'!$G$78)</f>
        <v>88020.631578947359</v>
      </c>
      <c r="C49" s="296">
        <f>C41*('Datos del Modelo'!$I$75+'Datos del Modelo'!$I$78)-(C40*'Datos del Modelo'!$I$78)</f>
        <v>167789.3289473684</v>
      </c>
      <c r="D49" s="296">
        <f>D41*('Datos del Modelo'!$K$75+'Datos del Modelo'!$K$78)-(D40*'Datos del Modelo'!$K$78)</f>
        <v>92888</v>
      </c>
      <c r="E49" s="308">
        <f>E41*('Datos del Modelo'!$M$75+'Datos del Modelo'!$M$78)-(E40*'Datos del Modelo'!$M$78)</f>
        <v>88020.631578947359</v>
      </c>
    </row>
    <row r="50" spans="1:13" x14ac:dyDescent="0.3">
      <c r="A50" s="307">
        <f>'Datos del Modelo'!$G$8+3</f>
        <v>2029</v>
      </c>
      <c r="B50" s="296">
        <f>B42*('Datos del Modelo'!$G$75+'Datos del Modelo'!$G$78)-(B41*'Datos del Modelo'!$G$78)</f>
        <v>89781.044210526306</v>
      </c>
      <c r="C50" s="296">
        <f>C42*('Datos del Modelo'!$I$75+'Datos del Modelo'!$I$78)-(C41*'Datos del Modelo'!$I$78)</f>
        <v>171145.11552631576</v>
      </c>
      <c r="D50" s="296">
        <f>D42*('Datos del Modelo'!$K$75+'Datos del Modelo'!$K$78)-(D41*'Datos del Modelo'!$K$78)</f>
        <v>94745.760000000009</v>
      </c>
      <c r="E50" s="308">
        <f>E42*('Datos del Modelo'!$M$75+'Datos del Modelo'!$M$78)-(E41*'Datos del Modelo'!$M$78)</f>
        <v>89781.044210526306</v>
      </c>
    </row>
    <row r="51" spans="1:13" x14ac:dyDescent="0.3">
      <c r="A51" s="307">
        <f>'Datos del Modelo'!$G$8+4</f>
        <v>2030</v>
      </c>
      <c r="B51" s="296">
        <f>B43*('Datos del Modelo'!$G$75+'Datos del Modelo'!$G$78)-(B42*'Datos del Modelo'!$G$78)</f>
        <v>91576.665094736847</v>
      </c>
      <c r="C51" s="296">
        <f>C43*('Datos del Modelo'!$I$75+'Datos del Modelo'!$I$78)-(C42*'Datos del Modelo'!$I$78)</f>
        <v>174568.0178368421</v>
      </c>
      <c r="D51" s="296">
        <f>D43*('Datos del Modelo'!$K$75+'Datos del Modelo'!$K$78)-(D42*'Datos del Modelo'!$K$78)</f>
        <v>96640.675200000012</v>
      </c>
      <c r="E51" s="308">
        <f>E43*('Datos del Modelo'!$M$75+'Datos del Modelo'!$M$78)-(E42*'Datos del Modelo'!$M$78)</f>
        <v>91576.665094736847</v>
      </c>
    </row>
    <row r="52" spans="1:13" x14ac:dyDescent="0.3">
      <c r="A52" s="307" t="s">
        <v>120</v>
      </c>
      <c r="E52" s="309"/>
    </row>
    <row r="53" spans="1:13" x14ac:dyDescent="0.3">
      <c r="A53" s="310">
        <f>'Datos del Modelo'!$G$8</f>
        <v>2026</v>
      </c>
      <c r="B53" s="311">
        <f>B45*'Datos del Modelo'!G75</f>
        <v>378947.36842105258</v>
      </c>
      <c r="C53" s="311">
        <f>C45*'Datos del Modelo'!I75</f>
        <v>715789.47368421045</v>
      </c>
      <c r="D53" s="311">
        <f>D45*'Datos del Modelo'!K75</f>
        <v>400000</v>
      </c>
      <c r="E53" s="312">
        <f>E45*'Datos del Modelo'!M75</f>
        <v>378947.36842105258</v>
      </c>
    </row>
    <row r="54" spans="1:13" x14ac:dyDescent="0.3">
      <c r="B54" s="296"/>
      <c r="C54" s="296"/>
      <c r="D54" s="296"/>
      <c r="E54" s="296"/>
    </row>
    <row r="55" spans="1:13" x14ac:dyDescent="0.3">
      <c r="A55" t="s">
        <v>131</v>
      </c>
      <c r="B55" t="str">
        <f>$B$38</f>
        <v>CECOLIN
bivalente, 1 dosis/frasco, líquido</v>
      </c>
      <c r="E55" t="str">
        <f>$C$38</f>
        <v>WALRINVAX 
bivalente, 1 dosis/frasco, líquido</v>
      </c>
      <c r="H55" t="str">
        <f>$D$38</f>
        <v>CERVARIX
bivalente, 2 dosis/frasco, líquido</v>
      </c>
      <c r="K55" t="str">
        <f>$E$38</f>
        <v>GARDASIL4
tetravalente, 1 dosis/frasco, líquido</v>
      </c>
    </row>
    <row r="56" spans="1:13" x14ac:dyDescent="0.3">
      <c r="B56" t="s">
        <v>132</v>
      </c>
      <c r="C56" t="s">
        <v>68</v>
      </c>
      <c r="D56" t="s">
        <v>69</v>
      </c>
      <c r="E56" t="s">
        <v>132</v>
      </c>
      <c r="F56" t="s">
        <v>68</v>
      </c>
      <c r="G56" t="s">
        <v>69</v>
      </c>
      <c r="H56" t="s">
        <v>132</v>
      </c>
      <c r="I56" t="s">
        <v>68</v>
      </c>
      <c r="J56" t="s">
        <v>69</v>
      </c>
      <c r="K56" t="s">
        <v>132</v>
      </c>
      <c r="L56" t="s">
        <v>68</v>
      </c>
      <c r="M56" t="s">
        <v>69</v>
      </c>
    </row>
    <row r="57" spans="1:13" x14ac:dyDescent="0.3">
      <c r="A57">
        <f>'Datos del Modelo'!$G$8</f>
        <v>2026</v>
      </c>
      <c r="B57" s="296">
        <f>IF('Datos del Modelo'!G$70=2,(('Datos del Modelo'!$G$9*(1+'Datos del Modelo'!$G$11)^(Resultados!$D11-'Datos del Modelo'!$G$8))*('Datos del Modelo'!$G$13*'Datos del Modelo'!$G$14)+('Datos del Modelo'!$G$9*(1+'Datos del Modelo'!$G$11)^(Resultados!$D11-'Datos del Modelo'!$G$8))*('Datos del Modelo'!$G$13*'Datos del Modelo'!$G$15)),('Datos del Modelo'!$G$9*(1+'Datos del Modelo'!$G$11)^(Resultados!$D11-'Datos del Modelo'!$G$8))*('Datos del Modelo'!$G$13*'Datos del Modelo'!$G$14))</f>
        <v>20000</v>
      </c>
      <c r="C57" s="296">
        <f>IF('Datos del Modelo'!G$70=2,(('Datos del Modelo'!$G$9*(1+'Datos del Modelo'!$G$11)^(Resultados!$D11-'Datos del Modelo'!$G$8))*('Datos del Modelo'!$G$16*'Datos del Modelo'!$G$17)+('Datos del Modelo'!$G$9*(1+'Datos del Modelo'!$G$11)^(Resultados!$D11-'Datos del Modelo'!$G$8))*('Datos del Modelo'!$G$16*'Datos del Modelo'!$G$18)),('Datos del Modelo'!$G$9*(1+'Datos del Modelo'!$G$11)^(Resultados!$D11-'Datos del Modelo'!$G$8))*('Datos del Modelo'!$G$16*'Datos del Modelo'!$G$17))</f>
        <v>20000</v>
      </c>
      <c r="D57" s="296">
        <f>IF('Datos del Modelo'!G$70=2,(('Datos del Modelo'!$G$9*(1+'Datos del Modelo'!$G$11)^(Resultados!$D11-'Datos del Modelo'!$G$8))*('Datos del Modelo'!$G$19*'Datos del Modelo'!$G$20)+('Datos del Modelo'!$G$9*(1+'Datos del Modelo'!$G$11)^(Resultados!$D11-'Datos del Modelo'!$G$8))*('Datos del Modelo'!$G$19*'Datos del Modelo'!$G$21)),('Datos del Modelo'!$G$9*(1+'Datos del Modelo'!$G$11)^(Resultados!$D11-'Datos del Modelo'!$G$8))*('Datos del Modelo'!$G$19*'Datos del Modelo'!$G$20))</f>
        <v>40000</v>
      </c>
      <c r="E57" s="296">
        <f>IF('Datos del Modelo'!I$70=2,(('Datos del Modelo'!$G$9*(1+'Datos del Modelo'!$G$11)^(Resultados!$D11-'Datos del Modelo'!$G$8))*('Datos del Modelo'!$G$13*'Datos del Modelo'!$G$14)+('Datos del Modelo'!$G$9*(1+'Datos del Modelo'!$G$11)^(Resultados!$D11-'Datos del Modelo'!$G$8))*('Datos del Modelo'!$G$13*'Datos del Modelo'!$G$15)),('Datos del Modelo'!$G$9*(1+'Datos del Modelo'!$G$11)^(Resultados!$D11-'Datos del Modelo'!$G$8))*('Datos del Modelo'!$G$13*'Datos del Modelo'!$G$14))</f>
        <v>37500</v>
      </c>
      <c r="F57" s="296">
        <f>IF('Datos del Modelo'!I$70=2,(('Datos del Modelo'!$G$9*(1+'Datos del Modelo'!$G$11)^(Resultados!$D11-'Datos del Modelo'!$G$8))*('Datos del Modelo'!$G$16*'Datos del Modelo'!$G$17)+('Datos del Modelo'!$G$9*(1+'Datos del Modelo'!$G$11)^(Resultados!$D11-'Datos del Modelo'!$G$8))*('Datos del Modelo'!$G$16*'Datos del Modelo'!$G$18)),('Datos del Modelo'!$G$9*(1+'Datos del Modelo'!$G$11)^(Resultados!$D11-'Datos del Modelo'!$G$8))*('Datos del Modelo'!$G$16*'Datos del Modelo'!$G$17))</f>
        <v>37500</v>
      </c>
      <c r="G57" s="296">
        <f>IF('Datos del Modelo'!I$70=2,(('Datos del Modelo'!$G$9*(1+'Datos del Modelo'!$G$11)^(Resultados!$D11-'Datos del Modelo'!$G$8))*('Datos del Modelo'!$G$19*'Datos del Modelo'!$G$20)+('Datos del Modelo'!$G$9*(1+'Datos del Modelo'!$G$11)^(Resultados!$D11-'Datos del Modelo'!$G$8))*('Datos del Modelo'!$G$19*'Datos del Modelo'!$G$21)),('Datos del Modelo'!$G$9*(1+'Datos del Modelo'!$G$11)^(Resultados!$D11-'Datos del Modelo'!$G$8))*('Datos del Modelo'!$G$19*'Datos del Modelo'!$G$20))</f>
        <v>77500</v>
      </c>
      <c r="H57" s="296">
        <f>IF('Datos del Modelo'!K$70=2,(('Datos del Modelo'!$G$9*(1+'Datos del Modelo'!$G$11)^(Resultados!$D11-'Datos del Modelo'!$G$8))*('Datos del Modelo'!$G$13*'Datos del Modelo'!$G$14)+('Datos del Modelo'!$G$9*(1+'Datos del Modelo'!$G$11)^(Resultados!$D11-'Datos del Modelo'!$G$8))*('Datos del Modelo'!$G$13*'Datos del Modelo'!$G$15)),('Datos del Modelo'!$G$9*(1+'Datos del Modelo'!$G$11)^(Resultados!$D11-'Datos del Modelo'!$G$8))*('Datos del Modelo'!$G$13*'Datos del Modelo'!$G$14))</f>
        <v>20000</v>
      </c>
      <c r="I57" s="296">
        <f>IF('Datos del Modelo'!K$70=2,(('Datos del Modelo'!$G$9*(1+'Datos del Modelo'!$G$11)^(Resultados!$D11-'Datos del Modelo'!$G$8))*('Datos del Modelo'!$G$16*'Datos del Modelo'!$G$17)+('Datos del Modelo'!$G$9*(1+'Datos del Modelo'!$G$11)^(Resultados!$D11-'Datos del Modelo'!$G$8))*('Datos del Modelo'!$G$16*'Datos del Modelo'!$G$18)),('Datos del Modelo'!$G$9*(1+'Datos del Modelo'!$G$11)^(Resultados!$D11-'Datos del Modelo'!$G$8))*('Datos del Modelo'!$G$16*'Datos del Modelo'!$G$17))</f>
        <v>20000</v>
      </c>
      <c r="J57" s="296">
        <f>IF('Datos del Modelo'!K$70=2,(('Datos del Modelo'!$G$9*(1+'Datos del Modelo'!$G$11)^(Resultados!$D11-'Datos del Modelo'!$G$8))*('Datos del Modelo'!$G$19*'Datos del Modelo'!$G$20)+('Datos del Modelo'!$G$9*(1+'Datos del Modelo'!$G$11)^(Resultados!$D11-'Datos del Modelo'!$G$8))*('Datos del Modelo'!$G$19*'Datos del Modelo'!$G$21)),('Datos del Modelo'!$G$9*(1+'Datos del Modelo'!$G$11)^(Resultados!$D11-'Datos del Modelo'!$G$8))*('Datos del Modelo'!$G$19*'Datos del Modelo'!$G$20))</f>
        <v>40000</v>
      </c>
      <c r="K57" s="296">
        <f>IF('Datos del Modelo'!M$70=2,(('Datos del Modelo'!$G$9*(1+'Datos del Modelo'!$G$11)^(Resultados!$D11-'Datos del Modelo'!$G$8))*('Datos del Modelo'!$G$13*'Datos del Modelo'!$G$14)+('Datos del Modelo'!$G$9*(1+'Datos del Modelo'!$G$11)^(Resultados!$D11-'Datos del Modelo'!$G$8))*('Datos del Modelo'!$G$13*'Datos del Modelo'!$G$15)),('Datos del Modelo'!$G$9*(1+'Datos del Modelo'!$G$11)^(Resultados!$D11-'Datos del Modelo'!$G$8))*('Datos del Modelo'!$G$13*'Datos del Modelo'!$G$14))</f>
        <v>20000</v>
      </c>
      <c r="L57" s="296">
        <f>IF('Datos del Modelo'!M$70=2,(('Datos del Modelo'!$G$9*(1+'Datos del Modelo'!$G$11)^(Resultados!$D11-'Datos del Modelo'!$G$8))*('Datos del Modelo'!$G$16*'Datos del Modelo'!$G$17)+('Datos del Modelo'!$G$9*(1+'Datos del Modelo'!$G$11)^(Resultados!$D11-'Datos del Modelo'!$G$8))*('Datos del Modelo'!$G$16*'Datos del Modelo'!$G$18)),('Datos del Modelo'!$G$9*(1+'Datos del Modelo'!$G$11)^(Resultados!$D11-'Datos del Modelo'!$G$8))*('Datos del Modelo'!$G$16*'Datos del Modelo'!$G$17))</f>
        <v>20000</v>
      </c>
      <c r="M57" s="296">
        <f>IF('Datos del Modelo'!M$70=2,(('Datos del Modelo'!$G$9*(1+'Datos del Modelo'!$G$11)^(Resultados!$D11-'Datos del Modelo'!$G$8))*('Datos del Modelo'!$G$19*'Datos del Modelo'!$G$20)+('Datos del Modelo'!$G$9*(1+'Datos del Modelo'!$G$11)^(Resultados!$D11-'Datos del Modelo'!$G$8))*('Datos del Modelo'!$G$19*'Datos del Modelo'!$G$21)),('Datos del Modelo'!$G$9*(1+'Datos del Modelo'!$G$11)^(Resultados!$D11-'Datos del Modelo'!$G$8))*('Datos del Modelo'!$G$19*'Datos del Modelo'!$G$20))</f>
        <v>40000</v>
      </c>
    </row>
    <row r="58" spans="1:13" x14ac:dyDescent="0.3">
      <c r="A58">
        <f>'Datos del Modelo'!$G$8+1</f>
        <v>2027</v>
      </c>
      <c r="B58" s="296">
        <f>IF('Datos del Modelo'!G$70=2,(('Datos del Modelo'!$G$9*(1+'Datos del Modelo'!$G$11)^(Resultados!$D12-'Datos del Modelo'!$G$8))*('Datos del Modelo'!$G$13*'Datos del Modelo'!$G$14)+('Datos del Modelo'!$G$9*(1+'Datos del Modelo'!$G$11)^(Resultados!$D12-'Datos del Modelo'!$G$8))*('Datos del Modelo'!$G$13*'Datos del Modelo'!$G$15)),('Datos del Modelo'!$G$9*(1+'Datos del Modelo'!$G$11)^(Resultados!$D12-'Datos del Modelo'!$G$8))*('Datos del Modelo'!$G$13*'Datos del Modelo'!$G$14))</f>
        <v>20400</v>
      </c>
      <c r="C58" s="296">
        <f>IF('Datos del Modelo'!G$70=2,(('Datos del Modelo'!$G$9*(1+'Datos del Modelo'!$G$11)^(Resultados!$D12-'Datos del Modelo'!$G$8))*('Datos del Modelo'!$G$16*'Datos del Modelo'!$G$17)+('Datos del Modelo'!$G$9*(1+'Datos del Modelo'!$G$11)^(Resultados!$D12-'Datos del Modelo'!$G$8))*('Datos del Modelo'!$G$16*'Datos del Modelo'!$G$18)),('Datos del Modelo'!$G$9*(1+'Datos del Modelo'!$G$11)^(Resultados!$D12-'Datos del Modelo'!$G$8))*('Datos del Modelo'!$G$16*'Datos del Modelo'!$G$17))</f>
        <v>20400</v>
      </c>
      <c r="D58" s="296">
        <f>IF('Datos del Modelo'!G$70=2,(('Datos del Modelo'!$G$9*(1+'Datos del Modelo'!$G$11)^(Resultados!$D12-'Datos del Modelo'!$G$8))*('Datos del Modelo'!$G$19*'Datos del Modelo'!$G$20)+('Datos del Modelo'!$G$9*(1+'Datos del Modelo'!$G$11)^(Resultados!$D12-'Datos del Modelo'!$G$8))*('Datos del Modelo'!$G$19*'Datos del Modelo'!$G$21)),('Datos del Modelo'!$G$9*(1+'Datos del Modelo'!$G$11)^(Resultados!$D12-'Datos del Modelo'!$G$8))*('Datos del Modelo'!$G$19*'Datos del Modelo'!$G$20))</f>
        <v>40800</v>
      </c>
      <c r="E58" s="296">
        <f>IF('Datos del Modelo'!I$70=2,(('Datos del Modelo'!$G$9*(1+'Datos del Modelo'!$G$11)^(Resultados!$D12-'Datos del Modelo'!$G$8))*('Datos del Modelo'!$G$13*'Datos del Modelo'!$G$14)+('Datos del Modelo'!$G$9*(1+'Datos del Modelo'!$G$11)^(Resultados!$D12-'Datos del Modelo'!$G$8))*('Datos del Modelo'!$G$13*'Datos del Modelo'!$G$15)),('Datos del Modelo'!$G$9*(1+'Datos del Modelo'!$G$11)^(Resultados!$D12-'Datos del Modelo'!$G$8))*('Datos del Modelo'!$G$13*'Datos del Modelo'!$G$14))</f>
        <v>38250</v>
      </c>
      <c r="F58" s="296">
        <f>IF('Datos del Modelo'!I$70=2,(('Datos del Modelo'!$G$9*(1+'Datos del Modelo'!$G$11)^(Resultados!$D12-'Datos del Modelo'!$G$8))*('Datos del Modelo'!$G$16*'Datos del Modelo'!$G$17)+('Datos del Modelo'!$G$9*(1+'Datos del Modelo'!$G$11)^(Resultados!$D12-'Datos del Modelo'!$G$8))*('Datos del Modelo'!$G$16*'Datos del Modelo'!$G$18)),('Datos del Modelo'!$G$9*(1+'Datos del Modelo'!$G$11)^(Resultados!$D12-'Datos del Modelo'!$G$8))*('Datos del Modelo'!$G$16*'Datos del Modelo'!$G$17))</f>
        <v>38250</v>
      </c>
      <c r="G58" s="296">
        <f>IF('Datos del Modelo'!I$70=2,(('Datos del Modelo'!$G$9*(1+'Datos del Modelo'!$G$11)^(Resultados!$D12-'Datos del Modelo'!$G$8))*('Datos del Modelo'!$G$19*'Datos del Modelo'!$G$20)+('Datos del Modelo'!$G$9*(1+'Datos del Modelo'!$G$11)^(Resultados!$D12-'Datos del Modelo'!$G$8))*('Datos del Modelo'!$G$19*'Datos del Modelo'!$G$21)),('Datos del Modelo'!$G$9*(1+'Datos del Modelo'!$G$11)^(Resultados!$D12-'Datos del Modelo'!$G$8))*('Datos del Modelo'!$G$19*'Datos del Modelo'!$G$20))</f>
        <v>79050</v>
      </c>
      <c r="H58" s="296">
        <f>IF('Datos del Modelo'!K$70=2,(('Datos del Modelo'!$G$9*(1+'Datos del Modelo'!$G$11)^(Resultados!$D12-'Datos del Modelo'!$G$8))*('Datos del Modelo'!$G$13*'Datos del Modelo'!$G$14)+('Datos del Modelo'!$G$9*(1+'Datos del Modelo'!$G$11)^(Resultados!$D12-'Datos del Modelo'!$G$8))*('Datos del Modelo'!$G$13*'Datos del Modelo'!$G$15)),('Datos del Modelo'!$G$9*(1+'Datos del Modelo'!$G$11)^(Resultados!$D12-'Datos del Modelo'!$G$8))*('Datos del Modelo'!$G$13*'Datos del Modelo'!$G$14))</f>
        <v>20400</v>
      </c>
      <c r="I58" s="296">
        <f>IF('Datos del Modelo'!K$70=2,(('Datos del Modelo'!$G$9*(1+'Datos del Modelo'!$G$11)^(Resultados!$D12-'Datos del Modelo'!$G$8))*('Datos del Modelo'!$G$16*'Datos del Modelo'!$G$17)+('Datos del Modelo'!$G$9*(1+'Datos del Modelo'!$G$11)^(Resultados!$D12-'Datos del Modelo'!$G$8))*('Datos del Modelo'!$G$16*'Datos del Modelo'!$G$18)),('Datos del Modelo'!$G$9*(1+'Datos del Modelo'!$G$11)^(Resultados!$D12-'Datos del Modelo'!$G$8))*('Datos del Modelo'!$G$16*'Datos del Modelo'!$G$17))</f>
        <v>20400</v>
      </c>
      <c r="J58" s="296">
        <f>IF('Datos del Modelo'!K$70=2,(('Datos del Modelo'!$G$9*(1+'Datos del Modelo'!$G$11)^(Resultados!$D12-'Datos del Modelo'!$G$8))*('Datos del Modelo'!$G$19*'Datos del Modelo'!$G$20)+('Datos del Modelo'!$G$9*(1+'Datos del Modelo'!$G$11)^(Resultados!$D12-'Datos del Modelo'!$G$8))*('Datos del Modelo'!$G$19*'Datos del Modelo'!$G$21)),('Datos del Modelo'!$G$9*(1+'Datos del Modelo'!$G$11)^(Resultados!$D12-'Datos del Modelo'!$G$8))*('Datos del Modelo'!$G$19*'Datos del Modelo'!$G$20))</f>
        <v>40800</v>
      </c>
      <c r="K58" s="296">
        <f>IF('Datos del Modelo'!M$70=2,(('Datos del Modelo'!$G$9*(1+'Datos del Modelo'!$G$11)^(Resultados!$D12-'Datos del Modelo'!$G$8))*('Datos del Modelo'!$G$13*'Datos del Modelo'!$G$14)+('Datos del Modelo'!$G$9*(1+'Datos del Modelo'!$G$11)^(Resultados!$D12-'Datos del Modelo'!$G$8))*('Datos del Modelo'!$G$13*'Datos del Modelo'!$G$15)),('Datos del Modelo'!$G$9*(1+'Datos del Modelo'!$G$11)^(Resultados!$D12-'Datos del Modelo'!$G$8))*('Datos del Modelo'!$G$13*'Datos del Modelo'!$G$14))</f>
        <v>20400</v>
      </c>
      <c r="L58" s="296">
        <f>IF('Datos del Modelo'!M$70=2,(('Datos del Modelo'!$G$9*(1+'Datos del Modelo'!$G$11)^(Resultados!$D12-'Datos del Modelo'!$G$8))*('Datos del Modelo'!$G$16*'Datos del Modelo'!$G$17)+('Datos del Modelo'!$G$9*(1+'Datos del Modelo'!$G$11)^(Resultados!$D12-'Datos del Modelo'!$G$8))*('Datos del Modelo'!$G$16*'Datos del Modelo'!$G$18)),('Datos del Modelo'!$G$9*(1+'Datos del Modelo'!$G$11)^(Resultados!$D12-'Datos del Modelo'!$G$8))*('Datos del Modelo'!$G$16*'Datos del Modelo'!$G$17))</f>
        <v>20400</v>
      </c>
      <c r="M58" s="296">
        <f>IF('Datos del Modelo'!M$70=2,(('Datos del Modelo'!$G$9*(1+'Datos del Modelo'!$G$11)^(Resultados!$D12-'Datos del Modelo'!$G$8))*('Datos del Modelo'!$G$19*'Datos del Modelo'!$G$20)+('Datos del Modelo'!$G$9*(1+'Datos del Modelo'!$G$11)^(Resultados!$D12-'Datos del Modelo'!$G$8))*('Datos del Modelo'!$G$19*'Datos del Modelo'!$G$21)),('Datos del Modelo'!$G$9*(1+'Datos del Modelo'!$G$11)^(Resultados!$D12-'Datos del Modelo'!$G$8))*('Datos del Modelo'!$G$19*'Datos del Modelo'!$G$20))</f>
        <v>40800</v>
      </c>
    </row>
    <row r="59" spans="1:13" x14ac:dyDescent="0.3">
      <c r="A59">
        <f>'Datos del Modelo'!$G$8+2</f>
        <v>2028</v>
      </c>
      <c r="B59" s="296">
        <f>IF('Datos del Modelo'!G$70=2,(('Datos del Modelo'!$G$9*(1+'Datos del Modelo'!$G$11)^(Resultados!$D13-'Datos del Modelo'!$G$8))*('Datos del Modelo'!$G$13*'Datos del Modelo'!$G$14)+('Datos del Modelo'!$G$9*(1+'Datos del Modelo'!$G$11)^(Resultados!$D13-'Datos del Modelo'!$G$8))*('Datos del Modelo'!$G$13*'Datos del Modelo'!$G$15)),('Datos del Modelo'!$G$9*(1+'Datos del Modelo'!$G$11)^(Resultados!$D13-'Datos del Modelo'!$G$8))*('Datos del Modelo'!$G$13*'Datos del Modelo'!$G$14))</f>
        <v>20808</v>
      </c>
      <c r="C59" s="296">
        <f>IF('Datos del Modelo'!G$70=2,(('Datos del Modelo'!$G$9*(1+'Datos del Modelo'!$G$11)^(Resultados!$D13-'Datos del Modelo'!$G$8))*('Datos del Modelo'!$G$16*'Datos del Modelo'!$G$17)+('Datos del Modelo'!$G$9*(1+'Datos del Modelo'!$G$11)^(Resultados!$D13-'Datos del Modelo'!$G$8))*('Datos del Modelo'!$G$16*'Datos del Modelo'!$G$18)),('Datos del Modelo'!$G$9*(1+'Datos del Modelo'!$G$11)^(Resultados!$D13-'Datos del Modelo'!$G$8))*('Datos del Modelo'!$G$16*'Datos del Modelo'!$G$17))</f>
        <v>20808</v>
      </c>
      <c r="D59" s="296">
        <f>IF('Datos del Modelo'!G$70=2,(('Datos del Modelo'!$G$9*(1+'Datos del Modelo'!$G$11)^(Resultados!$D13-'Datos del Modelo'!$G$8))*('Datos del Modelo'!$G$19*'Datos del Modelo'!$G$20)+('Datos del Modelo'!$G$9*(1+'Datos del Modelo'!$G$11)^(Resultados!$D13-'Datos del Modelo'!$G$8))*('Datos del Modelo'!$G$19*'Datos del Modelo'!$G$21)),('Datos del Modelo'!$G$9*(1+'Datos del Modelo'!$G$11)^(Resultados!$D13-'Datos del Modelo'!$G$8))*('Datos del Modelo'!$G$19*'Datos del Modelo'!$G$20))</f>
        <v>41616</v>
      </c>
      <c r="E59" s="296">
        <f>IF('Datos del Modelo'!I$70=2,(('Datos del Modelo'!$G$9*(1+'Datos del Modelo'!$G$11)^(Resultados!$D13-'Datos del Modelo'!$G$8))*('Datos del Modelo'!$G$13*'Datos del Modelo'!$G$14)+('Datos del Modelo'!$G$9*(1+'Datos del Modelo'!$G$11)^(Resultados!$D13-'Datos del Modelo'!$G$8))*('Datos del Modelo'!$G$13*'Datos del Modelo'!$G$15)),('Datos del Modelo'!$G$9*(1+'Datos del Modelo'!$G$11)^(Resultados!$D13-'Datos del Modelo'!$G$8))*('Datos del Modelo'!$G$13*'Datos del Modelo'!$G$14))</f>
        <v>39015</v>
      </c>
      <c r="F59" s="296">
        <f>IF('Datos del Modelo'!I$70=2,(('Datos del Modelo'!$G$9*(1+'Datos del Modelo'!$G$11)^(Resultados!$D13-'Datos del Modelo'!$G$8))*('Datos del Modelo'!$G$16*'Datos del Modelo'!$G$17)+('Datos del Modelo'!$G$9*(1+'Datos del Modelo'!$G$11)^(Resultados!$D13-'Datos del Modelo'!$G$8))*('Datos del Modelo'!$G$16*'Datos del Modelo'!$G$18)),('Datos del Modelo'!$G$9*(1+'Datos del Modelo'!$G$11)^(Resultados!$D13-'Datos del Modelo'!$G$8))*('Datos del Modelo'!$G$16*'Datos del Modelo'!$G$17))</f>
        <v>39015</v>
      </c>
      <c r="G59" s="296">
        <f>IF('Datos del Modelo'!I$70=2,(('Datos del Modelo'!$G$9*(1+'Datos del Modelo'!$G$11)^(Resultados!$D13-'Datos del Modelo'!$G$8))*('Datos del Modelo'!$G$19*'Datos del Modelo'!$G$20)+('Datos del Modelo'!$G$9*(1+'Datos del Modelo'!$G$11)^(Resultados!$D13-'Datos del Modelo'!$G$8))*('Datos del Modelo'!$G$19*'Datos del Modelo'!$G$21)),('Datos del Modelo'!$G$9*(1+'Datos del Modelo'!$G$11)^(Resultados!$D13-'Datos del Modelo'!$G$8))*('Datos del Modelo'!$G$19*'Datos del Modelo'!$G$20))</f>
        <v>80631</v>
      </c>
      <c r="H59" s="296">
        <f>IF('Datos del Modelo'!K$70=2,(('Datos del Modelo'!$G$9*(1+'Datos del Modelo'!$G$11)^(Resultados!$D13-'Datos del Modelo'!$G$8))*('Datos del Modelo'!$G$13*'Datos del Modelo'!$G$14)+('Datos del Modelo'!$G$9*(1+'Datos del Modelo'!$G$11)^(Resultados!$D13-'Datos del Modelo'!$G$8))*('Datos del Modelo'!$G$13*'Datos del Modelo'!$G$15)),('Datos del Modelo'!$G$9*(1+'Datos del Modelo'!$G$11)^(Resultados!$D13-'Datos del Modelo'!$G$8))*('Datos del Modelo'!$G$13*'Datos del Modelo'!$G$14))</f>
        <v>20808</v>
      </c>
      <c r="I59" s="296">
        <f>IF('Datos del Modelo'!K$70=2,(('Datos del Modelo'!$G$9*(1+'Datos del Modelo'!$G$11)^(Resultados!$D13-'Datos del Modelo'!$G$8))*('Datos del Modelo'!$G$16*'Datos del Modelo'!$G$17)+('Datos del Modelo'!$G$9*(1+'Datos del Modelo'!$G$11)^(Resultados!$D13-'Datos del Modelo'!$G$8))*('Datos del Modelo'!$G$16*'Datos del Modelo'!$G$18)),('Datos del Modelo'!$G$9*(1+'Datos del Modelo'!$G$11)^(Resultados!$D13-'Datos del Modelo'!$G$8))*('Datos del Modelo'!$G$16*'Datos del Modelo'!$G$17))</f>
        <v>20808</v>
      </c>
      <c r="J59" s="296">
        <f>IF('Datos del Modelo'!K$70=2,(('Datos del Modelo'!$G$9*(1+'Datos del Modelo'!$G$11)^(Resultados!$D13-'Datos del Modelo'!$G$8))*('Datos del Modelo'!$G$19*'Datos del Modelo'!$G$20)+('Datos del Modelo'!$G$9*(1+'Datos del Modelo'!$G$11)^(Resultados!$D13-'Datos del Modelo'!$G$8))*('Datos del Modelo'!$G$19*'Datos del Modelo'!$G$21)),('Datos del Modelo'!$G$9*(1+'Datos del Modelo'!$G$11)^(Resultados!$D13-'Datos del Modelo'!$G$8))*('Datos del Modelo'!$G$19*'Datos del Modelo'!$G$20))</f>
        <v>41616</v>
      </c>
      <c r="K59" s="296">
        <f>IF('Datos del Modelo'!M$70=2,(('Datos del Modelo'!$G$9*(1+'Datos del Modelo'!$G$11)^(Resultados!$D13-'Datos del Modelo'!$G$8))*('Datos del Modelo'!$G$13*'Datos del Modelo'!$G$14)+('Datos del Modelo'!$G$9*(1+'Datos del Modelo'!$G$11)^(Resultados!$D13-'Datos del Modelo'!$G$8))*('Datos del Modelo'!$G$13*'Datos del Modelo'!$G$15)),('Datos del Modelo'!$G$9*(1+'Datos del Modelo'!$G$11)^(Resultados!$D13-'Datos del Modelo'!$G$8))*('Datos del Modelo'!$G$13*'Datos del Modelo'!$G$14))</f>
        <v>20808</v>
      </c>
      <c r="L59" s="296">
        <f>IF('Datos del Modelo'!M$70=2,(('Datos del Modelo'!$G$9*(1+'Datos del Modelo'!$G$11)^(Resultados!$D13-'Datos del Modelo'!$G$8))*('Datos del Modelo'!$G$16*'Datos del Modelo'!$G$17)+('Datos del Modelo'!$G$9*(1+'Datos del Modelo'!$G$11)^(Resultados!$D13-'Datos del Modelo'!$G$8))*('Datos del Modelo'!$G$16*'Datos del Modelo'!$G$18)),('Datos del Modelo'!$G$9*(1+'Datos del Modelo'!$G$11)^(Resultados!$D13-'Datos del Modelo'!$G$8))*('Datos del Modelo'!$G$16*'Datos del Modelo'!$G$17))</f>
        <v>20808</v>
      </c>
      <c r="M59" s="296">
        <f>IF('Datos del Modelo'!M$70=2,(('Datos del Modelo'!$G$9*(1+'Datos del Modelo'!$G$11)^(Resultados!$D13-'Datos del Modelo'!$G$8))*('Datos del Modelo'!$G$19*'Datos del Modelo'!$G$20)+('Datos del Modelo'!$G$9*(1+'Datos del Modelo'!$G$11)^(Resultados!$D13-'Datos del Modelo'!$G$8))*('Datos del Modelo'!$G$19*'Datos del Modelo'!$G$21)),('Datos del Modelo'!$G$9*(1+'Datos del Modelo'!$G$11)^(Resultados!$D13-'Datos del Modelo'!$G$8))*('Datos del Modelo'!$G$19*'Datos del Modelo'!$G$20))</f>
        <v>41616</v>
      </c>
    </row>
    <row r="60" spans="1:13" x14ac:dyDescent="0.3">
      <c r="A60">
        <f>'Datos del Modelo'!$G$8+3</f>
        <v>2029</v>
      </c>
      <c r="B60" s="296">
        <f>IF('Datos del Modelo'!G$70=2,(('Datos del Modelo'!$G$9*(1+'Datos del Modelo'!$G$11)^(Resultados!$D14-'Datos del Modelo'!$G$8))*('Datos del Modelo'!$G$13*'Datos del Modelo'!$G$14)+('Datos del Modelo'!$G$9*(1+'Datos del Modelo'!$G$11)^(Resultados!$D14-'Datos del Modelo'!$G$8))*('Datos del Modelo'!$G$13*'Datos del Modelo'!$G$15)),('Datos del Modelo'!$G$9*(1+'Datos del Modelo'!$G$11)^(Resultados!$D14-'Datos del Modelo'!$G$8))*('Datos del Modelo'!$G$13*'Datos del Modelo'!$G$14))</f>
        <v>21224.16</v>
      </c>
      <c r="C60" s="296">
        <f>IF('Datos del Modelo'!G$70=2,(('Datos del Modelo'!$G$9*(1+'Datos del Modelo'!$G$11)^(Resultados!$D14-'Datos del Modelo'!$G$8))*('Datos del Modelo'!$G$16*'Datos del Modelo'!$G$17)+('Datos del Modelo'!$G$9*(1+'Datos del Modelo'!$G$11)^(Resultados!$D14-'Datos del Modelo'!$G$8))*('Datos del Modelo'!$G$16*'Datos del Modelo'!$G$18)),('Datos del Modelo'!$G$9*(1+'Datos del Modelo'!$G$11)^(Resultados!$D14-'Datos del Modelo'!$G$8))*('Datos del Modelo'!$G$16*'Datos del Modelo'!$G$17))</f>
        <v>21224.16</v>
      </c>
      <c r="D60" s="296">
        <f>IF('Datos del Modelo'!G$70=2,(('Datos del Modelo'!$G$9*(1+'Datos del Modelo'!$G$11)^(Resultados!$D14-'Datos del Modelo'!$G$8))*('Datos del Modelo'!$G$19*'Datos del Modelo'!$G$20)+('Datos del Modelo'!$G$9*(1+'Datos del Modelo'!$G$11)^(Resultados!$D14-'Datos del Modelo'!$G$8))*('Datos del Modelo'!$G$19*'Datos del Modelo'!$G$21)),('Datos del Modelo'!$G$9*(1+'Datos del Modelo'!$G$11)^(Resultados!$D14-'Datos del Modelo'!$G$8))*('Datos del Modelo'!$G$19*'Datos del Modelo'!$G$20))</f>
        <v>42448.32</v>
      </c>
      <c r="E60" s="296">
        <f>IF('Datos del Modelo'!I$70=2,(('Datos del Modelo'!$G$9*(1+'Datos del Modelo'!$G$11)^(Resultados!$D14-'Datos del Modelo'!$G$8))*('Datos del Modelo'!$G$13*'Datos del Modelo'!$G$14)+('Datos del Modelo'!$G$9*(1+'Datos del Modelo'!$G$11)^(Resultados!$D14-'Datos del Modelo'!$G$8))*('Datos del Modelo'!$G$13*'Datos del Modelo'!$G$15)),('Datos del Modelo'!$G$9*(1+'Datos del Modelo'!$G$11)^(Resultados!$D14-'Datos del Modelo'!$G$8))*('Datos del Modelo'!$G$13*'Datos del Modelo'!$G$14))</f>
        <v>39795.299999999996</v>
      </c>
      <c r="F60" s="296">
        <f>IF('Datos del Modelo'!I$70=2,(('Datos del Modelo'!$G$9*(1+'Datos del Modelo'!$G$11)^(Resultados!$D14-'Datos del Modelo'!$G$8))*('Datos del Modelo'!$G$16*'Datos del Modelo'!$G$17)+('Datos del Modelo'!$G$9*(1+'Datos del Modelo'!$G$11)^(Resultados!$D14-'Datos del Modelo'!$G$8))*('Datos del Modelo'!$G$16*'Datos del Modelo'!$G$18)),('Datos del Modelo'!$G$9*(1+'Datos del Modelo'!$G$11)^(Resultados!$D14-'Datos del Modelo'!$G$8))*('Datos del Modelo'!$G$16*'Datos del Modelo'!$G$17))</f>
        <v>39795.299999999996</v>
      </c>
      <c r="G60" s="296">
        <f>IF('Datos del Modelo'!I$70=2,(('Datos del Modelo'!$G$9*(1+'Datos del Modelo'!$G$11)^(Resultados!$D14-'Datos del Modelo'!$G$8))*('Datos del Modelo'!$G$19*'Datos del Modelo'!$G$20)+('Datos del Modelo'!$G$9*(1+'Datos del Modelo'!$G$11)^(Resultados!$D14-'Datos del Modelo'!$G$8))*('Datos del Modelo'!$G$19*'Datos del Modelo'!$G$21)),('Datos del Modelo'!$G$9*(1+'Datos del Modelo'!$G$11)^(Resultados!$D14-'Datos del Modelo'!$G$8))*('Datos del Modelo'!$G$19*'Datos del Modelo'!$G$20))</f>
        <v>82243.62</v>
      </c>
      <c r="H60" s="296">
        <f>IF('Datos del Modelo'!K$70=2,(('Datos del Modelo'!$G$9*(1+'Datos del Modelo'!$G$11)^(Resultados!$D14-'Datos del Modelo'!$G$8))*('Datos del Modelo'!$G$13*'Datos del Modelo'!$G$14)+('Datos del Modelo'!$G$9*(1+'Datos del Modelo'!$G$11)^(Resultados!$D14-'Datos del Modelo'!$G$8))*('Datos del Modelo'!$G$13*'Datos del Modelo'!$G$15)),('Datos del Modelo'!$G$9*(1+'Datos del Modelo'!$G$11)^(Resultados!$D14-'Datos del Modelo'!$G$8))*('Datos del Modelo'!$G$13*'Datos del Modelo'!$G$14))</f>
        <v>21224.16</v>
      </c>
      <c r="I60" s="296">
        <f>IF('Datos del Modelo'!K$70=2,(('Datos del Modelo'!$G$9*(1+'Datos del Modelo'!$G$11)^(Resultados!$D14-'Datos del Modelo'!$G$8))*('Datos del Modelo'!$G$16*'Datos del Modelo'!$G$17)+('Datos del Modelo'!$G$9*(1+'Datos del Modelo'!$G$11)^(Resultados!$D14-'Datos del Modelo'!$G$8))*('Datos del Modelo'!$G$16*'Datos del Modelo'!$G$18)),('Datos del Modelo'!$G$9*(1+'Datos del Modelo'!$G$11)^(Resultados!$D14-'Datos del Modelo'!$G$8))*('Datos del Modelo'!$G$16*'Datos del Modelo'!$G$17))</f>
        <v>21224.16</v>
      </c>
      <c r="J60" s="296">
        <f>IF('Datos del Modelo'!K$70=2,(('Datos del Modelo'!$G$9*(1+'Datos del Modelo'!$G$11)^(Resultados!$D14-'Datos del Modelo'!$G$8))*('Datos del Modelo'!$G$19*'Datos del Modelo'!$G$20)+('Datos del Modelo'!$G$9*(1+'Datos del Modelo'!$G$11)^(Resultados!$D14-'Datos del Modelo'!$G$8))*('Datos del Modelo'!$G$19*'Datos del Modelo'!$G$21)),('Datos del Modelo'!$G$9*(1+'Datos del Modelo'!$G$11)^(Resultados!$D14-'Datos del Modelo'!$G$8))*('Datos del Modelo'!$G$19*'Datos del Modelo'!$G$20))</f>
        <v>42448.32</v>
      </c>
      <c r="K60" s="296">
        <f>IF('Datos del Modelo'!M$70=2,(('Datos del Modelo'!$G$9*(1+'Datos del Modelo'!$G$11)^(Resultados!$D14-'Datos del Modelo'!$G$8))*('Datos del Modelo'!$G$13*'Datos del Modelo'!$G$14)+('Datos del Modelo'!$G$9*(1+'Datos del Modelo'!$G$11)^(Resultados!$D14-'Datos del Modelo'!$G$8))*('Datos del Modelo'!$G$13*'Datos del Modelo'!$G$15)),('Datos del Modelo'!$G$9*(1+'Datos del Modelo'!$G$11)^(Resultados!$D14-'Datos del Modelo'!$G$8))*('Datos del Modelo'!$G$13*'Datos del Modelo'!$G$14))</f>
        <v>21224.16</v>
      </c>
      <c r="L60" s="296">
        <f>IF('Datos del Modelo'!M$70=2,(('Datos del Modelo'!$G$9*(1+'Datos del Modelo'!$G$11)^(Resultados!$D14-'Datos del Modelo'!$G$8))*('Datos del Modelo'!$G$16*'Datos del Modelo'!$G$17)+('Datos del Modelo'!$G$9*(1+'Datos del Modelo'!$G$11)^(Resultados!$D14-'Datos del Modelo'!$G$8))*('Datos del Modelo'!$G$16*'Datos del Modelo'!$G$18)),('Datos del Modelo'!$G$9*(1+'Datos del Modelo'!$G$11)^(Resultados!$D14-'Datos del Modelo'!$G$8))*('Datos del Modelo'!$G$16*'Datos del Modelo'!$G$17))</f>
        <v>21224.16</v>
      </c>
      <c r="M60" s="296">
        <f>IF('Datos del Modelo'!M$70=2,(('Datos del Modelo'!$G$9*(1+'Datos del Modelo'!$G$11)^(Resultados!$D14-'Datos del Modelo'!$G$8))*('Datos del Modelo'!$G$19*'Datos del Modelo'!$G$20)+('Datos del Modelo'!$G$9*(1+'Datos del Modelo'!$G$11)^(Resultados!$D14-'Datos del Modelo'!$G$8))*('Datos del Modelo'!$G$19*'Datos del Modelo'!$G$21)),('Datos del Modelo'!$G$9*(1+'Datos del Modelo'!$G$11)^(Resultados!$D14-'Datos del Modelo'!$G$8))*('Datos del Modelo'!$G$19*'Datos del Modelo'!$G$20))</f>
        <v>42448.32</v>
      </c>
    </row>
    <row r="61" spans="1:13" x14ac:dyDescent="0.3">
      <c r="A61">
        <f>'Datos del Modelo'!$G$8+4</f>
        <v>2030</v>
      </c>
      <c r="B61" s="296">
        <f>IF('Datos del Modelo'!G$70=2,(('Datos del Modelo'!$G$9*(1+'Datos del Modelo'!$G$11)^(Resultados!$D15-'Datos del Modelo'!$G$8))*('Datos del Modelo'!$G$13*'Datos del Modelo'!$G$14)+('Datos del Modelo'!$G$9*(1+'Datos del Modelo'!$G$11)^(Resultados!$D15-'Datos del Modelo'!$G$8))*('Datos del Modelo'!$G$13*'Datos del Modelo'!$G$15)),('Datos del Modelo'!$G$9*(1+'Datos del Modelo'!$G$11)^(Resultados!$D15-'Datos del Modelo'!$G$8))*('Datos del Modelo'!$G$13*'Datos del Modelo'!$G$14))</f>
        <v>21648.643200000002</v>
      </c>
      <c r="C61" s="296">
        <f>IF('Datos del Modelo'!G$70=2,(('Datos del Modelo'!$G$9*(1+'Datos del Modelo'!$G$11)^(Resultados!$D15-'Datos del Modelo'!$G$8))*('Datos del Modelo'!$G$16*'Datos del Modelo'!$G$17)+('Datos del Modelo'!$G$9*(1+'Datos del Modelo'!$G$11)^(Resultados!$D15-'Datos del Modelo'!$G$8))*('Datos del Modelo'!$G$16*'Datos del Modelo'!$G$18)),('Datos del Modelo'!$G$9*(1+'Datos del Modelo'!$G$11)^(Resultados!$D15-'Datos del Modelo'!$G$8))*('Datos del Modelo'!$G$16*'Datos del Modelo'!$G$17))</f>
        <v>21648.643200000002</v>
      </c>
      <c r="D61" s="296">
        <f>IF('Datos del Modelo'!G$70=2,(('Datos del Modelo'!$G$9*(1+'Datos del Modelo'!$G$11)^(Resultados!$D15-'Datos del Modelo'!$G$8))*('Datos del Modelo'!$G$19*'Datos del Modelo'!$G$20)+('Datos del Modelo'!$G$9*(1+'Datos del Modelo'!$G$11)^(Resultados!$D15-'Datos del Modelo'!$G$8))*('Datos del Modelo'!$G$19*'Datos del Modelo'!$G$21)),('Datos del Modelo'!$G$9*(1+'Datos del Modelo'!$G$11)^(Resultados!$D15-'Datos del Modelo'!$G$8))*('Datos del Modelo'!$G$19*'Datos del Modelo'!$G$20))</f>
        <v>43297.286400000005</v>
      </c>
      <c r="E61" s="296">
        <f>IF('Datos del Modelo'!I$70=2,(('Datos del Modelo'!$G$9*(1+'Datos del Modelo'!$G$11)^(Resultados!$D15-'Datos del Modelo'!$G$8))*('Datos del Modelo'!$G$13*'Datos del Modelo'!$G$14)+('Datos del Modelo'!$G$9*(1+'Datos del Modelo'!$G$11)^(Resultados!$D15-'Datos del Modelo'!$G$8))*('Datos del Modelo'!$G$13*'Datos del Modelo'!$G$15)),('Datos del Modelo'!$G$9*(1+'Datos del Modelo'!$G$11)^(Resultados!$D15-'Datos del Modelo'!$G$8))*('Datos del Modelo'!$G$13*'Datos del Modelo'!$G$14))</f>
        <v>40591.206000000006</v>
      </c>
      <c r="F61" s="296">
        <f>IF('Datos del Modelo'!I$70=2,(('Datos del Modelo'!$G$9*(1+'Datos del Modelo'!$G$11)^(Resultados!$D15-'Datos del Modelo'!$G$8))*('Datos del Modelo'!$G$16*'Datos del Modelo'!$G$17)+('Datos del Modelo'!$G$9*(1+'Datos del Modelo'!$G$11)^(Resultados!$D15-'Datos del Modelo'!$G$8))*('Datos del Modelo'!$G$16*'Datos del Modelo'!$G$18)),('Datos del Modelo'!$G$9*(1+'Datos del Modelo'!$G$11)^(Resultados!$D15-'Datos del Modelo'!$G$8))*('Datos del Modelo'!$G$16*'Datos del Modelo'!$G$17))</f>
        <v>40591.206000000006</v>
      </c>
      <c r="G61" s="296">
        <f>IF('Datos del Modelo'!I$70=2,(('Datos del Modelo'!$G$9*(1+'Datos del Modelo'!$G$11)^(Resultados!$D15-'Datos del Modelo'!$G$8))*('Datos del Modelo'!$G$19*'Datos del Modelo'!$G$20)+('Datos del Modelo'!$G$9*(1+'Datos del Modelo'!$G$11)^(Resultados!$D15-'Datos del Modelo'!$G$8))*('Datos del Modelo'!$G$19*'Datos del Modelo'!$G$21)),('Datos del Modelo'!$G$9*(1+'Datos del Modelo'!$G$11)^(Resultados!$D15-'Datos del Modelo'!$G$8))*('Datos del Modelo'!$G$19*'Datos del Modelo'!$G$20))</f>
        <v>83888.492400000003</v>
      </c>
      <c r="H61" s="296">
        <f>IF('Datos del Modelo'!K$70=2,(('Datos del Modelo'!$G$9*(1+'Datos del Modelo'!$G$11)^(Resultados!$D15-'Datos del Modelo'!$G$8))*('Datos del Modelo'!$G$13*'Datos del Modelo'!$G$14)+('Datos del Modelo'!$G$9*(1+'Datos del Modelo'!$G$11)^(Resultados!$D15-'Datos del Modelo'!$G$8))*('Datos del Modelo'!$G$13*'Datos del Modelo'!$G$15)),('Datos del Modelo'!$G$9*(1+'Datos del Modelo'!$G$11)^(Resultados!$D15-'Datos del Modelo'!$G$8))*('Datos del Modelo'!$G$13*'Datos del Modelo'!$G$14))</f>
        <v>21648.643200000002</v>
      </c>
      <c r="I61" s="296">
        <f>IF('Datos del Modelo'!K$70=2,(('Datos del Modelo'!$G$9*(1+'Datos del Modelo'!$G$11)^(Resultados!$D15-'Datos del Modelo'!$G$8))*('Datos del Modelo'!$G$16*'Datos del Modelo'!$G$17)+('Datos del Modelo'!$G$9*(1+'Datos del Modelo'!$G$11)^(Resultados!$D15-'Datos del Modelo'!$G$8))*('Datos del Modelo'!$G$16*'Datos del Modelo'!$G$18)),('Datos del Modelo'!$G$9*(1+'Datos del Modelo'!$G$11)^(Resultados!$D15-'Datos del Modelo'!$G$8))*('Datos del Modelo'!$G$16*'Datos del Modelo'!$G$17))</f>
        <v>21648.643200000002</v>
      </c>
      <c r="J61" s="296">
        <f>IF('Datos del Modelo'!K$70=2,(('Datos del Modelo'!$G$9*(1+'Datos del Modelo'!$G$11)^(Resultados!$D15-'Datos del Modelo'!$G$8))*('Datos del Modelo'!$G$19*'Datos del Modelo'!$G$20)+('Datos del Modelo'!$G$9*(1+'Datos del Modelo'!$G$11)^(Resultados!$D15-'Datos del Modelo'!$G$8))*('Datos del Modelo'!$G$19*'Datos del Modelo'!$G$21)),('Datos del Modelo'!$G$9*(1+'Datos del Modelo'!$G$11)^(Resultados!$D15-'Datos del Modelo'!$G$8))*('Datos del Modelo'!$G$19*'Datos del Modelo'!$G$20))</f>
        <v>43297.286400000005</v>
      </c>
      <c r="K61" s="296">
        <f>IF('Datos del Modelo'!M$70=2,(('Datos del Modelo'!$G$9*(1+'Datos del Modelo'!$G$11)^(Resultados!$D15-'Datos del Modelo'!$G$8))*('Datos del Modelo'!$G$13*'Datos del Modelo'!$G$14)+('Datos del Modelo'!$G$9*(1+'Datos del Modelo'!$G$11)^(Resultados!$D15-'Datos del Modelo'!$G$8))*('Datos del Modelo'!$G$13*'Datos del Modelo'!$G$15)),('Datos del Modelo'!$G$9*(1+'Datos del Modelo'!$G$11)^(Resultados!$D15-'Datos del Modelo'!$G$8))*('Datos del Modelo'!$G$13*'Datos del Modelo'!$G$14))</f>
        <v>21648.643200000002</v>
      </c>
      <c r="L61" s="296">
        <f>IF('Datos del Modelo'!M$70=2,(('Datos del Modelo'!$G$9*(1+'Datos del Modelo'!$G$11)^(Resultados!$D15-'Datos del Modelo'!$G$8))*('Datos del Modelo'!$G$16*'Datos del Modelo'!$G$17)+('Datos del Modelo'!$G$9*(1+'Datos del Modelo'!$G$11)^(Resultados!$D15-'Datos del Modelo'!$G$8))*('Datos del Modelo'!$G$16*'Datos del Modelo'!$G$18)),('Datos del Modelo'!$G$9*(1+'Datos del Modelo'!$G$11)^(Resultados!$D15-'Datos del Modelo'!$G$8))*('Datos del Modelo'!$G$16*'Datos del Modelo'!$G$17))</f>
        <v>21648.643200000002</v>
      </c>
      <c r="M61" s="296">
        <f>IF('Datos del Modelo'!M$70=2,(('Datos del Modelo'!$G$9*(1+'Datos del Modelo'!$G$11)^(Resultados!$D15-'Datos del Modelo'!$G$8))*('Datos del Modelo'!$G$19*'Datos del Modelo'!$G$20)+('Datos del Modelo'!$G$9*(1+'Datos del Modelo'!$G$11)^(Resultados!$D15-'Datos del Modelo'!$G$8))*('Datos del Modelo'!$G$19*'Datos del Modelo'!$G$21)),('Datos del Modelo'!$G$9*(1+'Datos del Modelo'!$G$11)^(Resultados!$D15-'Datos del Modelo'!$G$8))*('Datos del Modelo'!$G$19*'Datos del Modelo'!$G$20))</f>
        <v>43297.286400000005</v>
      </c>
    </row>
    <row r="62" spans="1:13" x14ac:dyDescent="0.3">
      <c r="A62" s="307" t="s">
        <v>121</v>
      </c>
    </row>
    <row r="63" spans="1:13" x14ac:dyDescent="0.3">
      <c r="A63" s="307">
        <f>'Datos del Modelo'!$G$8</f>
        <v>2026</v>
      </c>
      <c r="B63">
        <f>IF('Datos del Modelo'!G$70=2,(('Datos del Modelo'!$G$10*'Datos del Modelo'!$G$23*'Datos del Modelo'!$G$24)+('Datos del Modelo'!$G$10*'Datos del Modelo'!$G$23*'Datos del Modelo'!$G$25)),('Datos del Modelo'!$G$10*'Datos del Modelo'!$G$23*'Datos del Modelo'!$G$24))</f>
        <v>324000</v>
      </c>
      <c r="C63">
        <f>IF('Datos del Modelo'!G$70=2,(('Datos del Modelo'!$G$10*'Datos del Modelo'!$G$26*'Datos del Modelo'!$G$27)+('Datos del Modelo'!$G$10*'Datos del Modelo'!$G$26*'Datos del Modelo'!$G$28)),('Datos del Modelo'!$G$10*'Datos del Modelo'!$G$26*'Datos del Modelo'!$G$27))</f>
        <v>36000</v>
      </c>
      <c r="D63">
        <f>IF('Datos del Modelo'!G$70=2,(('Datos del Modelo'!$G$10*'Datos del Modelo'!$G$29*'Datos del Modelo'!$G$30)+('Datos del Modelo'!$G$10*'Datos del Modelo'!$G$29*'Datos del Modelo'!$G$31)),('Datos del Modelo'!$G$10*'Datos del Modelo'!$G$29*'Datos del Modelo'!$G$30))</f>
        <v>0</v>
      </c>
      <c r="E63">
        <f>IF('Datos del Modelo'!I$70=2,(('Datos del Modelo'!$G$10*'Datos del Modelo'!$G$23*'Datos del Modelo'!$G$24)+('Datos del Modelo'!$G$10*'Datos del Modelo'!$G$23*'Datos del Modelo'!$G$25)),('Datos del Modelo'!$G$10*'Datos del Modelo'!$G$23*'Datos del Modelo'!$G$24))</f>
        <v>612000</v>
      </c>
      <c r="F63">
        <f>IF('Datos del Modelo'!I$70=2,(('Datos del Modelo'!$G$10*'Datos del Modelo'!$G$26*'Datos del Modelo'!$G$27)+('Datos del Modelo'!$G$10*'Datos del Modelo'!$G$26*'Datos del Modelo'!$G$28)),('Datos del Modelo'!$G$10*'Datos del Modelo'!$G$26*'Datos del Modelo'!$G$27))</f>
        <v>68000</v>
      </c>
      <c r="G63">
        <f>IF('Datos del Modelo'!I$70=2,(('Datos del Modelo'!$G$10*'Datos del Modelo'!$G$29*'Datos del Modelo'!$G$30)+('Datos del Modelo'!$G$10*'Datos del Modelo'!$G$29*'Datos del Modelo'!$G$31)),('Datos del Modelo'!$G$10*'Datos del Modelo'!$G$29*'Datos del Modelo'!$G$30))</f>
        <v>0</v>
      </c>
      <c r="H63">
        <f>IF('Datos del Modelo'!K$70=2,(('Datos del Modelo'!$G$10*'Datos del Modelo'!$G$23*'Datos del Modelo'!$G$24)+('Datos del Modelo'!$G$10*'Datos del Modelo'!$G$23*'Datos del Modelo'!$G$25)),('Datos del Modelo'!$G$10*'Datos del Modelo'!$G$23*'Datos del Modelo'!$G$24))</f>
        <v>324000</v>
      </c>
      <c r="I63">
        <f>IF('Datos del Modelo'!K$70=2,(('Datos del Modelo'!$G$10*'Datos del Modelo'!$G$26*'Datos del Modelo'!$G$27)+('Datos del Modelo'!$G$10*'Datos del Modelo'!$G$26*'Datos del Modelo'!$G$28)),('Datos del Modelo'!$G$10*'Datos del Modelo'!$G$26*'Datos del Modelo'!$G$27))</f>
        <v>36000</v>
      </c>
      <c r="J63">
        <f>IF('Datos del Modelo'!K$70=2,(('Datos del Modelo'!$G$10*'Datos del Modelo'!$G$29*'Datos del Modelo'!$G$30)+('Datos del Modelo'!$G$10*'Datos del Modelo'!$G$29*'Datos del Modelo'!$G$31)),('Datos del Modelo'!$G$10*'Datos del Modelo'!$G$29*'Datos del Modelo'!$G$30))</f>
        <v>0</v>
      </c>
      <c r="K63">
        <f>IF('Datos del Modelo'!M$70=2,(('Datos del Modelo'!$G$10*'Datos del Modelo'!$G$23*'Datos del Modelo'!$G$24)+('Datos del Modelo'!$G$10*'Datos del Modelo'!$G$23*'Datos del Modelo'!$G$25)),('Datos del Modelo'!$G$10*'Datos del Modelo'!$G$23*'Datos del Modelo'!$G$24))</f>
        <v>324000</v>
      </c>
      <c r="L63">
        <f>IF('Datos del Modelo'!M$70=2,(('Datos del Modelo'!$G$10*'Datos del Modelo'!$G$26*'Datos del Modelo'!$G$27)+('Datos del Modelo'!$G$10*'Datos del Modelo'!$G$26*'Datos del Modelo'!$G$28)),('Datos del Modelo'!$G$10*'Datos del Modelo'!$G$26*'Datos del Modelo'!$G$27))</f>
        <v>36000</v>
      </c>
      <c r="M63">
        <f>IF('Datos del Modelo'!M$70=2,(('Datos del Modelo'!$G$10*'Datos del Modelo'!$G$29*'Datos del Modelo'!$G$30)+('Datos del Modelo'!$G$10*'Datos del Modelo'!$G$29*'Datos del Modelo'!$G$31)),('Datos del Modelo'!$G$10*'Datos del Modelo'!$G$29*'Datos del Modelo'!$G$30))</f>
        <v>0</v>
      </c>
    </row>
  </sheetData>
  <sheetProtection algorithmName="SHA-512" hashValue="q7zMghf4SKtvdDAqYzxh5ut/FD3lE/48MRuaCZYRKMlKmA3QCEA9qF9fzxF9t6E8/P0dP82PhCR/C68rrCcCmA==" saltValue="xnspJK4InPycuwKUIJHfiA==" spinCount="100000" sheet="1" objects="1" scenarios="1"/>
  <phoneticPr fontId="85" type="noConversion"/>
  <pageMargins left="0.7" right="0.7" top="0.75" bottom="0.75" header="0.3" footer="0.3"/>
  <pageSetup paperSize="9" orientation="portrait" r:id="rId1"/>
  <headerFooter>
    <oddHeader>&amp;L&amp;&amp;«Calibri»&amp;10&amp;K000000Clasificado como interno&amp;K000000&amp;1#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70"/>
  <sheetViews>
    <sheetView workbookViewId="0">
      <selection activeCell="M14" sqref="M14"/>
    </sheetView>
  </sheetViews>
  <sheetFormatPr defaultColWidth="8.6640625" defaultRowHeight="14.4" x14ac:dyDescent="0.3"/>
  <cols>
    <col min="1" max="1" width="59.44140625" customWidth="1"/>
    <col min="2" max="3" width="8.6640625" style="1"/>
  </cols>
  <sheetData>
    <row r="1" spans="1:3" ht="28.8" x14ac:dyDescent="0.3">
      <c r="A1" s="7" t="str">
        <f>'Opciones de vacunas'!$A$3</f>
        <v>CECOLIN
bivalente, 1 dosis/frasco, líquido</v>
      </c>
      <c r="B1" s="1">
        <v>2025</v>
      </c>
      <c r="C1" s="366">
        <v>2.9</v>
      </c>
    </row>
    <row r="2" spans="1:3" ht="28.8" x14ac:dyDescent="0.3">
      <c r="A2" s="7" t="str">
        <f>'Opciones de vacunas'!$A$3</f>
        <v>CECOLIN
bivalente, 1 dosis/frasco, líquido</v>
      </c>
      <c r="B2" s="1">
        <v>2026</v>
      </c>
      <c r="C2" s="366">
        <v>2.9</v>
      </c>
    </row>
    <row r="3" spans="1:3" ht="28.8" x14ac:dyDescent="0.3">
      <c r="A3" s="7" t="str">
        <f>'Opciones de vacunas'!$A$3</f>
        <v>CECOLIN
bivalente, 1 dosis/frasco, líquido</v>
      </c>
      <c r="B3" s="1">
        <v>2027</v>
      </c>
      <c r="C3" s="366">
        <v>2.9</v>
      </c>
    </row>
    <row r="4" spans="1:3" ht="28.8" x14ac:dyDescent="0.3">
      <c r="A4" s="7" t="str">
        <f>'Opciones de vacunas'!$A$3</f>
        <v>CECOLIN
bivalente, 1 dosis/frasco, líquido</v>
      </c>
      <c r="B4" s="1">
        <v>2028</v>
      </c>
      <c r="C4" s="366">
        <v>2.9</v>
      </c>
    </row>
    <row r="5" spans="1:3" ht="28.8" x14ac:dyDescent="0.3">
      <c r="A5" s="7" t="str">
        <f>'Opciones de vacunas'!$A$3</f>
        <v>CECOLIN
bivalente, 1 dosis/frasco, líquido</v>
      </c>
      <c r="B5" s="1">
        <v>2029</v>
      </c>
      <c r="C5" s="366">
        <v>2.9</v>
      </c>
    </row>
    <row r="6" spans="1:3" ht="28.8" x14ac:dyDescent="0.3">
      <c r="A6" s="7" t="str">
        <f>'Opciones de vacunas'!$A$3</f>
        <v>CECOLIN
bivalente, 1 dosis/frasco, líquido</v>
      </c>
      <c r="B6" s="1">
        <v>2030</v>
      </c>
      <c r="C6" s="366">
        <v>2.9</v>
      </c>
    </row>
    <row r="7" spans="1:3" ht="28.8" x14ac:dyDescent="0.3">
      <c r="A7" s="7" t="str">
        <f>'Opciones de vacunas'!$A$3</f>
        <v>CECOLIN
bivalente, 1 dosis/frasco, líquido</v>
      </c>
      <c r="B7" s="1">
        <v>2031</v>
      </c>
      <c r="C7" s="366">
        <v>2.9</v>
      </c>
    </row>
    <row r="8" spans="1:3" ht="28.8" x14ac:dyDescent="0.3">
      <c r="A8" s="7" t="str">
        <f>'Opciones de vacunas'!$A$3</f>
        <v>CECOLIN
bivalente, 1 dosis/frasco, líquido</v>
      </c>
      <c r="B8" s="1">
        <v>2032</v>
      </c>
      <c r="C8" s="366">
        <v>2.9</v>
      </c>
    </row>
    <row r="9" spans="1:3" ht="28.8" x14ac:dyDescent="0.3">
      <c r="A9" s="7" t="str">
        <f>'Opciones de vacunas'!$A$3</f>
        <v>CECOLIN
bivalente, 1 dosis/frasco, líquido</v>
      </c>
      <c r="B9" s="1">
        <v>2033</v>
      </c>
      <c r="C9" s="366">
        <v>2.9</v>
      </c>
    </row>
    <row r="10" spans="1:3" ht="28.8" x14ac:dyDescent="0.3">
      <c r="A10" s="7" t="str">
        <f>'Opciones de vacunas'!$A$3</f>
        <v>CECOLIN
bivalente, 1 dosis/frasco, líquido</v>
      </c>
      <c r="B10" s="1">
        <v>2034</v>
      </c>
      <c r="C10" s="366">
        <v>2.9</v>
      </c>
    </row>
    <row r="11" spans="1:3" ht="28.8" x14ac:dyDescent="0.3">
      <c r="A11" s="7" t="str">
        <f>'Opciones de vacunas'!$A$3</f>
        <v>CECOLIN
bivalente, 1 dosis/frasco, líquido</v>
      </c>
      <c r="B11" s="1">
        <v>2035</v>
      </c>
      <c r="C11" s="366">
        <v>2.9</v>
      </c>
    </row>
    <row r="12" spans="1:3" ht="28.8" x14ac:dyDescent="0.3">
      <c r="A12" s="7" t="str">
        <f>'Opciones de vacunas'!$A$3</f>
        <v>CECOLIN
bivalente, 1 dosis/frasco, líquido</v>
      </c>
      <c r="B12" s="1">
        <v>2036</v>
      </c>
      <c r="C12" s="366">
        <v>2.9</v>
      </c>
    </row>
    <row r="13" spans="1:3" ht="28.8" x14ac:dyDescent="0.3">
      <c r="A13" s="7" t="str">
        <f>'Opciones de vacunas'!$A$3</f>
        <v>CECOLIN
bivalente, 1 dosis/frasco, líquido</v>
      </c>
      <c r="B13" s="1">
        <v>2037</v>
      </c>
      <c r="C13" s="366">
        <v>2.9</v>
      </c>
    </row>
    <row r="14" spans="1:3" ht="28.8" x14ac:dyDescent="0.3">
      <c r="A14" s="7" t="str">
        <f>'Opciones de vacunas'!$A$3</f>
        <v>CECOLIN
bivalente, 1 dosis/frasco, líquido</v>
      </c>
      <c r="B14" s="1">
        <v>2038</v>
      </c>
      <c r="C14" s="366">
        <v>2.9</v>
      </c>
    </row>
    <row r="15" spans="1:3" ht="28.8" x14ac:dyDescent="0.3">
      <c r="A15" s="7" t="str">
        <f>'Opciones de vacunas'!$A$4</f>
        <v>WALRINVAX 
bivalente, 1 dosis/frasco, líquido</v>
      </c>
      <c r="B15" s="1">
        <v>2025</v>
      </c>
      <c r="C15" s="366">
        <v>2.8</v>
      </c>
    </row>
    <row r="16" spans="1:3" ht="28.8" x14ac:dyDescent="0.3">
      <c r="A16" s="7" t="str">
        <f>'Opciones de vacunas'!$A$4</f>
        <v>WALRINVAX 
bivalente, 1 dosis/frasco, líquido</v>
      </c>
      <c r="B16" s="1">
        <v>2026</v>
      </c>
      <c r="C16" s="366">
        <v>2.8</v>
      </c>
    </row>
    <row r="17" spans="1:3" ht="28.8" x14ac:dyDescent="0.3">
      <c r="A17" s="7" t="str">
        <f>'Opciones de vacunas'!$A$4</f>
        <v>WALRINVAX 
bivalente, 1 dosis/frasco, líquido</v>
      </c>
      <c r="B17" s="1">
        <v>2027</v>
      </c>
      <c r="C17" s="366">
        <v>2.8</v>
      </c>
    </row>
    <row r="18" spans="1:3" ht="28.8" x14ac:dyDescent="0.3">
      <c r="A18" s="7" t="str">
        <f>'Opciones de vacunas'!$A$4</f>
        <v>WALRINVAX 
bivalente, 1 dosis/frasco, líquido</v>
      </c>
      <c r="B18" s="1">
        <v>2028</v>
      </c>
      <c r="C18" s="366">
        <v>2.8</v>
      </c>
    </row>
    <row r="19" spans="1:3" ht="28.8" x14ac:dyDescent="0.3">
      <c r="A19" s="7" t="str">
        <f>'Opciones de vacunas'!$A$4</f>
        <v>WALRINVAX 
bivalente, 1 dosis/frasco, líquido</v>
      </c>
      <c r="B19" s="1">
        <v>2029</v>
      </c>
      <c r="C19" s="366">
        <v>2.8</v>
      </c>
    </row>
    <row r="20" spans="1:3" ht="28.8" x14ac:dyDescent="0.3">
      <c r="A20" s="7" t="str">
        <f>'Opciones de vacunas'!$A$4</f>
        <v>WALRINVAX 
bivalente, 1 dosis/frasco, líquido</v>
      </c>
      <c r="B20" s="1">
        <v>2030</v>
      </c>
      <c r="C20" s="366">
        <v>2.8</v>
      </c>
    </row>
    <row r="21" spans="1:3" ht="28.8" x14ac:dyDescent="0.3">
      <c r="A21" s="7" t="str">
        <f>'Opciones de vacunas'!$A$4</f>
        <v>WALRINVAX 
bivalente, 1 dosis/frasco, líquido</v>
      </c>
      <c r="B21" s="1">
        <v>2031</v>
      </c>
      <c r="C21" s="366">
        <v>2.8</v>
      </c>
    </row>
    <row r="22" spans="1:3" ht="28.8" x14ac:dyDescent="0.3">
      <c r="A22" s="7" t="str">
        <f>'Opciones de vacunas'!$A$4</f>
        <v>WALRINVAX 
bivalente, 1 dosis/frasco, líquido</v>
      </c>
      <c r="B22" s="1">
        <v>2032</v>
      </c>
      <c r="C22" s="366">
        <v>2.8</v>
      </c>
    </row>
    <row r="23" spans="1:3" ht="28.8" x14ac:dyDescent="0.3">
      <c r="A23" s="7" t="str">
        <f>'Opciones de vacunas'!$A$4</f>
        <v>WALRINVAX 
bivalente, 1 dosis/frasco, líquido</v>
      </c>
      <c r="B23" s="1">
        <v>2033</v>
      </c>
      <c r="C23" s="366">
        <v>2.8</v>
      </c>
    </row>
    <row r="24" spans="1:3" ht="28.8" x14ac:dyDescent="0.3">
      <c r="A24" s="7" t="str">
        <f>'Opciones de vacunas'!$A$4</f>
        <v>WALRINVAX 
bivalente, 1 dosis/frasco, líquido</v>
      </c>
      <c r="B24" s="1">
        <v>2034</v>
      </c>
      <c r="C24" s="366">
        <v>2.8</v>
      </c>
    </row>
    <row r="25" spans="1:3" ht="28.8" x14ac:dyDescent="0.3">
      <c r="A25" s="7" t="str">
        <f>'Opciones de vacunas'!$A$4</f>
        <v>WALRINVAX 
bivalente, 1 dosis/frasco, líquido</v>
      </c>
      <c r="B25" s="1">
        <v>2035</v>
      </c>
      <c r="C25" s="366">
        <v>2.8</v>
      </c>
    </row>
    <row r="26" spans="1:3" ht="28.8" x14ac:dyDescent="0.3">
      <c r="A26" s="7" t="str">
        <f>'Opciones de vacunas'!$A$4</f>
        <v>WALRINVAX 
bivalente, 1 dosis/frasco, líquido</v>
      </c>
      <c r="B26" s="1">
        <v>2036</v>
      </c>
      <c r="C26" s="366">
        <v>2.8</v>
      </c>
    </row>
    <row r="27" spans="1:3" ht="28.8" x14ac:dyDescent="0.3">
      <c r="A27" s="7" t="str">
        <f>'Opciones de vacunas'!$A$4</f>
        <v>WALRINVAX 
bivalente, 1 dosis/frasco, líquido</v>
      </c>
      <c r="B27" s="1">
        <v>2037</v>
      </c>
      <c r="C27" s="366">
        <v>2.8</v>
      </c>
    </row>
    <row r="28" spans="1:3" ht="28.8" x14ac:dyDescent="0.3">
      <c r="A28" s="7" t="str">
        <f>'Opciones de vacunas'!$A$4</f>
        <v>WALRINVAX 
bivalente, 1 dosis/frasco, líquido</v>
      </c>
      <c r="B28" s="1">
        <v>2038</v>
      </c>
      <c r="C28" s="366">
        <v>2.8</v>
      </c>
    </row>
    <row r="29" spans="1:3" ht="28.8" x14ac:dyDescent="0.3">
      <c r="A29" s="7" t="str">
        <f>'Opciones de vacunas'!$A$5</f>
        <v>CERVARIX
bivalente, 2 dosis/frasco, líquido</v>
      </c>
      <c r="B29" s="1">
        <v>2025</v>
      </c>
      <c r="C29" s="366">
        <v>5.18</v>
      </c>
    </row>
    <row r="30" spans="1:3" ht="28.8" x14ac:dyDescent="0.3">
      <c r="A30" s="7" t="str">
        <f>'Opciones de vacunas'!$A$5</f>
        <v>CERVARIX
bivalente, 2 dosis/frasco, líquido</v>
      </c>
      <c r="B30" s="1">
        <v>2026</v>
      </c>
      <c r="C30" s="366">
        <v>5.18</v>
      </c>
    </row>
    <row r="31" spans="1:3" ht="28.8" x14ac:dyDescent="0.3">
      <c r="A31" s="7" t="str">
        <f>'Opciones de vacunas'!$A$5</f>
        <v>CERVARIX
bivalente, 2 dosis/frasco, líquido</v>
      </c>
      <c r="B31" s="1">
        <v>2027</v>
      </c>
      <c r="C31" s="366">
        <v>5.18</v>
      </c>
    </row>
    <row r="32" spans="1:3" ht="28.8" x14ac:dyDescent="0.3">
      <c r="A32" s="7" t="str">
        <f>'Opciones de vacunas'!$A$5</f>
        <v>CERVARIX
bivalente, 2 dosis/frasco, líquido</v>
      </c>
      <c r="B32" s="1">
        <v>2028</v>
      </c>
      <c r="C32" s="366">
        <v>5.18</v>
      </c>
    </row>
    <row r="33" spans="1:3" ht="28.8" x14ac:dyDescent="0.3">
      <c r="A33" s="7" t="str">
        <f>'Opciones de vacunas'!$A$5</f>
        <v>CERVARIX
bivalente, 2 dosis/frasco, líquido</v>
      </c>
      <c r="B33" s="1">
        <v>2029</v>
      </c>
      <c r="C33" s="366">
        <v>5.18</v>
      </c>
    </row>
    <row r="34" spans="1:3" ht="28.8" x14ac:dyDescent="0.3">
      <c r="A34" s="7" t="str">
        <f>'Opciones de vacunas'!$A$5</f>
        <v>CERVARIX
bivalente, 2 dosis/frasco, líquido</v>
      </c>
      <c r="B34" s="1">
        <v>2030</v>
      </c>
      <c r="C34" s="366">
        <v>5.18</v>
      </c>
    </row>
    <row r="35" spans="1:3" ht="28.8" x14ac:dyDescent="0.3">
      <c r="A35" s="7" t="str">
        <f>'Opciones de vacunas'!$A$5</f>
        <v>CERVARIX
bivalente, 2 dosis/frasco, líquido</v>
      </c>
      <c r="B35" s="1">
        <v>2031</v>
      </c>
      <c r="C35" s="366">
        <v>5.18</v>
      </c>
    </row>
    <row r="36" spans="1:3" ht="28.8" x14ac:dyDescent="0.3">
      <c r="A36" s="7" t="str">
        <f>'Opciones de vacunas'!$A$5</f>
        <v>CERVARIX
bivalente, 2 dosis/frasco, líquido</v>
      </c>
      <c r="B36" s="1">
        <v>2032</v>
      </c>
      <c r="C36" s="366">
        <v>5.18</v>
      </c>
    </row>
    <row r="37" spans="1:3" ht="28.8" x14ac:dyDescent="0.3">
      <c r="A37" s="7" t="str">
        <f>'Opciones de vacunas'!$A$5</f>
        <v>CERVARIX
bivalente, 2 dosis/frasco, líquido</v>
      </c>
      <c r="B37" s="1">
        <v>2033</v>
      </c>
      <c r="C37" s="366">
        <v>5.18</v>
      </c>
    </row>
    <row r="38" spans="1:3" ht="28.8" x14ac:dyDescent="0.3">
      <c r="A38" s="7" t="str">
        <f>'Opciones de vacunas'!$A$5</f>
        <v>CERVARIX
bivalente, 2 dosis/frasco, líquido</v>
      </c>
      <c r="B38" s="1">
        <v>2034</v>
      </c>
      <c r="C38" s="366">
        <v>5.18</v>
      </c>
    </row>
    <row r="39" spans="1:3" ht="28.8" x14ac:dyDescent="0.3">
      <c r="A39" s="7" t="str">
        <f>'Opciones de vacunas'!$A$5</f>
        <v>CERVARIX
bivalente, 2 dosis/frasco, líquido</v>
      </c>
      <c r="B39" s="1">
        <v>2035</v>
      </c>
      <c r="C39" s="366">
        <v>5.18</v>
      </c>
    </row>
    <row r="40" spans="1:3" ht="28.8" x14ac:dyDescent="0.3">
      <c r="A40" s="7" t="str">
        <f>'Opciones de vacunas'!$A$5</f>
        <v>CERVARIX
bivalente, 2 dosis/frasco, líquido</v>
      </c>
      <c r="B40" s="1">
        <v>2036</v>
      </c>
      <c r="C40" s="366">
        <v>5.18</v>
      </c>
    </row>
    <row r="41" spans="1:3" ht="28.8" x14ac:dyDescent="0.3">
      <c r="A41" s="7" t="str">
        <f>'Opciones de vacunas'!$A$5</f>
        <v>CERVARIX
bivalente, 2 dosis/frasco, líquido</v>
      </c>
      <c r="B41" s="1">
        <v>2037</v>
      </c>
      <c r="C41" s="366">
        <v>5.18</v>
      </c>
    </row>
    <row r="42" spans="1:3" ht="28.8" x14ac:dyDescent="0.3">
      <c r="A42" s="7" t="str">
        <f>'Opciones de vacunas'!$A$5</f>
        <v>CERVARIX
bivalente, 2 dosis/frasco, líquido</v>
      </c>
      <c r="B42" s="1">
        <v>2038</v>
      </c>
      <c r="C42" s="366">
        <v>5.18</v>
      </c>
    </row>
    <row r="43" spans="1:3" ht="28.8" x14ac:dyDescent="0.3">
      <c r="A43" s="7" t="str">
        <f>'Opciones de vacunas'!$A$6</f>
        <v>GARDASIL4
tetravalente, 1 dosis/frasco, líquido</v>
      </c>
      <c r="B43" s="1">
        <v>2025</v>
      </c>
      <c r="C43" s="366">
        <v>4.5</v>
      </c>
    </row>
    <row r="44" spans="1:3" ht="28.8" x14ac:dyDescent="0.3">
      <c r="A44" s="7" t="str">
        <f>'Opciones de vacunas'!$A$6</f>
        <v>GARDASIL4
tetravalente, 1 dosis/frasco, líquido</v>
      </c>
      <c r="B44" s="1">
        <v>2026</v>
      </c>
      <c r="C44" s="366">
        <v>4.5</v>
      </c>
    </row>
    <row r="45" spans="1:3" ht="28.8" x14ac:dyDescent="0.3">
      <c r="A45" s="7" t="str">
        <f>'Opciones de vacunas'!$A$6</f>
        <v>GARDASIL4
tetravalente, 1 dosis/frasco, líquido</v>
      </c>
      <c r="B45" s="1">
        <v>2027</v>
      </c>
      <c r="C45" s="366">
        <v>4.5</v>
      </c>
    </row>
    <row r="46" spans="1:3" ht="28.8" x14ac:dyDescent="0.3">
      <c r="A46" s="7" t="str">
        <f>'Opciones de vacunas'!$A$6</f>
        <v>GARDASIL4
tetravalente, 1 dosis/frasco, líquido</v>
      </c>
      <c r="B46" s="1">
        <v>2028</v>
      </c>
      <c r="C46" s="366">
        <v>4.5</v>
      </c>
    </row>
    <row r="47" spans="1:3" ht="28.8" x14ac:dyDescent="0.3">
      <c r="A47" s="7" t="str">
        <f>'Opciones de vacunas'!$A$6</f>
        <v>GARDASIL4
tetravalente, 1 dosis/frasco, líquido</v>
      </c>
      <c r="B47" s="1">
        <v>2029</v>
      </c>
      <c r="C47" s="366">
        <v>4.5</v>
      </c>
    </row>
    <row r="48" spans="1:3" ht="28.8" x14ac:dyDescent="0.3">
      <c r="A48" s="7" t="str">
        <f>'Opciones de vacunas'!$A$6</f>
        <v>GARDASIL4
tetravalente, 1 dosis/frasco, líquido</v>
      </c>
      <c r="B48" s="1">
        <v>2030</v>
      </c>
      <c r="C48" s="366">
        <v>4.5</v>
      </c>
    </row>
    <row r="49" spans="1:3" ht="28.8" x14ac:dyDescent="0.3">
      <c r="A49" s="7" t="str">
        <f>'Opciones de vacunas'!$A$6</f>
        <v>GARDASIL4
tetravalente, 1 dosis/frasco, líquido</v>
      </c>
      <c r="B49" s="1">
        <v>2031</v>
      </c>
      <c r="C49" s="366">
        <v>4.5</v>
      </c>
    </row>
    <row r="50" spans="1:3" ht="28.8" x14ac:dyDescent="0.3">
      <c r="A50" s="7" t="str">
        <f>'Opciones de vacunas'!$A$6</f>
        <v>GARDASIL4
tetravalente, 1 dosis/frasco, líquido</v>
      </c>
      <c r="B50" s="1">
        <v>2032</v>
      </c>
      <c r="C50" s="366">
        <v>4.5</v>
      </c>
    </row>
    <row r="51" spans="1:3" ht="28.8" x14ac:dyDescent="0.3">
      <c r="A51" s="7" t="str">
        <f>'Opciones de vacunas'!$A$6</f>
        <v>GARDASIL4
tetravalente, 1 dosis/frasco, líquido</v>
      </c>
      <c r="B51" s="1">
        <v>2033</v>
      </c>
      <c r="C51" s="366">
        <v>4.5</v>
      </c>
    </row>
    <row r="52" spans="1:3" ht="28.8" x14ac:dyDescent="0.3">
      <c r="A52" s="7" t="str">
        <f>'Opciones de vacunas'!$A$6</f>
        <v>GARDASIL4
tetravalente, 1 dosis/frasco, líquido</v>
      </c>
      <c r="B52" s="1">
        <v>2034</v>
      </c>
      <c r="C52" s="366">
        <v>4.5</v>
      </c>
    </row>
    <row r="53" spans="1:3" ht="28.8" x14ac:dyDescent="0.3">
      <c r="A53" s="7" t="str">
        <f>'Opciones de vacunas'!$A$6</f>
        <v>GARDASIL4
tetravalente, 1 dosis/frasco, líquido</v>
      </c>
      <c r="B53" s="1">
        <v>2035</v>
      </c>
      <c r="C53" s="366">
        <v>4.5</v>
      </c>
    </row>
    <row r="54" spans="1:3" ht="28.8" x14ac:dyDescent="0.3">
      <c r="A54" s="7" t="str">
        <f>'Opciones de vacunas'!$A$6</f>
        <v>GARDASIL4
tetravalente, 1 dosis/frasco, líquido</v>
      </c>
      <c r="B54" s="1">
        <v>2036</v>
      </c>
      <c r="C54" s="366">
        <v>4.5</v>
      </c>
    </row>
    <row r="55" spans="1:3" ht="28.8" x14ac:dyDescent="0.3">
      <c r="A55" s="7" t="str">
        <f>'Opciones de vacunas'!$A$6</f>
        <v>GARDASIL4
tetravalente, 1 dosis/frasco, líquido</v>
      </c>
      <c r="B55" s="1">
        <v>2037</v>
      </c>
      <c r="C55" s="366">
        <v>4.5</v>
      </c>
    </row>
    <row r="56" spans="1:3" ht="28.8" x14ac:dyDescent="0.3">
      <c r="A56" s="7" t="str">
        <f>'Opciones de vacunas'!$A$6</f>
        <v>GARDASIL4
tetravalente, 1 dosis/frasco, líquido</v>
      </c>
      <c r="B56" s="1">
        <v>2038</v>
      </c>
      <c r="C56" s="366">
        <v>4.5</v>
      </c>
    </row>
    <row r="57" spans="1:3" x14ac:dyDescent="0.3">
      <c r="A57" s="7" t="str">
        <f>'Opciones de vacunas'!$A$7</f>
        <v>Marcador de posición para una nueva vacuna</v>
      </c>
      <c r="B57" s="1">
        <v>2025</v>
      </c>
      <c r="C57" s="366">
        <v>2.75</v>
      </c>
    </row>
    <row r="58" spans="1:3" x14ac:dyDescent="0.3">
      <c r="A58" s="7" t="str">
        <f>'Opciones de vacunas'!$A$7</f>
        <v>Marcador de posición para una nueva vacuna</v>
      </c>
      <c r="B58" s="1">
        <v>2026</v>
      </c>
      <c r="C58" s="366">
        <v>2.75</v>
      </c>
    </row>
    <row r="59" spans="1:3" x14ac:dyDescent="0.3">
      <c r="A59" s="7" t="str">
        <f>'Opciones de vacunas'!$A$7</f>
        <v>Marcador de posición para una nueva vacuna</v>
      </c>
      <c r="B59" s="1">
        <v>2027</v>
      </c>
      <c r="C59" s="366">
        <v>2.75</v>
      </c>
    </row>
    <row r="60" spans="1:3" x14ac:dyDescent="0.3">
      <c r="A60" s="7" t="str">
        <f>'Opciones de vacunas'!$A$7</f>
        <v>Marcador de posición para una nueva vacuna</v>
      </c>
      <c r="B60" s="1">
        <v>2028</v>
      </c>
      <c r="C60" s="366">
        <v>2.75</v>
      </c>
    </row>
    <row r="61" spans="1:3" x14ac:dyDescent="0.3">
      <c r="A61" s="7" t="str">
        <f>'Opciones de vacunas'!$A$7</f>
        <v>Marcador de posición para una nueva vacuna</v>
      </c>
      <c r="B61" s="1">
        <v>2029</v>
      </c>
      <c r="C61" s="366">
        <v>2.75</v>
      </c>
    </row>
    <row r="62" spans="1:3" x14ac:dyDescent="0.3">
      <c r="A62" s="7" t="str">
        <f>'Opciones de vacunas'!$A$7</f>
        <v>Marcador de posición para una nueva vacuna</v>
      </c>
      <c r="B62" s="1">
        <v>2030</v>
      </c>
      <c r="C62" s="366">
        <v>2.75</v>
      </c>
    </row>
    <row r="63" spans="1:3" x14ac:dyDescent="0.3">
      <c r="A63" s="7" t="str">
        <f>'Opciones de vacunas'!$A$7</f>
        <v>Marcador de posición para una nueva vacuna</v>
      </c>
      <c r="B63" s="1">
        <v>2031</v>
      </c>
      <c r="C63" s="366">
        <v>2.75</v>
      </c>
    </row>
    <row r="64" spans="1:3" x14ac:dyDescent="0.3">
      <c r="A64" s="7" t="str">
        <f>'Opciones de vacunas'!$A$7</f>
        <v>Marcador de posición para una nueva vacuna</v>
      </c>
      <c r="B64" s="1">
        <v>2032</v>
      </c>
      <c r="C64" s="366">
        <v>2.75</v>
      </c>
    </row>
    <row r="65" spans="1:3" x14ac:dyDescent="0.3">
      <c r="A65" s="7" t="str">
        <f>'Opciones de vacunas'!$A$7</f>
        <v>Marcador de posición para una nueva vacuna</v>
      </c>
      <c r="B65" s="1">
        <v>2033</v>
      </c>
      <c r="C65" s="366">
        <v>2.75</v>
      </c>
    </row>
    <row r="66" spans="1:3" x14ac:dyDescent="0.3">
      <c r="A66" s="7" t="str">
        <f>'Opciones de vacunas'!$A$7</f>
        <v>Marcador de posición para una nueva vacuna</v>
      </c>
      <c r="B66" s="1">
        <v>2034</v>
      </c>
      <c r="C66" s="366">
        <v>2.75</v>
      </c>
    </row>
    <row r="67" spans="1:3" x14ac:dyDescent="0.3">
      <c r="A67" s="7" t="str">
        <f>'Opciones de vacunas'!$A$7</f>
        <v>Marcador de posición para una nueva vacuna</v>
      </c>
      <c r="B67" s="1">
        <v>2035</v>
      </c>
      <c r="C67" s="366">
        <v>2.75</v>
      </c>
    </row>
    <row r="68" spans="1:3" x14ac:dyDescent="0.3">
      <c r="A68" s="7" t="str">
        <f>'Opciones de vacunas'!$A$7</f>
        <v>Marcador de posición para una nueva vacuna</v>
      </c>
      <c r="B68" s="1">
        <v>2036</v>
      </c>
      <c r="C68" s="366">
        <v>2.75</v>
      </c>
    </row>
    <row r="69" spans="1:3" x14ac:dyDescent="0.3">
      <c r="A69" s="7" t="str">
        <f>'Opciones de vacunas'!$A$7</f>
        <v>Marcador de posición para una nueva vacuna</v>
      </c>
      <c r="B69" s="1">
        <v>2037</v>
      </c>
      <c r="C69" s="366">
        <v>2.75</v>
      </c>
    </row>
    <row r="70" spans="1:3" x14ac:dyDescent="0.3">
      <c r="A70" s="7" t="str">
        <f>'Opciones de vacunas'!$A$7</f>
        <v>Marcador de posición para una nueva vacuna</v>
      </c>
      <c r="B70" s="1">
        <v>2038</v>
      </c>
      <c r="C70" s="366">
        <v>2.75</v>
      </c>
    </row>
  </sheetData>
  <sheetProtection algorithmName="SHA-512" hashValue="/aD0Cla80iIEEfrlDltnm2kiNWw38cPyAygugLSLy3PGKywxq+BvHcPT2MngaHQK1P4JBlmtxMheuGhADPGb7g==" saltValue="Oi3lgX6ltCC7A1gmo7NVWw==" spinCount="100000" sheet="1" objects="1" scenarios="1"/>
  <pageMargins left="0.7" right="0.7" top="0.75" bottom="0.75" header="0.3" footer="0.3"/>
  <pageSetup orientation="portrait" r:id="rId1"/>
  <headerFooter>
    <oddHeader>&amp;L&amp;&amp;«Calibri»&amp;10&amp;K000000Clasificado como interno&amp;K000000&amp;1#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C2"/>
  <sheetViews>
    <sheetView workbookViewId="0">
      <selection activeCell="M14" sqref="M14"/>
    </sheetView>
  </sheetViews>
  <sheetFormatPr defaultColWidth="8.6640625" defaultRowHeight="14.4" x14ac:dyDescent="0.3"/>
  <sheetData>
    <row r="1" spans="1:3" x14ac:dyDescent="0.3">
      <c r="A1" t="s">
        <v>122</v>
      </c>
      <c r="B1" t="s">
        <v>123</v>
      </c>
      <c r="C1" t="s">
        <v>124</v>
      </c>
    </row>
    <row r="2" spans="1:3" x14ac:dyDescent="0.3">
      <c r="B2"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9E5AC5-64B2-4B7B-9D75-A7C00E9C1AC0}">
  <ds:schemaRefs>
    <ds:schemaRef ds:uri="http://schemas.microsoft.com/sharepoint/v3/contenttype/forms"/>
  </ds:schemaRefs>
</ds:datastoreItem>
</file>

<file path=customXml/itemProps2.xml><?xml version="1.0" encoding="utf-8"?>
<ds:datastoreItem xmlns:ds="http://schemas.openxmlformats.org/officeDocument/2006/customXml" ds:itemID="{56C1983F-F266-4005-8EC6-D5065FD7537B}">
  <ds:schemaRefs>
    <ds:schemaRef ds:uri="http://schemas.microsoft.com/office/2006/metadata/properties"/>
    <ds:schemaRef ds:uri="6f211968-1ce9-4ce8-bc32-9c87e03ae60e"/>
    <ds:schemaRef ds:uri="http://purl.org/dc/terms/"/>
    <ds:schemaRef ds:uri="http://schemas.microsoft.com/office/infopath/2007/PartnerControls"/>
    <ds:schemaRef ds:uri="http://schemas.openxmlformats.org/package/2006/metadata/core-properties"/>
    <ds:schemaRef ds:uri="6825cbcc-075a-4232-9296-e9bac03f9e0c"/>
    <ds:schemaRef ds:uri="http://purl.org/dc/elements/1.1/"/>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INSTRUCCIONES</vt:lpstr>
      <vt:lpstr>Datos del Modelo</vt:lpstr>
      <vt:lpstr>Panel</vt:lpstr>
      <vt:lpstr>Resultados</vt:lpstr>
      <vt:lpstr>Opciones de vacunas</vt:lpstr>
      <vt:lpstr>Precios de vacunas</vt:lpstr>
      <vt:lpstr>Version</vt:lpstr>
      <vt:lpstr>'Datos del Modelo'!Print_Area</vt:lpstr>
      <vt:lpstr>Panel!Print_Area</vt:lpstr>
      <vt:lpstr>Resultados!Print_Area</vt:lpstr>
    </vt:vector>
  </TitlesOfParts>
  <Company>PATH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Allison Clifford</cp:lastModifiedBy>
  <cp:lastPrinted>2024-08-05T22:57:35Z</cp:lastPrinted>
  <dcterms:created xsi:type="dcterms:W3CDTF">2018-05-24T13:25:57Z</dcterms:created>
  <dcterms:modified xsi:type="dcterms:W3CDTF">2025-12-02T16:31:08Z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