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mc:AlternateContent xmlns:mc="http://schemas.openxmlformats.org/markup-compatibility/2006">
    <mc:Choice Requires="x15">
      <x15ac:absPath xmlns:x15ac="http://schemas.microsoft.com/office/spreadsheetml/2010/11/ac" url="https://api.box.com/wopi/files/1761543071314/WOPIServiceId_TP_BOX_2/WOPIUserId_-/"/>
    </mc:Choice>
  </mc:AlternateContent>
  <xr:revisionPtr revIDLastSave="255" documentId="13_ncr:1_{1629B1C6-B063-4FDD-AAF5-1CB17FE4DF6E}" xr6:coauthVersionLast="47" xr6:coauthVersionMax="47" xr10:uidLastSave="{CD4871E6-EEFA-49E7-9710-FE11402A5EFB}"/>
  <workbookProtection workbookAlgorithmName="SHA-512" workbookHashValue="z/7Egk4VTwgiHEvLYDoGJM2+jB32RVwc2nyhD3+fGae+o/4SycIHcsEUx03Zq2f9auSx7CkuFfIQk7oJdFDYYQ==" workbookSaltValue="YN6ksr0c1Is9IT3+BchIXg==" workbookSpinCount="100000" lockStructure="1"/>
  <bookViews>
    <workbookView xWindow="28680" yWindow="-4290" windowWidth="29040" windowHeight="15720" tabRatio="708" xr2:uid="{00000000-000D-0000-FFFF-FFFF00000000}"/>
  </bookViews>
  <sheets>
    <sheet name="Instructions" sheetId="15" r:id="rId1"/>
    <sheet name="Saisie des données" sheetId="16" r:id="rId2"/>
    <sheet name="Tableau de bord" sheetId="17" r:id="rId3"/>
    <sheet name="Résultats" sheetId="18" r:id="rId4"/>
    <sheet name="Vaccine options" sheetId="3" state="hidden" r:id="rId5"/>
    <sheet name="Vaccine prices" sheetId="13" state="hidden" r:id="rId6"/>
  </sheets>
  <definedNames>
    <definedName name="_xlnm.Print_Area" localSheetId="3">Résultats!$B$3:$M$73</definedName>
    <definedName name="_xlnm.Print_Area" localSheetId="1">'Saisie des données'!$C$3:$M$82</definedName>
    <definedName name="_xlnm.Print_Area" localSheetId="2">'Tableau de bord'!$B$3:$M$37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1" i="3" l="1" a="1"/>
  <c r="F21" i="3" s="1"/>
  <c r="F13" i="3"/>
  <c r="D14" i="3"/>
  <c r="D15" i="3" s="1"/>
  <c r="D16" i="3" s="1"/>
  <c r="D17" i="3" s="1"/>
  <c r="D18" i="3" s="1"/>
  <c r="D19" i="3" s="1"/>
  <c r="D20" i="3" s="1"/>
  <c r="D21" i="3" s="1"/>
  <c r="D22" i="3" s="1"/>
  <c r="D23" i="3" s="1"/>
  <c r="D24" i="3" s="1"/>
  <c r="D25" i="3" s="1"/>
  <c r="D26" i="3" s="1"/>
  <c r="D27" i="3" s="1"/>
  <c r="D28" i="3" s="1"/>
  <c r="D29" i="3" s="1"/>
  <c r="D30" i="3" s="1"/>
  <c r="D31" i="3" s="1"/>
  <c r="D32" i="3" s="1"/>
  <c r="D33" i="3" s="1"/>
  <c r="D34" i="3" s="1"/>
  <c r="D35" i="3" s="1"/>
  <c r="D36" i="3" s="1"/>
  <c r="K53" i="16"/>
  <c r="I53" i="16"/>
  <c r="G53" i="16"/>
  <c r="E53" i="16"/>
  <c r="K51" i="16"/>
  <c r="I51" i="16"/>
  <c r="G51" i="16"/>
  <c r="E51" i="16"/>
  <c r="K50" i="16"/>
  <c r="I50" i="16"/>
  <c r="G50" i="16"/>
  <c r="E50" i="16"/>
  <c r="K33" i="16"/>
  <c r="I33" i="16"/>
  <c r="G33" i="16"/>
  <c r="E33" i="16"/>
  <c r="F22" i="3" l="1"/>
  <c r="E23" i="16"/>
  <c r="E67" i="16"/>
  <c r="K67" i="16"/>
  <c r="I67" i="16"/>
  <c r="G67" i="16"/>
  <c r="F23" i="3" l="1"/>
  <c r="E24" i="16"/>
  <c r="D72" i="18"/>
  <c r="D71" i="18"/>
  <c r="D70" i="18"/>
  <c r="D69" i="18"/>
  <c r="D68" i="18"/>
  <c r="D63" i="18"/>
  <c r="D62" i="18"/>
  <c r="D61" i="18"/>
  <c r="D60" i="18"/>
  <c r="D59" i="18"/>
  <c r="I54" i="16"/>
  <c r="G54" i="16"/>
  <c r="F6" i="18"/>
  <c r="F8" i="17" s="1"/>
  <c r="H6" i="18"/>
  <c r="H8" i="17" s="1"/>
  <c r="J6" i="18"/>
  <c r="J8" i="17" s="1"/>
  <c r="L6" i="18"/>
  <c r="L8" i="17" s="1"/>
  <c r="D11" i="18"/>
  <c r="D12" i="18"/>
  <c r="D13" i="18"/>
  <c r="D14" i="18"/>
  <c r="D15" i="18"/>
  <c r="D20" i="18"/>
  <c r="D21" i="18"/>
  <c r="D22" i="18"/>
  <c r="D23" i="18"/>
  <c r="D24" i="18"/>
  <c r="D28" i="18"/>
  <c r="D29" i="18"/>
  <c r="D30" i="18"/>
  <c r="D31" i="18"/>
  <c r="D32" i="18"/>
  <c r="D39" i="18"/>
  <c r="D40" i="18"/>
  <c r="D41" i="18"/>
  <c r="D42" i="18"/>
  <c r="D43" i="18"/>
  <c r="D48" i="18"/>
  <c r="D49" i="18"/>
  <c r="D50" i="18"/>
  <c r="D51" i="18"/>
  <c r="D52" i="18"/>
  <c r="D27" i="16"/>
  <c r="D26" i="16"/>
  <c r="D25" i="16"/>
  <c r="D24" i="16"/>
  <c r="D23" i="16"/>
  <c r="E54" i="16"/>
  <c r="K54" i="16"/>
  <c r="F24" i="3" l="1"/>
  <c r="E25" i="16"/>
  <c r="D37" i="16"/>
  <c r="E22" i="3"/>
  <c r="D40" i="16"/>
  <c r="K40" i="16" s="1" a="1"/>
  <c r="K40" i="16" s="1"/>
  <c r="E25" i="3"/>
  <c r="D36" i="16"/>
  <c r="G36" i="16" s="1" a="1"/>
  <c r="G36" i="16" s="1"/>
  <c r="G43" i="16" s="1"/>
  <c r="E21" i="3"/>
  <c r="D39" i="16"/>
  <c r="I39" i="16" s="1" a="1"/>
  <c r="I39" i="16" s="1"/>
  <c r="E24" i="3"/>
  <c r="D38" i="16"/>
  <c r="G38" i="16" s="1" a="1"/>
  <c r="G38" i="16" s="1"/>
  <c r="E23" i="3"/>
  <c r="K39" i="16" a="1"/>
  <c r="K39" i="16" s="1"/>
  <c r="K36" i="16" a="1"/>
  <c r="K36" i="16" s="1"/>
  <c r="K43" i="16" s="1"/>
  <c r="E36" i="16" a="1"/>
  <c r="E36" i="16" s="1"/>
  <c r="E43" i="16" s="1"/>
  <c r="I36" i="16" a="1"/>
  <c r="I36" i="16" s="1"/>
  <c r="I43" i="16" s="1"/>
  <c r="G37" i="16" a="1"/>
  <c r="G37" i="16" s="1"/>
  <c r="G44" i="16" s="1"/>
  <c r="K37" i="16" a="1"/>
  <c r="K37" i="16" s="1"/>
  <c r="K44" i="16" s="1"/>
  <c r="E37" i="16" a="1"/>
  <c r="E37" i="16" s="1"/>
  <c r="E44" i="16" s="1"/>
  <c r="I37" i="16" a="1"/>
  <c r="I37" i="16" s="1"/>
  <c r="I44" i="16" s="1"/>
  <c r="I40" i="16" a="1"/>
  <c r="I40" i="16" s="1"/>
  <c r="G40" i="16" a="1"/>
  <c r="G40" i="16" s="1"/>
  <c r="E40" i="16" a="1"/>
  <c r="E40" i="16" s="1"/>
  <c r="F11" i="18"/>
  <c r="F20" i="18" s="1"/>
  <c r="L11" i="18"/>
  <c r="L20" i="18" s="1"/>
  <c r="L15" i="18"/>
  <c r="L13" i="18"/>
  <c r="D46" i="16"/>
  <c r="D43" i="16"/>
  <c r="D44" i="16"/>
  <c r="D45" i="16"/>
  <c r="D47" i="16"/>
  <c r="J13" i="18"/>
  <c r="H13" i="18"/>
  <c r="F12" i="18"/>
  <c r="J11" i="18"/>
  <c r="J20" i="18" s="1"/>
  <c r="J15" i="18"/>
  <c r="J14" i="18"/>
  <c r="J12" i="18"/>
  <c r="H12" i="18"/>
  <c r="H11" i="18"/>
  <c r="H20" i="18" s="1"/>
  <c r="H15" i="18"/>
  <c r="F14" i="18"/>
  <c r="F15" i="18"/>
  <c r="F13" i="18"/>
  <c r="L12" i="18"/>
  <c r="L14" i="18"/>
  <c r="H14" i="18"/>
  <c r="F25" i="3" l="1"/>
  <c r="E26" i="16"/>
  <c r="I46" i="16" s="1"/>
  <c r="G45" i="16"/>
  <c r="E39" i="16" a="1"/>
  <c r="E39" i="16" s="1"/>
  <c r="I38" i="16" a="1"/>
  <c r="I38" i="16" s="1"/>
  <c r="I45" i="16" s="1"/>
  <c r="E38" i="16" a="1"/>
  <c r="E38" i="16" s="1"/>
  <c r="E45" i="16" s="1"/>
  <c r="K38" i="16" a="1"/>
  <c r="K38" i="16" s="1"/>
  <c r="K45" i="16" s="1"/>
  <c r="G39" i="16" a="1"/>
  <c r="G39" i="16" s="1"/>
  <c r="L21" i="18"/>
  <c r="L40" i="18" s="1"/>
  <c r="L49" i="18" s="1"/>
  <c r="L23" i="18"/>
  <c r="L62" i="18" s="1"/>
  <c r="L59" i="18"/>
  <c r="F59" i="18"/>
  <c r="F39" i="18"/>
  <c r="F48" i="18" s="1"/>
  <c r="F28" i="18"/>
  <c r="J59" i="18"/>
  <c r="H59" i="18"/>
  <c r="L22" i="18"/>
  <c r="L24" i="18"/>
  <c r="L63" i="18" s="1"/>
  <c r="L10" i="18"/>
  <c r="H39" i="18"/>
  <c r="J39" i="18"/>
  <c r="J10" i="18"/>
  <c r="J21" i="18"/>
  <c r="H23" i="18"/>
  <c r="J24" i="18"/>
  <c r="J23" i="18"/>
  <c r="F24" i="18"/>
  <c r="J22" i="18"/>
  <c r="F23" i="18"/>
  <c r="J28" i="18"/>
  <c r="F10" i="18"/>
  <c r="L28" i="18"/>
  <c r="H28" i="18"/>
  <c r="H21" i="18"/>
  <c r="H22" i="18"/>
  <c r="F22" i="18"/>
  <c r="F21" i="18"/>
  <c r="H10" i="18"/>
  <c r="H24" i="18"/>
  <c r="G46" i="16" l="1"/>
  <c r="H42" i="18" s="1"/>
  <c r="H51" i="18" s="1"/>
  <c r="K46" i="16"/>
  <c r="E46" i="16"/>
  <c r="F42" i="18" s="1"/>
  <c r="F51" i="18" s="1"/>
  <c r="F26" i="3"/>
  <c r="F27" i="3" s="1"/>
  <c r="F28" i="3" s="1"/>
  <c r="F29" i="3" s="1"/>
  <c r="E27" i="16"/>
  <c r="L61" i="18"/>
  <c r="L60" i="18"/>
  <c r="F68" i="18"/>
  <c r="F41" i="18"/>
  <c r="F61" i="18"/>
  <c r="H40" i="18"/>
  <c r="H60" i="18"/>
  <c r="H69" i="18" s="1"/>
  <c r="F63" i="18"/>
  <c r="J62" i="18"/>
  <c r="J42" i="18"/>
  <c r="H62" i="18"/>
  <c r="J48" i="18"/>
  <c r="H63" i="18"/>
  <c r="F60" i="18"/>
  <c r="F40" i="18"/>
  <c r="H41" i="18"/>
  <c r="H61" i="18"/>
  <c r="J63" i="18"/>
  <c r="J60" i="18"/>
  <c r="J40" i="18"/>
  <c r="F62" i="18"/>
  <c r="J61" i="18"/>
  <c r="J41" i="18"/>
  <c r="H48" i="18"/>
  <c r="L42" i="18"/>
  <c r="L51" i="18" s="1"/>
  <c r="L41" i="18"/>
  <c r="L50" i="18" s="1"/>
  <c r="L39" i="18"/>
  <c r="L48" i="18" s="1"/>
  <c r="L68" i="18"/>
  <c r="J29" i="18"/>
  <c r="J68" i="18"/>
  <c r="J30" i="18"/>
  <c r="L19" i="18"/>
  <c r="L10" i="17" s="1"/>
  <c r="L11" i="17" s="1"/>
  <c r="J31" i="18"/>
  <c r="F29" i="18"/>
  <c r="J32" i="18"/>
  <c r="H68" i="18"/>
  <c r="L29" i="18"/>
  <c r="J19" i="18"/>
  <c r="J10" i="17" s="1"/>
  <c r="J11" i="17" s="1"/>
  <c r="F19" i="18"/>
  <c r="F10" i="17" s="1"/>
  <c r="F11" i="17" s="1"/>
  <c r="F31" i="18"/>
  <c r="H31" i="18"/>
  <c r="F32" i="18"/>
  <c r="H30" i="18"/>
  <c r="H29" i="18"/>
  <c r="F30" i="18"/>
  <c r="L31" i="18"/>
  <c r="L71" i="18" s="1"/>
  <c r="H32" i="18"/>
  <c r="L32" i="18"/>
  <c r="H19" i="18"/>
  <c r="H10" i="17" s="1"/>
  <c r="H11" i="17" s="1"/>
  <c r="L30" i="18"/>
  <c r="E47" i="16" l="1"/>
  <c r="F43" i="18" s="1"/>
  <c r="F52" i="18" s="1"/>
  <c r="G47" i="16"/>
  <c r="H43" i="18" s="1"/>
  <c r="I47" i="16"/>
  <c r="J43" i="18" s="1"/>
  <c r="J52" i="18" s="1"/>
  <c r="K47" i="16"/>
  <c r="L43" i="18" s="1"/>
  <c r="L52" i="18" s="1"/>
  <c r="L47" i="18"/>
  <c r="L18" i="17" s="1"/>
  <c r="L19" i="17" s="1"/>
  <c r="F71" i="18"/>
  <c r="J13" i="17"/>
  <c r="H72" i="18"/>
  <c r="F70" i="18"/>
  <c r="L72" i="18"/>
  <c r="L58" i="18"/>
  <c r="L38" i="18"/>
  <c r="L15" i="17" s="1"/>
  <c r="L16" i="17" s="1"/>
  <c r="L70" i="18"/>
  <c r="J69" i="18"/>
  <c r="J71" i="18"/>
  <c r="J72" i="18"/>
  <c r="J70" i="18"/>
  <c r="H71" i="18"/>
  <c r="H70" i="18"/>
  <c r="L69" i="18"/>
  <c r="F69" i="18"/>
  <c r="F72" i="18"/>
  <c r="F13" i="17"/>
  <c r="H13" i="17"/>
  <c r="J51" i="18"/>
  <c r="J50" i="18"/>
  <c r="F50" i="18"/>
  <c r="J49" i="18"/>
  <c r="H49" i="18"/>
  <c r="H50" i="18"/>
  <c r="F49" i="18"/>
  <c r="J38" i="18"/>
  <c r="J15" i="17" s="1"/>
  <c r="F38" i="18"/>
  <c r="F15" i="17" s="1"/>
  <c r="F16" i="17" s="1"/>
  <c r="L13" i="17"/>
  <c r="J27" i="17"/>
  <c r="J28" i="17" s="1"/>
  <c r="H27" i="17"/>
  <c r="H28" i="17" s="1"/>
  <c r="H30" i="17"/>
  <c r="J30" i="17"/>
  <c r="F30" i="17"/>
  <c r="H52" i="18"/>
  <c r="H38" i="18"/>
  <c r="F27" i="17"/>
  <c r="F28" i="17" s="1"/>
  <c r="K13" i="17" l="1"/>
  <c r="L67" i="18"/>
  <c r="I13" i="17"/>
  <c r="J47" i="18"/>
  <c r="J18" i="17" s="1"/>
  <c r="J19" i="17" s="1"/>
  <c r="H47" i="18"/>
  <c r="H18" i="17" s="1"/>
  <c r="M13" i="17"/>
  <c r="F47" i="18"/>
  <c r="F18" i="17" s="1"/>
  <c r="F19" i="17" s="1"/>
  <c r="M19" i="17" s="1"/>
  <c r="J58" i="18"/>
  <c r="J67" i="18"/>
  <c r="H58" i="18"/>
  <c r="H67" i="18"/>
  <c r="F58" i="18"/>
  <c r="F67" i="18"/>
  <c r="K15" i="17"/>
  <c r="J16" i="17"/>
  <c r="K16" i="17" s="1"/>
  <c r="H15" i="17"/>
  <c r="J32" i="17"/>
  <c r="J33" i="17" s="1"/>
  <c r="H32" i="17"/>
  <c r="H33" i="17" s="1"/>
  <c r="F32" i="17"/>
  <c r="F33" i="17" s="1"/>
  <c r="M15" i="17"/>
  <c r="M16" i="17"/>
  <c r="K18" i="17" l="1"/>
  <c r="K19" i="17"/>
  <c r="J35" i="17"/>
  <c r="J36" i="17" s="1"/>
  <c r="H35" i="17"/>
  <c r="H36" i="17" s="1"/>
  <c r="F35" i="17"/>
  <c r="F36" i="17" s="1"/>
  <c r="M18" i="17"/>
  <c r="I18" i="17"/>
  <c r="H19" i="17"/>
  <c r="I19" i="17" s="1"/>
  <c r="H16" i="17"/>
  <c r="I16" i="17" s="1"/>
  <c r="I15" i="1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<sst xmlns="http://schemas.openxmlformats.org/spreadsheetml/2006/main" count="276" uniqueCount="137">
  <si>
    <r>
      <rPr>
        <sz val="26"/>
        <color rgb="FF000000"/>
        <rFont val="Arial"/>
        <family val="2"/>
      </rPr>
      <t>Calculateur du coût du</t>
    </r>
    <r>
      <rPr>
        <sz val="11"/>
        <color theme="1"/>
        <rFont val="Arial"/>
        <family val="2"/>
      </rPr>
      <t xml:space="preserve">
</t>
    </r>
    <r>
      <rPr>
        <b/>
        <sz val="28"/>
        <color theme="5"/>
        <rFont val="Arial"/>
        <family val="2"/>
      </rPr>
      <t>vaccin pneumococcique conjugué</t>
    </r>
  </si>
  <si>
    <t>Pour les pays éligibles au soutien de Gavi</t>
  </si>
  <si>
    <t>Version 3.1 / décembre 2025</t>
  </si>
  <si>
    <r>
      <t xml:space="preserve">Si vous avez des questions ou si vous avez besoin d’aide, contactez l’équipe Health Economics &amp; Outcomes Research de PATH : </t>
    </r>
    <r>
      <rPr>
        <u/>
        <sz val="12"/>
        <color rgb="FF000000"/>
        <rFont val="Arial"/>
        <family val="2"/>
      </rPr>
      <t>HEOR@path.org</t>
    </r>
  </si>
  <si>
    <t>Vue d’ensemble</t>
  </si>
  <si>
    <r>
      <rPr>
        <b/>
        <i/>
        <u/>
        <sz val="12"/>
        <color theme="1" tint="-0.499984740745262"/>
        <rFont val="Arial"/>
        <family val="2"/>
      </rPr>
      <t>Clause de non-responsabilité :</t>
    </r>
    <r>
      <rPr>
        <b/>
        <i/>
        <sz val="12"/>
        <color theme="1" tint="-0.499984740745262"/>
        <rFont val="Arial"/>
        <family val="2"/>
      </rPr>
      <t xml:space="preserve"> Le calculateur du coût du VPC pour les pays éligibles au soutien de Gavi</t>
    </r>
    <r>
      <rPr>
        <i/>
        <sz val="12"/>
        <color theme="1" tint="-0.499984740745262"/>
        <rFont val="Arial"/>
        <family val="2"/>
      </rPr>
      <t xml:space="preserve"> est un outil visant à éclairer la prise de décisions relative à l’introduction ou au changement de vaccins et le choix des produits. Il est important de noter que les coûts ne constituent qu’une partie de la réflexion et que, pour prendre leur décision concernant l’introduction ou le changement pour un nouveau vaccin ou le choix des produits, les parties prenantes doivent toujours tenir compte d’autres éléments de réflexion. Ce modèle propose un aperçu des coûts </t>
    </r>
    <r>
      <rPr>
        <b/>
        <i/>
        <sz val="12"/>
        <color theme="1" tint="-0.499984740745262"/>
        <rFont val="Arial"/>
        <family val="2"/>
      </rPr>
      <t>potentiels</t>
    </r>
    <r>
      <rPr>
        <i/>
        <sz val="12"/>
        <color theme="1" tint="-0.499984740745262"/>
        <rFont val="Arial"/>
        <family val="2"/>
      </rPr>
      <t xml:space="preserve"> relatifs aux différents produits et ne saurait remplacer une planification budgétaire détaillée une fois le produit sélectionné.</t>
    </r>
  </si>
  <si>
    <t>Manuel d’utilisation</t>
  </si>
  <si>
    <t>Saisie des données</t>
  </si>
  <si>
    <t>Les cases violettes indiquent un menu déroulant dans lequel l’utilisateur peut sélectionner un choix prédéfini. Cliquez sur la case et une flèche déroulante apparaîtra. En cliquant sur la flèche, l’utilisateur peut choisir parmi plusieurs options.</t>
  </si>
  <si>
    <t>Les cases vertes doivent être remplies par l’utilisateur. Des exemples de données sont inclus dans le modèle, mais ces informations doivent être mises à jour afin de refléter le programme de vaccination local et les données associées.</t>
  </si>
  <si>
    <t>Les cases blanches incluent des informations figées, qui ne peuvent pas être modifiées par l’utilisateur.</t>
  </si>
  <si>
    <t>Programme de vaccination</t>
  </si>
  <si>
    <t>Saisissez les données relatives à votre programme de vaccination : population cible annuelle, taux de croissance annuel de la population et couverture prévue pour chaque dose du schéma de vaccination.</t>
  </si>
  <si>
    <t>Cofinancement</t>
  </si>
  <si>
    <t>Options et coût du VPC</t>
  </si>
  <si>
    <t>► Sélectionnez les vaccins qui vous intéressent dans le menu déroulant (options 1 à 4). 
► L’ensemble des caractéristiques par défaut des vaccins sont issues des Profils Détaillés des Produits (PDP) de Gavi, y compris le prix par dose, le nombre de doses prévues et le taux de perte indicatif.
► Il est impossible de modifier le montant du cofinancement annuel par dose car il est calculé en fonction du prix du vaccin et de la part de cofinancement indiqués précédemment.
► Indiquez le taux de perte prévu pour chaque présentation et, le cas échéant, le coût prévu du traitement, du transport international et des fournitures.
► Indiquez un taux tampon, le cas échéant.</t>
  </si>
  <si>
    <t>Ressources</t>
  </si>
  <si>
    <t>Profils détaillés des produits de Gavi</t>
  </si>
  <si>
    <t>Frais de traitement</t>
  </si>
  <si>
    <t>Site Web de l’UNICEF - Frais de traitement</t>
  </si>
  <si>
    <t>Coût des fournitures</t>
  </si>
  <si>
    <t>Site Web de l’UNICEF - Données de tarification</t>
  </si>
  <si>
    <t>Coûts des programmes de vaccination</t>
  </si>
  <si>
    <t>Les coûts des programmes de vaccination comprennent le coût du vaccin et le coût d’administration. Le coût d’administration doit comprendre les dépenses supplémentaires nécessaires à l’administration des vaccins, autres que les coûts directs des vaccins et des produits de base. Cela comprend les dépenses telles que les indemnités journalières, les indemnités de déplacement, les équipements de la chaîne du froid, les véhicules, le transport et le carburant, etc. Les coûts déjà engagés par le système de vaccination (coûts partagés) peuvent être exclus. Par exemple, le coût du transport du VPC ne doit pas être inclus si ce dernier est transporté avec d’autres vaccins. Vous pouvez saisir séparément les coûts d’introduction ou de changement (montant forfaitaire la première année) et/ou un coût par dose administrée (appliqué chaque année).</t>
  </si>
  <si>
    <t>Coût supplémentaire d’administration par dose</t>
  </si>
  <si>
    <t>Catalogue des coûts d’administration des vaccins</t>
  </si>
  <si>
    <t>Analyse de scénario optionnelle pour l’utilisation de plusieurs vaccins</t>
  </si>
  <si>
    <t>Cette option permet d’analyser le coût des programmes impliquant plusieurs produits utilisés simultanément dans le pays en ajustant la proportion pour un certain nombre d’options. Pour les pays qui utilisent ou prévoient d’utiliser plus d’un produit, le calculateur offre la possibilité de définir trois scénarios (A, B et C) avec différentes combinaisons de proportion d’utilisation des vaccins. Chaque scénario doit impliquer une combinaison d’au moins deux produits avec une proportion totale égale à 100 %.</t>
  </si>
  <si>
    <t>Tableau de bord</t>
  </si>
  <si>
    <t>Le tableau de bord fournit des données récapitulatives des résultats de la perspective du pays et des scénarios A, B et C si l’analyse de scénario optionnelle pour l’utilisation de plusieurs vaccins est renseignée. La mise en forme conditionnelle est utilisée afin de mettre en évidence les économies potentielles (en vert) et les pertes potentielles (en rouge). Les données récapitulatives des résultats sont fournies séparément pour le coût du vaccin pour le pays (achat du vaccin et des fournitures, et expédition internationale, sans la contribution de Gavi), pour les coûts des programmes de vaccination pour le pays (coût du vaccin et coût d’administration, sans la contribution de Gavi) et pour les exigences de volume de la chaîne du froid.</t>
  </si>
  <si>
    <t>Résultats</t>
  </si>
  <si>
    <t>La feuille de calcul Résultats présente des informations sur les coûts, sur un an et sur une période de cinq ans, pour chaque option de vaccination présentée dans la feuille de calcul Saisie des données pour les deux perspectives. Les résultats sont fournis séparément pour les exigences de volume de la chaîne du froid, pour le coût du vaccin (achat du vaccin et des fournitures, et expédition internationale) et pour les coûts des programmes de vaccination (coût du vaccin plus coût d’administration). Les estimations sont fournies séparément pour le coût pour le pays et pour le coût pour le pays + Gavi.</t>
  </si>
  <si>
    <t>Formules de calcul*</t>
  </si>
  <si>
    <r>
      <rPr>
        <sz val="11"/>
        <color theme="1"/>
        <rFont val="Arial"/>
        <family val="2"/>
      </rPr>
      <t xml:space="preserve">Calculateur du coût du </t>
    </r>
    <r>
      <rPr>
        <b/>
        <sz val="11"/>
        <color theme="5"/>
        <rFont val="Arial"/>
        <family val="2"/>
      </rPr>
      <t>vaccin pneumococcique conjugué</t>
    </r>
    <r>
      <rPr>
        <sz val="11"/>
        <color theme="5"/>
        <rFont val="Arial"/>
        <family val="2"/>
      </rPr>
      <t xml:space="preserve"> pour les pays éligibles au soutien de Gavi</t>
    </r>
  </si>
  <si>
    <t>Année de référence (début)</t>
  </si>
  <si>
    <t>Année prévue d’introduction ou de changement</t>
  </si>
  <si>
    <t>Population cible</t>
  </si>
  <si>
    <t>enfants par an</t>
  </si>
  <si>
    <t>Croissance annuelle de la population</t>
  </si>
  <si>
    <t>%</t>
  </si>
  <si>
    <t>Couverture vaccinale attendue, dose 1</t>
  </si>
  <si>
    <t>couverture annuelle</t>
  </si>
  <si>
    <t>Couverture vaccinale attendue, dose 2</t>
  </si>
  <si>
    <t>Couverture vaccinale attendue, dose 3</t>
  </si>
  <si>
    <t>Phase de transition Gavi</t>
  </si>
  <si>
    <r>
      <rPr>
        <b/>
        <sz val="12"/>
        <color theme="1"/>
        <rFont val="Arial"/>
        <family val="2"/>
      </rPr>
      <t>Part de cofinancement du pays</t>
    </r>
    <r>
      <rPr>
        <b/>
        <sz val="12"/>
        <color theme="1"/>
        <rFont val="Calibri"/>
        <family val="2"/>
        <scheme val="minor"/>
      </rPr>
      <t xml:space="preserve"> </t>
    </r>
  </si>
  <si>
    <t>OPTION ACTUELLE ou PRÉFÉRÉE</t>
  </si>
  <si>
    <t>OPTION 2</t>
  </si>
  <si>
    <t>OPTION 3</t>
  </si>
  <si>
    <t>OPTION 4</t>
  </si>
  <si>
    <t>Vaccin et présentation retenus &gt;&gt;&gt;</t>
  </si>
  <si>
    <t>SYNFLORIX 
décavalent, 4 doses/flacon, liquide</t>
  </si>
  <si>
    <t>PNEUMOSIL 
décavalent, 5 doses/flacon, liquide</t>
  </si>
  <si>
    <t>PREVENAR 13 
13-valent, 1 dose/flacon, liquide</t>
  </si>
  <si>
    <t>PREVENAR 13 
13-valent, 4 doses/flacon, liquide</t>
  </si>
  <si>
    <t>État de la demande</t>
  </si>
  <si>
    <t>Prix par dose</t>
  </si>
  <si>
    <t>Cofinancement par dose</t>
  </si>
  <si>
    <t>Nombre de doses prévues</t>
  </si>
  <si>
    <t>Nombre de doses indicatives</t>
  </si>
  <si>
    <r>
      <rPr>
        <b/>
        <sz val="12"/>
        <color theme="1"/>
        <rFont val="Arial"/>
        <family val="2"/>
      </rPr>
      <t>Volume de la chaîne du froid par dose
(en cm</t>
    </r>
    <r>
      <rPr>
        <b/>
        <vertAlign val="superscript"/>
        <sz val="12"/>
        <color theme="1"/>
        <rFont val="Arial"/>
        <family val="2"/>
      </rPr>
      <t>3</t>
    </r>
    <r>
      <rPr>
        <b/>
        <sz val="12"/>
        <color theme="1"/>
        <rFont val="Arial"/>
        <family val="2"/>
      </rPr>
      <t>)</t>
    </r>
  </si>
  <si>
    <t>Taux de perte</t>
  </si>
  <si>
    <t>Taux de perte indicatif</t>
  </si>
  <si>
    <t>Facteur de perte</t>
  </si>
  <si>
    <t>Traitement à l’échelle internationale
(en % du prix du vaccin)</t>
  </si>
  <si>
    <t>Transport international
(en % du prix du vaccin)</t>
  </si>
  <si>
    <t>Taux tampon</t>
  </si>
  <si>
    <t>Prix des réceptacles de sécurité</t>
  </si>
  <si>
    <t>Volume des réceptacles de sécurité</t>
  </si>
  <si>
    <t>Prix des seringues</t>
  </si>
  <si>
    <t>Coûts ponctuels d’introduction ou de changement de vaccin
(montant forfaitaire ou budget pour la première année)</t>
  </si>
  <si>
    <t>IDCC</t>
  </si>
  <si>
    <t>Cliquez sur le symbole + à gauche pour afficher les informations.</t>
  </si>
  <si>
    <t>SCÉNARIO A</t>
  </si>
  <si>
    <t>Proportion d’options de vaccination utilisées dans le programme (%)*</t>
  </si>
  <si>
    <t>SCÉNARIO B</t>
  </si>
  <si>
    <t>SCÉNARIO C</t>
  </si>
  <si>
    <t>*Rappel : chaque scénario doit impliquer une combinaison d’au moins deux produits avec une proportion totale égale à 100 %.</t>
  </si>
  <si>
    <t>Tableau de bord - Analyse principale</t>
  </si>
  <si>
    <t xml:space="preserve"> </t>
  </si>
  <si>
    <t>Million de doses nécessaires</t>
  </si>
  <si>
    <t>5 ans</t>
  </si>
  <si>
    <t>Moyenne par an</t>
  </si>
  <si>
    <r>
      <rPr>
        <b/>
        <sz val="12"/>
        <color theme="1"/>
        <rFont val="Arial"/>
        <family val="2"/>
      </rPr>
      <t>Volume de la chaîne du froid*
(en millions de cm</t>
    </r>
    <r>
      <rPr>
        <b/>
        <vertAlign val="superscript"/>
        <sz val="12"/>
        <color theme="1"/>
        <rFont val="Arial"/>
        <family val="2"/>
      </rPr>
      <t>3</t>
    </r>
    <r>
      <rPr>
        <b/>
        <sz val="12"/>
        <color theme="1"/>
        <rFont val="Arial"/>
        <family val="2"/>
      </rPr>
      <t>)</t>
    </r>
  </si>
  <si>
    <t>Coût total du vaccin pour le pays
(en millions de dollars US)</t>
  </si>
  <si>
    <t>Coût total du programme de vaccination pour le pays
(en millions de dollars US)</t>
  </si>
  <si>
    <t>Les pourcentages indiquent l’augmentation ou la diminution du volume ou du coût de la chaîne du froid par rapport à l’option actuelle ou à l’option préférée.</t>
  </si>
  <si>
    <t>Tableau de bord - Analyse de scénario optionnelle</t>
  </si>
  <si>
    <t xml:space="preserve">Cliquez sur le symbole + à gauche pour afficher les informations. </t>
  </si>
  <si>
    <t>Coût total du vaccin
(en millions de dollars US)</t>
  </si>
  <si>
    <t>Résultats - Analyse principale</t>
  </si>
  <si>
    <t>Nombre de doses administrées</t>
  </si>
  <si>
    <t>Total
pour 5 ans</t>
  </si>
  <si>
    <r>
      <rPr>
        <b/>
        <sz val="20"/>
        <color theme="0"/>
        <rFont val="Arial"/>
        <family val="2"/>
      </rPr>
      <t>Nombre de doses requises</t>
    </r>
    <r>
      <rPr>
        <b/>
        <sz val="12"/>
        <color theme="0"/>
        <rFont val="Arial"/>
        <family val="2"/>
      </rPr>
      <t xml:space="preserve">
</t>
    </r>
    <r>
      <rPr>
        <i/>
        <sz val="10"/>
        <color theme="0"/>
        <rFont val="Arial"/>
        <family val="2"/>
      </rPr>
      <t>doses tampons et doses perdues comprises</t>
    </r>
    <r>
      <rPr>
        <b/>
        <sz val="12"/>
        <color theme="0"/>
        <rFont val="Arial"/>
        <family val="2"/>
      </rPr>
      <t xml:space="preserve"> </t>
    </r>
  </si>
  <si>
    <r>
      <rPr>
        <b/>
        <sz val="20"/>
        <color theme="0"/>
        <rFont val="Arial"/>
        <family val="2"/>
      </rPr>
      <t>Volume requis de la chaîne du froid</t>
    </r>
    <r>
      <rPr>
        <b/>
        <sz val="12"/>
        <color theme="0"/>
        <rFont val="Arial"/>
        <family val="2"/>
      </rPr>
      <t xml:space="preserve">
</t>
    </r>
    <r>
      <rPr>
        <i/>
        <sz val="10"/>
        <color theme="0"/>
        <rFont val="Arial"/>
        <family val="2"/>
      </rPr>
      <t>en cm</t>
    </r>
    <r>
      <rPr>
        <i/>
        <vertAlign val="superscript"/>
        <sz val="10"/>
        <color theme="0"/>
        <rFont val="Arial"/>
        <family val="2"/>
      </rPr>
      <t>3</t>
    </r>
  </si>
  <si>
    <t>Coût pour le pays</t>
  </si>
  <si>
    <r>
      <rPr>
        <b/>
        <sz val="20"/>
        <color theme="0"/>
        <rFont val="Arial"/>
        <family val="2"/>
      </rPr>
      <t>Coût du vaccin pour le pays</t>
    </r>
    <r>
      <rPr>
        <b/>
        <sz val="12"/>
        <color theme="0"/>
        <rFont val="Arial"/>
        <family val="2"/>
      </rPr>
      <t xml:space="preserve">
</t>
    </r>
    <r>
      <rPr>
        <i/>
        <sz val="10"/>
        <color theme="0"/>
        <rFont val="Arial"/>
        <family val="2"/>
      </rPr>
      <t>Coût d’achat du vaccin et des fournitures</t>
    </r>
  </si>
  <si>
    <r>
      <rPr>
        <b/>
        <sz val="20"/>
        <color theme="0"/>
        <rFont val="Arial"/>
        <family val="2"/>
      </rPr>
      <t>Coût du programme de vaccination pour le pays</t>
    </r>
    <r>
      <rPr>
        <b/>
        <sz val="12"/>
        <color theme="0"/>
        <rFont val="Arial"/>
        <family val="2"/>
      </rPr>
      <t xml:space="preserve">
</t>
    </r>
    <r>
      <rPr>
        <i/>
        <sz val="10"/>
        <color theme="0"/>
        <rFont val="Arial"/>
        <family val="2"/>
      </rPr>
      <t>Coût du vaccin + coût d’administration</t>
    </r>
  </si>
  <si>
    <t>Coût pour le pays + Gavi</t>
  </si>
  <si>
    <r>
      <rPr>
        <b/>
        <sz val="20"/>
        <color theme="0"/>
        <rFont val="Arial"/>
        <family val="2"/>
      </rPr>
      <t>Coût du vaccin pour le pays + Gavi</t>
    </r>
    <r>
      <rPr>
        <b/>
        <sz val="12"/>
        <color theme="0"/>
        <rFont val="Arial"/>
        <family val="2"/>
      </rPr>
      <t xml:space="preserve">
</t>
    </r>
    <r>
      <rPr>
        <i/>
        <sz val="10"/>
        <color theme="0"/>
        <rFont val="Arial"/>
        <family val="2"/>
      </rPr>
      <t>Coût d’achat du vaccin et des fournitures</t>
    </r>
  </si>
  <si>
    <r>
      <rPr>
        <b/>
        <sz val="20"/>
        <color theme="0"/>
        <rFont val="Arial"/>
        <family val="2"/>
      </rPr>
      <t>Coût du programme de vaccination pour le pays + Gavi</t>
    </r>
    <r>
      <rPr>
        <b/>
        <sz val="12"/>
        <color theme="0"/>
        <rFont val="Arial"/>
        <family val="2"/>
      </rPr>
      <t xml:space="preserve">
</t>
    </r>
    <r>
      <rPr>
        <i/>
        <sz val="10"/>
        <color theme="0"/>
        <rFont val="Arial"/>
        <family val="2"/>
      </rPr>
      <t>Coût du vaccin + coût d’administration</t>
    </r>
  </si>
  <si>
    <t>Vaccin et présentation</t>
  </si>
  <si>
    <t>Doses prévues</t>
  </si>
  <si>
    <t>Perte</t>
  </si>
  <si>
    <r>
      <t>Volume de la chaîne du froid (cm</t>
    </r>
    <r>
      <rPr>
        <b/>
        <vertAlign val="superscript"/>
        <sz val="11"/>
        <color theme="1"/>
        <rFont val="Calibri"/>
        <family val="2"/>
        <scheme val="minor"/>
      </rPr>
      <t>3</t>
    </r>
    <r>
      <rPr>
        <b/>
        <sz val="11"/>
        <color theme="1"/>
        <rFont val="Calibri"/>
        <family val="2"/>
        <scheme val="minor"/>
      </rPr>
      <t>) par dose</t>
    </r>
  </si>
  <si>
    <t>Clause de non-responsabilité</t>
  </si>
  <si>
    <t>L’offre est supérieure à la demande</t>
  </si>
  <si>
    <t>PNEUMOSIL 
décavalent, 1 dose/flacon, liquide</t>
  </si>
  <si>
    <t>PNEUBEVAX 14 
14 valent, 5 dose/vial, liquid</t>
  </si>
  <si>
    <t>Planification nécessaire</t>
  </si>
  <si>
    <t>Gavi transition phase</t>
  </si>
  <si>
    <t>Preparatory transition</t>
  </si>
  <si>
    <t>Accelerated transition</t>
  </si>
  <si>
    <t>Y1</t>
  </si>
  <si>
    <t>Y2</t>
  </si>
  <si>
    <t>Y3</t>
  </si>
  <si>
    <t>Y4</t>
  </si>
  <si>
    <t>Y5</t>
  </si>
  <si>
    <t>Y6</t>
  </si>
  <si>
    <t>Y7</t>
  </si>
  <si>
    <t>Y8</t>
  </si>
  <si>
    <t>Y9</t>
  </si>
  <si>
    <t>* Si votre pays doit passer d'une phase de transition à une autre pendant la période de cinq ans, contactez l’équipe concernée à l’adresse HEOR@path.org pour savoir comment configurer le modèle.</t>
  </si>
  <si>
    <t xml:space="preserve">Indiquez si votre pays se trouve actuellement dans la phase d’autofinancement initial Gavi, dans la phase de transition préparatoire ou dans la phase de transition accélérée.
► Si votre pays se trouve dans la phase d’autofinancement initial Gavi, les calculs du cofinancement seront automatiques. Le montant du cofinancement apparaîtra pour chaque dose, conformément à la politique ELTRACO de Gavi qui débutera en 2026 (soit 7 % du prix du vaccin VPC par dose).
► Si votre pays se trouve dans la phase de transition préparatoire ou accélérée, saisissez la part de cofinancement de votre pays qui est appliquée aux autres vaccins du portefeuille pendant l’année d’introduction ou de changement. Si vous ne connaissez pas la part de cofinancement de votre pays, veuillez contacter votre responsable pays au sein de Gavi.
► Si votre pays se trouve dans la phase de transition accélérée, indiquez si votre pays prévoit une nouvelle introduction ou de changer de vaccin pour un programme de vaccination existant. Ensuite, indiquez l’année de la phase de transition dans laquelle votre pays se trouvera lorsqu’il débutera le nouveau programme de vaccination ou changera de vaccin. </t>
  </si>
  <si>
    <t>Année d’introduction/du changement dans la phase de transition accélérée</t>
  </si>
  <si>
    <t>Prévoyez-vousune nouvelles introduction ou un changement de vaccin ?</t>
  </si>
  <si>
    <t>Si vous avez sélectionné « Transition préparatoire » ou « Transition accélérée », renseignez la part de cofinancement du pays ci-dessous (cellule E40).*</t>
  </si>
  <si>
    <r>
      <t xml:space="preserve">Si vous avez sélectionné « Transition accélérée », indiquez l’année de la phase de transition dans laquelle votre pays se trouvera lorsqu’il débutera le programme de vaccination anti-VPH ou changera de vaccin. Cette valeur doit être comprise entre 1 et 8. 
</t>
    </r>
    <r>
      <rPr>
        <b/>
        <sz val="12"/>
        <color theme="1"/>
        <rFont val="Arial"/>
        <family val="2"/>
      </rPr>
      <t xml:space="preserve">REMARQUE : ce champ n’est pas utilisé dans le calcul des résultats si vous avez sélectionné « Phase d’autofinancement initial » ou « Transition préparatoire » ci-dessus.   </t>
    </r>
  </si>
  <si>
    <t>Indiquez si vous prévoyez d’introduire un nouveau vaccin ou de changer de vaccin dans un programme de vaccination existant.</t>
  </si>
  <si>
    <t>Nouvelle introduction</t>
  </si>
  <si>
    <t>Changement de produit</t>
  </si>
  <si>
    <t>Phase d'autofinancement initial</t>
  </si>
  <si>
    <t>Transition préparatoire</t>
  </si>
  <si>
    <t>Transition accélérée</t>
  </si>
  <si>
    <r>
      <t xml:space="preserve">Renseignez le % du prix du vaccin par dose, ou « fraction de prix », qui est appliqué aux autres vaccins du portefeuille pendant l’année d’introduction/de changement.
 Si vous ne connaissez pas la part de cofinancement de votre pays, contactez votre responsable pays au sein de Gavi.
</t>
    </r>
    <r>
      <rPr>
        <b/>
        <sz val="12"/>
        <rFont val="Arial"/>
        <family val="2"/>
      </rPr>
      <t>REMARQUE : ce champ n’est pas utilisé dans le calcul des résultats si vous avez sélectionné « Phase d’autofinancement initial » ci-dessus.</t>
    </r>
  </si>
  <si>
    <r>
      <t xml:space="preserve">Le </t>
    </r>
    <r>
      <rPr>
        <b/>
        <sz val="14"/>
        <color theme="1" tint="-0.499984740745262"/>
        <rFont val="Arial"/>
        <family val="2"/>
      </rPr>
      <t>calculateur du coût du vaccin pneumococcique conjugué (VPC) pour les pays éligibles au soutien de Gavi</t>
    </r>
    <r>
      <rPr>
        <sz val="14"/>
        <color theme="1" tint="-0.499984740745262"/>
        <rFont val="Arial"/>
        <family val="2"/>
      </rPr>
      <t xml:space="preserve"> est un outil simple d’évaluation et de comparaison des coûts financiers des programmes de vaccination pneumococcique conjuguée pour chaque VPC soutenu par Gavi, l’Alliance du Vaccin. L’objectif de ce modèle est d’aider les responsables politiques, au niveau national, dans les pays éligibles au soutien de Gavi, à comparer les différents VPCs et à estimer les coûts des programmes de vaccination, en explorant jusqu’à quatre options de vaccination différentes à la fois. 
L’outil calcule le volume de la chaîne du froid et les coûts sur un an, et sur une période totale de cinq ans. L’estimation du coût comprend le coût du vaccin (achat des vaccins et du matériel nécessaire, expéditions internationales) et les coûts des programmes de vaccination (coût du vaccin plus coûts d’administration). Les estimations de coûts sont fournies séparément selon deux perspectives : (1) selon le pays (2) et selon une perspective combinée pays-Gavi. Le point de vue du pays représente uniquement les dépenses imputées sur le budget national, tandis que la perspective combinée pays-Gavi représente également le cofinancement, par Gavi, des vaccins. Les estimations de volume de la chaîne du froid sont calculées à partir du nombre total de doses nécessaires et des informations de préqualification de l’Organisation Mondiale de la Santé concernant le volume de la chaîne du froid par dose, qui prennent en compte les doses tampons et les doses perdues, mais pas nécessairement le volume nominal inutilisable ou le volume requis à différents niveaux.</t>
    </r>
  </si>
  <si>
    <r>
      <rPr>
        <b/>
        <sz val="12"/>
        <color theme="1"/>
        <rFont val="Arial"/>
        <family val="2"/>
      </rPr>
      <t>Nombre de doses administrées </t>
    </r>
    <r>
      <rPr>
        <sz val="12"/>
        <color theme="1"/>
        <rFont val="Arial"/>
        <family val="2"/>
      </rPr>
      <t xml:space="preserve">= Population cible x couverture D1 + population cible x couverture D2 + population cible x couverture D3 (le cas échéant)
</t>
    </r>
    <r>
      <rPr>
        <b/>
        <sz val="12"/>
        <color theme="1"/>
        <rFont val="Arial"/>
        <family val="2"/>
      </rPr>
      <t>Nombre total de doses nécessaires</t>
    </r>
    <r>
      <rPr>
        <sz val="12"/>
        <color theme="1"/>
        <rFont val="Arial"/>
        <family val="2"/>
      </rPr>
      <t xml:space="preserve"> = Nombre de doses administrées x facteur de perte + doses tampons facultatives
</t>
    </r>
    <r>
      <rPr>
        <b/>
        <sz val="12"/>
        <color theme="1"/>
        <rFont val="Arial"/>
        <family val="2"/>
      </rPr>
      <t>Volume total requis de la chaîne du froid</t>
    </r>
    <r>
      <rPr>
        <sz val="12"/>
        <color theme="1"/>
        <rFont val="Arial"/>
        <family val="2"/>
      </rPr>
      <t> = Volume de la chaîne du froid par dose en cm</t>
    </r>
    <r>
      <rPr>
        <vertAlign val="superscript"/>
        <sz val="12"/>
        <color theme="1"/>
        <rFont val="Arial"/>
        <family val="2"/>
      </rPr>
      <t>3</t>
    </r>
    <r>
      <rPr>
        <sz val="12"/>
        <color theme="1"/>
        <rFont val="Arial"/>
        <family val="2"/>
      </rPr>
      <t xml:space="preserve"> x nombre total de doses nécessaires
</t>
    </r>
    <r>
      <rPr>
        <b/>
        <sz val="12"/>
        <color theme="1"/>
        <rFont val="Arial"/>
        <family val="2"/>
      </rPr>
      <t>Facteur de perte</t>
    </r>
    <r>
      <rPr>
        <sz val="12"/>
        <color theme="1"/>
        <rFont val="Arial"/>
        <family val="2"/>
      </rPr>
      <t xml:space="preserve"> = (1 / (1 - taux de perte))
</t>
    </r>
    <r>
      <rPr>
        <b/>
        <sz val="12"/>
        <color theme="1"/>
        <rFont val="Arial"/>
        <family val="2"/>
      </rPr>
      <t>Coût du vaccin (coût pour le pays)</t>
    </r>
    <r>
      <rPr>
        <sz val="12"/>
        <color theme="1"/>
        <rFont val="Arial"/>
        <family val="2"/>
      </rPr>
      <t xml:space="preserve"> = Nombre total de doses nécessaires x (montant du cofinancement par dose + montant du cofinancement par dose x traitement à l’échelle internationale + montant du cofinancement par dose x transport international) + (nombre de doses administrées / volume de réceptacles de sécurité x prix du réceptacle de sécurité) + (nombre de doses administrées x prix d’une seringue)
</t>
    </r>
    <r>
      <rPr>
        <b/>
        <sz val="12"/>
        <color theme="1"/>
        <rFont val="Arial"/>
        <family val="2"/>
      </rPr>
      <t>Coût du vaccin (pays + Gavi)</t>
    </r>
    <r>
      <rPr>
        <sz val="12"/>
        <color theme="1"/>
        <rFont val="Arial"/>
        <family val="2"/>
      </rPr>
      <t xml:space="preserve"> = Nombre total de doses nécessaires x (prix par dose + prix par dose x traitement à l’échelle internationale + prix par dose x transport international) + (nombre de doses administrées / volume de réceptacles de sécurité x prix du réceptacle de sécurité) + (nombre de doses administrées x prix d’une seringue)
</t>
    </r>
    <r>
      <rPr>
        <b/>
        <sz val="12"/>
        <color theme="1"/>
        <rFont val="Arial"/>
        <family val="2"/>
      </rPr>
      <t>Coût du programme de vaccination (pays)</t>
    </r>
    <r>
      <rPr>
        <sz val="12"/>
        <color theme="1"/>
        <rFont val="Arial"/>
        <family val="2"/>
      </rPr>
      <t xml:space="preserve"> = Coût du vaccin + nombre de doses administrées x coût supplémentaire d’administration par dose + coûts d’introduction ou de changement (uniquement pour l’année 1)
</t>
    </r>
    <r>
      <rPr>
        <b/>
        <sz val="12"/>
        <color theme="1"/>
        <rFont val="Arial"/>
        <family val="2"/>
      </rPr>
      <t>Coût du programme de vaccination</t>
    </r>
    <r>
      <rPr>
        <sz val="12"/>
        <color theme="1"/>
        <rFont val="Arial"/>
        <family val="2"/>
      </rPr>
      <t xml:space="preserve"> </t>
    </r>
    <r>
      <rPr>
        <b/>
        <sz val="12"/>
        <color theme="1"/>
        <rFont val="Arial"/>
        <family val="2"/>
      </rPr>
      <t xml:space="preserve"> (pays + Gavi)</t>
    </r>
    <r>
      <rPr>
        <sz val="12"/>
        <color theme="1"/>
        <rFont val="Arial"/>
        <family val="2"/>
      </rPr>
      <t> = Nombre de doses administrées x coût supplémentaire d’administration par dose + coûts d’introduction ou de changement (uniquement pour l’année 1)
* x = multiplié par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</si>
</sst>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7" formatCode="&quot;$&quot;#,##0.00_);\(&quot;$&quot;#,##0.00\)"/>
    <numFmt numFmtId="44" formatCode="_(&quot;$&quot;* #,##0.00_);_(&quot;$&quot;* \(#,##0.00\);_(&quot;$&quot;* &quot;-&quot;??_);_(@_)"/>
    <numFmt numFmtId="164" formatCode="&quot;$&quot;#,##0.00"/>
    <numFmt numFmtId="165" formatCode="&quot;$&quot;#,##0"/>
    <numFmt numFmtId="166" formatCode="0.0%"/>
    <numFmt numFmtId="167" formatCode="#,##0.00&quot; $&quot;_);\(#,##0.00,&quot;$&quot;\)"/>
    <numFmt numFmtId="168" formatCode="#,##0&quot; $&quot;"/>
  </numFmts>
  <fonts count="91" x14ac:knownFonts="1">
    <font>
      <sz val="11"/>
      <color theme="1"/>
      <name val="Calibri"/>
      <family val="2"/>
      <scheme val="minor"/>
    </font>
    <font>
      <b/>
      <sz val="11"/>
      <color theme="1"/>
      <name val="Calibri"/>
      <family val="2"/>
      <scheme val="minor"/>
    </font>
    <font>
      <sz val="11"/>
      <color theme="1"/>
      <name val="Calibri"/>
      <family val="2"/>
      <scheme val="minor"/>
    </font>
    <font>
      <u/>
      <sz val="11"/>
      <color rgb="FF0000FF"/>
      <name val="Calibri"/>
      <family val="2"/>
      <scheme val="minor"/>
    </font>
    <font>
      <b/>
      <sz val="12"/>
      <color theme="1"/>
      <name val="Calibri"/>
      <family val="2"/>
      <scheme val="minor"/>
    </font>
    <font>
      <u/>
      <sz val="11"/>
      <color theme="1"/>
      <name val="Calibri"/>
      <family val="2"/>
      <scheme val="minor"/>
    </font>
    <font>
      <b/>
      <sz val="11"/>
      <color rgb="FFFF0000"/>
      <name val="Calibri"/>
      <family val="2"/>
      <scheme val="minor"/>
    </font>
    <font>
      <sz val="12"/>
      <color theme="1"/>
      <name val="Arial"/>
      <family val="2"/>
    </font>
    <font>
      <b/>
      <sz val="12"/>
      <color theme="1"/>
      <name val="Arial"/>
      <family val="2"/>
    </font>
    <font>
      <b/>
      <sz val="14"/>
      <color theme="1"/>
      <name val="Arial"/>
      <family val="2"/>
    </font>
    <font>
      <b/>
      <sz val="14"/>
      <color theme="0"/>
      <name val="Arial"/>
      <family val="2"/>
    </font>
    <font>
      <b/>
      <sz val="18"/>
      <color theme="0"/>
      <name val="Arial"/>
      <family val="2"/>
    </font>
    <font>
      <u/>
      <sz val="12"/>
      <color rgb="FF0000FF"/>
      <name val="Arial"/>
      <family val="2"/>
    </font>
    <font>
      <u/>
      <sz val="12"/>
      <color theme="1"/>
      <name val="Arial"/>
      <family val="2"/>
    </font>
    <font>
      <b/>
      <sz val="12"/>
      <color theme="4"/>
      <name val="Arial"/>
      <family val="2"/>
    </font>
    <font>
      <sz val="12"/>
      <color theme="0"/>
      <name val="Arial"/>
      <family val="2"/>
    </font>
    <font>
      <b/>
      <sz val="22"/>
      <color theme="0"/>
      <name val="Arial"/>
      <family val="2"/>
    </font>
    <font>
      <b/>
      <sz val="12"/>
      <color rgb="FFFF0000"/>
      <name val="Arial"/>
      <family val="2"/>
    </font>
    <font>
      <b/>
      <sz val="12"/>
      <color theme="1" tint="-0.499984740745262"/>
      <name val="Arial"/>
      <family val="2"/>
    </font>
    <font>
      <b/>
      <i/>
      <sz val="12"/>
      <color theme="1" tint="-0.499984740745262"/>
      <name val="Arial"/>
      <family val="2"/>
    </font>
    <font>
      <sz val="12"/>
      <color rgb="FF000000"/>
      <name val="Arial"/>
      <family val="2"/>
    </font>
    <font>
      <sz val="14"/>
      <color rgb="FF000000"/>
      <name val="Arial"/>
      <family val="2"/>
    </font>
    <font>
      <sz val="14"/>
      <color theme="1" tint="-0.499984740745262"/>
      <name val="Arial"/>
      <family val="2"/>
    </font>
    <font>
      <b/>
      <sz val="14"/>
      <color theme="1" tint="-0.499984740745262"/>
      <name val="Arial"/>
      <family val="2"/>
    </font>
    <font>
      <sz val="18"/>
      <color theme="0"/>
      <name val="Arial"/>
      <family val="2"/>
    </font>
    <font>
      <u/>
      <sz val="12"/>
      <color rgb="FF000000"/>
      <name val="Arial"/>
      <family val="2"/>
    </font>
    <font>
      <b/>
      <sz val="11"/>
      <color rgb="FF000000"/>
      <name val="Arial"/>
      <family val="2"/>
    </font>
    <font>
      <b/>
      <sz val="18"/>
      <color rgb="FFAD0012"/>
      <name val="Arial"/>
      <family val="2"/>
    </font>
    <font>
      <b/>
      <sz val="20"/>
      <color rgb="FF000000"/>
      <name val="Arial"/>
      <family val="2"/>
    </font>
    <font>
      <b/>
      <sz val="26"/>
      <color rgb="FF000000"/>
      <name val="Arial"/>
      <family val="2"/>
    </font>
    <font>
      <sz val="26"/>
      <color rgb="FF000000"/>
      <name val="Arial"/>
      <family val="2"/>
    </font>
    <font>
      <sz val="11"/>
      <color theme="1"/>
      <name val="Arial"/>
      <family val="2"/>
    </font>
    <font>
      <sz val="16"/>
      <color theme="1"/>
      <name val="Arial"/>
      <family val="2"/>
    </font>
    <font>
      <b/>
      <sz val="16"/>
      <name val="Arial"/>
      <family val="2"/>
    </font>
    <font>
      <b/>
      <sz val="14"/>
      <name val="Arial"/>
      <family val="2"/>
    </font>
    <font>
      <b/>
      <sz val="10"/>
      <color theme="1"/>
      <name val="Arial"/>
      <family val="2"/>
    </font>
    <font>
      <sz val="14"/>
      <color theme="1"/>
      <name val="Arial"/>
      <family val="2"/>
    </font>
    <font>
      <b/>
      <sz val="14"/>
      <color rgb="FFFF0000"/>
      <name val="Arial"/>
      <family val="2"/>
    </font>
    <font>
      <b/>
      <sz val="11"/>
      <color theme="1"/>
      <name val="Arial"/>
      <family val="2"/>
    </font>
    <font>
      <i/>
      <sz val="10"/>
      <color theme="1"/>
      <name val="Arial"/>
      <family val="2"/>
    </font>
    <font>
      <b/>
      <sz val="18"/>
      <color theme="1"/>
      <name val="Arial"/>
      <family val="2"/>
    </font>
    <font>
      <b/>
      <sz val="20"/>
      <color theme="0"/>
      <name val="Arial"/>
      <family val="2"/>
    </font>
    <font>
      <b/>
      <sz val="16"/>
      <color theme="1"/>
      <name val="Arial"/>
      <family val="2"/>
    </font>
    <font>
      <b/>
      <sz val="28"/>
      <color theme="8"/>
      <name val="Arial"/>
      <family val="2"/>
    </font>
    <font>
      <i/>
      <sz val="16"/>
      <color theme="1"/>
      <name val="Arial"/>
      <family val="2"/>
    </font>
    <font>
      <i/>
      <sz val="14"/>
      <color theme="1"/>
      <name val="Arial"/>
      <family val="2"/>
    </font>
    <font>
      <b/>
      <i/>
      <sz val="12"/>
      <color theme="1"/>
      <name val="Arial"/>
      <family val="2"/>
    </font>
    <font>
      <b/>
      <vertAlign val="superscript"/>
      <sz val="12"/>
      <color theme="1"/>
      <name val="Arial"/>
      <family val="2"/>
    </font>
    <font>
      <b/>
      <sz val="10"/>
      <color rgb="FFFF0000"/>
      <name val="Arial"/>
      <family val="2"/>
    </font>
    <font>
      <i/>
      <sz val="10"/>
      <name val="Arial"/>
      <family val="2"/>
    </font>
    <font>
      <sz val="11"/>
      <name val="Arial"/>
      <family val="2"/>
    </font>
    <font>
      <b/>
      <sz val="11"/>
      <name val="Arial"/>
      <family val="2"/>
    </font>
    <font>
      <sz val="16"/>
      <name val="Arial"/>
      <family val="2"/>
    </font>
    <font>
      <b/>
      <sz val="36"/>
      <color theme="0"/>
      <name val="Arial"/>
      <family val="2"/>
    </font>
    <font>
      <b/>
      <sz val="24"/>
      <color theme="0"/>
      <name val="Arial"/>
      <family val="2"/>
    </font>
    <font>
      <sz val="10"/>
      <color theme="1"/>
      <name val="Arial"/>
      <family val="2"/>
    </font>
    <font>
      <b/>
      <sz val="20"/>
      <color theme="1"/>
      <name val="Arial"/>
      <family val="2"/>
    </font>
    <font>
      <i/>
      <sz val="9"/>
      <name val="Arial"/>
      <family val="2"/>
    </font>
    <font>
      <i/>
      <sz val="12"/>
      <color theme="1"/>
      <name val="Arial"/>
      <family val="2"/>
    </font>
    <font>
      <b/>
      <sz val="12"/>
      <name val="Arial"/>
      <family val="2"/>
    </font>
    <font>
      <i/>
      <sz val="11"/>
      <name val="Arial"/>
      <family val="2"/>
    </font>
    <font>
      <b/>
      <sz val="10"/>
      <color theme="1" tint="-0.499984740745262"/>
      <name val="Arial"/>
      <family val="2"/>
    </font>
    <font>
      <b/>
      <sz val="10"/>
      <name val="Arial"/>
      <family val="2"/>
    </font>
    <font>
      <sz val="12"/>
      <color theme="9" tint="0.79998168889431442"/>
      <name val="Arial"/>
      <family val="2"/>
    </font>
    <font>
      <b/>
      <sz val="12"/>
      <color theme="9" tint="0.79998168889431442"/>
      <name val="Arial"/>
      <family val="2"/>
    </font>
    <font>
      <b/>
      <u/>
      <sz val="12"/>
      <color theme="1"/>
      <name val="Arial"/>
      <family val="2"/>
    </font>
    <font>
      <b/>
      <sz val="14"/>
      <color theme="9" tint="0.79998168889431442"/>
      <name val="Arial"/>
      <family val="2"/>
    </font>
    <font>
      <b/>
      <sz val="15"/>
      <color theme="9" tint="0.79998168889431442"/>
      <name val="Arial"/>
      <family val="2"/>
    </font>
    <font>
      <b/>
      <sz val="15"/>
      <color theme="1"/>
      <name val="Arial"/>
      <family val="2"/>
    </font>
    <font>
      <b/>
      <sz val="20"/>
      <color theme="9" tint="0.79998168889431442"/>
      <name val="Arial"/>
      <family val="2"/>
    </font>
    <font>
      <b/>
      <sz val="12"/>
      <color theme="0"/>
      <name val="Arial"/>
      <family val="2"/>
    </font>
    <font>
      <i/>
      <sz val="10"/>
      <color theme="0"/>
      <name val="Arial"/>
      <family val="2"/>
    </font>
    <font>
      <sz val="12"/>
      <name val="Arial"/>
      <family val="2"/>
    </font>
    <font>
      <sz val="11"/>
      <color theme="9"/>
      <name val="Arial"/>
      <family val="2"/>
    </font>
    <font>
      <b/>
      <sz val="12"/>
      <color theme="9"/>
      <name val="Arial"/>
      <family val="2"/>
    </font>
    <font>
      <i/>
      <vertAlign val="superscript"/>
      <sz val="10"/>
      <color theme="0"/>
      <name val="Arial"/>
      <family val="2"/>
    </font>
    <font>
      <b/>
      <sz val="14"/>
      <color theme="9"/>
      <name val="Arial"/>
      <family val="2"/>
    </font>
    <font>
      <b/>
      <i/>
      <sz val="12"/>
      <color theme="9"/>
      <name val="Arial"/>
      <family val="2"/>
    </font>
    <font>
      <b/>
      <i/>
      <u/>
      <sz val="12"/>
      <color theme="1" tint="-0.499984740745262"/>
      <name val="Arial"/>
      <family val="2"/>
    </font>
    <font>
      <i/>
      <sz val="12"/>
      <color theme="1" tint="-0.499984740745262"/>
      <name val="Arial"/>
      <family val="2"/>
    </font>
    <font>
      <b/>
      <sz val="11"/>
      <color theme="5"/>
      <name val="Arial"/>
      <family val="2"/>
    </font>
    <font>
      <sz val="11"/>
      <color theme="5"/>
      <name val="Arial"/>
      <family val="2"/>
    </font>
    <font>
      <b/>
      <sz val="18"/>
      <color theme="5"/>
      <name val="Arial"/>
      <family val="2"/>
    </font>
    <font>
      <sz val="12"/>
      <color theme="4" tint="-0.249977111117893"/>
      <name val="Arial"/>
      <family val="2"/>
    </font>
    <font>
      <sz val="11"/>
      <color theme="4" tint="-0.249977111117893"/>
      <name val="Arial"/>
      <family val="2"/>
    </font>
    <font>
      <vertAlign val="superscript"/>
      <sz val="12"/>
      <color theme="1"/>
      <name val="Arial"/>
      <family val="2"/>
    </font>
    <font>
      <b/>
      <vertAlign val="superscript"/>
      <sz val="11"/>
      <color theme="1"/>
      <name val="Calibri"/>
      <family val="2"/>
      <scheme val="minor"/>
    </font>
    <font>
      <b/>
      <sz val="16"/>
      <color theme="0"/>
      <name val="Arial"/>
      <family val="2"/>
    </font>
    <font>
      <b/>
      <sz val="28"/>
      <color theme="5"/>
      <name val="Arial"/>
      <family val="2"/>
    </font>
    <font>
      <b/>
      <sz val="9"/>
      <color rgb="FFFF0000"/>
      <name val="Arial"/>
      <family val="2"/>
    </font>
    <font>
      <sz val="8"/>
      <name val="Calibri"/>
      <family val="2"/>
      <scheme val="minor"/>
    </font>
  </fonts>
  <fills count="22">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9"/>
        <bgColor indexed="64"/>
      </patternFill>
    </fill>
    <fill>
      <patternFill patternType="solid">
        <fgColor rgb="FFE8EBEB"/>
        <bgColor indexed="64"/>
      </patternFill>
    </fill>
    <fill>
      <patternFill patternType="solid">
        <fgColor theme="1"/>
        <bgColor indexed="64"/>
      </patternFill>
    </fill>
    <fill>
      <patternFill patternType="solid">
        <fgColor rgb="FFD7EDEF"/>
        <bgColor indexed="64"/>
      </patternFill>
    </fill>
    <fill>
      <patternFill patternType="solid">
        <fgColor theme="4"/>
        <bgColor indexed="64"/>
      </patternFill>
    </fill>
    <fill>
      <patternFill patternType="solid">
        <fgColor rgb="FF66BAC3"/>
        <bgColor indexed="64"/>
      </patternFill>
    </fill>
    <fill>
      <patternFill patternType="solid">
        <fgColor rgb="FFD2EFDF"/>
        <bgColor indexed="64"/>
      </patternFill>
    </fill>
    <fill>
      <patternFill patternType="solid">
        <fgColor theme="4" tint="-0.249977111117893"/>
        <bgColor indexed="64"/>
      </patternFill>
    </fill>
    <fill>
      <patternFill patternType="solid">
        <fgColor theme="3"/>
        <bgColor indexed="64"/>
      </patternFill>
    </fill>
    <fill>
      <patternFill patternType="solid">
        <fgColor theme="1" tint="0.39997558519241921"/>
        <bgColor indexed="64"/>
      </patternFill>
    </fill>
    <fill>
      <patternFill patternType="solid">
        <fgColor theme="9" tint="0.39997558519241921"/>
        <bgColor indexed="64"/>
      </patternFill>
    </fill>
    <fill>
      <patternFill patternType="solid">
        <fgColor theme="5"/>
        <bgColor indexed="64"/>
      </patternFill>
    </fill>
    <fill>
      <patternFill patternType="solid">
        <fgColor theme="8" tint="0.39997558519241921"/>
        <bgColor indexed="64"/>
      </patternFill>
    </fill>
    <fill>
      <patternFill patternType="solid">
        <fgColor theme="8" tint="-0.249977111117893"/>
        <bgColor indexed="64"/>
      </patternFill>
    </fill>
    <fill>
      <patternFill patternType="solid">
        <fgColor theme="9" tint="-0.24997711111789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4">
    <xf numFmtId="0" fontId="0" fillId="0" borderId="0"/>
    <xf numFmtId="44" fontId="2" fillId="0" borderId="0" applyFont="0" applyFill="0" applyBorder="0" applyAlignment="0" applyProtection="0"/>
    <xf numFmtId="9" fontId="2" fillId="0" borderId="0" applyFont="0" applyFill="0" applyBorder="0" applyAlignment="0" applyProtection="0"/>
    <xf numFmtId="0" fontId="3" fillId="0" borderId="0" applyNumberFormat="0" applyFill="0" applyBorder="0" applyAlignment="0" applyProtection="0"/>
  </cellStyleXfs>
  <cellXfs count="418">
    <xf numFmtId="0" fontId="0" fillId="0" borderId="0" xfId="0"/>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37" fontId="0" fillId="0" borderId="0" xfId="1" applyNumberFormat="1" applyFont="1" applyAlignment="1">
      <alignment horizontal="center" vertical="center"/>
    </xf>
    <xf numFmtId="0" fontId="5" fillId="2" borderId="0" xfId="0" applyFont="1" applyFill="1" applyAlignment="1">
      <alignment vertical="center" wrapText="1"/>
    </xf>
    <xf numFmtId="0" fontId="1" fillId="0" borderId="0" xfId="0" applyFont="1" applyAlignment="1">
      <alignment horizontal="center"/>
    </xf>
    <xf numFmtId="0" fontId="0" fillId="0" borderId="0" xfId="0" applyAlignment="1">
      <alignment horizontal="left" vertical="center" wrapText="1"/>
    </xf>
    <xf numFmtId="0" fontId="6" fillId="0" borderId="0" xfId="0" applyFont="1"/>
    <xf numFmtId="0" fontId="7" fillId="2" borderId="0" xfId="0" applyFont="1" applyFill="1"/>
    <xf numFmtId="0" fontId="7" fillId="4" borderId="0" xfId="0" applyFont="1" applyFill="1"/>
    <xf numFmtId="0" fontId="7" fillId="2" borderId="0" xfId="0" applyFont="1" applyFill="1" applyAlignment="1">
      <alignment horizontal="left" wrapText="1"/>
    </xf>
    <xf numFmtId="0" fontId="9" fillId="2" borderId="0" xfId="0" applyFont="1" applyFill="1" applyAlignment="1">
      <alignment horizontal="center"/>
    </xf>
    <xf numFmtId="0" fontId="9" fillId="6" borderId="0" xfId="0" applyFont="1" applyFill="1" applyAlignment="1">
      <alignment horizontal="center"/>
    </xf>
    <xf numFmtId="0" fontId="7" fillId="6" borderId="0" xfId="0" applyFont="1" applyFill="1"/>
    <xf numFmtId="0" fontId="7" fillId="2" borderId="0" xfId="0" applyFont="1" applyFill="1" applyAlignment="1">
      <alignment horizontal="center" vertical="center" wrapText="1"/>
    </xf>
    <xf numFmtId="0" fontId="10" fillId="7" borderId="0" xfId="0" applyFont="1" applyFill="1" applyAlignment="1">
      <alignment horizontal="center"/>
    </xf>
    <xf numFmtId="0" fontId="7" fillId="7" borderId="0" xfId="0" applyFont="1" applyFill="1"/>
    <xf numFmtId="0" fontId="11" fillId="9" borderId="0" xfId="0" applyFont="1" applyFill="1" applyAlignment="1">
      <alignment horizontal="center"/>
    </xf>
    <xf numFmtId="0" fontId="7" fillId="9" borderId="0" xfId="0" applyFont="1" applyFill="1"/>
    <xf numFmtId="0" fontId="7" fillId="10" borderId="0" xfId="0" applyFont="1" applyFill="1"/>
    <xf numFmtId="0" fontId="12" fillId="2" borderId="0" xfId="3" applyFont="1" applyFill="1" applyBorder="1" applyAlignment="1">
      <alignment horizontal="left" vertical="center"/>
    </xf>
    <xf numFmtId="0" fontId="13" fillId="2" borderId="0" xfId="0" applyFont="1" applyFill="1" applyAlignment="1">
      <alignment horizontal="center" vertical="center"/>
    </xf>
    <xf numFmtId="0" fontId="7" fillId="2" borderId="0" xfId="0" applyFont="1" applyFill="1" applyAlignment="1">
      <alignment horizontal="left" vertical="center" wrapText="1"/>
    </xf>
    <xf numFmtId="0" fontId="7" fillId="10" borderId="15" xfId="0" applyFont="1" applyFill="1" applyBorder="1" applyAlignment="1">
      <alignment horizontal="left" vertical="center" wrapText="1"/>
    </xf>
    <xf numFmtId="0" fontId="7" fillId="10" borderId="2" xfId="0" applyFont="1" applyFill="1" applyBorder="1" applyAlignment="1">
      <alignment horizontal="left" vertical="center" wrapText="1"/>
    </xf>
    <xf numFmtId="0" fontId="7" fillId="10" borderId="13" xfId="0" applyFont="1" applyFill="1" applyBorder="1" applyAlignment="1">
      <alignment horizontal="left" vertical="center" wrapText="1"/>
    </xf>
    <xf numFmtId="0" fontId="12" fillId="10" borderId="0" xfId="3" applyFont="1" applyFill="1" applyBorder="1" applyAlignment="1">
      <alignment horizontal="left" vertical="center"/>
    </xf>
    <xf numFmtId="0" fontId="12" fillId="2" borderId="0" xfId="3" applyFont="1" applyFill="1" applyBorder="1" applyAlignment="1">
      <alignment horizontal="left" vertical="center" wrapText="1"/>
    </xf>
    <xf numFmtId="0" fontId="13" fillId="2" borderId="0" xfId="0" applyFont="1" applyFill="1" applyAlignment="1">
      <alignment horizontal="center" vertical="center" wrapText="1"/>
    </xf>
    <xf numFmtId="0" fontId="7" fillId="2" borderId="1" xfId="0" applyFont="1" applyFill="1" applyBorder="1" applyAlignment="1">
      <alignment vertical="center" wrapText="1"/>
    </xf>
    <xf numFmtId="0" fontId="7" fillId="10" borderId="0" xfId="0" applyFont="1" applyFill="1" applyAlignment="1">
      <alignment vertical="center" wrapText="1"/>
    </xf>
    <xf numFmtId="0" fontId="7" fillId="13" borderId="1" xfId="0" applyFont="1" applyFill="1" applyBorder="1" applyAlignment="1">
      <alignment vertical="center" wrapText="1"/>
    </xf>
    <xf numFmtId="0" fontId="7" fillId="5" borderId="1" xfId="0" applyFont="1" applyFill="1" applyBorder="1" applyAlignment="1">
      <alignment vertical="center" wrapText="1"/>
    </xf>
    <xf numFmtId="0" fontId="7" fillId="14" borderId="0" xfId="0" applyFont="1" applyFill="1"/>
    <xf numFmtId="0" fontId="15" fillId="15" borderId="0" xfId="0" applyFont="1" applyFill="1"/>
    <xf numFmtId="0" fontId="7" fillId="15" borderId="0" xfId="0" applyFont="1" applyFill="1"/>
    <xf numFmtId="0" fontId="17" fillId="4" borderId="0" xfId="0" applyFont="1" applyFill="1" applyAlignment="1">
      <alignment horizontal="left" vertical="center" wrapText="1"/>
    </xf>
    <xf numFmtId="0" fontId="20" fillId="4" borderId="0" xfId="0" applyFont="1" applyFill="1" applyAlignment="1">
      <alignment vertical="center" wrapText="1"/>
    </xf>
    <xf numFmtId="0" fontId="21" fillId="2" borderId="0" xfId="0" applyFont="1" applyFill="1" applyAlignment="1">
      <alignment horizontal="left" vertical="center" wrapText="1"/>
    </xf>
    <xf numFmtId="0" fontId="24" fillId="15" borderId="0" xfId="0" applyFont="1" applyFill="1" applyAlignment="1">
      <alignment vertical="center"/>
    </xf>
    <xf numFmtId="0" fontId="20" fillId="4" borderId="0" xfId="0" applyFont="1" applyFill="1" applyAlignment="1">
      <alignment vertical="center"/>
    </xf>
    <xf numFmtId="49" fontId="26" fillId="2" borderId="0" xfId="0" applyNumberFormat="1" applyFont="1" applyFill="1" applyAlignment="1">
      <alignment horizontal="right" vertical="center" wrapText="1"/>
    </xf>
    <xf numFmtId="0" fontId="27" fillId="2" borderId="0" xfId="0" applyFont="1" applyFill="1" applyAlignment="1">
      <alignment vertical="center" wrapText="1"/>
    </xf>
    <xf numFmtId="0" fontId="28" fillId="2" borderId="0" xfId="0" applyFont="1" applyFill="1" applyAlignment="1">
      <alignment horizontal="center" vertical="center" wrapText="1"/>
    </xf>
    <xf numFmtId="0" fontId="29" fillId="2" borderId="0" xfId="0" applyFont="1" applyFill="1" applyAlignment="1">
      <alignment vertical="center" wrapText="1"/>
    </xf>
    <xf numFmtId="0" fontId="31" fillId="2" borderId="0" xfId="0" applyFont="1" applyFill="1" applyAlignment="1" applyProtection="1">
      <alignment horizontal="center" vertical="center"/>
      <protection hidden="1"/>
    </xf>
    <xf numFmtId="9" fontId="32" fillId="2" borderId="0" xfId="0" applyNumberFormat="1" applyFont="1" applyFill="1" applyAlignment="1" applyProtection="1">
      <alignment horizontal="center" vertical="center"/>
      <protection hidden="1"/>
    </xf>
    <xf numFmtId="0" fontId="32" fillId="2" borderId="0" xfId="0" applyFont="1" applyFill="1" applyAlignment="1" applyProtection="1">
      <alignment horizontal="center" vertical="center"/>
      <protection hidden="1"/>
    </xf>
    <xf numFmtId="9" fontId="32" fillId="2" borderId="0" xfId="2" applyFont="1" applyFill="1" applyBorder="1" applyAlignment="1" applyProtection="1">
      <alignment horizontal="center" vertical="center"/>
      <protection hidden="1"/>
    </xf>
    <xf numFmtId="0" fontId="33" fillId="2" borderId="0" xfId="0" applyFont="1" applyFill="1" applyAlignment="1" applyProtection="1">
      <alignment horizontal="center" vertical="center" wrapText="1"/>
      <protection hidden="1"/>
    </xf>
    <xf numFmtId="0" fontId="31" fillId="10" borderId="0" xfId="0" applyFont="1" applyFill="1" applyAlignment="1" applyProtection="1">
      <alignment horizontal="center" vertical="center"/>
      <protection hidden="1"/>
    </xf>
    <xf numFmtId="0" fontId="34" fillId="10" borderId="0" xfId="0" applyFont="1" applyFill="1" applyAlignment="1" applyProtection="1">
      <alignment horizontal="left" vertical="center" wrapText="1"/>
      <protection hidden="1"/>
    </xf>
    <xf numFmtId="9" fontId="32" fillId="10" borderId="0" xfId="0" applyNumberFormat="1" applyFont="1" applyFill="1" applyAlignment="1" applyProtection="1">
      <alignment horizontal="center" vertical="center"/>
      <protection locked="0"/>
    </xf>
    <xf numFmtId="9" fontId="36" fillId="5" borderId="1" xfId="0" applyNumberFormat="1" applyFont="1" applyFill="1" applyBorder="1" applyAlignment="1" applyProtection="1">
      <alignment horizontal="center" vertical="center"/>
      <protection locked="0"/>
    </xf>
    <xf numFmtId="0" fontId="36" fillId="10" borderId="0" xfId="0" applyFont="1" applyFill="1" applyAlignment="1" applyProtection="1">
      <alignment horizontal="center" vertical="center"/>
      <protection hidden="1"/>
    </xf>
    <xf numFmtId="9" fontId="36" fillId="5" borderId="1" xfId="2" applyFont="1" applyFill="1" applyBorder="1" applyAlignment="1" applyProtection="1">
      <alignment horizontal="center" vertical="center"/>
      <protection locked="0"/>
    </xf>
    <xf numFmtId="9" fontId="32" fillId="10" borderId="0" xfId="0" applyNumberFormat="1" applyFont="1" applyFill="1" applyAlignment="1" applyProtection="1">
      <alignment horizontal="center" vertical="center"/>
      <protection hidden="1"/>
    </xf>
    <xf numFmtId="0" fontId="32" fillId="10" borderId="0" xfId="0" applyFont="1" applyFill="1" applyAlignment="1" applyProtection="1">
      <alignment horizontal="center" vertical="center"/>
      <protection hidden="1"/>
    </xf>
    <xf numFmtId="9" fontId="32" fillId="10" borderId="0" xfId="2" applyFont="1" applyFill="1" applyBorder="1" applyAlignment="1" applyProtection="1">
      <alignment horizontal="center" vertical="center"/>
      <protection hidden="1"/>
    </xf>
    <xf numFmtId="0" fontId="33" fillId="10" borderId="0" xfId="0" applyFont="1" applyFill="1" applyAlignment="1" applyProtection="1">
      <alignment horizontal="center" vertical="center" wrapText="1"/>
      <protection hidden="1"/>
    </xf>
    <xf numFmtId="0" fontId="37" fillId="10" borderId="0" xfId="0" applyFont="1" applyFill="1" applyAlignment="1" applyProtection="1">
      <alignment horizontal="center" vertical="center"/>
      <protection hidden="1"/>
    </xf>
    <xf numFmtId="164" fontId="31" fillId="2" borderId="0" xfId="0" applyNumberFormat="1" applyFont="1" applyFill="1" applyAlignment="1" applyProtection="1">
      <alignment horizontal="center" vertical="center"/>
      <protection hidden="1"/>
    </xf>
    <xf numFmtId="164" fontId="31" fillId="10" borderId="0" xfId="0" applyNumberFormat="1" applyFont="1" applyFill="1" applyAlignment="1" applyProtection="1">
      <alignment horizontal="center" vertical="center"/>
      <protection hidden="1"/>
    </xf>
    <xf numFmtId="0" fontId="38" fillId="10" borderId="0" xfId="0" applyFont="1" applyFill="1" applyAlignment="1" applyProtection="1">
      <alignment horizontal="center" vertical="center"/>
      <protection hidden="1"/>
    </xf>
    <xf numFmtId="0" fontId="39" fillId="10" borderId="0" xfId="0" applyFont="1" applyFill="1" applyAlignment="1" applyProtection="1">
      <alignment horizontal="center" vertical="center" wrapText="1"/>
      <protection hidden="1"/>
    </xf>
    <xf numFmtId="164" fontId="17" fillId="2" borderId="0" xfId="0" applyNumberFormat="1" applyFont="1" applyFill="1" applyAlignment="1" applyProtection="1">
      <alignment vertical="center" wrapText="1"/>
      <protection hidden="1"/>
    </xf>
    <xf numFmtId="164" fontId="17" fillId="10" borderId="2" xfId="0" applyNumberFormat="1" applyFont="1" applyFill="1" applyBorder="1" applyAlignment="1" applyProtection="1">
      <alignment vertical="center" wrapText="1"/>
      <protection hidden="1"/>
    </xf>
    <xf numFmtId="0" fontId="40" fillId="10" borderId="2" xfId="0" applyFont="1" applyFill="1" applyBorder="1" applyAlignment="1" applyProtection="1">
      <alignment horizontal="left"/>
      <protection hidden="1"/>
    </xf>
    <xf numFmtId="0" fontId="31" fillId="10" borderId="2" xfId="0" applyFont="1" applyFill="1" applyBorder="1" applyAlignment="1" applyProtection="1">
      <alignment horizontal="center" vertical="center"/>
      <protection hidden="1"/>
    </xf>
    <xf numFmtId="164" fontId="17" fillId="10" borderId="0" xfId="0" applyNumberFormat="1" applyFont="1" applyFill="1" applyAlignment="1" applyProtection="1">
      <alignment vertical="center" wrapText="1"/>
      <protection hidden="1"/>
    </xf>
    <xf numFmtId="0" fontId="41" fillId="11" borderId="0" xfId="0" applyFont="1" applyFill="1" applyAlignment="1" applyProtection="1">
      <alignment horizontal="center" vertical="center"/>
      <protection hidden="1"/>
    </xf>
    <xf numFmtId="0" fontId="31" fillId="11" borderId="0" xfId="0" applyFont="1" applyFill="1" applyAlignment="1" applyProtection="1">
      <alignment horizontal="center" vertical="center"/>
      <protection hidden="1"/>
    </xf>
    <xf numFmtId="164" fontId="7" fillId="2" borderId="0" xfId="0" applyNumberFormat="1" applyFont="1" applyFill="1" applyAlignment="1" applyProtection="1">
      <alignment horizontal="center" vertical="center"/>
      <protection hidden="1"/>
    </xf>
    <xf numFmtId="164" fontId="7" fillId="10" borderId="0" xfId="0" applyNumberFormat="1" applyFont="1" applyFill="1" applyAlignment="1" applyProtection="1">
      <alignment horizontal="center" vertical="center"/>
      <protection hidden="1"/>
    </xf>
    <xf numFmtId="164" fontId="32" fillId="10" borderId="0" xfId="0" applyNumberFormat="1" applyFont="1" applyFill="1" applyAlignment="1" applyProtection="1">
      <alignment horizontal="center" vertical="center"/>
      <protection locked="0"/>
    </xf>
    <xf numFmtId="0" fontId="12" fillId="2" borderId="8" xfId="3" applyFont="1" applyFill="1" applyBorder="1" applyAlignment="1" applyProtection="1">
      <alignment horizontal="center" vertical="center" wrapText="1"/>
      <protection hidden="1"/>
    </xf>
    <xf numFmtId="165" fontId="7" fillId="2" borderId="0" xfId="0" applyNumberFormat="1" applyFont="1" applyFill="1" applyAlignment="1" applyProtection="1">
      <alignment horizontal="center" vertical="center" wrapText="1"/>
      <protection hidden="1"/>
    </xf>
    <xf numFmtId="165" fontId="7" fillId="10" borderId="0" xfId="0" applyNumberFormat="1" applyFont="1" applyFill="1" applyAlignment="1" applyProtection="1">
      <alignment horizontal="center" vertical="center" wrapText="1"/>
      <protection hidden="1"/>
    </xf>
    <xf numFmtId="165" fontId="32" fillId="10" borderId="0" xfId="0" applyNumberFormat="1" applyFont="1" applyFill="1" applyAlignment="1" applyProtection="1">
      <alignment horizontal="center" vertical="center" wrapText="1"/>
      <protection locked="0"/>
    </xf>
    <xf numFmtId="0" fontId="9" fillId="2" borderId="0" xfId="0" applyFont="1" applyFill="1" applyAlignment="1" applyProtection="1">
      <alignment horizontal="center" vertical="center"/>
      <protection hidden="1"/>
    </xf>
    <xf numFmtId="0" fontId="9" fillId="10" borderId="0" xfId="0" applyFont="1" applyFill="1" applyAlignment="1" applyProtection="1">
      <alignment horizontal="center" vertical="center"/>
      <protection hidden="1"/>
    </xf>
    <xf numFmtId="0" fontId="42" fillId="10" borderId="0" xfId="0" applyFont="1" applyFill="1" applyAlignment="1" applyProtection="1">
      <alignment vertical="center"/>
      <protection hidden="1"/>
    </xf>
    <xf numFmtId="0" fontId="43" fillId="10" borderId="0" xfId="0" applyFont="1" applyFill="1" applyAlignment="1" applyProtection="1">
      <alignment horizontal="center" vertical="center"/>
      <protection hidden="1"/>
    </xf>
    <xf numFmtId="0" fontId="31" fillId="10" borderId="0" xfId="0" applyFont="1" applyFill="1" applyAlignment="1" applyProtection="1">
      <alignment horizontal="center" vertical="center" wrapText="1"/>
      <protection hidden="1"/>
    </xf>
    <xf numFmtId="1" fontId="7" fillId="2" borderId="0" xfId="2" applyNumberFormat="1" applyFont="1" applyFill="1" applyBorder="1" applyAlignment="1" applyProtection="1">
      <alignment horizontal="center" vertical="center"/>
      <protection hidden="1"/>
    </xf>
    <xf numFmtId="1" fontId="7" fillId="10" borderId="0" xfId="2" applyNumberFormat="1" applyFont="1" applyFill="1" applyBorder="1" applyAlignment="1" applyProtection="1">
      <alignment horizontal="center" vertical="center"/>
      <protection hidden="1"/>
    </xf>
    <xf numFmtId="1" fontId="32" fillId="10" borderId="12" xfId="2" applyNumberFormat="1" applyFont="1" applyFill="1" applyBorder="1" applyAlignment="1" applyProtection="1">
      <alignment horizontal="center" vertical="center"/>
      <protection locked="0"/>
    </xf>
    <xf numFmtId="1" fontId="9" fillId="13" borderId="1" xfId="2" applyNumberFormat="1" applyFont="1" applyFill="1" applyBorder="1" applyAlignment="1" applyProtection="1">
      <alignment horizontal="center" vertical="center"/>
      <protection locked="0"/>
    </xf>
    <xf numFmtId="1" fontId="9" fillId="10" borderId="7" xfId="2" applyNumberFormat="1" applyFont="1" applyFill="1" applyBorder="1" applyAlignment="1" applyProtection="1">
      <alignment horizontal="center" vertical="center"/>
      <protection hidden="1"/>
    </xf>
    <xf numFmtId="1" fontId="9" fillId="13" borderId="4" xfId="2" applyNumberFormat="1" applyFont="1" applyFill="1" applyBorder="1" applyAlignment="1" applyProtection="1">
      <alignment horizontal="center" vertical="center"/>
      <protection locked="0"/>
    </xf>
    <xf numFmtId="1" fontId="9" fillId="13" borderId="3" xfId="2" applyNumberFormat="1" applyFont="1" applyFill="1" applyBorder="1" applyAlignment="1" applyProtection="1">
      <alignment horizontal="center" vertical="center"/>
      <protection locked="0"/>
    </xf>
    <xf numFmtId="164" fontId="7" fillId="2" borderId="0" xfId="2" applyNumberFormat="1" applyFont="1" applyFill="1" applyBorder="1" applyAlignment="1" applyProtection="1">
      <alignment horizontal="center" vertical="center"/>
      <protection hidden="1"/>
    </xf>
    <xf numFmtId="164" fontId="7" fillId="10" borderId="0" xfId="2" applyNumberFormat="1" applyFont="1" applyFill="1" applyBorder="1" applyAlignment="1" applyProtection="1">
      <alignment horizontal="center" vertical="center"/>
      <protection hidden="1"/>
    </xf>
    <xf numFmtId="164" fontId="32" fillId="10" borderId="12" xfId="2" applyNumberFormat="1" applyFont="1" applyFill="1" applyBorder="1" applyAlignment="1" applyProtection="1">
      <alignment horizontal="center" vertical="center"/>
      <protection locked="0"/>
    </xf>
    <xf numFmtId="9" fontId="7" fillId="2" borderId="0" xfId="2" applyFont="1" applyFill="1" applyBorder="1" applyAlignment="1" applyProtection="1">
      <alignment horizontal="center" vertical="center"/>
      <protection hidden="1"/>
    </xf>
    <xf numFmtId="9" fontId="7" fillId="10" borderId="0" xfId="2" applyFont="1" applyFill="1" applyBorder="1" applyAlignment="1" applyProtection="1">
      <alignment horizontal="center" vertical="center"/>
      <protection hidden="1"/>
    </xf>
    <xf numFmtId="9" fontId="32" fillId="10" borderId="12" xfId="2" applyFont="1" applyFill="1" applyBorder="1" applyAlignment="1" applyProtection="1">
      <alignment horizontal="center" vertical="center"/>
      <protection locked="0"/>
    </xf>
    <xf numFmtId="9" fontId="9" fillId="13" borderId="1" xfId="2" applyFont="1" applyFill="1" applyBorder="1" applyAlignment="1" applyProtection="1">
      <alignment horizontal="center" vertical="center"/>
      <protection locked="0"/>
    </xf>
    <xf numFmtId="9" fontId="9" fillId="10" borderId="7" xfId="2" applyFont="1" applyFill="1" applyBorder="1" applyAlignment="1" applyProtection="1">
      <alignment horizontal="center" vertical="center"/>
      <protection hidden="1"/>
    </xf>
    <xf numFmtId="9" fontId="9" fillId="13" borderId="4" xfId="2" applyFont="1" applyFill="1" applyBorder="1" applyAlignment="1" applyProtection="1">
      <alignment horizontal="center" vertical="center"/>
      <protection locked="0"/>
    </xf>
    <xf numFmtId="9" fontId="9" fillId="13" borderId="3" xfId="2" applyFont="1" applyFill="1" applyBorder="1" applyAlignment="1" applyProtection="1">
      <alignment horizontal="center" vertical="center"/>
      <protection locked="0"/>
    </xf>
    <xf numFmtId="166" fontId="7" fillId="2" borderId="0" xfId="2" applyNumberFormat="1" applyFont="1" applyFill="1" applyBorder="1" applyAlignment="1" applyProtection="1">
      <alignment horizontal="center" vertical="center"/>
      <protection hidden="1"/>
    </xf>
    <xf numFmtId="166" fontId="7" fillId="10" borderId="0" xfId="2" applyNumberFormat="1" applyFont="1" applyFill="1" applyBorder="1" applyAlignment="1" applyProtection="1">
      <alignment horizontal="center" vertical="center"/>
      <protection hidden="1"/>
    </xf>
    <xf numFmtId="166" fontId="32" fillId="10" borderId="12" xfId="2" applyNumberFormat="1" applyFont="1" applyFill="1" applyBorder="1" applyAlignment="1" applyProtection="1">
      <alignment horizontal="center" vertical="center"/>
      <protection locked="0"/>
    </xf>
    <xf numFmtId="166" fontId="9" fillId="13" borderId="1" xfId="2" applyNumberFormat="1" applyFont="1" applyFill="1" applyBorder="1" applyAlignment="1" applyProtection="1">
      <alignment horizontal="center" vertical="center"/>
      <protection locked="0"/>
    </xf>
    <xf numFmtId="166" fontId="9" fillId="10" borderId="7" xfId="2" applyNumberFormat="1" applyFont="1" applyFill="1" applyBorder="1" applyAlignment="1" applyProtection="1">
      <alignment horizontal="center" vertical="center"/>
      <protection hidden="1"/>
    </xf>
    <xf numFmtId="166" fontId="9" fillId="13" borderId="4" xfId="2" applyNumberFormat="1" applyFont="1" applyFill="1" applyBorder="1" applyAlignment="1" applyProtection="1">
      <alignment horizontal="center" vertical="center"/>
      <protection locked="0"/>
    </xf>
    <xf numFmtId="166" fontId="9" fillId="13" borderId="3" xfId="2" applyNumberFormat="1" applyFont="1" applyFill="1" applyBorder="1" applyAlignment="1" applyProtection="1">
      <alignment horizontal="center" vertical="center"/>
      <protection locked="0"/>
    </xf>
    <xf numFmtId="0" fontId="9" fillId="2" borderId="0" xfId="0" applyFont="1" applyFill="1" applyAlignment="1" applyProtection="1">
      <alignment vertical="center"/>
      <protection hidden="1"/>
    </xf>
    <xf numFmtId="0" fontId="9" fillId="10" borderId="0" xfId="0" applyFont="1" applyFill="1" applyAlignment="1" applyProtection="1">
      <alignment vertical="center"/>
      <protection hidden="1"/>
    </xf>
    <xf numFmtId="2" fontId="32" fillId="10" borderId="0" xfId="0" applyNumberFormat="1" applyFont="1" applyFill="1" applyAlignment="1" applyProtection="1">
      <alignment horizontal="center" vertical="center"/>
      <protection hidden="1"/>
    </xf>
    <xf numFmtId="2" fontId="36" fillId="2" borderId="1" xfId="0" applyNumberFormat="1" applyFont="1" applyFill="1" applyBorder="1" applyAlignment="1" applyProtection="1">
      <alignment horizontal="center" vertical="center"/>
      <protection hidden="1"/>
    </xf>
    <xf numFmtId="2" fontId="36" fillId="10" borderId="0" xfId="0" applyNumberFormat="1" applyFont="1" applyFill="1" applyAlignment="1" applyProtection="1">
      <alignment horizontal="center" vertical="center"/>
      <protection hidden="1"/>
    </xf>
    <xf numFmtId="0" fontId="31" fillId="0" borderId="0" xfId="0" applyFont="1" applyAlignment="1" applyProtection="1">
      <alignment horizontal="center" vertical="center"/>
      <protection hidden="1"/>
    </xf>
    <xf numFmtId="9" fontId="44" fillId="10" borderId="12" xfId="2" applyFont="1" applyFill="1" applyBorder="1" applyAlignment="1" applyProtection="1">
      <alignment horizontal="center" vertical="center"/>
      <protection hidden="1"/>
    </xf>
    <xf numFmtId="9" fontId="45" fillId="0" borderId="8" xfId="2" applyFont="1" applyFill="1" applyBorder="1" applyAlignment="1" applyProtection="1">
      <alignment horizontal="center" vertical="center"/>
      <protection hidden="1"/>
    </xf>
    <xf numFmtId="9" fontId="45" fillId="10" borderId="7" xfId="2" applyFont="1" applyFill="1" applyBorder="1" applyAlignment="1" applyProtection="1">
      <alignment horizontal="center" vertical="center"/>
      <protection hidden="1"/>
    </xf>
    <xf numFmtId="9" fontId="45" fillId="0" borderId="15" xfId="2" applyFont="1" applyFill="1" applyBorder="1" applyAlignment="1" applyProtection="1">
      <alignment horizontal="center" vertical="center"/>
      <protection hidden="1"/>
    </xf>
    <xf numFmtId="9" fontId="45" fillId="0" borderId="14" xfId="2" applyFont="1" applyFill="1" applyBorder="1" applyAlignment="1" applyProtection="1">
      <alignment horizontal="center" vertical="center"/>
      <protection hidden="1"/>
    </xf>
    <xf numFmtId="0" fontId="46" fillId="2" borderId="8" xfId="0" applyFont="1" applyFill="1" applyBorder="1" applyAlignment="1" applyProtection="1">
      <alignment horizontal="center" vertical="center" wrapText="1"/>
      <protection hidden="1"/>
    </xf>
    <xf numFmtId="9" fontId="9" fillId="13" borderId="6" xfId="2" applyFont="1" applyFill="1" applyBorder="1" applyAlignment="1" applyProtection="1">
      <alignment horizontal="center" vertical="center"/>
      <protection locked="0"/>
    </xf>
    <xf numFmtId="9" fontId="9" fillId="13" borderId="11" xfId="2" applyFont="1" applyFill="1" applyBorder="1" applyAlignment="1" applyProtection="1">
      <alignment horizontal="center" vertical="center"/>
      <protection locked="0"/>
    </xf>
    <xf numFmtId="9" fontId="9" fillId="13" borderId="9" xfId="2" applyFont="1" applyFill="1" applyBorder="1" applyAlignment="1" applyProtection="1">
      <alignment horizontal="center" vertical="center"/>
      <protection locked="0"/>
    </xf>
    <xf numFmtId="2" fontId="7" fillId="2" borderId="0" xfId="2" applyNumberFormat="1" applyFont="1" applyFill="1" applyBorder="1" applyAlignment="1" applyProtection="1">
      <alignment horizontal="center" vertical="center"/>
      <protection hidden="1"/>
    </xf>
    <xf numFmtId="2" fontId="7" fillId="10" borderId="0" xfId="2" applyNumberFormat="1" applyFont="1" applyFill="1" applyBorder="1" applyAlignment="1" applyProtection="1">
      <alignment horizontal="center" vertical="center"/>
      <protection hidden="1"/>
    </xf>
    <xf numFmtId="2" fontId="32" fillId="10" borderId="12" xfId="2" applyNumberFormat="1" applyFont="1" applyFill="1" applyBorder="1" applyAlignment="1" applyProtection="1">
      <alignment horizontal="center" vertical="center"/>
      <protection locked="0"/>
    </xf>
    <xf numFmtId="2" fontId="36" fillId="10" borderId="7" xfId="2" applyNumberFormat="1" applyFont="1" applyFill="1" applyBorder="1" applyAlignment="1" applyProtection="1">
      <alignment horizontal="center" vertical="center"/>
      <protection hidden="1"/>
    </xf>
    <xf numFmtId="1" fontId="36" fillId="2" borderId="14" xfId="2" applyNumberFormat="1" applyFont="1" applyFill="1" applyBorder="1" applyAlignment="1" applyProtection="1">
      <alignment horizontal="center" vertical="center"/>
      <protection hidden="1"/>
    </xf>
    <xf numFmtId="1" fontId="36" fillId="10" borderId="7" xfId="2" applyNumberFormat="1" applyFont="1" applyFill="1" applyBorder="1" applyAlignment="1" applyProtection="1">
      <alignment horizontal="center" vertical="center"/>
      <protection hidden="1"/>
    </xf>
    <xf numFmtId="0" fontId="17" fillId="2" borderId="0" xfId="0" applyFont="1" applyFill="1" applyAlignment="1" applyProtection="1">
      <alignment vertical="center" wrapText="1"/>
      <protection hidden="1"/>
    </xf>
    <xf numFmtId="0" fontId="17" fillId="10" borderId="0" xfId="0" applyFont="1" applyFill="1" applyAlignment="1" applyProtection="1">
      <alignment vertical="center" wrapText="1"/>
      <protection hidden="1"/>
    </xf>
    <xf numFmtId="7" fontId="32" fillId="10" borderId="0" xfId="1" applyNumberFormat="1" applyFont="1" applyFill="1" applyBorder="1" applyAlignment="1" applyProtection="1">
      <alignment horizontal="center" vertical="center"/>
      <protection locked="0"/>
    </xf>
    <xf numFmtId="0" fontId="7" fillId="2" borderId="0" xfId="0" applyFont="1" applyFill="1" applyAlignment="1" applyProtection="1">
      <alignment vertical="center" wrapText="1"/>
      <protection hidden="1"/>
    </xf>
    <xf numFmtId="0" fontId="7" fillId="10" borderId="0" xfId="0" applyFont="1" applyFill="1" applyAlignment="1" applyProtection="1">
      <alignment vertical="center" wrapText="1"/>
      <protection hidden="1"/>
    </xf>
    <xf numFmtId="0" fontId="48" fillId="10" borderId="0" xfId="0" applyFont="1" applyFill="1" applyAlignment="1" applyProtection="1">
      <alignment horizontal="center" vertical="center" wrapText="1"/>
      <protection hidden="1"/>
    </xf>
    <xf numFmtId="0" fontId="42" fillId="10" borderId="0" xfId="0" applyFont="1" applyFill="1" applyAlignment="1" applyProtection="1">
      <alignment horizontal="center" vertical="center" wrapText="1"/>
      <protection hidden="1"/>
    </xf>
    <xf numFmtId="0" fontId="9" fillId="2" borderId="0" xfId="0" applyFont="1" applyFill="1" applyAlignment="1" applyProtection="1">
      <alignment horizontal="center" vertical="center" wrapText="1"/>
      <protection hidden="1"/>
    </xf>
    <xf numFmtId="0" fontId="9" fillId="10" borderId="0" xfId="0" applyFont="1" applyFill="1" applyAlignment="1" applyProtection="1">
      <alignment horizontal="center" vertical="center" wrapText="1"/>
      <protection hidden="1"/>
    </xf>
    <xf numFmtId="0" fontId="32" fillId="10" borderId="0" xfId="0" applyFont="1" applyFill="1" applyAlignment="1" applyProtection="1">
      <alignment horizontal="center" vertical="center" wrapText="1"/>
      <protection locked="0"/>
    </xf>
    <xf numFmtId="0" fontId="36" fillId="10" borderId="0" xfId="0" applyFont="1" applyFill="1" applyAlignment="1" applyProtection="1">
      <alignment vertical="center" wrapText="1"/>
      <protection hidden="1"/>
    </xf>
    <xf numFmtId="0" fontId="36" fillId="5" borderId="1" xfId="0" applyFont="1" applyFill="1" applyBorder="1" applyAlignment="1" applyProtection="1">
      <alignment horizontal="center" vertical="center" wrapText="1"/>
      <protection locked="0"/>
    </xf>
    <xf numFmtId="0" fontId="41" fillId="11" borderId="14" xfId="0" applyFont="1" applyFill="1" applyBorder="1" applyAlignment="1" applyProtection="1">
      <alignment horizontal="center" vertical="center" wrapText="1"/>
      <protection hidden="1"/>
    </xf>
    <xf numFmtId="0" fontId="8" fillId="10" borderId="0" xfId="0" applyFont="1" applyFill="1" applyAlignment="1" applyProtection="1">
      <alignment horizontal="center" vertical="center" wrapText="1"/>
      <protection hidden="1"/>
    </xf>
    <xf numFmtId="0" fontId="8" fillId="2" borderId="1" xfId="0" applyFont="1" applyFill="1" applyBorder="1" applyAlignment="1" applyProtection="1">
      <alignment horizontal="center" vertical="center"/>
      <protection hidden="1"/>
    </xf>
    <xf numFmtId="0" fontId="9" fillId="10" borderId="15" xfId="0" applyFont="1" applyFill="1" applyBorder="1" applyAlignment="1" applyProtection="1">
      <alignment vertical="center"/>
      <protection hidden="1"/>
    </xf>
    <xf numFmtId="0" fontId="31" fillId="2" borderId="0" xfId="0" applyFont="1" applyFill="1" applyAlignment="1" applyProtection="1">
      <alignment vertical="center" wrapText="1"/>
      <protection hidden="1"/>
    </xf>
    <xf numFmtId="0" fontId="31" fillId="10" borderId="0" xfId="0" applyFont="1" applyFill="1" applyAlignment="1" applyProtection="1">
      <alignment vertical="center" wrapText="1"/>
      <protection hidden="1"/>
    </xf>
    <xf numFmtId="0" fontId="49" fillId="10" borderId="0" xfId="0" applyFont="1" applyFill="1" applyAlignment="1" applyProtection="1">
      <alignment horizontal="center" vertical="center" wrapText="1"/>
      <protection hidden="1"/>
    </xf>
    <xf numFmtId="9" fontId="50" fillId="10" borderId="0" xfId="2" applyFont="1" applyFill="1" applyBorder="1" applyAlignment="1" applyProtection="1">
      <alignment horizontal="center" vertical="center"/>
      <protection hidden="1"/>
    </xf>
    <xf numFmtId="0" fontId="51" fillId="10" borderId="0" xfId="0" applyFont="1" applyFill="1" applyAlignment="1" applyProtection="1">
      <alignment horizontal="center" vertical="center" wrapText="1"/>
      <protection hidden="1"/>
    </xf>
    <xf numFmtId="0" fontId="7" fillId="10" borderId="0" xfId="0" applyFont="1" applyFill="1" applyAlignment="1" applyProtection="1">
      <alignment vertical="center"/>
      <protection hidden="1"/>
    </xf>
    <xf numFmtId="0" fontId="32" fillId="10" borderId="0" xfId="0" applyFont="1" applyFill="1" applyAlignment="1" applyProtection="1">
      <alignment horizontal="left" vertical="center" wrapText="1"/>
      <protection hidden="1"/>
    </xf>
    <xf numFmtId="9" fontId="52" fillId="2" borderId="3" xfId="2" applyFont="1" applyFill="1" applyBorder="1" applyAlignment="1" applyProtection="1">
      <alignment horizontal="center" vertical="center"/>
      <protection hidden="1"/>
    </xf>
    <xf numFmtId="0" fontId="31" fillId="10" borderId="0" xfId="0" applyFont="1" applyFill="1" applyAlignment="1" applyProtection="1">
      <alignment vertical="center"/>
      <protection hidden="1"/>
    </xf>
    <xf numFmtId="9" fontId="32" fillId="2" borderId="3" xfId="2" applyFont="1" applyFill="1" applyBorder="1" applyAlignment="1" applyProtection="1">
      <alignment horizontal="center" vertical="center"/>
      <protection hidden="1"/>
    </xf>
    <xf numFmtId="0" fontId="8" fillId="2" borderId="0" xfId="0" applyFont="1" applyFill="1" applyAlignment="1" applyProtection="1">
      <alignment horizontal="left" vertical="center" wrapText="1"/>
      <protection hidden="1"/>
    </xf>
    <xf numFmtId="3" fontId="32" fillId="2" borderId="9" xfId="0" applyNumberFormat="1" applyFont="1" applyFill="1" applyBorder="1" applyAlignment="1" applyProtection="1">
      <alignment horizontal="center" vertical="center"/>
      <protection hidden="1"/>
    </xf>
    <xf numFmtId="3" fontId="9" fillId="13" borderId="3" xfId="0" applyNumberFormat="1" applyFont="1" applyFill="1" applyBorder="1" applyAlignment="1" applyProtection="1">
      <alignment horizontal="center" vertical="center"/>
      <protection locked="0"/>
    </xf>
    <xf numFmtId="0" fontId="8" fillId="2" borderId="0" xfId="0" applyFont="1" applyFill="1" applyAlignment="1" applyProtection="1">
      <alignment horizontal="center" vertical="center" wrapText="1"/>
      <protection hidden="1"/>
    </xf>
    <xf numFmtId="0" fontId="32" fillId="10" borderId="0" xfId="0" applyFont="1" applyFill="1" applyAlignment="1" applyProtection="1">
      <alignment horizontal="left" vertical="center"/>
      <protection hidden="1"/>
    </xf>
    <xf numFmtId="0" fontId="32" fillId="2" borderId="3" xfId="0" applyFont="1" applyFill="1" applyBorder="1" applyAlignment="1" applyProtection="1">
      <alignment horizontal="center" vertical="center"/>
      <protection hidden="1"/>
    </xf>
    <xf numFmtId="0" fontId="9" fillId="13" borderId="1" xfId="0" applyFont="1" applyFill="1" applyBorder="1" applyAlignment="1" applyProtection="1">
      <alignment horizontal="center" vertical="center"/>
      <protection locked="0"/>
    </xf>
    <xf numFmtId="0" fontId="42" fillId="2" borderId="0" xfId="0" applyFont="1" applyFill="1" applyAlignment="1" applyProtection="1">
      <alignment horizontal="center" vertical="center"/>
      <protection hidden="1"/>
    </xf>
    <xf numFmtId="0" fontId="42" fillId="10" borderId="0" xfId="0" applyFont="1" applyFill="1" applyAlignment="1" applyProtection="1">
      <alignment horizontal="center" vertical="center"/>
      <protection hidden="1"/>
    </xf>
    <xf numFmtId="0" fontId="42" fillId="10" borderId="0" xfId="0" applyFont="1" applyFill="1" applyAlignment="1" applyProtection="1">
      <alignment horizontal="left" vertical="center"/>
      <protection hidden="1"/>
    </xf>
    <xf numFmtId="0" fontId="37" fillId="2" borderId="0" xfId="0" applyFont="1" applyFill="1" applyAlignment="1" applyProtection="1">
      <alignment horizontal="right" vertical="center"/>
      <protection hidden="1"/>
    </xf>
    <xf numFmtId="0" fontId="37" fillId="10" borderId="0" xfId="0" applyFont="1" applyFill="1" applyAlignment="1" applyProtection="1">
      <alignment horizontal="right" vertical="center"/>
      <protection hidden="1"/>
    </xf>
    <xf numFmtId="0" fontId="37" fillId="10" borderId="0" xfId="0" applyFont="1" applyFill="1" applyAlignment="1" applyProtection="1">
      <alignment vertical="center"/>
      <protection hidden="1"/>
    </xf>
    <xf numFmtId="0" fontId="53" fillId="14" borderId="0" xfId="0" applyFont="1" applyFill="1" applyAlignment="1" applyProtection="1">
      <alignment horizontal="center" vertical="center"/>
      <protection hidden="1"/>
    </xf>
    <xf numFmtId="0" fontId="31" fillId="14" borderId="0" xfId="0" applyFont="1" applyFill="1" applyAlignment="1" applyProtection="1">
      <alignment horizontal="center" vertical="center"/>
      <protection hidden="1"/>
    </xf>
    <xf numFmtId="0" fontId="55" fillId="2" borderId="0" xfId="0" applyFont="1" applyFill="1" applyAlignment="1" applyProtection="1">
      <alignment horizontal="left" vertical="center" wrapText="1"/>
      <protection hidden="1"/>
    </xf>
    <xf numFmtId="0" fontId="56" fillId="10" borderId="0" xfId="0" applyFont="1" applyFill="1" applyAlignment="1" applyProtection="1">
      <alignment vertical="center"/>
      <protection hidden="1"/>
    </xf>
    <xf numFmtId="0" fontId="45" fillId="10" borderId="0" xfId="0" applyFont="1" applyFill="1" applyAlignment="1" applyProtection="1">
      <alignment horizontal="left" vertical="center"/>
      <protection hidden="1"/>
    </xf>
    <xf numFmtId="0" fontId="45" fillId="2" borderId="0" xfId="0" applyFont="1" applyFill="1" applyAlignment="1" applyProtection="1">
      <alignment horizontal="left" vertical="center"/>
      <protection hidden="1"/>
    </xf>
    <xf numFmtId="0" fontId="31" fillId="2" borderId="3" xfId="0" applyFont="1" applyFill="1" applyBorder="1" applyAlignment="1" applyProtection="1">
      <alignment horizontal="center" vertical="center"/>
      <protection hidden="1"/>
    </xf>
    <xf numFmtId="0" fontId="31" fillId="0" borderId="0" xfId="0" applyFont="1"/>
    <xf numFmtId="0" fontId="31" fillId="8" borderId="0" xfId="0" applyFont="1" applyFill="1"/>
    <xf numFmtId="164" fontId="7" fillId="8" borderId="0" xfId="0" applyNumberFormat="1" applyFont="1" applyFill="1" applyAlignment="1" applyProtection="1">
      <alignment horizontal="center" vertical="center"/>
      <protection hidden="1"/>
    </xf>
    <xf numFmtId="164" fontId="7" fillId="8" borderId="0" xfId="0" applyNumberFormat="1" applyFont="1" applyFill="1" applyAlignment="1" applyProtection="1">
      <alignment horizontal="center" vertical="center"/>
      <protection locked="0"/>
    </xf>
    <xf numFmtId="164" fontId="23" fillId="8" borderId="0" xfId="0" applyNumberFormat="1" applyFont="1" applyFill="1" applyAlignment="1" applyProtection="1">
      <alignment horizontal="center" vertical="center"/>
      <protection hidden="1"/>
    </xf>
    <xf numFmtId="164" fontId="23" fillId="8" borderId="0" xfId="0" applyNumberFormat="1" applyFont="1" applyFill="1" applyAlignment="1" applyProtection="1">
      <alignment horizontal="center" vertical="center"/>
      <protection locked="0"/>
    </xf>
    <xf numFmtId="0" fontId="8" fillId="8" borderId="0" xfId="0" applyFont="1" applyFill="1" applyAlignment="1" applyProtection="1">
      <alignment horizontal="center" vertical="center" wrapText="1"/>
      <protection hidden="1"/>
    </xf>
    <xf numFmtId="0" fontId="58" fillId="2" borderId="1" xfId="0" applyFont="1" applyFill="1" applyBorder="1" applyAlignment="1" applyProtection="1">
      <alignment horizontal="center" vertical="center" wrapText="1"/>
      <protection hidden="1"/>
    </xf>
    <xf numFmtId="0" fontId="58" fillId="8" borderId="0" xfId="0" applyFont="1" applyFill="1" applyAlignment="1" applyProtection="1">
      <alignment horizontal="center" vertical="center" wrapText="1"/>
      <protection hidden="1"/>
    </xf>
    <xf numFmtId="4" fontId="23" fillId="8" borderId="0" xfId="0" applyNumberFormat="1" applyFont="1" applyFill="1" applyAlignment="1" applyProtection="1">
      <alignment horizontal="center" vertical="center"/>
      <protection locked="0"/>
    </xf>
    <xf numFmtId="0" fontId="8" fillId="8" borderId="0" xfId="0" applyFont="1" applyFill="1" applyAlignment="1" applyProtection="1">
      <alignment vertical="center" wrapText="1"/>
      <protection hidden="1"/>
    </xf>
    <xf numFmtId="4" fontId="23" fillId="2" borderId="0" xfId="0" applyNumberFormat="1" applyFont="1" applyFill="1" applyAlignment="1">
      <alignment horizontal="center" vertical="center"/>
    </xf>
    <xf numFmtId="4" fontId="23" fillId="2" borderId="2" xfId="0" applyNumberFormat="1" applyFont="1" applyFill="1" applyBorder="1" applyAlignment="1">
      <alignment horizontal="center" vertical="center"/>
    </xf>
    <xf numFmtId="164" fontId="38" fillId="2" borderId="0" xfId="0" applyNumberFormat="1" applyFont="1" applyFill="1" applyAlignment="1" applyProtection="1">
      <alignment horizontal="center" vertical="center"/>
      <protection locked="0"/>
    </xf>
    <xf numFmtId="164" fontId="38" fillId="8" borderId="0" xfId="0" applyNumberFormat="1" applyFont="1" applyFill="1" applyAlignment="1" applyProtection="1">
      <alignment horizontal="center" vertical="center"/>
      <protection hidden="1"/>
    </xf>
    <xf numFmtId="164" fontId="38" fillId="2" borderId="0" xfId="0" applyNumberFormat="1" applyFont="1" applyFill="1" applyAlignment="1" applyProtection="1">
      <alignment horizontal="center" vertical="center"/>
      <protection hidden="1"/>
    </xf>
    <xf numFmtId="164" fontId="38" fillId="8" borderId="0" xfId="0" applyNumberFormat="1" applyFont="1" applyFill="1" applyAlignment="1" applyProtection="1">
      <alignment horizontal="center" vertical="center"/>
      <protection locked="0"/>
    </xf>
    <xf numFmtId="165" fontId="7" fillId="8" borderId="0" xfId="0" applyNumberFormat="1" applyFont="1" applyFill="1" applyAlignment="1" applyProtection="1">
      <alignment horizontal="center" vertical="center" wrapText="1"/>
      <protection locked="0"/>
    </xf>
    <xf numFmtId="0" fontId="59" fillId="8" borderId="0" xfId="0" applyFont="1" applyFill="1" applyAlignment="1" applyProtection="1">
      <alignment horizontal="center" vertical="center" wrapText="1"/>
      <protection hidden="1"/>
    </xf>
    <xf numFmtId="0" fontId="9" fillId="0" borderId="0" xfId="0" applyFont="1" applyAlignment="1" applyProtection="1">
      <alignment horizontal="center" vertical="center"/>
      <protection hidden="1"/>
    </xf>
    <xf numFmtId="9" fontId="61" fillId="8" borderId="0" xfId="2" applyFont="1" applyFill="1" applyBorder="1" applyAlignment="1" applyProtection="1">
      <alignment horizontal="left" vertical="center"/>
      <protection hidden="1"/>
    </xf>
    <xf numFmtId="9" fontId="62" fillId="8" borderId="0" xfId="2" applyFont="1" applyFill="1" applyBorder="1" applyAlignment="1" applyProtection="1">
      <alignment horizontal="left" vertical="center"/>
      <protection hidden="1"/>
    </xf>
    <xf numFmtId="9" fontId="7" fillId="8" borderId="0" xfId="2" applyFont="1" applyFill="1" applyBorder="1" applyAlignment="1" applyProtection="1">
      <alignment horizontal="center" vertical="center"/>
      <protection locked="0"/>
    </xf>
    <xf numFmtId="0" fontId="58" fillId="8" borderId="0" xfId="0" applyFont="1" applyFill="1" applyAlignment="1" applyProtection="1">
      <alignment horizontal="right" vertical="center" wrapText="1"/>
      <protection hidden="1"/>
    </xf>
    <xf numFmtId="9" fontId="61" fillId="8" borderId="0" xfId="2" applyFont="1" applyFill="1" applyBorder="1" applyAlignment="1" applyProtection="1">
      <alignment horizontal="left" vertical="center"/>
      <protection locked="0" hidden="1"/>
    </xf>
    <xf numFmtId="2" fontId="34" fillId="8" borderId="0" xfId="2" applyNumberFormat="1" applyFont="1" applyFill="1" applyBorder="1" applyAlignment="1" applyProtection="1">
      <alignment horizontal="center" vertical="center"/>
    </xf>
    <xf numFmtId="9" fontId="62" fillId="8" borderId="0" xfId="2" applyFont="1" applyFill="1" applyBorder="1" applyAlignment="1" applyProtection="1">
      <alignment horizontal="left" vertical="center"/>
      <protection locked="0" hidden="1"/>
    </xf>
    <xf numFmtId="2" fontId="62" fillId="8" borderId="0" xfId="1" applyNumberFormat="1" applyFont="1" applyFill="1" applyBorder="1" applyAlignment="1" applyProtection="1">
      <alignment horizontal="left" vertical="center"/>
      <protection locked="0" hidden="1"/>
    </xf>
    <xf numFmtId="166" fontId="7" fillId="8" borderId="0" xfId="2" applyNumberFormat="1" applyFont="1" applyFill="1" applyBorder="1" applyAlignment="1" applyProtection="1">
      <alignment horizontal="center" vertical="center"/>
      <protection locked="0"/>
    </xf>
    <xf numFmtId="2" fontId="31" fillId="0" borderId="0" xfId="0" applyNumberFormat="1" applyFont="1"/>
    <xf numFmtId="2" fontId="63" fillId="8" borderId="0" xfId="1" applyNumberFormat="1" applyFont="1" applyFill="1" applyBorder="1" applyAlignment="1" applyProtection="1">
      <alignment horizontal="center" vertical="center"/>
      <protection locked="0" hidden="1"/>
    </xf>
    <xf numFmtId="2" fontId="34" fillId="8" borderId="0" xfId="0" applyNumberFormat="1" applyFont="1" applyFill="1" applyAlignment="1" applyProtection="1">
      <alignment horizontal="center" vertical="center"/>
      <protection hidden="1"/>
    </xf>
    <xf numFmtId="2" fontId="7" fillId="8" borderId="0" xfId="1" applyNumberFormat="1" applyFont="1" applyFill="1" applyBorder="1" applyAlignment="1" applyProtection="1">
      <alignment horizontal="center" vertical="center"/>
      <protection locked="0" hidden="1"/>
    </xf>
    <xf numFmtId="2" fontId="7" fillId="8" borderId="0" xfId="0" applyNumberFormat="1" applyFont="1" applyFill="1" applyAlignment="1" applyProtection="1">
      <alignment horizontal="center" vertical="center"/>
      <protection hidden="1"/>
    </xf>
    <xf numFmtId="0" fontId="38" fillId="0" borderId="0" xfId="0" applyFont="1"/>
    <xf numFmtId="0" fontId="64" fillId="8" borderId="0" xfId="0" applyFont="1" applyFill="1" applyAlignment="1" applyProtection="1">
      <alignment vertical="center"/>
      <protection hidden="1"/>
    </xf>
    <xf numFmtId="0" fontId="17" fillId="8" borderId="0" xfId="0" applyFont="1" applyFill="1" applyAlignment="1" applyProtection="1">
      <alignment vertical="center" wrapText="1"/>
      <protection hidden="1"/>
    </xf>
    <xf numFmtId="0" fontId="14" fillId="8" borderId="0" xfId="0" applyFont="1" applyFill="1" applyAlignment="1" applyProtection="1">
      <alignment vertical="center"/>
      <protection hidden="1"/>
    </xf>
    <xf numFmtId="0" fontId="17" fillId="8" borderId="0" xfId="0" applyFont="1" applyFill="1" applyAlignment="1" applyProtection="1">
      <alignment horizontal="center" vertical="center" wrapText="1"/>
      <protection hidden="1"/>
    </xf>
    <xf numFmtId="0" fontId="63" fillId="8" borderId="0" xfId="0" applyFont="1" applyFill="1" applyAlignment="1">
      <alignment vertical="center" wrapText="1"/>
    </xf>
    <xf numFmtId="0" fontId="7" fillId="8" borderId="0" xfId="0" applyFont="1" applyFill="1" applyAlignment="1">
      <alignment vertical="center" wrapText="1"/>
    </xf>
    <xf numFmtId="0" fontId="65" fillId="8" borderId="0" xfId="0" applyFont="1" applyFill="1" applyAlignment="1" applyProtection="1">
      <alignment horizontal="center" vertical="center" wrapText="1"/>
      <protection hidden="1"/>
    </xf>
    <xf numFmtId="0" fontId="66" fillId="8" borderId="0" xfId="0" applyFont="1" applyFill="1" applyAlignment="1" applyProtection="1">
      <alignment horizontal="center" vertical="center" wrapText="1"/>
      <protection hidden="1"/>
    </xf>
    <xf numFmtId="0" fontId="9" fillId="8" borderId="0" xfId="0" applyFont="1" applyFill="1" applyAlignment="1" applyProtection="1">
      <alignment horizontal="center" vertical="center" wrapText="1"/>
      <protection hidden="1"/>
    </xf>
    <xf numFmtId="0" fontId="9" fillId="8" borderId="0" xfId="0" applyFont="1" applyFill="1" applyAlignment="1" applyProtection="1">
      <alignment horizontal="center" vertical="center"/>
      <protection hidden="1"/>
    </xf>
    <xf numFmtId="0" fontId="38" fillId="8" borderId="0" xfId="0" applyFont="1" applyFill="1" applyAlignment="1" applyProtection="1">
      <alignment horizontal="center" vertical="center"/>
      <protection hidden="1"/>
    </xf>
    <xf numFmtId="0" fontId="38" fillId="8" borderId="0" xfId="0" applyFont="1" applyFill="1" applyAlignment="1" applyProtection="1">
      <alignment horizontal="center" vertical="center" wrapText="1"/>
      <protection hidden="1"/>
    </xf>
    <xf numFmtId="0" fontId="67" fillId="8" borderId="0" xfId="0" applyFont="1" applyFill="1" applyAlignment="1" applyProtection="1">
      <alignment vertical="center" wrapText="1"/>
      <protection hidden="1"/>
    </xf>
    <xf numFmtId="0" fontId="68" fillId="8" borderId="0" xfId="0" applyFont="1" applyFill="1" applyAlignment="1" applyProtection="1">
      <alignment vertical="center" wrapText="1"/>
      <protection hidden="1"/>
    </xf>
    <xf numFmtId="0" fontId="68" fillId="8" borderId="0" xfId="0" applyFont="1" applyFill="1" applyAlignment="1" applyProtection="1">
      <alignment horizontal="center" vertical="center" wrapText="1"/>
      <protection hidden="1"/>
    </xf>
    <xf numFmtId="0" fontId="69" fillId="8" borderId="0" xfId="0" applyFont="1" applyFill="1" applyAlignment="1" applyProtection="1">
      <alignment horizontal="left" vertical="center" wrapText="1"/>
      <protection hidden="1"/>
    </xf>
    <xf numFmtId="0" fontId="31" fillId="2" borderId="0" xfId="0" applyFont="1" applyFill="1" applyProtection="1">
      <protection hidden="1"/>
    </xf>
    <xf numFmtId="0" fontId="31" fillId="3" borderId="0" xfId="0" applyFont="1" applyFill="1" applyProtection="1">
      <protection hidden="1"/>
    </xf>
    <xf numFmtId="0" fontId="58" fillId="3" borderId="0" xfId="0" applyFont="1" applyFill="1" applyAlignment="1" applyProtection="1">
      <alignment horizontal="right" vertical="center" wrapText="1"/>
      <protection hidden="1"/>
    </xf>
    <xf numFmtId="0" fontId="58" fillId="2" borderId="1" xfId="0" applyFont="1" applyFill="1" applyBorder="1" applyAlignment="1" applyProtection="1">
      <alignment horizontal="right" vertical="center" wrapText="1"/>
      <protection hidden="1"/>
    </xf>
    <xf numFmtId="0" fontId="31" fillId="3" borderId="0" xfId="0" applyFont="1" applyFill="1" applyAlignment="1" applyProtection="1">
      <alignment horizontal="center" vertical="center"/>
      <protection hidden="1"/>
    </xf>
    <xf numFmtId="0" fontId="46" fillId="3" borderId="0" xfId="0" applyFont="1" applyFill="1" applyAlignment="1" applyProtection="1">
      <alignment horizontal="right" vertical="center" wrapText="1"/>
      <protection hidden="1"/>
    </xf>
    <xf numFmtId="0" fontId="46" fillId="2" borderId="1" xfId="0" applyFont="1" applyFill="1" applyBorder="1" applyAlignment="1" applyProtection="1">
      <alignment horizontal="right" vertical="center" wrapText="1"/>
      <protection hidden="1"/>
    </xf>
    <xf numFmtId="0" fontId="8" fillId="3" borderId="0" xfId="0" applyFont="1" applyFill="1" applyAlignment="1" applyProtection="1">
      <alignment horizontal="center" vertical="center" wrapText="1"/>
      <protection hidden="1"/>
    </xf>
    <xf numFmtId="165" fontId="72" fillId="3" borderId="10" xfId="0" applyNumberFormat="1" applyFont="1" applyFill="1" applyBorder="1" applyAlignment="1" applyProtection="1">
      <alignment horizontal="center" vertical="center"/>
      <protection hidden="1"/>
    </xf>
    <xf numFmtId="165" fontId="72" fillId="3" borderId="0" xfId="0" applyNumberFormat="1" applyFont="1" applyFill="1" applyAlignment="1" applyProtection="1">
      <alignment horizontal="center" vertical="center"/>
      <protection hidden="1"/>
    </xf>
    <xf numFmtId="0" fontId="58" fillId="3" borderId="10" xfId="0" applyFont="1" applyFill="1" applyBorder="1" applyAlignment="1" applyProtection="1">
      <alignment horizontal="right" vertical="center" wrapText="1"/>
      <protection hidden="1"/>
    </xf>
    <xf numFmtId="3" fontId="7" fillId="2" borderId="1" xfId="0" applyNumberFormat="1" applyFont="1" applyFill="1" applyBorder="1" applyAlignment="1" applyProtection="1">
      <alignment horizontal="center" vertical="center"/>
      <protection hidden="1"/>
    </xf>
    <xf numFmtId="3" fontId="7" fillId="3" borderId="0" xfId="0" applyNumberFormat="1" applyFont="1" applyFill="1" applyAlignment="1" applyProtection="1">
      <alignment horizontal="center" vertical="center"/>
      <protection hidden="1"/>
    </xf>
    <xf numFmtId="0" fontId="8" fillId="3" borderId="0" xfId="0" applyFont="1" applyFill="1" applyAlignment="1" applyProtection="1">
      <alignment vertical="center" wrapText="1"/>
      <protection hidden="1"/>
    </xf>
    <xf numFmtId="0" fontId="8" fillId="3" borderId="2" xfId="0" applyFont="1" applyFill="1" applyBorder="1" applyAlignment="1" applyProtection="1">
      <alignment horizontal="center" vertical="center" wrapText="1"/>
      <protection hidden="1"/>
    </xf>
    <xf numFmtId="0" fontId="73" fillId="2" borderId="0" xfId="0" applyFont="1" applyFill="1" applyProtection="1">
      <protection hidden="1"/>
    </xf>
    <xf numFmtId="0" fontId="74" fillId="3" borderId="0" xfId="0" applyFont="1" applyFill="1" applyAlignment="1" applyProtection="1">
      <alignment vertical="center" wrapText="1"/>
      <protection hidden="1"/>
    </xf>
    <xf numFmtId="0" fontId="73" fillId="3" borderId="0" xfId="0" applyFont="1" applyFill="1" applyAlignment="1" applyProtection="1">
      <alignment horizontal="center" vertical="center"/>
      <protection hidden="1"/>
    </xf>
    <xf numFmtId="3" fontId="7" fillId="3" borderId="10" xfId="0" applyNumberFormat="1" applyFont="1" applyFill="1" applyBorder="1" applyAlignment="1" applyProtection="1">
      <alignment horizontal="center" vertical="center"/>
      <protection hidden="1"/>
    </xf>
    <xf numFmtId="3" fontId="76" fillId="2" borderId="1" xfId="0" applyNumberFormat="1" applyFont="1" applyFill="1" applyBorder="1" applyAlignment="1" applyProtection="1">
      <alignment horizontal="center" vertical="center"/>
      <protection hidden="1"/>
    </xf>
    <xf numFmtId="3" fontId="76" fillId="3" borderId="0" xfId="0" applyNumberFormat="1" applyFont="1" applyFill="1" applyAlignment="1" applyProtection="1">
      <alignment horizontal="center" vertical="center"/>
      <protection hidden="1"/>
    </xf>
    <xf numFmtId="0" fontId="77" fillId="3" borderId="0" xfId="0" applyFont="1" applyFill="1" applyAlignment="1" applyProtection="1">
      <alignment horizontal="right" vertical="center" wrapText="1"/>
      <protection hidden="1"/>
    </xf>
    <xf numFmtId="0" fontId="77" fillId="2" borderId="1" xfId="0" applyFont="1" applyFill="1" applyBorder="1" applyAlignment="1" applyProtection="1">
      <alignment horizontal="right" vertical="center" wrapText="1"/>
      <protection hidden="1"/>
    </xf>
    <xf numFmtId="0" fontId="8" fillId="3" borderId="0" xfId="0" applyFont="1" applyFill="1" applyAlignment="1" applyProtection="1">
      <alignment horizontal="center" vertical="center"/>
      <protection hidden="1"/>
    </xf>
    <xf numFmtId="0" fontId="31" fillId="2" borderId="0" xfId="0" applyFont="1" applyFill="1" applyAlignment="1" applyProtection="1">
      <alignment wrapText="1"/>
      <protection hidden="1"/>
    </xf>
    <xf numFmtId="0" fontId="31" fillId="3" borderId="0" xfId="0" applyFont="1" applyFill="1" applyAlignment="1" applyProtection="1">
      <alignment wrapText="1"/>
      <protection hidden="1"/>
    </xf>
    <xf numFmtId="0" fontId="38" fillId="3" borderId="0" xfId="0" applyFont="1" applyFill="1" applyAlignment="1" applyProtection="1">
      <alignment vertical="center" wrapText="1"/>
      <protection hidden="1"/>
    </xf>
    <xf numFmtId="0" fontId="31" fillId="3" borderId="0" xfId="0" applyFont="1" applyFill="1" applyAlignment="1" applyProtection="1">
      <alignment horizontal="center" vertical="center" wrapText="1"/>
      <protection hidden="1"/>
    </xf>
    <xf numFmtId="165" fontId="31" fillId="2" borderId="0" xfId="0" applyNumberFormat="1" applyFont="1" applyFill="1" applyProtection="1">
      <protection hidden="1"/>
    </xf>
    <xf numFmtId="1" fontId="32" fillId="10" borderId="0" xfId="2" applyNumberFormat="1" applyFont="1" applyFill="1" applyBorder="1" applyAlignment="1" applyProtection="1">
      <alignment horizontal="center" vertical="center"/>
      <protection locked="0"/>
    </xf>
    <xf numFmtId="0" fontId="7" fillId="5" borderId="1" xfId="0" applyFont="1" applyFill="1" applyBorder="1" applyAlignment="1" applyProtection="1">
      <alignment horizontal="center" vertical="center" wrapText="1"/>
      <protection locked="0" hidden="1"/>
    </xf>
    <xf numFmtId="0" fontId="36" fillId="2" borderId="3" xfId="0" applyFont="1" applyFill="1" applyBorder="1" applyAlignment="1" applyProtection="1">
      <alignment horizontal="center" vertical="center" wrapText="1"/>
      <protection hidden="1"/>
    </xf>
    <xf numFmtId="0" fontId="9" fillId="2" borderId="1" xfId="0" applyFont="1" applyFill="1" applyBorder="1" applyAlignment="1" applyProtection="1">
      <alignment horizontal="center" vertical="center" wrapText="1"/>
      <protection hidden="1"/>
    </xf>
    <xf numFmtId="9" fontId="0" fillId="0" borderId="0" xfId="0" applyNumberFormat="1"/>
    <xf numFmtId="0" fontId="31" fillId="7" borderId="0" xfId="0" applyFont="1" applyFill="1" applyAlignment="1" applyProtection="1">
      <alignment horizontal="center" vertical="center"/>
      <protection hidden="1"/>
    </xf>
    <xf numFmtId="0" fontId="40" fillId="7" borderId="0" xfId="0" applyFont="1" applyFill="1" applyAlignment="1" applyProtection="1">
      <alignment horizontal="center" vertical="center"/>
      <protection hidden="1"/>
    </xf>
    <xf numFmtId="0" fontId="7" fillId="18" borderId="0" xfId="0" applyFont="1" applyFill="1"/>
    <xf numFmtId="0" fontId="83" fillId="2" borderId="1" xfId="0" applyFont="1" applyFill="1" applyBorder="1" applyAlignment="1">
      <alignment horizontal="center" vertical="center" wrapText="1"/>
    </xf>
    <xf numFmtId="0" fontId="83" fillId="10" borderId="0" xfId="0" applyFont="1" applyFill="1" applyAlignment="1" applyProtection="1">
      <alignment vertical="center" wrapText="1"/>
      <protection hidden="1"/>
    </xf>
    <xf numFmtId="0" fontId="36" fillId="2" borderId="1" xfId="0" applyFont="1" applyFill="1" applyBorder="1" applyAlignment="1" applyProtection="1">
      <alignment horizontal="center" vertical="center" wrapText="1"/>
      <protection hidden="1"/>
    </xf>
    <xf numFmtId="0" fontId="84" fillId="18" borderId="0" xfId="0" applyFont="1" applyFill="1" applyAlignment="1" applyProtection="1">
      <alignment horizontal="center" vertical="center"/>
      <protection hidden="1"/>
    </xf>
    <xf numFmtId="0" fontId="31" fillId="18" borderId="0" xfId="0" applyFont="1" applyFill="1" applyAlignment="1" applyProtection="1">
      <alignment horizontal="center" vertical="center"/>
      <protection hidden="1"/>
    </xf>
    <xf numFmtId="2" fontId="34" fillId="2" borderId="1" xfId="1" applyNumberFormat="1" applyFont="1" applyFill="1" applyBorder="1" applyAlignment="1" applyProtection="1">
      <alignment horizontal="center" vertical="center"/>
      <protection hidden="1"/>
    </xf>
    <xf numFmtId="2" fontId="34" fillId="2" borderId="1" xfId="0" applyNumberFormat="1" applyFont="1" applyFill="1" applyBorder="1" applyAlignment="1" applyProtection="1">
      <alignment horizontal="center" vertical="center"/>
      <protection hidden="1"/>
    </xf>
    <xf numFmtId="0" fontId="38" fillId="2" borderId="1" xfId="0" applyFont="1" applyFill="1" applyBorder="1" applyAlignment="1" applyProtection="1">
      <alignment horizontal="center" vertical="center"/>
      <protection hidden="1"/>
    </xf>
    <xf numFmtId="0" fontId="8" fillId="2" borderId="1" xfId="0" applyFont="1" applyFill="1" applyBorder="1" applyAlignment="1">
      <alignment horizontal="center" vertical="center" wrapText="1"/>
    </xf>
    <xf numFmtId="0" fontId="38" fillId="2" borderId="1" xfId="0" applyFont="1" applyFill="1" applyBorder="1" applyAlignment="1" applyProtection="1">
      <alignment horizontal="center" vertical="center" wrapText="1"/>
      <protection hidden="1"/>
    </xf>
    <xf numFmtId="2" fontId="34" fillId="2" borderId="1" xfId="2" applyNumberFormat="1" applyFont="1" applyFill="1" applyBorder="1" applyAlignment="1" applyProtection="1">
      <alignment horizontal="center" vertical="center"/>
    </xf>
    <xf numFmtId="167" fontId="36" fillId="2" borderId="1" xfId="1" applyNumberFormat="1" applyFont="1" applyFill="1" applyBorder="1" applyAlignment="1" applyProtection="1">
      <alignment horizontal="center" vertical="center"/>
    </xf>
    <xf numFmtId="167" fontId="36" fillId="10" borderId="0" xfId="1" applyNumberFormat="1" applyFont="1" applyFill="1" applyBorder="1" applyAlignment="1" applyProtection="1">
      <alignment horizontal="center" vertical="center"/>
      <protection hidden="1"/>
    </xf>
    <xf numFmtId="167" fontId="9" fillId="13" borderId="3" xfId="2" applyNumberFormat="1" applyFont="1" applyFill="1" applyBorder="1" applyAlignment="1" applyProtection="1">
      <alignment horizontal="center" vertical="center"/>
      <protection locked="0"/>
    </xf>
    <xf numFmtId="167" fontId="9" fillId="10" borderId="7" xfId="2" applyNumberFormat="1" applyFont="1" applyFill="1" applyBorder="1" applyAlignment="1" applyProtection="1">
      <alignment horizontal="center" vertical="center"/>
      <protection hidden="1"/>
    </xf>
    <xf numFmtId="167" fontId="9" fillId="13" borderId="4" xfId="2" applyNumberFormat="1" applyFont="1" applyFill="1" applyBorder="1" applyAlignment="1" applyProtection="1">
      <alignment horizontal="center" vertical="center"/>
      <protection locked="0"/>
    </xf>
    <xf numFmtId="167" fontId="9" fillId="13" borderId="1" xfId="2" applyNumberFormat="1" applyFont="1" applyFill="1" applyBorder="1" applyAlignment="1" applyProtection="1">
      <alignment horizontal="center" vertical="center"/>
      <protection locked="0"/>
    </xf>
    <xf numFmtId="167" fontId="9" fillId="10" borderId="0" xfId="2" applyNumberFormat="1" applyFont="1" applyFill="1" applyBorder="1" applyAlignment="1" applyProtection="1">
      <alignment horizontal="center" vertical="center"/>
      <protection hidden="1"/>
    </xf>
    <xf numFmtId="168" fontId="9" fillId="13" borderId="1" xfId="0" applyNumberFormat="1" applyFont="1" applyFill="1" applyBorder="1" applyAlignment="1" applyProtection="1">
      <alignment horizontal="center" vertical="center" wrapText="1"/>
      <protection locked="0"/>
    </xf>
    <xf numFmtId="168" fontId="9" fillId="10" borderId="0" xfId="0" applyNumberFormat="1" applyFont="1" applyFill="1" applyAlignment="1" applyProtection="1">
      <alignment horizontal="center" vertical="center" wrapText="1"/>
      <protection hidden="1"/>
    </xf>
    <xf numFmtId="168" fontId="9" fillId="13" borderId="6" xfId="0" applyNumberFormat="1" applyFont="1" applyFill="1" applyBorder="1" applyAlignment="1" applyProtection="1">
      <alignment horizontal="center" vertical="center" wrapText="1"/>
      <protection locked="0"/>
    </xf>
    <xf numFmtId="167" fontId="9" fillId="10" borderId="0" xfId="0" applyNumberFormat="1" applyFont="1" applyFill="1" applyAlignment="1" applyProtection="1">
      <alignment horizontal="center" vertical="center"/>
      <protection hidden="1"/>
    </xf>
    <xf numFmtId="167" fontId="23" fillId="2" borderId="0" xfId="0" applyNumberFormat="1" applyFont="1" applyFill="1" applyAlignment="1">
      <alignment horizontal="center" vertical="center"/>
    </xf>
    <xf numFmtId="167" fontId="23" fillId="8" borderId="0" xfId="0" applyNumberFormat="1" applyFont="1" applyFill="1" applyAlignment="1" applyProtection="1">
      <alignment horizontal="center" vertical="center"/>
      <protection locked="0"/>
    </xf>
    <xf numFmtId="167" fontId="23" fillId="8" borderId="0" xfId="0" applyNumberFormat="1" applyFont="1" applyFill="1" applyAlignment="1" applyProtection="1">
      <alignment horizontal="center" vertical="center"/>
      <protection hidden="1"/>
    </xf>
    <xf numFmtId="167" fontId="23" fillId="2" borderId="2" xfId="0" applyNumberFormat="1" applyFont="1" applyFill="1" applyBorder="1" applyAlignment="1">
      <alignment horizontal="center" vertical="center"/>
    </xf>
    <xf numFmtId="168" fontId="9" fillId="2" borderId="1" xfId="0" applyNumberFormat="1" applyFont="1" applyFill="1" applyBorder="1" applyAlignment="1" applyProtection="1">
      <alignment horizontal="center" vertical="center"/>
      <protection hidden="1"/>
    </xf>
    <xf numFmtId="168" fontId="9" fillId="3" borderId="0" xfId="0" applyNumberFormat="1" applyFont="1" applyFill="1" applyAlignment="1" applyProtection="1">
      <alignment horizontal="center" vertical="center"/>
      <protection hidden="1"/>
    </xf>
    <xf numFmtId="168" fontId="72" fillId="2" borderId="1" xfId="0" applyNumberFormat="1" applyFont="1" applyFill="1" applyBorder="1" applyAlignment="1" applyProtection="1">
      <alignment horizontal="center" vertical="center"/>
      <protection hidden="1"/>
    </xf>
    <xf numFmtId="168" fontId="72" fillId="3" borderId="0" xfId="0" applyNumberFormat="1" applyFont="1" applyFill="1" applyAlignment="1" applyProtection="1">
      <alignment horizontal="center" vertical="center"/>
      <protection hidden="1"/>
    </xf>
    <xf numFmtId="168" fontId="7" fillId="2" borderId="1" xfId="0" applyNumberFormat="1" applyFont="1" applyFill="1" applyBorder="1" applyAlignment="1" applyProtection="1">
      <alignment horizontal="center" vertical="center"/>
      <protection hidden="1"/>
    </xf>
    <xf numFmtId="168" fontId="7" fillId="3" borderId="0" xfId="0" applyNumberFormat="1" applyFont="1" applyFill="1" applyAlignment="1" applyProtection="1">
      <alignment horizontal="center" vertical="center"/>
      <protection hidden="1"/>
    </xf>
    <xf numFmtId="167" fontId="0" fillId="0" borderId="0" xfId="0" applyNumberFormat="1" applyAlignment="1">
      <alignment horizontal="center" vertical="center"/>
    </xf>
    <xf numFmtId="164" fontId="89" fillId="10" borderId="0" xfId="0" applyNumberFormat="1" applyFont="1" applyFill="1" applyAlignment="1" applyProtection="1">
      <alignment horizontal="center" vertical="center" wrapText="1"/>
      <protection hidden="1"/>
    </xf>
    <xf numFmtId="164" fontId="89" fillId="10" borderId="0" xfId="0" applyNumberFormat="1" applyFont="1" applyFill="1" applyAlignment="1" applyProtection="1">
      <alignment vertical="center" wrapText="1"/>
      <protection hidden="1"/>
    </xf>
    <xf numFmtId="0" fontId="12" fillId="10" borderId="2" xfId="3" applyFont="1" applyFill="1" applyBorder="1" applyAlignment="1">
      <alignment horizontal="left" vertical="center"/>
    </xf>
    <xf numFmtId="0" fontId="7" fillId="2" borderId="0" xfId="0" applyFont="1" applyFill="1" applyAlignment="1">
      <alignment horizontal="left" vertical="top" wrapText="1"/>
    </xf>
    <xf numFmtId="0" fontId="7" fillId="10" borderId="0" xfId="0" applyFont="1" applyFill="1" applyAlignment="1">
      <alignment horizontal="left" vertical="center" wrapText="1"/>
    </xf>
    <xf numFmtId="0" fontId="20" fillId="4" borderId="0" xfId="0" applyFont="1" applyFill="1" applyAlignment="1">
      <alignment horizontal="left" vertical="center" wrapText="1"/>
    </xf>
    <xf numFmtId="0" fontId="11" fillId="14" borderId="0" xfId="0" applyFont="1" applyFill="1" applyAlignment="1">
      <alignment horizontal="center" vertical="center"/>
    </xf>
    <xf numFmtId="0" fontId="16" fillId="15" borderId="0" xfId="0" applyFont="1" applyFill="1" applyAlignment="1">
      <alignment horizontal="center" vertical="center"/>
    </xf>
    <xf numFmtId="0" fontId="31" fillId="2" borderId="0" xfId="0" applyFont="1" applyFill="1" applyAlignment="1" applyProtection="1">
      <alignment horizontal="right" vertical="center"/>
      <protection hidden="1"/>
    </xf>
    <xf numFmtId="0" fontId="8" fillId="2" borderId="4" xfId="0" applyFont="1" applyFill="1" applyBorder="1" applyAlignment="1" applyProtection="1">
      <alignment horizontal="center" vertical="center" wrapText="1"/>
      <protection hidden="1"/>
    </xf>
    <xf numFmtId="0" fontId="7" fillId="2" borderId="0" xfId="0" applyFont="1" applyFill="1" applyAlignment="1" applyProtection="1">
      <alignment horizontal="center" vertical="center" wrapText="1"/>
      <protection hidden="1"/>
    </xf>
    <xf numFmtId="0" fontId="8" fillId="2" borderId="1" xfId="0" applyFont="1" applyFill="1" applyBorder="1" applyAlignment="1" applyProtection="1">
      <alignment horizontal="center" vertical="center" wrapText="1"/>
      <protection hidden="1"/>
    </xf>
    <xf numFmtId="0" fontId="8" fillId="2" borderId="6" xfId="0" applyFont="1" applyFill="1" applyBorder="1" applyAlignment="1" applyProtection="1">
      <alignment horizontal="center" vertical="center" wrapText="1"/>
      <protection hidden="1"/>
    </xf>
    <xf numFmtId="0" fontId="8" fillId="2" borderId="8" xfId="0" applyFont="1" applyFill="1" applyBorder="1" applyAlignment="1" applyProtection="1">
      <alignment horizontal="center" vertical="center" wrapText="1"/>
      <protection hidden="1"/>
    </xf>
    <xf numFmtId="0" fontId="31" fillId="18" borderId="0" xfId="0" applyFont="1" applyFill="1" applyAlignment="1" applyProtection="1">
      <alignment horizontal="center"/>
      <protection hidden="1"/>
    </xf>
    <xf numFmtId="0" fontId="9" fillId="3" borderId="0" xfId="0" applyFont="1" applyFill="1" applyAlignment="1" applyProtection="1">
      <alignment horizontal="center" vertical="center"/>
      <protection hidden="1"/>
    </xf>
    <xf numFmtId="0" fontId="40" fillId="3" borderId="0" xfId="0" applyFont="1" applyFill="1" applyAlignment="1" applyProtection="1">
      <alignment horizontal="center" vertical="center"/>
      <protection hidden="1"/>
    </xf>
    <xf numFmtId="1" fontId="36" fillId="2" borderId="8" xfId="2" applyNumberFormat="1" applyFont="1" applyFill="1" applyBorder="1" applyAlignment="1" applyProtection="1">
      <alignment horizontal="center" vertical="center"/>
      <protection hidden="1"/>
    </xf>
    <xf numFmtId="1" fontId="36" fillId="2" borderId="8" xfId="2" applyNumberFormat="1" applyFont="1" applyFill="1" applyBorder="1" applyAlignment="1" applyProtection="1">
      <alignment horizontal="center" vertical="center"/>
    </xf>
    <xf numFmtId="1" fontId="36" fillId="13" borderId="6" xfId="2" applyNumberFormat="1" applyFont="1" applyFill="1" applyBorder="1" applyAlignment="1" applyProtection="1">
      <alignment horizontal="center" vertical="center"/>
      <protection locked="0" hidden="1"/>
    </xf>
    <xf numFmtId="1" fontId="36" fillId="13" borderId="6" xfId="2" applyNumberFormat="1" applyFont="1" applyFill="1" applyBorder="1" applyAlignment="1" applyProtection="1">
      <alignment horizontal="center" vertical="center"/>
      <protection locked="0"/>
    </xf>
    <xf numFmtId="9" fontId="0" fillId="0" borderId="0" xfId="2" applyFont="1" applyAlignment="1">
      <alignment horizontal="right" vertical="center"/>
    </xf>
    <xf numFmtId="0" fontId="0" fillId="0" borderId="0" xfId="2" applyNumberFormat="1" applyFont="1" applyAlignment="1">
      <alignment horizontal="right" vertical="center"/>
    </xf>
    <xf numFmtId="9" fontId="0" fillId="0" borderId="0" xfId="2" applyFont="1"/>
    <xf numFmtId="0" fontId="7" fillId="13" borderId="1" xfId="0" applyFont="1" applyFill="1" applyBorder="1" applyAlignment="1" applyProtection="1">
      <alignment horizontal="center" vertical="center" wrapText="1"/>
      <protection locked="0" hidden="1"/>
    </xf>
    <xf numFmtId="9" fontId="36" fillId="13" borderId="1" xfId="0" applyNumberFormat="1" applyFont="1" applyFill="1" applyBorder="1" applyAlignment="1" applyProtection="1">
      <alignment horizontal="center" vertical="center" wrapText="1"/>
      <protection locked="0" hidden="1"/>
    </xf>
    <xf numFmtId="9" fontId="36" fillId="2" borderId="3" xfId="0" applyNumberFormat="1" applyFont="1" applyFill="1" applyBorder="1" applyAlignment="1" applyProtection="1">
      <alignment horizontal="center" vertical="center"/>
      <protection hidden="1"/>
    </xf>
    <xf numFmtId="7" fontId="36" fillId="2" borderId="1" xfId="1" applyNumberFormat="1" applyFont="1" applyFill="1" applyBorder="1" applyAlignment="1" applyProtection="1">
      <alignment horizontal="center" vertical="center"/>
    </xf>
    <xf numFmtId="7" fontId="36" fillId="10" borderId="0" xfId="1" applyNumberFormat="1" applyFont="1" applyFill="1" applyBorder="1" applyAlignment="1" applyProtection="1">
      <alignment horizontal="center" vertical="center"/>
      <protection hidden="1"/>
    </xf>
    <xf numFmtId="0" fontId="7" fillId="2" borderId="1" xfId="0" applyFont="1" applyFill="1" applyBorder="1" applyAlignment="1" applyProtection="1">
      <alignment horizontal="center" vertical="center" wrapText="1"/>
      <protection hidden="1"/>
    </xf>
    <xf numFmtId="0" fontId="31" fillId="10" borderId="0" xfId="0" applyFont="1" applyFill="1" applyAlignment="1" applyProtection="1">
      <alignment vertical="top" wrapText="1"/>
      <protection hidden="1"/>
    </xf>
    <xf numFmtId="0" fontId="20" fillId="4" borderId="0" xfId="0" applyFont="1" applyFill="1" applyAlignment="1">
      <alignment horizontal="left" vertical="center" wrapText="1"/>
    </xf>
    <xf numFmtId="0" fontId="11" fillId="14" borderId="0" xfId="0" applyFont="1" applyFill="1" applyAlignment="1">
      <alignment horizontal="center" vertical="center"/>
    </xf>
    <xf numFmtId="0" fontId="16" fillId="15" borderId="0" xfId="0" applyFont="1" applyFill="1" applyAlignment="1">
      <alignment horizontal="center" vertical="center"/>
    </xf>
    <xf numFmtId="0" fontId="29" fillId="2" borderId="0" xfId="0" applyFont="1" applyFill="1" applyAlignment="1">
      <alignment horizontal="left" vertical="center" wrapText="1"/>
    </xf>
    <xf numFmtId="0" fontId="82" fillId="2" borderId="0" xfId="0" applyFont="1" applyFill="1" applyAlignment="1">
      <alignment horizontal="left" vertical="center" wrapText="1"/>
    </xf>
    <xf numFmtId="0" fontId="22" fillId="2" borderId="0" xfId="0" applyFont="1" applyFill="1" applyAlignment="1">
      <alignment horizontal="left" vertical="center" wrapText="1"/>
    </xf>
    <xf numFmtId="0" fontId="19" fillId="4" borderId="0" xfId="0" applyFont="1" applyFill="1" applyAlignment="1">
      <alignment horizontal="left" vertical="center" wrapText="1"/>
    </xf>
    <xf numFmtId="0" fontId="18" fillId="4" borderId="0" xfId="0" applyFont="1" applyFill="1" applyAlignment="1">
      <alignment horizontal="left" vertical="center" wrapText="1"/>
    </xf>
    <xf numFmtId="0" fontId="14" fillId="10" borderId="9" xfId="0" applyFont="1" applyFill="1" applyBorder="1" applyAlignment="1">
      <alignment horizontal="center" vertical="center"/>
    </xf>
    <xf numFmtId="0" fontId="14" fillId="10" borderId="10" xfId="0" applyFont="1" applyFill="1" applyBorder="1" applyAlignment="1">
      <alignment horizontal="center" vertical="center"/>
    </xf>
    <xf numFmtId="0" fontId="14" fillId="10" borderId="11" xfId="0" applyFont="1" applyFill="1" applyBorder="1" applyAlignment="1">
      <alignment horizontal="center" vertical="center"/>
    </xf>
    <xf numFmtId="0" fontId="8" fillId="12" borderId="1" xfId="0" applyFont="1" applyFill="1" applyBorder="1" applyAlignment="1">
      <alignment horizontal="center" vertical="center" wrapText="1"/>
    </xf>
    <xf numFmtId="0" fontId="7" fillId="10" borderId="1" xfId="0" applyFont="1" applyFill="1" applyBorder="1" applyAlignment="1">
      <alignment horizontal="left" vertical="center" wrapText="1"/>
    </xf>
    <xf numFmtId="0" fontId="8" fillId="12" borderId="6" xfId="0" applyFont="1" applyFill="1" applyBorder="1" applyAlignment="1">
      <alignment horizontal="center" vertical="center" wrapText="1"/>
    </xf>
    <xf numFmtId="0" fontId="7" fillId="10" borderId="3" xfId="0" applyFont="1" applyFill="1" applyBorder="1" applyAlignment="1">
      <alignment horizontal="left" vertical="center" wrapText="1"/>
    </xf>
    <xf numFmtId="0" fontId="7" fillId="10" borderId="5" xfId="0" applyFont="1" applyFill="1" applyBorder="1" applyAlignment="1">
      <alignment horizontal="left" vertical="center" wrapText="1"/>
    </xf>
    <xf numFmtId="0" fontId="7" fillId="10" borderId="4" xfId="0" applyFont="1" applyFill="1" applyBorder="1" applyAlignment="1">
      <alignment horizontal="left" vertical="center" wrapText="1"/>
    </xf>
    <xf numFmtId="0" fontId="7" fillId="10" borderId="12" xfId="0" applyFont="1" applyFill="1" applyBorder="1" applyAlignment="1">
      <alignment horizontal="right" vertical="center" wrapText="1"/>
    </xf>
    <xf numFmtId="0" fontId="7" fillId="10" borderId="0" xfId="0" applyFont="1" applyFill="1" applyAlignment="1">
      <alignment horizontal="right" vertical="center" wrapText="1"/>
    </xf>
    <xf numFmtId="0" fontId="7" fillId="10" borderId="14" xfId="0" applyFont="1" applyFill="1" applyBorder="1" applyAlignment="1">
      <alignment horizontal="right" vertical="center" wrapText="1"/>
    </xf>
    <xf numFmtId="0" fontId="7" fillId="10" borderId="2" xfId="0" applyFont="1" applyFill="1" applyBorder="1" applyAlignment="1">
      <alignment horizontal="right" vertical="center" wrapText="1"/>
    </xf>
    <xf numFmtId="0" fontId="14" fillId="10" borderId="9" xfId="0" applyFont="1" applyFill="1" applyBorder="1" applyAlignment="1">
      <alignment horizontal="center" vertical="center" wrapText="1"/>
    </xf>
    <xf numFmtId="0" fontId="14" fillId="10" borderId="10" xfId="0" applyFont="1" applyFill="1" applyBorder="1" applyAlignment="1">
      <alignment horizontal="center" vertical="center" wrapText="1"/>
    </xf>
    <xf numFmtId="0" fontId="14" fillId="10" borderId="11" xfId="0" applyFont="1" applyFill="1" applyBorder="1" applyAlignment="1">
      <alignment horizontal="center" vertical="center" wrapText="1"/>
    </xf>
    <xf numFmtId="0" fontId="12" fillId="10" borderId="0" xfId="3" applyFont="1" applyFill="1" applyBorder="1" applyAlignment="1">
      <alignment horizontal="left" vertical="center" wrapText="1"/>
    </xf>
    <xf numFmtId="0" fontId="12" fillId="10" borderId="13" xfId="3" applyFont="1" applyFill="1" applyBorder="1" applyAlignment="1">
      <alignment horizontal="left" vertical="center" wrapText="1"/>
    </xf>
    <xf numFmtId="0" fontId="7" fillId="10" borderId="12" xfId="0" applyFont="1" applyFill="1" applyBorder="1" applyAlignment="1">
      <alignment horizontal="left" vertical="center" wrapText="1"/>
    </xf>
    <xf numFmtId="0" fontId="7" fillId="10" borderId="0" xfId="0" applyFont="1" applyFill="1" applyAlignment="1">
      <alignment horizontal="left" vertical="center" wrapText="1"/>
    </xf>
    <xf numFmtId="0" fontId="7" fillId="10" borderId="0" xfId="0" applyFont="1" applyFill="1" applyAlignment="1">
      <alignment horizontal="left" vertical="top" wrapText="1"/>
    </xf>
    <xf numFmtId="0" fontId="12" fillId="10" borderId="2" xfId="3" applyFont="1" applyFill="1" applyBorder="1" applyAlignment="1">
      <alignment horizontal="left" vertical="center"/>
    </xf>
    <xf numFmtId="0" fontId="12" fillId="10" borderId="15" xfId="3" applyFont="1" applyFill="1" applyBorder="1" applyAlignment="1">
      <alignment horizontal="left" vertical="center"/>
    </xf>
    <xf numFmtId="0" fontId="7" fillId="2" borderId="0" xfId="0" applyFont="1" applyFill="1" applyAlignment="1">
      <alignment horizontal="left" vertical="top" wrapText="1"/>
    </xf>
    <xf numFmtId="0" fontId="11" fillId="9" borderId="0" xfId="0" applyFont="1" applyFill="1" applyAlignment="1">
      <alignment horizontal="center" vertical="center"/>
    </xf>
    <xf numFmtId="0" fontId="11" fillId="7" borderId="0" xfId="0" applyFont="1" applyFill="1" applyAlignment="1">
      <alignment horizontal="center" vertical="center"/>
    </xf>
    <xf numFmtId="0" fontId="9" fillId="6" borderId="0" xfId="0" applyFont="1" applyFill="1" applyAlignment="1">
      <alignment horizontal="center" vertical="center"/>
    </xf>
    <xf numFmtId="0" fontId="87" fillId="11" borderId="3" xfId="0" applyFont="1" applyFill="1" applyBorder="1" applyAlignment="1">
      <alignment horizontal="center"/>
    </xf>
    <xf numFmtId="0" fontId="87" fillId="11" borderId="5" xfId="0" applyFont="1" applyFill="1" applyBorder="1" applyAlignment="1">
      <alignment horizontal="center"/>
    </xf>
    <xf numFmtId="0" fontId="87" fillId="11" borderId="4" xfId="0" applyFont="1" applyFill="1" applyBorder="1" applyAlignment="1">
      <alignment horizontal="center"/>
    </xf>
    <xf numFmtId="0" fontId="7" fillId="10" borderId="3" xfId="0" applyFont="1" applyFill="1" applyBorder="1" applyAlignment="1">
      <alignment horizontal="center" vertical="center" wrapText="1"/>
    </xf>
    <xf numFmtId="0" fontId="7" fillId="10" borderId="5" xfId="0" applyFont="1" applyFill="1" applyBorder="1" applyAlignment="1">
      <alignment horizontal="center" vertical="center" wrapText="1"/>
    </xf>
    <xf numFmtId="0" fontId="7" fillId="10" borderId="4" xfId="0" applyFont="1" applyFill="1" applyBorder="1" applyAlignment="1">
      <alignment horizontal="center" vertical="center" wrapText="1"/>
    </xf>
    <xf numFmtId="0" fontId="7" fillId="8" borderId="0" xfId="0" applyFont="1" applyFill="1" applyAlignment="1">
      <alignment horizontal="center" vertical="center" wrapText="1"/>
    </xf>
    <xf numFmtId="0" fontId="7" fillId="3" borderId="0" xfId="0" applyFont="1" applyFill="1" applyAlignment="1">
      <alignment horizontal="center" vertical="center" wrapText="1"/>
    </xf>
    <xf numFmtId="0" fontId="7" fillId="2" borderId="5" xfId="0" applyFont="1" applyFill="1" applyBorder="1" applyAlignment="1" applyProtection="1">
      <alignment horizontal="center" vertical="center" wrapText="1"/>
      <protection hidden="1"/>
    </xf>
    <xf numFmtId="0" fontId="7" fillId="2" borderId="4" xfId="0" applyFont="1" applyFill="1" applyBorder="1" applyAlignment="1" applyProtection="1">
      <alignment horizontal="center" vertical="center" wrapText="1"/>
      <protection hidden="1"/>
    </xf>
    <xf numFmtId="0" fontId="8" fillId="2" borderId="3" xfId="0" applyFont="1" applyFill="1" applyBorder="1" applyAlignment="1" applyProtection="1">
      <alignment horizontal="center" vertical="center"/>
      <protection hidden="1"/>
    </xf>
    <xf numFmtId="0" fontId="8" fillId="2" borderId="5" xfId="0" applyFont="1" applyFill="1" applyBorder="1" applyAlignment="1" applyProtection="1">
      <alignment horizontal="center" vertical="center"/>
      <protection hidden="1"/>
    </xf>
    <xf numFmtId="0" fontId="8" fillId="2" borderId="4" xfId="0" applyFont="1" applyFill="1" applyBorder="1" applyAlignment="1" applyProtection="1">
      <alignment horizontal="center" vertical="center"/>
      <protection hidden="1"/>
    </xf>
    <xf numFmtId="0" fontId="41" fillId="12" borderId="0" xfId="0" applyFont="1" applyFill="1" applyAlignment="1" applyProtection="1">
      <alignment horizontal="center" vertical="center"/>
      <protection hidden="1"/>
    </xf>
    <xf numFmtId="0" fontId="9" fillId="10" borderId="2" xfId="0" applyFont="1" applyFill="1" applyBorder="1" applyAlignment="1" applyProtection="1">
      <alignment horizontal="left"/>
      <protection hidden="1"/>
    </xf>
    <xf numFmtId="0" fontId="35" fillId="10" borderId="0" xfId="0" applyFont="1" applyFill="1" applyAlignment="1" applyProtection="1">
      <alignment horizontal="left" vertical="center" wrapText="1"/>
      <protection hidden="1"/>
    </xf>
    <xf numFmtId="0" fontId="16" fillId="11" borderId="0" xfId="0" applyFont="1" applyFill="1" applyAlignment="1" applyProtection="1">
      <alignment horizontal="center" vertical="center"/>
      <protection hidden="1"/>
    </xf>
    <xf numFmtId="167" fontId="9" fillId="13" borderId="6" xfId="0" applyNumberFormat="1" applyFont="1" applyFill="1" applyBorder="1" applyAlignment="1" applyProtection="1">
      <alignment horizontal="center" vertical="center"/>
      <protection locked="0"/>
    </xf>
    <xf numFmtId="167" fontId="9" fillId="13" borderId="8" xfId="0" applyNumberFormat="1" applyFont="1" applyFill="1" applyBorder="1" applyAlignment="1" applyProtection="1">
      <alignment horizontal="center" vertical="center"/>
      <protection locked="0"/>
    </xf>
    <xf numFmtId="0" fontId="31" fillId="2" borderId="0" xfId="0" applyFont="1" applyFill="1" applyAlignment="1" applyProtection="1">
      <alignment horizontal="right" vertical="center"/>
      <protection hidden="1"/>
    </xf>
    <xf numFmtId="0" fontId="54" fillId="14" borderId="0" xfId="0" applyFont="1" applyFill="1" applyAlignment="1" applyProtection="1">
      <alignment horizontal="center" vertical="center"/>
      <protection hidden="1"/>
    </xf>
    <xf numFmtId="0" fontId="7" fillId="2" borderId="5" xfId="0" applyFont="1" applyFill="1" applyBorder="1" applyAlignment="1" applyProtection="1">
      <alignment horizontal="left" vertical="center"/>
      <protection hidden="1"/>
    </xf>
    <xf numFmtId="0" fontId="7" fillId="2" borderId="4" xfId="0" applyFont="1" applyFill="1" applyBorder="1" applyAlignment="1" applyProtection="1">
      <alignment horizontal="left" vertical="center"/>
      <protection hidden="1"/>
    </xf>
    <xf numFmtId="0" fontId="8" fillId="2" borderId="3" xfId="0" applyFont="1" applyFill="1" applyBorder="1" applyAlignment="1" applyProtection="1">
      <alignment horizontal="center" vertical="center" wrapText="1"/>
      <protection hidden="1"/>
    </xf>
    <xf numFmtId="0" fontId="8" fillId="2" borderId="4" xfId="0" applyFont="1" applyFill="1" applyBorder="1" applyAlignment="1" applyProtection="1">
      <alignment horizontal="center" vertical="center" wrapText="1"/>
      <protection hidden="1"/>
    </xf>
    <xf numFmtId="0" fontId="57" fillId="10" borderId="0" xfId="0" applyFont="1" applyFill="1" applyAlignment="1" applyProtection="1">
      <alignment horizontal="center" vertical="top" wrapText="1"/>
      <protection hidden="1"/>
    </xf>
    <xf numFmtId="0" fontId="7" fillId="2" borderId="5" xfId="0" applyFont="1" applyFill="1" applyBorder="1" applyAlignment="1" applyProtection="1">
      <alignment horizontal="left" vertical="center" wrapText="1"/>
      <protection hidden="1"/>
    </xf>
    <xf numFmtId="0" fontId="7" fillId="2" borderId="4" xfId="0" applyFont="1" applyFill="1" applyBorder="1" applyAlignment="1" applyProtection="1">
      <alignment horizontal="left" vertical="center" wrapText="1"/>
      <protection hidden="1"/>
    </xf>
    <xf numFmtId="0" fontId="72" fillId="2" borderId="9" xfId="0" applyFont="1" applyFill="1" applyBorder="1" applyAlignment="1" applyProtection="1">
      <alignment horizontal="center" vertical="top" wrapText="1"/>
      <protection hidden="1"/>
    </xf>
    <xf numFmtId="0" fontId="72" fillId="2" borderId="10" xfId="0" applyFont="1" applyFill="1" applyBorder="1" applyAlignment="1" applyProtection="1">
      <alignment horizontal="center" vertical="top" wrapText="1"/>
      <protection hidden="1"/>
    </xf>
    <xf numFmtId="0" fontId="72" fillId="2" borderId="11" xfId="0" applyFont="1" applyFill="1" applyBorder="1" applyAlignment="1" applyProtection="1">
      <alignment horizontal="center" vertical="top" wrapText="1"/>
      <protection hidden="1"/>
    </xf>
    <xf numFmtId="0" fontId="72" fillId="2" borderId="12" xfId="0" applyFont="1" applyFill="1" applyBorder="1" applyAlignment="1" applyProtection="1">
      <alignment horizontal="center" vertical="top" wrapText="1"/>
      <protection hidden="1"/>
    </xf>
    <xf numFmtId="0" fontId="72" fillId="2" borderId="0" xfId="0" applyFont="1" applyFill="1" applyAlignment="1" applyProtection="1">
      <alignment horizontal="center" vertical="top" wrapText="1"/>
      <protection hidden="1"/>
    </xf>
    <xf numFmtId="0" fontId="72" fillId="2" borderId="13" xfId="0" applyFont="1" applyFill="1" applyBorder="1" applyAlignment="1" applyProtection="1">
      <alignment horizontal="center" vertical="top" wrapText="1"/>
      <protection hidden="1"/>
    </xf>
    <xf numFmtId="0" fontId="72" fillId="2" borderId="14" xfId="0" applyFont="1" applyFill="1" applyBorder="1" applyAlignment="1" applyProtection="1">
      <alignment horizontal="center" vertical="top" wrapText="1"/>
      <protection hidden="1"/>
    </xf>
    <xf numFmtId="0" fontId="72" fillId="2" borderId="2" xfId="0" applyFont="1" applyFill="1" applyBorder="1" applyAlignment="1" applyProtection="1">
      <alignment horizontal="center" vertical="top" wrapText="1"/>
      <protection hidden="1"/>
    </xf>
    <xf numFmtId="0" fontId="72" fillId="2" borderId="15" xfId="0" applyFont="1" applyFill="1" applyBorder="1" applyAlignment="1" applyProtection="1">
      <alignment horizontal="center" vertical="top" wrapText="1"/>
      <protection hidden="1"/>
    </xf>
    <xf numFmtId="0" fontId="8" fillId="2" borderId="1" xfId="0" applyFont="1" applyFill="1" applyBorder="1" applyAlignment="1" applyProtection="1">
      <alignment horizontal="center" vertical="center" wrapText="1"/>
      <protection hidden="1"/>
    </xf>
    <xf numFmtId="0" fontId="9" fillId="8" borderId="0" xfId="0" applyFont="1" applyFill="1" applyAlignment="1" applyProtection="1">
      <alignment horizontal="left" vertical="center"/>
      <protection hidden="1"/>
    </xf>
    <xf numFmtId="0" fontId="31" fillId="8" borderId="0" xfId="0" applyFont="1" applyFill="1" applyAlignment="1">
      <alignment horizontal="center"/>
    </xf>
    <xf numFmtId="0" fontId="56" fillId="8" borderId="0" xfId="0" applyFont="1" applyFill="1" applyAlignment="1" applyProtection="1">
      <alignment horizontal="left" vertical="center" wrapText="1"/>
      <protection hidden="1"/>
    </xf>
    <xf numFmtId="0" fontId="60" fillId="8" borderId="0" xfId="0" applyFont="1" applyFill="1" applyAlignment="1" applyProtection="1">
      <alignment horizontal="right" vertical="center"/>
      <protection hidden="1"/>
    </xf>
    <xf numFmtId="0" fontId="8" fillId="2" borderId="6" xfId="0" applyFont="1" applyFill="1" applyBorder="1" applyAlignment="1" applyProtection="1">
      <alignment horizontal="center" vertical="center" wrapText="1"/>
      <protection hidden="1"/>
    </xf>
    <xf numFmtId="0" fontId="8" fillId="2" borderId="8" xfId="0" applyFont="1" applyFill="1" applyBorder="1" applyAlignment="1" applyProtection="1">
      <alignment horizontal="center" vertical="center" wrapText="1"/>
      <protection hidden="1"/>
    </xf>
    <xf numFmtId="0" fontId="54" fillId="9" borderId="0" xfId="0" applyFont="1" applyFill="1" applyAlignment="1" applyProtection="1">
      <alignment horizontal="center" vertical="center" wrapText="1"/>
      <protection hidden="1"/>
    </xf>
    <xf numFmtId="0" fontId="41" fillId="16" borderId="0" xfId="0" applyFont="1" applyFill="1" applyAlignment="1" applyProtection="1">
      <alignment horizontal="center" vertical="center" wrapText="1"/>
      <protection hidden="1"/>
    </xf>
    <xf numFmtId="0" fontId="70" fillId="19" borderId="0" xfId="0" applyFont="1" applyFill="1" applyAlignment="1" applyProtection="1">
      <alignment horizontal="center" vertical="center" wrapText="1"/>
      <protection hidden="1"/>
    </xf>
    <xf numFmtId="0" fontId="31" fillId="18" borderId="0" xfId="0" applyFont="1" applyFill="1" applyAlignment="1" applyProtection="1">
      <alignment horizontal="center"/>
      <protection hidden="1"/>
    </xf>
    <xf numFmtId="0" fontId="9" fillId="3" borderId="0" xfId="0" applyFont="1" applyFill="1" applyAlignment="1" applyProtection="1">
      <alignment horizontal="center" vertical="center"/>
      <protection hidden="1"/>
    </xf>
    <xf numFmtId="0" fontId="70" fillId="17" borderId="0" xfId="0" applyFont="1" applyFill="1" applyAlignment="1" applyProtection="1">
      <alignment horizontal="center" vertical="center" wrapText="1"/>
      <protection hidden="1"/>
    </xf>
    <xf numFmtId="0" fontId="40" fillId="3" borderId="0" xfId="0" applyFont="1" applyFill="1" applyAlignment="1" applyProtection="1">
      <alignment horizontal="center" vertical="center"/>
      <protection hidden="1"/>
    </xf>
    <xf numFmtId="0" fontId="41" fillId="17" borderId="0" xfId="0" applyFont="1" applyFill="1" applyAlignment="1" applyProtection="1">
      <alignment horizontal="center" vertical="center"/>
      <protection hidden="1"/>
    </xf>
    <xf numFmtId="0" fontId="54" fillId="7" borderId="0" xfId="0" applyFont="1" applyFill="1" applyAlignment="1" applyProtection="1">
      <alignment horizontal="center" vertical="center"/>
      <protection hidden="1"/>
    </xf>
    <xf numFmtId="0" fontId="16" fillId="20" borderId="0" xfId="0" applyFont="1" applyFill="1" applyAlignment="1" applyProtection="1">
      <alignment horizontal="center" vertical="center"/>
      <protection hidden="1"/>
    </xf>
    <xf numFmtId="0" fontId="16" fillId="21" borderId="0" xfId="0" applyFont="1" applyFill="1" applyAlignment="1" applyProtection="1">
      <alignment horizontal="center" vertical="center"/>
      <protection hidden="1"/>
    </xf>
  </cellXfs>
  <cellStyles count="4">
    <cellStyle name="Currency" xfId="1" builtinId="4"/>
    <cellStyle name="Hyperlink" xfId="3" builtinId="8"/>
    <cellStyle name="Normal" xfId="0" builtinId="0"/>
    <cellStyle name="Percent" xfId="2" builtinId="5"/>
  </cellStyles>
  <dxfs count="1">
    <dxf>
      <font>
        <strike val="0"/>
        <color theme="8"/>
      </font>
    </dxf>
  </dxfs>
  <tableStyles count="0" defaultTableStyle="TableStyleMedium2" defaultPivotStyle="PivotStyleLight16"/>
  <colors>
    <mruColors>
      <color rgb="FFD2EFDF"/>
      <color rgb="FFDFE3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12</xdr:col>
      <xdr:colOff>1168400</xdr:colOff>
      <xdr:row>1</xdr:row>
      <xdr:rowOff>165100</xdr:rowOff>
    </xdr:from>
    <xdr:ext cx="1162050" cy="520700"/>
    <xdr:pic>
      <xdr:nvPicPr>
        <xdr:cNvPr id="2" name="Picture 1">
          <a:extLst>
            <a:ext uri="{FF2B5EF4-FFF2-40B4-BE49-F238E27FC236}">
              <a16:creationId xmlns:a16="http://schemas.microsoft.com/office/drawing/2014/main" id="{FA99F207-493F-4863-8521-69D82302381C}"/>
            </a:ext>
          </a:extLst>
        </xdr:cNvPr>
        <xdr:cNvPicPr>
          <a:picLocks noChangeAspect="1"/>
        </xdr:cNvPicPr>
      </xdr:nvPicPr>
      <xdr:blipFill>
        <a:blip xmlns:r="http://schemas.openxmlformats.org/officeDocument/2006/relationships" r:embed="rId1"/>
        <a:stretch>
          <a:fillRect/>
        </a:stretch>
      </xdr:blipFill>
      <xdr:spPr>
        <a:xfrm>
          <a:off x="8007350" y="349250"/>
          <a:ext cx="1162050" cy="520700"/>
        </a:xfrm>
        <a:prstGeom prst="rect">
          <a:avLst/>
        </a:prstGeom>
      </xdr:spPr>
    </xdr:pic>
    <xdr:clientData/>
  </xdr:oneCellAnchor>
  <xdr:twoCellAnchor>
    <xdr:from>
      <xdr:col>0</xdr:col>
      <xdr:colOff>38100</xdr:colOff>
      <xdr:row>1</xdr:row>
      <xdr:rowOff>359410</xdr:rowOff>
    </xdr:from>
    <xdr:to>
      <xdr:col>4</xdr:col>
      <xdr:colOff>114300</xdr:colOff>
      <xdr:row>2</xdr:row>
      <xdr:rowOff>76200</xdr:rowOff>
    </xdr:to>
    <xdr:sp macro="" textlink="">
      <xdr:nvSpPr>
        <xdr:cNvPr id="4" name="Triangle 3">
          <a:extLst>
            <a:ext uri="{FF2B5EF4-FFF2-40B4-BE49-F238E27FC236}">
              <a16:creationId xmlns:a16="http://schemas.microsoft.com/office/drawing/2014/main" id="{7891DD26-1C18-814E-8714-3F0C1CEBED7A}"/>
            </a:ext>
          </a:extLst>
        </xdr:cNvPr>
        <xdr:cNvSpPr/>
      </xdr:nvSpPr>
      <xdr:spPr>
        <a:xfrm>
          <a:off x="38100" y="549910"/>
          <a:ext cx="1381125" cy="1259840"/>
        </a:xfrm>
        <a:prstGeom prst="triangle">
          <a:avLst/>
        </a:prstGeom>
        <a:solidFill>
          <a:schemeClr val="accent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nchorCtr="0"/>
        <a:lstStyle/>
        <a:p>
          <a:pPr algn="ctr"/>
          <a:r>
            <a:rPr lang="fr-FR" sz="1600" b="1">
              <a:latin typeface="Arial" panose="020B0604020202020204" pitchFamily="34" charset="0"/>
              <a:cs typeface="Arial" panose="020B0604020202020204" pitchFamily="34" charset="0"/>
            </a:rPr>
            <a:t>VPC</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2</xdr:col>
      <xdr:colOff>272146</xdr:colOff>
      <xdr:row>6</xdr:row>
      <xdr:rowOff>4920</xdr:rowOff>
    </xdr:from>
    <xdr:ext cx="242116" cy="717627"/>
    <xdr:pic>
      <xdr:nvPicPr>
        <xdr:cNvPr id="2" name="Picture 1">
          <a:extLst>
            <a:ext uri="{FF2B5EF4-FFF2-40B4-BE49-F238E27FC236}">
              <a16:creationId xmlns:a16="http://schemas.microsoft.com/office/drawing/2014/main" id="{F7AF0881-61FA-44E2-89AB-9EBA59F298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819" b="1819"/>
        <a:stretch/>
      </xdr:blipFill>
      <xdr:spPr>
        <a:xfrm>
          <a:off x="1504046" y="1109820"/>
          <a:ext cx="242116" cy="717627"/>
        </a:xfrm>
        <a:prstGeom prst="rect">
          <a:avLst/>
        </a:prstGeom>
      </xdr:spPr>
    </xdr:pic>
    <xdr:clientData/>
  </xdr:oneCellAnchor>
  <xdr:twoCellAnchor>
    <xdr:from>
      <xdr:col>2</xdr:col>
      <xdr:colOff>532915</xdr:colOff>
      <xdr:row>5</xdr:row>
      <xdr:rowOff>542425</xdr:rowOff>
    </xdr:from>
    <xdr:to>
      <xdr:col>3</xdr:col>
      <xdr:colOff>858035</xdr:colOff>
      <xdr:row>7</xdr:row>
      <xdr:rowOff>127000</xdr:rowOff>
    </xdr:to>
    <xdr:sp macro="" textlink="">
      <xdr:nvSpPr>
        <xdr:cNvPr id="3" name="TextBox 2">
          <a:extLst>
            <a:ext uri="{FF2B5EF4-FFF2-40B4-BE49-F238E27FC236}">
              <a16:creationId xmlns:a16="http://schemas.microsoft.com/office/drawing/2014/main" id="{0A9A7159-77C5-46DE-BB02-9D86FBA23325}"/>
            </a:ext>
          </a:extLst>
        </xdr:cNvPr>
        <xdr:cNvSpPr txBox="1"/>
      </xdr:nvSpPr>
      <xdr:spPr>
        <a:xfrm>
          <a:off x="1764815" y="1107575"/>
          <a:ext cx="699770" cy="308475"/>
        </a:xfrm>
        <a:prstGeom prst="rect">
          <a:avLst/>
        </a:prstGeom>
        <a:solidFill>
          <a:srgbClr val="E8EBEB"/>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fr-FR" sz="1000">
              <a:latin typeface="Arial" panose="020B0604020202020204" pitchFamily="34" charset="0"/>
              <a:cs typeface="Arial" panose="020B0604020202020204" pitchFamily="34" charset="0"/>
            </a:rPr>
            <a:t>Volume ou coût inférieur</a:t>
          </a:r>
        </a:p>
      </xdr:txBody>
    </xdr:sp>
    <xdr:clientData/>
  </xdr:twoCellAnchor>
  <xdr:twoCellAnchor>
    <xdr:from>
      <xdr:col>2</xdr:col>
      <xdr:colOff>521461</xdr:colOff>
      <xdr:row>7</xdr:row>
      <xdr:rowOff>415712</xdr:rowOff>
    </xdr:from>
    <xdr:to>
      <xdr:col>4</xdr:col>
      <xdr:colOff>64770</xdr:colOff>
      <xdr:row>7</xdr:row>
      <xdr:rowOff>781050</xdr:rowOff>
    </xdr:to>
    <xdr:sp macro="" textlink="">
      <xdr:nvSpPr>
        <xdr:cNvPr id="4" name="TextBox 3">
          <a:extLst>
            <a:ext uri="{FF2B5EF4-FFF2-40B4-BE49-F238E27FC236}">
              <a16:creationId xmlns:a16="http://schemas.microsoft.com/office/drawing/2014/main" id="{2BF365DC-D1C8-49D6-A71D-46009F859A9D}"/>
            </a:ext>
          </a:extLst>
        </xdr:cNvPr>
        <xdr:cNvSpPr txBox="1"/>
      </xdr:nvSpPr>
      <xdr:spPr>
        <a:xfrm>
          <a:off x="1007236" y="2377862"/>
          <a:ext cx="1705484" cy="365338"/>
        </a:xfrm>
        <a:prstGeom prst="rect">
          <a:avLst/>
        </a:prstGeom>
        <a:solidFill>
          <a:srgbClr val="E8EBEB"/>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fr-FR" sz="1000">
              <a:latin typeface="Arial" panose="020B0604020202020204" pitchFamily="34" charset="0"/>
              <a:cs typeface="Arial" panose="020B0604020202020204" pitchFamily="34" charset="0"/>
            </a:rPr>
            <a:t>Volume ou coût plus élevé</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3</xdr:col>
      <xdr:colOff>20320</xdr:colOff>
      <xdr:row>5</xdr:row>
      <xdr:rowOff>273213</xdr:rowOff>
    </xdr:from>
    <xdr:ext cx="191815" cy="684335"/>
    <xdr:pic>
      <xdr:nvPicPr>
        <xdr:cNvPr id="2" name="Picture 1">
          <a:extLst>
            <a:ext uri="{FF2B5EF4-FFF2-40B4-BE49-F238E27FC236}">
              <a16:creationId xmlns:a16="http://schemas.microsoft.com/office/drawing/2014/main" id="{B2AA5B4B-2AFE-4C0D-9FC2-A9EDCE7E8EF4}"/>
            </a:ext>
          </a:extLst>
        </xdr:cNvPr>
        <xdr:cNvPicPr>
          <a:picLocks noChangeAspect="1"/>
        </xdr:cNvPicPr>
      </xdr:nvPicPr>
      <xdr:blipFill rotWithShape="1">
        <a:blip xmlns:r="http://schemas.openxmlformats.org/officeDocument/2006/relationships" r:embed="rId1"/>
        <a:srcRect t="2241"/>
        <a:stretch/>
      </xdr:blipFill>
      <xdr:spPr>
        <a:xfrm>
          <a:off x="1252220" y="1105063"/>
          <a:ext cx="191815" cy="684335"/>
        </a:xfrm>
        <a:prstGeom prst="rect">
          <a:avLst/>
        </a:prstGeom>
      </xdr:spPr>
    </xdr:pic>
    <xdr:clientData/>
  </xdr:oneCellAnchor>
  <xdr:twoCellAnchor>
    <xdr:from>
      <xdr:col>3</xdr:col>
      <xdr:colOff>229867</xdr:colOff>
      <xdr:row>5</xdr:row>
      <xdr:rowOff>219708</xdr:rowOff>
    </xdr:from>
    <xdr:to>
      <xdr:col>4</xdr:col>
      <xdr:colOff>76200</xdr:colOff>
      <xdr:row>5</xdr:row>
      <xdr:rowOff>638175</xdr:rowOff>
    </xdr:to>
    <xdr:sp macro="" textlink="">
      <xdr:nvSpPr>
        <xdr:cNvPr id="3" name="TextBox 2">
          <a:extLst>
            <a:ext uri="{FF2B5EF4-FFF2-40B4-BE49-F238E27FC236}">
              <a16:creationId xmlns:a16="http://schemas.microsoft.com/office/drawing/2014/main" id="{0C6A1D5C-94D9-4B1E-A30E-E050201B8E19}"/>
            </a:ext>
          </a:extLst>
        </xdr:cNvPr>
        <xdr:cNvSpPr txBox="1"/>
      </xdr:nvSpPr>
      <xdr:spPr>
        <a:xfrm>
          <a:off x="1201417" y="1677033"/>
          <a:ext cx="1246508" cy="418467"/>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fr-FR" sz="800">
              <a:latin typeface="Arial" panose="020B0604020202020204" pitchFamily="34" charset="0"/>
              <a:cs typeface="Arial" panose="020B0604020202020204" pitchFamily="34" charset="0"/>
            </a:rPr>
            <a:t>Volume ou coût inférieur</a:t>
          </a:r>
        </a:p>
      </xdr:txBody>
    </xdr:sp>
    <xdr:clientData/>
  </xdr:twoCellAnchor>
  <xdr:twoCellAnchor>
    <xdr:from>
      <xdr:col>3</xdr:col>
      <xdr:colOff>247650</xdr:colOff>
      <xdr:row>5</xdr:row>
      <xdr:rowOff>727075</xdr:rowOff>
    </xdr:from>
    <xdr:to>
      <xdr:col>4</xdr:col>
      <xdr:colOff>53341</xdr:colOff>
      <xdr:row>5</xdr:row>
      <xdr:rowOff>1152525</xdr:rowOff>
    </xdr:to>
    <xdr:sp macro="" textlink="">
      <xdr:nvSpPr>
        <xdr:cNvPr id="4" name="TextBox 3">
          <a:extLst>
            <a:ext uri="{FF2B5EF4-FFF2-40B4-BE49-F238E27FC236}">
              <a16:creationId xmlns:a16="http://schemas.microsoft.com/office/drawing/2014/main" id="{7AF58A67-C46E-43E2-8745-2D3B15728A3D}"/>
            </a:ext>
          </a:extLst>
        </xdr:cNvPr>
        <xdr:cNvSpPr txBox="1"/>
      </xdr:nvSpPr>
      <xdr:spPr>
        <a:xfrm>
          <a:off x="1219200" y="2184400"/>
          <a:ext cx="1205866" cy="425450"/>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fr-FR" sz="800">
              <a:latin typeface="Arial" panose="020B0604020202020204" pitchFamily="34" charset="0"/>
              <a:cs typeface="Arial" panose="020B0604020202020204" pitchFamily="34" charset="0"/>
            </a:rPr>
            <a:t>Volume ou coût plus élevé</a:t>
          </a:r>
        </a:p>
      </xdr:txBody>
    </xdr:sp>
    <xdr:clientData/>
  </xdr:twoCellAnchor>
</xdr:wsDr>
</file>

<file path=xl/theme/theme1.xml><?xml version="1.0" encoding="utf-8"?>
<a:theme xmlns:a="http://schemas.openxmlformats.org/drawingml/2006/main" name="Office Theme">
  <a:themeElements>
    <a:clrScheme name="PATH - Shigella">
      <a:dk1>
        <a:srgbClr val="3F4856"/>
      </a:dk1>
      <a:lt1>
        <a:srgbClr val="FFFFFF"/>
      </a:lt1>
      <a:dk2>
        <a:srgbClr val="F65050"/>
      </a:dk2>
      <a:lt2>
        <a:srgbClr val="F5EFE9"/>
      </a:lt2>
      <a:accent1>
        <a:srgbClr val="009BA8"/>
      </a:accent1>
      <a:accent2>
        <a:srgbClr val="00602C"/>
      </a:accent2>
      <a:accent3>
        <a:srgbClr val="00AA49"/>
      </a:accent3>
      <a:accent4>
        <a:srgbClr val="FF2C3B"/>
      </a:accent4>
      <a:accent5>
        <a:srgbClr val="39339F"/>
      </a:accent5>
      <a:accent6>
        <a:srgbClr val="6863D8"/>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immunizationeconomics.org/thinkwell-idcc/" TargetMode="External"/><Relationship Id="rId2" Type="http://schemas.openxmlformats.org/officeDocument/2006/relationships/hyperlink" Target="https://www.unicef.org/supply/documents/syringe-and-safety-box-bundles-price-data" TargetMode="External"/><Relationship Id="rId1" Type="http://schemas.openxmlformats.org/officeDocument/2006/relationships/hyperlink" Target="https://www.unicef.org/supply/handling-fee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avi.org/our-alliance/market-shaping/product-information-vaccines-cold-chain-equipment"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immunizationeconomics.org/thinkwell-idcc/"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41BF7-4F8A-4679-9EA8-A8562BD00245}">
  <sheetPr>
    <tabColor theme="3"/>
  </sheetPr>
  <dimension ref="A1:P59"/>
  <sheetViews>
    <sheetView tabSelected="1" zoomScaleNormal="100" zoomScaleSheetLayoutView="70" workbookViewId="0"/>
  </sheetViews>
  <sheetFormatPr defaultColWidth="8.77734375" defaultRowHeight="15" x14ac:dyDescent="0.25"/>
  <cols>
    <col min="1" max="1" width="4.21875" style="9" customWidth="1"/>
    <col min="2" max="3" width="3.21875" style="9" customWidth="1"/>
    <col min="4" max="4" width="8.77734375" style="9" customWidth="1"/>
    <col min="5" max="6" width="7.21875" style="9" customWidth="1"/>
    <col min="7" max="11" width="8.77734375" style="9"/>
    <col min="12" max="12" width="11.44140625" style="9" customWidth="1"/>
    <col min="13" max="13" width="29.77734375" style="9" customWidth="1"/>
    <col min="14" max="15" width="3.21875" style="9" customWidth="1"/>
    <col min="16" max="16" width="4.21875" style="9" customWidth="1"/>
    <col min="17" max="16384" width="8.77734375" style="9"/>
  </cols>
  <sheetData>
    <row r="1" spans="1:16" ht="15" customHeight="1" x14ac:dyDescent="0.25">
      <c r="A1" s="10"/>
      <c r="B1" s="263"/>
      <c r="C1" s="263"/>
      <c r="D1" s="263"/>
      <c r="E1" s="263"/>
      <c r="F1" s="263"/>
      <c r="G1" s="263"/>
      <c r="H1" s="263"/>
      <c r="I1" s="263"/>
      <c r="J1" s="263"/>
      <c r="K1" s="263"/>
      <c r="L1" s="263"/>
      <c r="M1" s="263"/>
      <c r="N1" s="263"/>
      <c r="O1" s="263"/>
      <c r="P1" s="10"/>
    </row>
    <row r="2" spans="1:16" ht="122.1" customHeight="1" x14ac:dyDescent="0.25">
      <c r="A2" s="10"/>
      <c r="C2" s="45"/>
      <c r="D2" s="45"/>
      <c r="E2" s="331" t="s">
        <v>0</v>
      </c>
      <c r="F2" s="331"/>
      <c r="G2" s="331"/>
      <c r="H2" s="331"/>
      <c r="I2" s="331"/>
      <c r="J2" s="331"/>
      <c r="K2" s="331"/>
      <c r="L2" s="331"/>
      <c r="M2" s="44"/>
      <c r="N2" s="44"/>
      <c r="P2" s="10"/>
    </row>
    <row r="3" spans="1:16" ht="54" customHeight="1" x14ac:dyDescent="0.25">
      <c r="A3" s="10"/>
      <c r="C3" s="43"/>
      <c r="D3" s="43"/>
      <c r="E3" s="332" t="s">
        <v>1</v>
      </c>
      <c r="F3" s="332"/>
      <c r="G3" s="332"/>
      <c r="H3" s="332"/>
      <c r="I3" s="332"/>
      <c r="J3" s="332"/>
      <c r="K3" s="332"/>
      <c r="L3" s="332"/>
      <c r="M3" s="42" t="s">
        <v>2</v>
      </c>
      <c r="N3" s="42"/>
      <c r="P3" s="10"/>
    </row>
    <row r="4" spans="1:16" ht="34.799999999999997" customHeight="1" x14ac:dyDescent="0.25">
      <c r="A4" s="10"/>
      <c r="B4" s="10"/>
      <c r="C4" s="328" t="s">
        <v>3</v>
      </c>
      <c r="D4" s="328"/>
      <c r="E4" s="328"/>
      <c r="F4" s="328"/>
      <c r="G4" s="328"/>
      <c r="H4" s="328"/>
      <c r="I4" s="328"/>
      <c r="J4" s="328"/>
      <c r="K4" s="328"/>
      <c r="L4" s="328"/>
      <c r="M4" s="328"/>
      <c r="N4" s="302"/>
      <c r="O4" s="10"/>
      <c r="P4" s="10"/>
    </row>
    <row r="5" spans="1:16" ht="8.1" customHeight="1" x14ac:dyDescent="0.25">
      <c r="A5" s="10"/>
      <c r="B5" s="10"/>
      <c r="C5" s="10"/>
      <c r="D5" s="41"/>
      <c r="E5" s="41"/>
      <c r="F5" s="41"/>
      <c r="G5" s="41"/>
      <c r="H5" s="41"/>
      <c r="I5" s="41"/>
      <c r="J5" s="41"/>
      <c r="K5" s="41"/>
      <c r="L5" s="41"/>
      <c r="M5" s="41"/>
      <c r="N5" s="41"/>
      <c r="O5" s="10"/>
      <c r="P5" s="10"/>
    </row>
    <row r="6" spans="1:16" ht="46.05" customHeight="1" x14ac:dyDescent="0.25">
      <c r="A6" s="10"/>
      <c r="B6" s="36"/>
      <c r="C6" s="40"/>
      <c r="D6" s="330" t="s">
        <v>4</v>
      </c>
      <c r="E6" s="330"/>
      <c r="F6" s="330"/>
      <c r="G6" s="330"/>
      <c r="H6" s="330"/>
      <c r="I6" s="330"/>
      <c r="J6" s="330"/>
      <c r="K6" s="330"/>
      <c r="L6" s="330"/>
      <c r="M6" s="330"/>
      <c r="N6" s="304"/>
      <c r="O6" s="40"/>
      <c r="P6" s="10"/>
    </row>
    <row r="7" spans="1:16" ht="7.8" customHeight="1" x14ac:dyDescent="0.25">
      <c r="A7" s="10"/>
      <c r="B7" s="10"/>
      <c r="C7" s="10"/>
      <c r="D7" s="10"/>
      <c r="E7" s="10"/>
      <c r="F7" s="10"/>
      <c r="G7" s="10"/>
      <c r="H7" s="10"/>
      <c r="I7" s="10"/>
      <c r="J7" s="10"/>
      <c r="K7" s="10"/>
      <c r="L7" s="10"/>
      <c r="M7" s="10"/>
      <c r="N7" s="10"/>
      <c r="O7" s="10"/>
      <c r="P7" s="10"/>
    </row>
    <row r="8" spans="1:16" ht="378.6" customHeight="1" x14ac:dyDescent="0.25">
      <c r="A8" s="10"/>
      <c r="B8" s="10"/>
      <c r="D8" s="333" t="s">
        <v>135</v>
      </c>
      <c r="E8" s="333"/>
      <c r="F8" s="333"/>
      <c r="G8" s="333"/>
      <c r="H8" s="333"/>
      <c r="I8" s="333"/>
      <c r="J8" s="333"/>
      <c r="K8" s="333"/>
      <c r="L8" s="333"/>
      <c r="M8" s="333"/>
      <c r="N8" s="39"/>
      <c r="O8" s="10"/>
      <c r="P8" s="10"/>
    </row>
    <row r="9" spans="1:16" ht="8.1" customHeight="1" x14ac:dyDescent="0.25">
      <c r="A9" s="10"/>
      <c r="B9" s="10"/>
      <c r="C9" s="10"/>
      <c r="D9" s="38"/>
      <c r="E9" s="38"/>
      <c r="F9" s="38"/>
      <c r="G9" s="38"/>
      <c r="H9" s="38"/>
      <c r="I9" s="38"/>
      <c r="J9" s="38"/>
      <c r="K9" s="38"/>
      <c r="L9" s="38"/>
      <c r="M9" s="38"/>
      <c r="N9" s="38"/>
      <c r="O9" s="10"/>
      <c r="P9" s="10"/>
    </row>
    <row r="10" spans="1:16" ht="126" customHeight="1" x14ac:dyDescent="0.25">
      <c r="A10" s="10"/>
      <c r="B10" s="10"/>
      <c r="C10" s="10"/>
      <c r="D10" s="334" t="s">
        <v>5</v>
      </c>
      <c r="E10" s="335"/>
      <c r="F10" s="335"/>
      <c r="G10" s="335"/>
      <c r="H10" s="335"/>
      <c r="I10" s="335"/>
      <c r="J10" s="335"/>
      <c r="K10" s="335"/>
      <c r="L10" s="335"/>
      <c r="M10" s="335"/>
      <c r="N10" s="37"/>
      <c r="O10" s="10"/>
      <c r="P10" s="10"/>
    </row>
    <row r="11" spans="1:16" ht="8.1" customHeight="1" x14ac:dyDescent="0.25">
      <c r="A11" s="10"/>
      <c r="B11" s="10"/>
      <c r="C11" s="10"/>
      <c r="D11" s="10"/>
      <c r="E11" s="10"/>
      <c r="F11" s="10"/>
      <c r="G11" s="10"/>
      <c r="H11" s="10"/>
      <c r="I11" s="10"/>
      <c r="J11" s="10"/>
      <c r="K11" s="10"/>
      <c r="L11" s="10"/>
      <c r="M11" s="10"/>
      <c r="N11" s="10"/>
      <c r="O11" s="10"/>
      <c r="P11" s="10"/>
    </row>
    <row r="12" spans="1:16" ht="49.05" customHeight="1" x14ac:dyDescent="0.25">
      <c r="A12" s="10"/>
      <c r="B12" s="36"/>
      <c r="C12" s="35"/>
      <c r="D12" s="330" t="s">
        <v>6</v>
      </c>
      <c r="E12" s="330"/>
      <c r="F12" s="330"/>
      <c r="G12" s="330"/>
      <c r="H12" s="330"/>
      <c r="I12" s="330"/>
      <c r="J12" s="330"/>
      <c r="K12" s="330"/>
      <c r="L12" s="330"/>
      <c r="M12" s="330"/>
      <c r="N12" s="304"/>
      <c r="O12" s="35"/>
      <c r="P12" s="10"/>
    </row>
    <row r="13" spans="1:16" ht="5.0999999999999996" customHeight="1" x14ac:dyDescent="0.25">
      <c r="A13" s="10"/>
      <c r="B13" s="10"/>
      <c r="C13" s="10"/>
      <c r="D13" s="10"/>
      <c r="E13" s="10"/>
      <c r="F13" s="10"/>
      <c r="G13" s="10"/>
      <c r="H13" s="10"/>
      <c r="I13" s="10"/>
      <c r="J13" s="10"/>
      <c r="K13" s="10"/>
      <c r="L13" s="10"/>
      <c r="M13" s="10"/>
      <c r="N13" s="10"/>
      <c r="O13" s="10"/>
      <c r="P13" s="10"/>
    </row>
    <row r="14" spans="1:16" ht="29.1" customHeight="1" x14ac:dyDescent="0.25">
      <c r="A14" s="10"/>
      <c r="B14" s="10"/>
      <c r="C14" s="34"/>
      <c r="D14" s="329" t="s">
        <v>7</v>
      </c>
      <c r="E14" s="329"/>
      <c r="F14" s="329"/>
      <c r="G14" s="329"/>
      <c r="H14" s="329"/>
      <c r="I14" s="329"/>
      <c r="J14" s="329"/>
      <c r="K14" s="329"/>
      <c r="L14" s="329"/>
      <c r="M14" s="329"/>
      <c r="N14" s="303"/>
      <c r="O14" s="10"/>
      <c r="P14" s="10"/>
    </row>
    <row r="15" spans="1:16" ht="8.1" customHeight="1" x14ac:dyDescent="0.25">
      <c r="A15" s="10"/>
      <c r="B15" s="10"/>
      <c r="O15" s="10"/>
      <c r="P15" s="10"/>
    </row>
    <row r="16" spans="1:16" ht="15.6" customHeight="1" x14ac:dyDescent="0.25">
      <c r="A16" s="10"/>
      <c r="B16" s="10"/>
      <c r="D16" s="33"/>
      <c r="E16" s="356" t="s">
        <v>8</v>
      </c>
      <c r="F16" s="356"/>
      <c r="G16" s="356"/>
      <c r="H16" s="356"/>
      <c r="I16" s="356"/>
      <c r="J16" s="356"/>
      <c r="K16" s="356"/>
      <c r="L16" s="356"/>
      <c r="M16" s="356"/>
      <c r="N16" s="300"/>
      <c r="O16" s="10"/>
      <c r="P16" s="10"/>
    </row>
    <row r="17" spans="1:16" ht="13.35" customHeight="1" x14ac:dyDescent="0.25">
      <c r="A17" s="10"/>
      <c r="B17" s="10"/>
      <c r="D17" s="31"/>
      <c r="E17" s="356"/>
      <c r="F17" s="356"/>
      <c r="G17" s="356"/>
      <c r="H17" s="356"/>
      <c r="I17" s="356"/>
      <c r="J17" s="356"/>
      <c r="K17" s="356"/>
      <c r="L17" s="356"/>
      <c r="M17" s="356"/>
      <c r="N17" s="300"/>
      <c r="O17" s="10"/>
      <c r="P17" s="10"/>
    </row>
    <row r="18" spans="1:16" ht="16.05" customHeight="1" x14ac:dyDescent="0.25">
      <c r="A18" s="10"/>
      <c r="B18" s="10"/>
      <c r="D18" s="31"/>
      <c r="E18" s="356"/>
      <c r="F18" s="356"/>
      <c r="G18" s="356"/>
      <c r="H18" s="356"/>
      <c r="I18" s="356"/>
      <c r="J18" s="356"/>
      <c r="K18" s="356"/>
      <c r="L18" s="356"/>
      <c r="M18" s="356"/>
      <c r="N18" s="300"/>
      <c r="O18" s="10"/>
      <c r="P18" s="10"/>
    </row>
    <row r="19" spans="1:16" ht="6" customHeight="1" x14ac:dyDescent="0.25">
      <c r="A19" s="10"/>
      <c r="B19" s="10"/>
      <c r="D19" s="31"/>
      <c r="E19" s="31"/>
      <c r="F19" s="20"/>
      <c r="G19" s="20"/>
      <c r="H19" s="20"/>
      <c r="I19" s="20"/>
      <c r="J19" s="20"/>
      <c r="K19" s="20"/>
      <c r="L19" s="20"/>
      <c r="M19" s="20"/>
      <c r="O19" s="10"/>
      <c r="P19" s="10"/>
    </row>
    <row r="20" spans="1:16" ht="15.6" customHeight="1" x14ac:dyDescent="0.25">
      <c r="A20" s="10"/>
      <c r="B20" s="10"/>
      <c r="D20" s="32"/>
      <c r="E20" s="356" t="s">
        <v>9</v>
      </c>
      <c r="F20" s="356"/>
      <c r="G20" s="356"/>
      <c r="H20" s="356"/>
      <c r="I20" s="356"/>
      <c r="J20" s="356"/>
      <c r="K20" s="356"/>
      <c r="L20" s="356"/>
      <c r="M20" s="356"/>
      <c r="N20" s="23"/>
      <c r="O20" s="10"/>
      <c r="P20" s="10"/>
    </row>
    <row r="21" spans="1:16" ht="28.5" customHeight="1" x14ac:dyDescent="0.25">
      <c r="A21" s="10"/>
      <c r="B21" s="10"/>
      <c r="D21" s="31"/>
      <c r="E21" s="356"/>
      <c r="F21" s="356"/>
      <c r="G21" s="356"/>
      <c r="H21" s="356"/>
      <c r="I21" s="356"/>
      <c r="J21" s="356"/>
      <c r="K21" s="356"/>
      <c r="L21" s="356"/>
      <c r="M21" s="356"/>
      <c r="N21" s="23"/>
      <c r="O21" s="10"/>
      <c r="P21" s="10"/>
    </row>
    <row r="22" spans="1:16" ht="6" customHeight="1" x14ac:dyDescent="0.25">
      <c r="A22" s="10"/>
      <c r="B22" s="10"/>
      <c r="D22" s="31"/>
      <c r="E22" s="31"/>
      <c r="F22" s="20"/>
      <c r="G22" s="20"/>
      <c r="H22" s="20"/>
      <c r="I22" s="20"/>
      <c r="J22" s="20"/>
      <c r="K22" s="20"/>
      <c r="L22" s="20"/>
      <c r="M22" s="20"/>
      <c r="O22" s="10"/>
      <c r="P22" s="10"/>
    </row>
    <row r="23" spans="1:16" ht="32.25" customHeight="1" x14ac:dyDescent="0.25">
      <c r="A23" s="10"/>
      <c r="B23" s="10"/>
      <c r="D23" s="30"/>
      <c r="E23" s="354" t="s">
        <v>10</v>
      </c>
      <c r="F23" s="355"/>
      <c r="G23" s="355"/>
      <c r="H23" s="355"/>
      <c r="I23" s="355"/>
      <c r="J23" s="355"/>
      <c r="K23" s="355"/>
      <c r="L23" s="355"/>
      <c r="M23" s="355"/>
      <c r="N23" s="23"/>
      <c r="O23" s="10"/>
      <c r="P23" s="10"/>
    </row>
    <row r="24" spans="1:16" ht="10.050000000000001" customHeight="1" x14ac:dyDescent="0.25">
      <c r="A24" s="10"/>
      <c r="B24" s="10"/>
      <c r="D24" s="20"/>
      <c r="E24" s="20"/>
      <c r="F24" s="20"/>
      <c r="G24" s="20"/>
      <c r="H24" s="20"/>
      <c r="I24" s="20"/>
      <c r="J24" s="20"/>
      <c r="K24" s="20"/>
      <c r="L24" s="20"/>
      <c r="M24" s="20"/>
      <c r="O24" s="10"/>
      <c r="P24" s="10"/>
    </row>
    <row r="25" spans="1:16" ht="45" customHeight="1" x14ac:dyDescent="0.25">
      <c r="A25" s="10"/>
      <c r="B25" s="10"/>
      <c r="D25" s="339" t="s">
        <v>11</v>
      </c>
      <c r="E25" s="339"/>
      <c r="F25" s="339"/>
      <c r="G25" s="340" t="s">
        <v>12</v>
      </c>
      <c r="H25" s="340"/>
      <c r="I25" s="340"/>
      <c r="J25" s="340"/>
      <c r="K25" s="340"/>
      <c r="L25" s="340"/>
      <c r="M25" s="340"/>
      <c r="N25" s="23"/>
      <c r="O25" s="10"/>
      <c r="P25" s="10"/>
    </row>
    <row r="26" spans="1:16" ht="8.1" customHeight="1" x14ac:dyDescent="0.25">
      <c r="A26" s="10"/>
      <c r="B26" s="10"/>
      <c r="D26" s="20"/>
      <c r="E26" s="20"/>
      <c r="F26" s="20"/>
      <c r="G26" s="20"/>
      <c r="H26" s="20"/>
      <c r="I26" s="20"/>
      <c r="J26" s="20"/>
      <c r="K26" s="20"/>
      <c r="L26" s="20"/>
      <c r="M26" s="20"/>
      <c r="O26" s="10"/>
      <c r="P26" s="10"/>
    </row>
    <row r="27" spans="1:16" ht="274.05" customHeight="1" x14ac:dyDescent="0.25">
      <c r="A27" s="10"/>
      <c r="B27" s="10"/>
      <c r="D27" s="339" t="s">
        <v>13</v>
      </c>
      <c r="E27" s="339"/>
      <c r="F27" s="339"/>
      <c r="G27" s="340" t="s">
        <v>123</v>
      </c>
      <c r="H27" s="340"/>
      <c r="I27" s="340"/>
      <c r="J27" s="340"/>
      <c r="K27" s="340"/>
      <c r="L27" s="340"/>
      <c r="M27" s="340"/>
      <c r="O27" s="10"/>
      <c r="P27" s="10"/>
    </row>
    <row r="28" spans="1:16" ht="8.1" customHeight="1" x14ac:dyDescent="0.25">
      <c r="A28" s="10"/>
      <c r="B28" s="10"/>
      <c r="D28" s="20"/>
      <c r="E28" s="20"/>
      <c r="F28" s="20"/>
      <c r="G28" s="20"/>
      <c r="H28" s="20"/>
      <c r="I28" s="20"/>
      <c r="J28" s="20"/>
      <c r="K28" s="20"/>
      <c r="L28" s="20"/>
      <c r="M28" s="20"/>
      <c r="O28" s="10"/>
      <c r="P28" s="10"/>
    </row>
    <row r="29" spans="1:16" ht="171" customHeight="1" x14ac:dyDescent="0.25">
      <c r="A29" s="10"/>
      <c r="B29" s="10"/>
      <c r="D29" s="339" t="s">
        <v>14</v>
      </c>
      <c r="E29" s="339"/>
      <c r="F29" s="339"/>
      <c r="G29" s="340" t="s">
        <v>15</v>
      </c>
      <c r="H29" s="340"/>
      <c r="I29" s="340"/>
      <c r="J29" s="340"/>
      <c r="K29" s="340"/>
      <c r="L29" s="340"/>
      <c r="M29" s="340"/>
      <c r="N29" s="23"/>
      <c r="O29" s="10"/>
      <c r="P29" s="10"/>
    </row>
    <row r="30" spans="1:16" ht="24.6" customHeight="1" x14ac:dyDescent="0.25">
      <c r="A30" s="10"/>
      <c r="B30" s="10"/>
      <c r="D30" s="349" t="s">
        <v>16</v>
      </c>
      <c r="E30" s="350"/>
      <c r="F30" s="350"/>
      <c r="G30" s="350"/>
      <c r="H30" s="350"/>
      <c r="I30" s="350"/>
      <c r="J30" s="350"/>
      <c r="K30" s="350"/>
      <c r="L30" s="350"/>
      <c r="M30" s="351"/>
      <c r="N30" s="29"/>
      <c r="O30" s="10"/>
      <c r="P30" s="10"/>
    </row>
    <row r="31" spans="1:16" ht="32.1" customHeight="1" x14ac:dyDescent="0.25">
      <c r="A31" s="10"/>
      <c r="B31" s="10"/>
      <c r="D31" s="345" t="s">
        <v>17</v>
      </c>
      <c r="E31" s="346"/>
      <c r="F31" s="346"/>
      <c r="G31" s="352" t="s">
        <v>17</v>
      </c>
      <c r="H31" s="352"/>
      <c r="I31" s="352"/>
      <c r="J31" s="352"/>
      <c r="K31" s="352"/>
      <c r="L31" s="352"/>
      <c r="M31" s="353"/>
      <c r="N31" s="28"/>
      <c r="O31" s="10"/>
      <c r="P31" s="10"/>
    </row>
    <row r="32" spans="1:16" ht="27.6" customHeight="1" x14ac:dyDescent="0.25">
      <c r="A32" s="10"/>
      <c r="B32" s="10"/>
      <c r="D32" s="345" t="s">
        <v>18</v>
      </c>
      <c r="E32" s="346"/>
      <c r="F32" s="346"/>
      <c r="G32" s="27" t="s">
        <v>19</v>
      </c>
      <c r="H32" s="301"/>
      <c r="I32" s="301"/>
      <c r="J32" s="301"/>
      <c r="K32" s="301"/>
      <c r="L32" s="301"/>
      <c r="M32" s="26"/>
      <c r="N32" s="23"/>
      <c r="O32" s="10"/>
      <c r="P32" s="10"/>
    </row>
    <row r="33" spans="1:16" ht="29.55" customHeight="1" x14ac:dyDescent="0.25">
      <c r="A33" s="10"/>
      <c r="B33" s="10"/>
      <c r="D33" s="347" t="s">
        <v>20</v>
      </c>
      <c r="E33" s="348"/>
      <c r="F33" s="348"/>
      <c r="G33" s="299" t="s">
        <v>21</v>
      </c>
      <c r="H33" s="25"/>
      <c r="I33" s="25"/>
      <c r="J33" s="25"/>
      <c r="K33" s="25"/>
      <c r="L33" s="25"/>
      <c r="M33" s="24"/>
      <c r="N33" s="23"/>
      <c r="O33" s="10"/>
      <c r="P33" s="10"/>
    </row>
    <row r="34" spans="1:16" ht="8.1" customHeight="1" x14ac:dyDescent="0.25">
      <c r="A34" s="10"/>
      <c r="B34" s="10"/>
      <c r="D34" s="20"/>
      <c r="E34" s="20"/>
      <c r="F34" s="20"/>
      <c r="G34" s="20"/>
      <c r="H34" s="20"/>
      <c r="I34" s="20"/>
      <c r="J34" s="20"/>
      <c r="K34" s="20"/>
      <c r="L34" s="20"/>
      <c r="M34" s="20"/>
      <c r="O34" s="10"/>
      <c r="P34" s="10"/>
    </row>
    <row r="35" spans="1:16" ht="177" customHeight="1" x14ac:dyDescent="0.25">
      <c r="A35" s="10"/>
      <c r="B35" s="10"/>
      <c r="D35" s="341" t="s">
        <v>22</v>
      </c>
      <c r="E35" s="341"/>
      <c r="F35" s="341"/>
      <c r="G35" s="342" t="s">
        <v>23</v>
      </c>
      <c r="H35" s="343"/>
      <c r="I35" s="343"/>
      <c r="J35" s="343"/>
      <c r="K35" s="343"/>
      <c r="L35" s="343"/>
      <c r="M35" s="344"/>
      <c r="N35" s="23"/>
      <c r="O35" s="10"/>
      <c r="P35" s="10"/>
    </row>
    <row r="36" spans="1:16" ht="18" customHeight="1" x14ac:dyDescent="0.25">
      <c r="A36" s="10"/>
      <c r="B36" s="10"/>
      <c r="D36" s="336" t="s">
        <v>16</v>
      </c>
      <c r="E36" s="337"/>
      <c r="F36" s="337"/>
      <c r="G36" s="337"/>
      <c r="H36" s="337"/>
      <c r="I36" s="337"/>
      <c r="J36" s="337"/>
      <c r="K36" s="337"/>
      <c r="L36" s="337"/>
      <c r="M36" s="338"/>
      <c r="N36" s="22"/>
      <c r="O36" s="10"/>
      <c r="P36" s="10"/>
    </row>
    <row r="37" spans="1:16" ht="48" customHeight="1" x14ac:dyDescent="0.25">
      <c r="A37" s="10"/>
      <c r="B37" s="10"/>
      <c r="D37" s="347" t="s">
        <v>24</v>
      </c>
      <c r="E37" s="348"/>
      <c r="F37" s="348"/>
      <c r="G37" s="357" t="s">
        <v>25</v>
      </c>
      <c r="H37" s="357"/>
      <c r="I37" s="357"/>
      <c r="J37" s="357"/>
      <c r="K37" s="357"/>
      <c r="L37" s="357"/>
      <c r="M37" s="358"/>
      <c r="N37" s="21"/>
      <c r="O37" s="10"/>
      <c r="P37" s="10"/>
    </row>
    <row r="38" spans="1:16" ht="8.1" customHeight="1" x14ac:dyDescent="0.25">
      <c r="A38" s="10"/>
      <c r="B38" s="10"/>
      <c r="D38" s="20"/>
      <c r="E38" s="20"/>
      <c r="F38" s="20"/>
      <c r="G38" s="20"/>
      <c r="H38" s="20"/>
      <c r="I38" s="20"/>
      <c r="J38" s="20"/>
      <c r="K38" s="20"/>
      <c r="L38" s="20"/>
      <c r="M38" s="20"/>
      <c r="O38" s="10"/>
      <c r="P38" s="10"/>
    </row>
    <row r="39" spans="1:16" ht="25.05" customHeight="1" x14ac:dyDescent="0.4">
      <c r="A39" s="10"/>
      <c r="B39" s="10"/>
      <c r="D39" s="363" t="s">
        <v>26</v>
      </c>
      <c r="E39" s="364"/>
      <c r="F39" s="364"/>
      <c r="G39" s="364"/>
      <c r="H39" s="364"/>
      <c r="I39" s="364"/>
      <c r="J39" s="364"/>
      <c r="K39" s="364"/>
      <c r="L39" s="364"/>
      <c r="M39" s="365"/>
      <c r="N39" s="12"/>
      <c r="O39" s="10"/>
      <c r="P39" s="10"/>
    </row>
    <row r="40" spans="1:16" ht="8.1" customHeight="1" x14ac:dyDescent="0.25">
      <c r="A40" s="10"/>
      <c r="B40" s="10"/>
      <c r="D40" s="20"/>
      <c r="E40" s="20"/>
      <c r="F40" s="20"/>
      <c r="G40" s="20"/>
      <c r="H40" s="20"/>
      <c r="I40" s="20"/>
      <c r="J40" s="20"/>
      <c r="K40" s="20"/>
      <c r="L40" s="20"/>
      <c r="M40" s="20"/>
      <c r="O40" s="10"/>
      <c r="P40" s="10"/>
    </row>
    <row r="41" spans="1:16" ht="87.6" customHeight="1" x14ac:dyDescent="0.25">
      <c r="A41" s="10"/>
      <c r="B41" s="10"/>
      <c r="D41" s="366" t="s">
        <v>27</v>
      </c>
      <c r="E41" s="367"/>
      <c r="F41" s="367"/>
      <c r="G41" s="367"/>
      <c r="H41" s="367"/>
      <c r="I41" s="367"/>
      <c r="J41" s="367"/>
      <c r="K41" s="367"/>
      <c r="L41" s="367"/>
      <c r="M41" s="368"/>
      <c r="N41" s="15"/>
      <c r="O41" s="10"/>
      <c r="P41" s="10"/>
    </row>
    <row r="42" spans="1:16" ht="8.1" customHeight="1" x14ac:dyDescent="0.25">
      <c r="A42" s="10"/>
      <c r="B42" s="10"/>
      <c r="O42" s="10"/>
      <c r="P42" s="10"/>
    </row>
    <row r="43" spans="1:16" ht="34.049999999999997" customHeight="1" x14ac:dyDescent="0.4">
      <c r="A43" s="10"/>
      <c r="B43" s="10"/>
      <c r="C43" s="19"/>
      <c r="D43" s="360" t="s">
        <v>28</v>
      </c>
      <c r="E43" s="360"/>
      <c r="F43" s="360"/>
      <c r="G43" s="360"/>
      <c r="H43" s="360"/>
      <c r="I43" s="360"/>
      <c r="J43" s="360"/>
      <c r="K43" s="360"/>
      <c r="L43" s="360"/>
      <c r="M43" s="360"/>
      <c r="N43" s="18"/>
      <c r="O43" s="10"/>
      <c r="P43" s="10"/>
    </row>
    <row r="44" spans="1:16" ht="8.1" customHeight="1" x14ac:dyDescent="0.25">
      <c r="A44" s="10"/>
      <c r="B44" s="10"/>
      <c r="O44" s="10"/>
      <c r="P44" s="10"/>
    </row>
    <row r="45" spans="1:16" ht="119.1" customHeight="1" x14ac:dyDescent="0.25">
      <c r="A45" s="10"/>
      <c r="B45" s="10"/>
      <c r="D45" s="369" t="s">
        <v>29</v>
      </c>
      <c r="E45" s="369"/>
      <c r="F45" s="369"/>
      <c r="G45" s="369"/>
      <c r="H45" s="369"/>
      <c r="I45" s="369"/>
      <c r="J45" s="369"/>
      <c r="K45" s="369"/>
      <c r="L45" s="369"/>
      <c r="M45" s="369"/>
      <c r="N45" s="15"/>
      <c r="O45" s="10"/>
      <c r="P45" s="10"/>
    </row>
    <row r="46" spans="1:16" ht="8.1" customHeight="1" x14ac:dyDescent="0.25">
      <c r="A46" s="10"/>
      <c r="B46" s="10"/>
      <c r="O46" s="10"/>
      <c r="P46" s="10"/>
    </row>
    <row r="47" spans="1:16" ht="35.1" customHeight="1" x14ac:dyDescent="0.3">
      <c r="A47" s="10"/>
      <c r="B47" s="10"/>
      <c r="C47" s="17"/>
      <c r="D47" s="361" t="s">
        <v>30</v>
      </c>
      <c r="E47" s="361"/>
      <c r="F47" s="361"/>
      <c r="G47" s="361"/>
      <c r="H47" s="361"/>
      <c r="I47" s="361"/>
      <c r="J47" s="361"/>
      <c r="K47" s="361"/>
      <c r="L47" s="361"/>
      <c r="M47" s="361"/>
      <c r="N47" s="16"/>
      <c r="O47" s="10"/>
      <c r="P47" s="10"/>
    </row>
    <row r="48" spans="1:16" ht="8.1" customHeight="1" x14ac:dyDescent="0.3">
      <c r="A48" s="10"/>
      <c r="B48" s="10"/>
      <c r="D48" s="12"/>
      <c r="E48" s="12"/>
      <c r="F48" s="12"/>
      <c r="G48" s="12"/>
      <c r="H48" s="12"/>
      <c r="I48" s="12"/>
      <c r="J48" s="12"/>
      <c r="K48" s="12"/>
      <c r="L48" s="12"/>
      <c r="M48" s="12"/>
      <c r="N48" s="12"/>
      <c r="O48" s="10"/>
      <c r="P48" s="10"/>
    </row>
    <row r="49" spans="1:16" ht="98.25" customHeight="1" x14ac:dyDescent="0.25">
      <c r="A49" s="10"/>
      <c r="B49" s="10"/>
      <c r="D49" s="370" t="s">
        <v>31</v>
      </c>
      <c r="E49" s="370"/>
      <c r="F49" s="370"/>
      <c r="G49" s="370"/>
      <c r="H49" s="370"/>
      <c r="I49" s="370"/>
      <c r="J49" s="370"/>
      <c r="K49" s="370"/>
      <c r="L49" s="370"/>
      <c r="M49" s="370"/>
      <c r="N49" s="15"/>
      <c r="O49" s="10"/>
      <c r="P49" s="10"/>
    </row>
    <row r="50" spans="1:16" ht="8.1" customHeight="1" x14ac:dyDescent="0.3">
      <c r="A50" s="10"/>
      <c r="B50" s="10"/>
      <c r="D50" s="12"/>
      <c r="E50" s="12"/>
      <c r="F50" s="12"/>
      <c r="G50" s="12"/>
      <c r="H50" s="12"/>
      <c r="I50" s="12"/>
      <c r="J50" s="12"/>
      <c r="K50" s="12"/>
      <c r="L50" s="12"/>
      <c r="M50" s="12"/>
      <c r="N50" s="12"/>
      <c r="O50" s="10"/>
      <c r="P50" s="10"/>
    </row>
    <row r="51" spans="1:16" ht="25.05" customHeight="1" x14ac:dyDescent="0.3">
      <c r="A51" s="10"/>
      <c r="B51" s="10"/>
      <c r="C51" s="14"/>
      <c r="D51" s="362" t="s">
        <v>32</v>
      </c>
      <c r="E51" s="362"/>
      <c r="F51" s="362"/>
      <c r="G51" s="362"/>
      <c r="H51" s="362"/>
      <c r="I51" s="362"/>
      <c r="J51" s="362"/>
      <c r="K51" s="362"/>
      <c r="L51" s="362"/>
      <c r="M51" s="362"/>
      <c r="N51" s="13"/>
      <c r="O51" s="10"/>
      <c r="P51" s="10"/>
    </row>
    <row r="52" spans="1:16" ht="8.1" customHeight="1" x14ac:dyDescent="0.3">
      <c r="A52" s="10"/>
      <c r="B52" s="10"/>
      <c r="D52" s="12"/>
      <c r="E52" s="12"/>
      <c r="F52" s="12"/>
      <c r="G52" s="12"/>
      <c r="H52" s="12"/>
      <c r="I52" s="12"/>
      <c r="J52" s="12"/>
      <c r="K52" s="12"/>
      <c r="L52" s="12"/>
      <c r="M52" s="12"/>
      <c r="N52" s="12"/>
      <c r="O52" s="10"/>
      <c r="P52" s="10"/>
    </row>
    <row r="53" spans="1:16" ht="331.8" customHeight="1" x14ac:dyDescent="0.25">
      <c r="A53" s="10"/>
      <c r="B53" s="10"/>
      <c r="D53" s="359" t="s">
        <v>136</v>
      </c>
      <c r="E53" s="359"/>
      <c r="F53" s="359"/>
      <c r="G53" s="359"/>
      <c r="H53" s="359"/>
      <c r="I53" s="359"/>
      <c r="J53" s="359"/>
      <c r="K53" s="359"/>
      <c r="L53" s="359"/>
      <c r="M53" s="359"/>
      <c r="N53" s="11"/>
      <c r="O53" s="10"/>
      <c r="P53" s="10"/>
    </row>
    <row r="54" spans="1:16" ht="8.1" customHeight="1" x14ac:dyDescent="0.25">
      <c r="A54" s="10"/>
      <c r="B54" s="10"/>
      <c r="C54" s="10"/>
      <c r="D54" s="10"/>
      <c r="E54" s="10"/>
      <c r="F54" s="10"/>
      <c r="G54" s="10"/>
      <c r="H54" s="10"/>
      <c r="I54" s="10"/>
      <c r="J54" s="10"/>
      <c r="K54" s="10"/>
      <c r="L54" s="10"/>
      <c r="M54" s="10"/>
      <c r="N54" s="10"/>
      <c r="O54" s="10"/>
      <c r="P54" s="10"/>
    </row>
    <row r="56" spans="1:16" x14ac:dyDescent="0.25">
      <c r="D56" s="5"/>
    </row>
    <row r="57" spans="1:16" x14ac:dyDescent="0.25">
      <c r="D57" s="5"/>
    </row>
    <row r="58" spans="1:16" x14ac:dyDescent="0.25">
      <c r="D58" s="5"/>
    </row>
    <row r="59" spans="1:16" x14ac:dyDescent="0.25">
      <c r="D59" s="5"/>
    </row>
  </sheetData>
  <sheetProtection algorithmName="SHA-512" hashValue="qAsTDNHXhl1zkdq4bpQfJtHnngZlxSWTgR+yugCPHiMc4iUuTFwHdbVj41ClHFDV9LbsBrH4+wLkNALrcBGp7Q==" saltValue="5TR4u8zdoZW+n8hyW8smGQ==" spinCount="100000" sheet="1" formatRows="0" insertHyperlinks="0"/>
  <mergeCells count="35">
    <mergeCell ref="D37:F37"/>
    <mergeCell ref="G37:M37"/>
    <mergeCell ref="D53:M53"/>
    <mergeCell ref="D43:M43"/>
    <mergeCell ref="D47:M47"/>
    <mergeCell ref="D51:M51"/>
    <mergeCell ref="D39:M39"/>
    <mergeCell ref="D41:M41"/>
    <mergeCell ref="D45:M45"/>
    <mergeCell ref="D49:M49"/>
    <mergeCell ref="E23:M23"/>
    <mergeCell ref="E16:M18"/>
    <mergeCell ref="E20:M21"/>
    <mergeCell ref="D27:F27"/>
    <mergeCell ref="G27:M27"/>
    <mergeCell ref="D36:M36"/>
    <mergeCell ref="D25:F25"/>
    <mergeCell ref="G25:M25"/>
    <mergeCell ref="D29:F29"/>
    <mergeCell ref="G29:M29"/>
    <mergeCell ref="D35:F35"/>
    <mergeCell ref="G35:M35"/>
    <mergeCell ref="D32:F32"/>
    <mergeCell ref="D33:F33"/>
    <mergeCell ref="D31:F31"/>
    <mergeCell ref="D30:M30"/>
    <mergeCell ref="G31:M31"/>
    <mergeCell ref="C4:M4"/>
    <mergeCell ref="D14:M14"/>
    <mergeCell ref="D6:M6"/>
    <mergeCell ref="E2:L2"/>
    <mergeCell ref="E3:L3"/>
    <mergeCell ref="D12:M12"/>
    <mergeCell ref="D8:M8"/>
    <mergeCell ref="D10:M10"/>
  </mergeCells>
  <hyperlinks>
    <hyperlink ref="G32" r:id="rId1" xr:uid="{87471D11-F6F7-4195-8440-65361C4D0DA4}"/>
    <hyperlink ref="G33" r:id="rId2" xr:uid="{F103155F-0ECD-42B8-BDF2-276001A1689B}"/>
    <hyperlink ref="G37:M37" r:id="rId3" display="Catalogue des coûts d’administration des vaccins" xr:uid="{0FC6E934-9AFB-46EB-A28E-9A236A6521A7}"/>
    <hyperlink ref="G31:M31" r:id="rId4" display="Gavi detailed product profiles" xr:uid="{D372C2BC-CCE2-45ED-ADB4-B443E7A6268C}"/>
  </hyperlinks>
  <pageMargins left="0.25" right="0.25" top="0.75" bottom="0.75" header="0.3" footer="0.3"/>
  <pageSetup paperSize="9" scale="70" orientation="portrait" r:id="rId5"/>
  <rowBreaks count="1" manualBreakCount="1">
    <brk id="50" max="16383" man="1"/>
  </rowBreaks>
  <colBreaks count="1" manualBreakCount="1">
    <brk id="16" max="1048575" man="1"/>
  </colBreaks>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7E85B-7571-444F-8D86-B2E3CE3A231D}">
  <sheetPr>
    <tabColor theme="4" tint="-0.249977111117893"/>
  </sheetPr>
  <dimension ref="A1:O154"/>
  <sheetViews>
    <sheetView zoomScaleNormal="100" workbookViewId="0"/>
  </sheetViews>
  <sheetFormatPr defaultColWidth="8.77734375" defaultRowHeight="13.8" outlineLevelRow="1" x14ac:dyDescent="0.3"/>
  <cols>
    <col min="1" max="1" width="1.77734375" style="46" customWidth="1"/>
    <col min="2" max="2" width="3.21875" style="46" customWidth="1"/>
    <col min="3" max="3" width="4" style="46" customWidth="1"/>
    <col min="4" max="4" width="43.44140625" style="46" customWidth="1"/>
    <col min="5" max="5" width="22.77734375" style="46" customWidth="1"/>
    <col min="6" max="6" width="1.44140625" style="46" customWidth="1"/>
    <col min="7" max="7" width="22.77734375" style="46" customWidth="1"/>
    <col min="8" max="8" width="1.44140625" style="46" customWidth="1"/>
    <col min="9" max="9" width="22.77734375" style="46" customWidth="1"/>
    <col min="10" max="10" width="2.21875" style="46" customWidth="1"/>
    <col min="11" max="11" width="22.77734375" style="46" customWidth="1"/>
    <col min="12" max="12" width="4.21875" style="46" customWidth="1"/>
    <col min="13" max="13" width="3.77734375" style="46" customWidth="1"/>
    <col min="14" max="14" width="4.77734375" style="46" customWidth="1"/>
    <col min="15" max="16384" width="8.77734375" style="46"/>
  </cols>
  <sheetData>
    <row r="1" spans="1:14" ht="8.1" customHeight="1" x14ac:dyDescent="0.3">
      <c r="B1" s="267"/>
      <c r="C1" s="267"/>
      <c r="D1" s="267"/>
      <c r="E1" s="267"/>
      <c r="F1" s="267"/>
      <c r="G1" s="267"/>
      <c r="H1" s="267"/>
      <c r="I1" s="267"/>
      <c r="J1" s="267"/>
      <c r="K1" s="267"/>
      <c r="L1" s="267"/>
      <c r="M1" s="267"/>
    </row>
    <row r="2" spans="1:14" ht="19.05" customHeight="1" x14ac:dyDescent="0.3">
      <c r="B2" s="382" t="s">
        <v>33</v>
      </c>
      <c r="C2" s="382"/>
      <c r="D2" s="382"/>
      <c r="E2" s="382"/>
      <c r="F2" s="382"/>
      <c r="G2" s="382"/>
      <c r="H2" s="382"/>
      <c r="I2" s="382"/>
      <c r="J2" s="382"/>
      <c r="K2" s="382"/>
      <c r="L2" s="382"/>
      <c r="M2" s="382"/>
    </row>
    <row r="3" spans="1:14" ht="14.55" customHeight="1" x14ac:dyDescent="0.3">
      <c r="A3" s="174"/>
      <c r="B3" s="173"/>
      <c r="C3" s="51"/>
      <c r="D3" s="51"/>
      <c r="E3" s="51"/>
      <c r="F3" s="51"/>
      <c r="G3" s="51"/>
      <c r="H3" s="51"/>
      <c r="I3" s="51"/>
      <c r="J3" s="51"/>
      <c r="K3" s="172"/>
      <c r="L3" s="172"/>
      <c r="M3" s="51"/>
      <c r="N3" s="171"/>
    </row>
    <row r="4" spans="1:14" ht="60" customHeight="1" x14ac:dyDescent="0.3">
      <c r="B4" s="51"/>
      <c r="C4" s="170"/>
      <c r="D4" s="383" t="s">
        <v>7</v>
      </c>
      <c r="E4" s="383"/>
      <c r="F4" s="383"/>
      <c r="G4" s="383"/>
      <c r="H4" s="383"/>
      <c r="I4" s="383"/>
      <c r="J4" s="383"/>
      <c r="K4" s="383"/>
      <c r="L4" s="169"/>
      <c r="M4" s="167"/>
      <c r="N4" s="166"/>
    </row>
    <row r="5" spans="1:14" ht="8.1" customHeight="1" x14ac:dyDescent="0.3">
      <c r="B5" s="51"/>
      <c r="C5" s="51"/>
      <c r="D5" s="168"/>
      <c r="E5" s="167"/>
      <c r="F5" s="167"/>
      <c r="G5" s="51"/>
      <c r="H5" s="167"/>
      <c r="I5" s="51"/>
      <c r="J5" s="51"/>
      <c r="K5" s="51"/>
      <c r="L5" s="51"/>
      <c r="M5" s="167"/>
      <c r="N5" s="166"/>
    </row>
    <row r="6" spans="1:14" ht="46.05" customHeight="1" x14ac:dyDescent="0.3">
      <c r="B6" s="51"/>
      <c r="C6" s="51"/>
      <c r="D6" s="376" t="s">
        <v>11</v>
      </c>
      <c r="E6" s="376"/>
      <c r="F6" s="376"/>
      <c r="G6" s="376"/>
      <c r="H6" s="376"/>
      <c r="I6" s="376"/>
      <c r="J6" s="376"/>
      <c r="K6" s="376"/>
      <c r="L6" s="83"/>
      <c r="M6" s="151"/>
      <c r="N6" s="163"/>
    </row>
    <row r="7" spans="1:14" ht="8.1" customHeight="1" x14ac:dyDescent="0.3">
      <c r="B7" s="51"/>
      <c r="C7" s="51"/>
      <c r="D7" s="165"/>
      <c r="E7" s="165"/>
      <c r="F7" s="165"/>
      <c r="G7" s="165"/>
      <c r="H7" s="165"/>
      <c r="I7" s="165"/>
      <c r="J7" s="164"/>
      <c r="K7" s="151"/>
      <c r="L7" s="151"/>
      <c r="M7" s="151"/>
      <c r="N7" s="163"/>
    </row>
    <row r="8" spans="1:14" ht="42" customHeight="1" x14ac:dyDescent="0.3">
      <c r="B8" s="51"/>
      <c r="C8" s="51"/>
      <c r="D8" s="144" t="s">
        <v>34</v>
      </c>
      <c r="E8" s="162">
        <v>2026</v>
      </c>
      <c r="F8" s="161"/>
      <c r="G8" s="384" t="s">
        <v>35</v>
      </c>
      <c r="H8" s="384"/>
      <c r="I8" s="384"/>
      <c r="J8" s="384"/>
      <c r="K8" s="385"/>
      <c r="L8" s="160"/>
      <c r="M8" s="151"/>
      <c r="N8" s="159"/>
    </row>
    <row r="9" spans="1:14" ht="42" customHeight="1" x14ac:dyDescent="0.3">
      <c r="B9" s="51"/>
      <c r="C9" s="51"/>
      <c r="D9" s="308" t="s">
        <v>36</v>
      </c>
      <c r="E9" s="158">
        <v>400000</v>
      </c>
      <c r="F9" s="157"/>
      <c r="G9" s="389" t="s">
        <v>37</v>
      </c>
      <c r="H9" s="389"/>
      <c r="I9" s="389"/>
      <c r="J9" s="389"/>
      <c r="K9" s="390"/>
      <c r="L9" s="152"/>
      <c r="M9" s="151"/>
      <c r="N9" s="156"/>
    </row>
    <row r="10" spans="1:14" ht="42" customHeight="1" x14ac:dyDescent="0.3">
      <c r="B10" s="51"/>
      <c r="C10" s="51"/>
      <c r="D10" s="308" t="s">
        <v>38</v>
      </c>
      <c r="E10" s="101">
        <v>0.02</v>
      </c>
      <c r="F10" s="155"/>
      <c r="G10" s="389" t="s">
        <v>39</v>
      </c>
      <c r="H10" s="389"/>
      <c r="I10" s="389"/>
      <c r="J10" s="389"/>
      <c r="K10" s="390"/>
      <c r="L10" s="152"/>
      <c r="M10" s="151"/>
      <c r="N10" s="307"/>
    </row>
    <row r="11" spans="1:14" ht="42" customHeight="1" x14ac:dyDescent="0.3">
      <c r="B11" s="51"/>
      <c r="C11" s="51"/>
      <c r="D11" s="308" t="s">
        <v>40</v>
      </c>
      <c r="E11" s="101">
        <v>0.97</v>
      </c>
      <c r="F11" s="153"/>
      <c r="G11" s="389" t="s">
        <v>41</v>
      </c>
      <c r="H11" s="389"/>
      <c r="I11" s="389"/>
      <c r="J11" s="389"/>
      <c r="K11" s="390"/>
      <c r="L11" s="152"/>
      <c r="M11" s="151"/>
      <c r="N11" s="307"/>
    </row>
    <row r="12" spans="1:14" ht="42" customHeight="1" x14ac:dyDescent="0.3">
      <c r="B12" s="51"/>
      <c r="C12" s="154"/>
      <c r="D12" s="308" t="s">
        <v>42</v>
      </c>
      <c r="E12" s="101">
        <v>0.9</v>
      </c>
      <c r="F12" s="153"/>
      <c r="G12" s="389" t="s">
        <v>41</v>
      </c>
      <c r="H12" s="389"/>
      <c r="I12" s="389"/>
      <c r="J12" s="389"/>
      <c r="K12" s="390"/>
      <c r="L12" s="152"/>
      <c r="M12" s="151"/>
      <c r="N12" s="307"/>
    </row>
    <row r="13" spans="1:14" ht="42" customHeight="1" x14ac:dyDescent="0.3">
      <c r="B13" s="51"/>
      <c r="C13" s="154"/>
      <c r="D13" s="308" t="s">
        <v>43</v>
      </c>
      <c r="E13" s="101">
        <v>0.85</v>
      </c>
      <c r="F13" s="153"/>
      <c r="G13" s="389" t="s">
        <v>41</v>
      </c>
      <c r="H13" s="389"/>
      <c r="I13" s="389"/>
      <c r="J13" s="389"/>
      <c r="K13" s="390"/>
      <c r="L13" s="152"/>
      <c r="M13" s="151"/>
      <c r="N13" s="307"/>
    </row>
    <row r="14" spans="1:14" ht="8.1" customHeight="1" x14ac:dyDescent="0.3">
      <c r="B14" s="51"/>
      <c r="C14" s="51"/>
      <c r="D14" s="147"/>
      <c r="E14" s="147"/>
      <c r="F14" s="147"/>
      <c r="G14" s="150"/>
      <c r="H14" s="147"/>
      <c r="I14" s="149"/>
      <c r="J14" s="149"/>
      <c r="K14" s="148"/>
      <c r="L14" s="148"/>
      <c r="M14" s="147"/>
      <c r="N14" s="146"/>
    </row>
    <row r="15" spans="1:14" ht="46.05" customHeight="1" x14ac:dyDescent="0.3">
      <c r="B15" s="51"/>
      <c r="C15" s="51"/>
      <c r="D15" s="376" t="s">
        <v>13</v>
      </c>
      <c r="E15" s="376"/>
      <c r="F15" s="376"/>
      <c r="G15" s="376"/>
      <c r="H15" s="376"/>
      <c r="I15" s="376"/>
      <c r="J15" s="376"/>
      <c r="K15" s="376"/>
      <c r="L15" s="148"/>
      <c r="M15" s="147"/>
      <c r="N15" s="146"/>
    </row>
    <row r="16" spans="1:14" ht="8.1" customHeight="1" x14ac:dyDescent="0.3">
      <c r="B16" s="51"/>
      <c r="C16" s="51"/>
      <c r="D16" s="147"/>
      <c r="E16" s="147"/>
      <c r="F16" s="147"/>
      <c r="G16" s="150"/>
      <c r="H16" s="147"/>
      <c r="I16" s="149"/>
      <c r="J16" s="149"/>
      <c r="K16" s="148"/>
      <c r="L16" s="148"/>
      <c r="M16" s="147"/>
      <c r="N16" s="146"/>
    </row>
    <row r="17" spans="2:14" ht="52.05" customHeight="1" x14ac:dyDescent="0.3">
      <c r="B17" s="51"/>
      <c r="C17" s="51"/>
      <c r="D17" s="308" t="s">
        <v>44</v>
      </c>
      <c r="E17" s="257" t="s">
        <v>131</v>
      </c>
      <c r="F17" s="175"/>
      <c r="G17" s="371" t="s">
        <v>126</v>
      </c>
      <c r="H17" s="371"/>
      <c r="I17" s="371"/>
      <c r="J17" s="371"/>
      <c r="K17" s="372"/>
      <c r="L17" s="148"/>
      <c r="M17" s="147"/>
      <c r="N17" s="146"/>
    </row>
    <row r="18" spans="2:14" ht="52.05" customHeight="1" x14ac:dyDescent="0.3">
      <c r="B18" s="51"/>
      <c r="C18" s="51"/>
      <c r="D18" s="308" t="s">
        <v>125</v>
      </c>
      <c r="E18" s="257" t="s">
        <v>129</v>
      </c>
      <c r="F18" s="175"/>
      <c r="G18" s="371" t="s">
        <v>128</v>
      </c>
      <c r="H18" s="371"/>
      <c r="I18" s="371"/>
      <c r="J18" s="371"/>
      <c r="K18" s="372"/>
      <c r="L18" s="148"/>
      <c r="M18" s="147"/>
      <c r="N18" s="146"/>
    </row>
    <row r="19" spans="2:14" ht="123" customHeight="1" x14ac:dyDescent="0.3">
      <c r="B19" s="51"/>
      <c r="C19" s="51"/>
      <c r="D19" s="326" t="s">
        <v>124</v>
      </c>
      <c r="E19" s="321">
        <v>3</v>
      </c>
      <c r="F19" s="175"/>
      <c r="G19" s="371" t="s">
        <v>127</v>
      </c>
      <c r="H19" s="371"/>
      <c r="I19" s="371"/>
      <c r="J19" s="371"/>
      <c r="K19" s="372"/>
      <c r="L19" s="148"/>
      <c r="M19" s="147"/>
      <c r="N19" s="146"/>
    </row>
    <row r="20" spans="2:14" ht="8.1" customHeight="1" x14ac:dyDescent="0.3">
      <c r="B20" s="51"/>
      <c r="C20" s="51"/>
      <c r="D20" s="147"/>
      <c r="E20" s="147"/>
      <c r="F20" s="147"/>
      <c r="G20" s="150"/>
      <c r="H20" s="147"/>
      <c r="I20" s="149"/>
      <c r="J20" s="149"/>
      <c r="K20" s="148"/>
      <c r="L20" s="148"/>
      <c r="M20" s="147"/>
      <c r="N20" s="146"/>
    </row>
    <row r="21" spans="2:14" ht="42" customHeight="1" x14ac:dyDescent="0.3">
      <c r="B21" s="51"/>
      <c r="C21" s="51"/>
      <c r="D21" s="386" t="s">
        <v>45</v>
      </c>
      <c r="E21" s="387"/>
      <c r="F21" s="148"/>
      <c r="G21" s="388" t="s">
        <v>122</v>
      </c>
      <c r="H21" s="388"/>
      <c r="I21" s="388"/>
      <c r="J21" s="388"/>
      <c r="K21" s="388"/>
      <c r="L21" s="148"/>
      <c r="M21" s="147"/>
      <c r="N21" s="146"/>
    </row>
    <row r="22" spans="2:14" ht="42" customHeight="1" x14ac:dyDescent="0.3">
      <c r="B22" s="51"/>
      <c r="C22" s="51"/>
      <c r="D22" s="308"/>
      <c r="E22" s="322">
        <v>0.2</v>
      </c>
      <c r="F22" s="391" t="s">
        <v>134</v>
      </c>
      <c r="G22" s="392"/>
      <c r="H22" s="392"/>
      <c r="I22" s="392"/>
      <c r="J22" s="392"/>
      <c r="K22" s="393"/>
      <c r="L22" s="148"/>
      <c r="M22" s="147"/>
      <c r="N22" s="146"/>
    </row>
    <row r="23" spans="2:14" ht="25.05" customHeight="1" x14ac:dyDescent="0.3">
      <c r="B23" s="51"/>
      <c r="C23" s="51"/>
      <c r="D23" s="258">
        <f>E8</f>
        <v>2026</v>
      </c>
      <c r="E23" s="323">
        <f>IF($E$17="Transition préparatoire",MIN(0.8,E22),IF($E$17="Transition accélérée",_xlfn.XLOOKUP(D23,'Vaccine options'!$E$21:$E$25,'Vaccine options'!$F$21:$F$25),0.07))</f>
        <v>7.0000000000000007E-2</v>
      </c>
      <c r="F23" s="394"/>
      <c r="G23" s="395"/>
      <c r="H23" s="395"/>
      <c r="I23" s="395"/>
      <c r="J23" s="395"/>
      <c r="K23" s="396"/>
      <c r="L23" s="148"/>
      <c r="M23" s="147"/>
      <c r="N23" s="146"/>
    </row>
    <row r="24" spans="2:14" ht="25.05" customHeight="1" x14ac:dyDescent="0.3">
      <c r="B24" s="51"/>
      <c r="C24" s="51"/>
      <c r="D24" s="258">
        <f>$E$8+1</f>
        <v>2027</v>
      </c>
      <c r="E24" s="323">
        <f>IF($E$17="Transition préparatoire",MIN(0.8,E23*1.15),IF($E$17="Transition accélérée",_xlfn.XLOOKUP(D24,'Vaccine options'!$E$21:$E$25,'Vaccine options'!$F$21:$F$25),0.07))</f>
        <v>7.0000000000000007E-2</v>
      </c>
      <c r="F24" s="394"/>
      <c r="G24" s="395"/>
      <c r="H24" s="395"/>
      <c r="I24" s="395"/>
      <c r="J24" s="395"/>
      <c r="K24" s="396"/>
      <c r="L24" s="148"/>
      <c r="M24" s="147"/>
      <c r="N24" s="146"/>
    </row>
    <row r="25" spans="2:14" ht="25.05" customHeight="1" x14ac:dyDescent="0.3">
      <c r="B25" s="51"/>
      <c r="C25" s="51"/>
      <c r="D25" s="258">
        <f>$E$8+2</f>
        <v>2028</v>
      </c>
      <c r="E25" s="323">
        <f>IF($E$17="Transition préparatoire",MIN(0.8,E24*1.15),IF($E$17="Transition accélérée",_xlfn.XLOOKUP(D25,'Vaccine options'!$E$21:$E$25,'Vaccine options'!$F$21:$F$25),0.07))</f>
        <v>7.0000000000000007E-2</v>
      </c>
      <c r="F25" s="394"/>
      <c r="G25" s="395"/>
      <c r="H25" s="395"/>
      <c r="I25" s="395"/>
      <c r="J25" s="395"/>
      <c r="K25" s="396"/>
      <c r="L25" s="148"/>
      <c r="M25" s="147"/>
      <c r="N25" s="146"/>
    </row>
    <row r="26" spans="2:14" ht="25.05" customHeight="1" x14ac:dyDescent="0.3">
      <c r="B26" s="51"/>
      <c r="C26" s="51"/>
      <c r="D26" s="258">
        <f>$E$8+3</f>
        <v>2029</v>
      </c>
      <c r="E26" s="323">
        <f>IF($E$17="Transition préparatoire",MIN(0.8,E25*1.15),IF($E$17="Transition accélérée",_xlfn.XLOOKUP(D26,'Vaccine options'!$E$21:$E$25,'Vaccine options'!$F$21:$F$25),0.07))</f>
        <v>7.0000000000000007E-2</v>
      </c>
      <c r="F26" s="394"/>
      <c r="G26" s="395"/>
      <c r="H26" s="395"/>
      <c r="I26" s="395"/>
      <c r="J26" s="395"/>
      <c r="K26" s="396"/>
      <c r="L26" s="148"/>
      <c r="M26" s="147"/>
      <c r="N26" s="146"/>
    </row>
    <row r="27" spans="2:14" ht="25.05" customHeight="1" x14ac:dyDescent="0.3">
      <c r="B27" s="51"/>
      <c r="C27" s="51"/>
      <c r="D27" s="258">
        <f>$E$8+4</f>
        <v>2030</v>
      </c>
      <c r="E27" s="323">
        <f>IF($E$17="Transition préparatoire",MIN(0.8,E26*1.15),IF($E$17="Transition accélérée",_xlfn.XLOOKUP(D27,'Vaccine options'!$E$21:$E$25,'Vaccine options'!$F$21:$F$25),0.07))</f>
        <v>7.0000000000000007E-2</v>
      </c>
      <c r="F27" s="397"/>
      <c r="G27" s="398"/>
      <c r="H27" s="398"/>
      <c r="I27" s="398"/>
      <c r="J27" s="398"/>
      <c r="K27" s="399"/>
      <c r="L27" s="148"/>
      <c r="M27" s="147"/>
      <c r="N27" s="146"/>
    </row>
    <row r="28" spans="2:14" ht="8.1" customHeight="1" x14ac:dyDescent="0.3">
      <c r="B28" s="51"/>
      <c r="C28" s="51"/>
      <c r="D28" s="147"/>
      <c r="E28" s="147"/>
      <c r="F28" s="327"/>
      <c r="G28" s="150"/>
      <c r="H28" s="147"/>
      <c r="I28" s="149"/>
      <c r="J28" s="149"/>
      <c r="K28" s="148"/>
      <c r="L28" s="148"/>
      <c r="M28" s="147"/>
      <c r="N28" s="146"/>
    </row>
    <row r="29" spans="2:14" ht="45" customHeight="1" x14ac:dyDescent="0.3">
      <c r="B29" s="51"/>
      <c r="C29" s="51"/>
      <c r="D29" s="376" t="s">
        <v>14</v>
      </c>
      <c r="E29" s="376"/>
      <c r="F29" s="376"/>
      <c r="G29" s="376"/>
      <c r="H29" s="376"/>
      <c r="I29" s="376"/>
      <c r="J29" s="376"/>
      <c r="K29" s="376"/>
      <c r="L29" s="83"/>
      <c r="M29" s="82"/>
      <c r="N29" s="80"/>
    </row>
    <row r="30" spans="2:14" ht="8.1" customHeight="1" x14ac:dyDescent="0.3">
      <c r="B30" s="51"/>
      <c r="C30" s="51"/>
      <c r="D30" s="51"/>
      <c r="E30" s="51"/>
      <c r="F30" s="51"/>
      <c r="G30" s="51"/>
      <c r="H30" s="51"/>
      <c r="I30" s="51"/>
      <c r="J30" s="51"/>
      <c r="K30" s="51"/>
      <c r="L30" s="51"/>
      <c r="M30" s="51"/>
    </row>
    <row r="31" spans="2:14" ht="58.35" customHeight="1" x14ac:dyDescent="0.3">
      <c r="B31" s="51"/>
      <c r="C31" s="51"/>
      <c r="D31" s="145"/>
      <c r="E31" s="306" t="s">
        <v>46</v>
      </c>
      <c r="F31" s="143"/>
      <c r="G31" s="144" t="s">
        <v>47</v>
      </c>
      <c r="H31" s="143"/>
      <c r="I31" s="144" t="s">
        <v>48</v>
      </c>
      <c r="J31" s="143"/>
      <c r="K31" s="308" t="s">
        <v>49</v>
      </c>
      <c r="L31" s="138"/>
      <c r="M31" s="51"/>
    </row>
    <row r="32" spans="2:14" ht="147" customHeight="1" x14ac:dyDescent="0.3">
      <c r="B32" s="51"/>
      <c r="C32" s="51"/>
      <c r="D32" s="142" t="s">
        <v>50</v>
      </c>
      <c r="E32" s="141" t="s">
        <v>51</v>
      </c>
      <c r="F32" s="140"/>
      <c r="G32" s="141" t="s">
        <v>52</v>
      </c>
      <c r="H32" s="140"/>
      <c r="I32" s="141" t="s">
        <v>53</v>
      </c>
      <c r="J32" s="140"/>
      <c r="K32" s="141" t="s">
        <v>108</v>
      </c>
      <c r="L32" s="139"/>
      <c r="M32" s="138"/>
      <c r="N32" s="137"/>
    </row>
    <row r="33" spans="2:14" ht="84.6" customHeight="1" x14ac:dyDescent="0.3">
      <c r="B33" s="51"/>
      <c r="C33" s="51"/>
      <c r="D33" s="259" t="s">
        <v>55</v>
      </c>
      <c r="E33" s="264" t="str">
        <f>VLOOKUP(E32,'Vaccine options'!$A$3:$E$8,5,FALSE)</f>
        <v>L’offre est supérieure à la demande</v>
      </c>
      <c r="F33" s="265"/>
      <c r="G33" s="264" t="str">
        <f>VLOOKUP(G32,'Vaccine options'!$A$3:$E$8,5,FALSE)</f>
        <v>L’offre est supérieure à la demande</v>
      </c>
      <c r="H33" s="265"/>
      <c r="I33" s="264" t="str">
        <f>VLOOKUP(I32,'Vaccine options'!$A$3:$E$8,5,FALSE)</f>
        <v>L’offre est supérieure à la demande</v>
      </c>
      <c r="J33" s="265"/>
      <c r="K33" s="264" t="str">
        <f>VLOOKUP(K32,'Vaccine options'!$A$3:$E$8,5,FALSE)</f>
        <v>Planification nécessaire</v>
      </c>
      <c r="L33" s="139"/>
      <c r="M33" s="138"/>
      <c r="N33" s="137"/>
    </row>
    <row r="34" spans="2:14" ht="8.25" customHeight="1" x14ac:dyDescent="0.3">
      <c r="B34" s="51"/>
      <c r="C34" s="51"/>
      <c r="D34" s="136"/>
      <c r="E34" s="135"/>
      <c r="F34" s="131"/>
      <c r="G34" s="135"/>
      <c r="H34" s="131"/>
      <c r="I34" s="135"/>
      <c r="J34" s="131"/>
      <c r="K34" s="135"/>
      <c r="L34" s="135"/>
      <c r="M34" s="134"/>
      <c r="N34" s="133"/>
    </row>
    <row r="35" spans="2:14" ht="39" customHeight="1" x14ac:dyDescent="0.3">
      <c r="B35" s="51"/>
      <c r="C35" s="51"/>
      <c r="D35" s="259" t="s">
        <v>56</v>
      </c>
      <c r="E35" s="140"/>
      <c r="F35" s="140"/>
      <c r="G35" s="140"/>
      <c r="H35" s="140"/>
      <c r="I35" s="140"/>
      <c r="J35" s="140"/>
      <c r="K35" s="140"/>
      <c r="L35" s="132"/>
      <c r="M35" s="131"/>
      <c r="N35" s="130"/>
    </row>
    <row r="36" spans="2:14" ht="25.05" customHeight="1" x14ac:dyDescent="0.3">
      <c r="B36" s="51"/>
      <c r="C36" s="51"/>
      <c r="D36" s="266">
        <f>D23</f>
        <v>2026</v>
      </c>
      <c r="E36" s="275" cm="1">
        <f t="array" ref="E36">INDEX('Vaccine prices'!$C$1:$C$84,MATCH(1,(E32='Vaccine prices'!$A$1:$A$84)*(D36='Vaccine prices'!$B$1:$B$84),0))</f>
        <v>2.9</v>
      </c>
      <c r="F36" s="276"/>
      <c r="G36" s="275" cm="1">
        <f t="array" ref="G36">INDEX('Vaccine prices'!$C$1:$C$84,MATCH(1,(G32='Vaccine prices'!$A$1:$A$84)*(D36='Vaccine prices'!$B$1:$B$84),0))</f>
        <v>2</v>
      </c>
      <c r="H36" s="276"/>
      <c r="I36" s="275" cm="1">
        <f t="array" ref="I36">INDEX('Vaccine prices'!$C$1:$C$84,MATCH(1,(I32='Vaccine prices'!$A$1:$A$84)*(D36='Vaccine prices'!$B$1:$B$84),0))</f>
        <v>3.3</v>
      </c>
      <c r="J36" s="276"/>
      <c r="K36" s="275" cm="1">
        <f t="array" ref="K36">INDEX('Vaccine prices'!$C$1:$C$84,MATCH(1,(K32='Vaccine prices'!$A$1:$A$84)*(D36='Vaccine prices'!$B$1:$B$84),0))</f>
        <v>2.8</v>
      </c>
      <c r="L36" s="132"/>
      <c r="M36" s="131"/>
      <c r="N36" s="130"/>
    </row>
    <row r="37" spans="2:14" ht="25.05" customHeight="1" x14ac:dyDescent="0.3">
      <c r="B37" s="51"/>
      <c r="C37" s="51"/>
      <c r="D37" s="266">
        <f>D24</f>
        <v>2027</v>
      </c>
      <c r="E37" s="275" cm="1">
        <f t="array" ref="E37">INDEX('Vaccine prices'!$C$1:$C$84,MATCH(1,(E32='Vaccine prices'!$A$1:$A$84)*(D37='Vaccine prices'!$B$1:$B$84),0))</f>
        <v>2.9</v>
      </c>
      <c r="F37" s="276"/>
      <c r="G37" s="275" cm="1">
        <f t="array" ref="G37">INDEX('Vaccine prices'!$C$1:$C$84,MATCH(1,(G32='Vaccine prices'!$A$1:$A$84)*(D37='Vaccine prices'!$B$1:$B$84),0))</f>
        <v>2</v>
      </c>
      <c r="H37" s="276"/>
      <c r="I37" s="275" cm="1">
        <f t="array" ref="I37">INDEX('Vaccine prices'!$C$1:$C$84,MATCH(1,(I32='Vaccine prices'!$A$1:$A$84)*(D37='Vaccine prices'!$B$1:$B$84),0))</f>
        <v>3.3</v>
      </c>
      <c r="J37" s="276"/>
      <c r="K37" s="275" cm="1">
        <f t="array" ref="K37">INDEX('Vaccine prices'!$C$1:$C$84,MATCH(1,(K32='Vaccine prices'!$A$1:$A$84)*(D37='Vaccine prices'!$B$1:$B$84),0))</f>
        <v>2.8</v>
      </c>
      <c r="L37" s="132"/>
      <c r="M37" s="131"/>
      <c r="N37" s="130"/>
    </row>
    <row r="38" spans="2:14" ht="25.05" customHeight="1" x14ac:dyDescent="0.3">
      <c r="B38" s="51"/>
      <c r="C38" s="51"/>
      <c r="D38" s="266">
        <f>D25</f>
        <v>2028</v>
      </c>
      <c r="E38" s="275" cm="1">
        <f t="array" ref="E38">INDEX('Vaccine prices'!$C$1:$C$84,MATCH(1,(E32='Vaccine prices'!$A$1:$A$84)*(D38='Vaccine prices'!$B$1:$B$84),0))</f>
        <v>2.9</v>
      </c>
      <c r="F38" s="276"/>
      <c r="G38" s="275" cm="1">
        <f t="array" ref="G38">INDEX('Vaccine prices'!$C$1:$C$84,MATCH(1,(G32='Vaccine prices'!$A$1:$A$84)*(D38='Vaccine prices'!$B$1:$B$84),0))</f>
        <v>2</v>
      </c>
      <c r="H38" s="276"/>
      <c r="I38" s="275" cm="1">
        <f t="array" ref="I38">INDEX('Vaccine prices'!$C$1:$C$84,MATCH(1,(I32='Vaccine prices'!$A$1:$A$84)*(D38='Vaccine prices'!$B$1:$B$84),0))</f>
        <v>3.3</v>
      </c>
      <c r="J38" s="276"/>
      <c r="K38" s="275" cm="1">
        <f t="array" ref="K38">INDEX('Vaccine prices'!$C$1:$C$84,MATCH(1,(K32='Vaccine prices'!$A$1:$A$84)*(D38='Vaccine prices'!$B$1:$B$84),0))</f>
        <v>2.8</v>
      </c>
      <c r="L38" s="132"/>
      <c r="M38" s="131"/>
      <c r="N38" s="130"/>
    </row>
    <row r="39" spans="2:14" ht="25.05" customHeight="1" x14ac:dyDescent="0.3">
      <c r="B39" s="51"/>
      <c r="C39" s="51"/>
      <c r="D39" s="266">
        <f>D26</f>
        <v>2029</v>
      </c>
      <c r="E39" s="275" cm="1">
        <f t="array" ref="E39">INDEX('Vaccine prices'!$C$1:$C$84,MATCH(1,(E32='Vaccine prices'!$A$1:$A$84)*(D39='Vaccine prices'!$B$1:$B$84),0))</f>
        <v>2.9</v>
      </c>
      <c r="F39" s="276"/>
      <c r="G39" s="275" cm="1">
        <f t="array" ref="G39">INDEX('Vaccine prices'!$C$1:$C$84,MATCH(1,(G32='Vaccine prices'!$A$1:$A$84)*(D39='Vaccine prices'!$B$1:$B$84),0))</f>
        <v>2</v>
      </c>
      <c r="H39" s="276"/>
      <c r="I39" s="275" cm="1">
        <f t="array" ref="I39">INDEX('Vaccine prices'!$C$1:$C$84,MATCH(1,(I32='Vaccine prices'!$A$1:$A$84)*(D39='Vaccine prices'!$B$1:$B$84),0))</f>
        <v>3.3</v>
      </c>
      <c r="J39" s="276"/>
      <c r="K39" s="275" cm="1">
        <f t="array" ref="K39">INDEX('Vaccine prices'!$C$1:$C$84,MATCH(1,(K32='Vaccine prices'!$A$1:$A$84)*(D39='Vaccine prices'!$B$1:$B$84),0))</f>
        <v>2.8</v>
      </c>
      <c r="L39" s="132"/>
      <c r="M39" s="131"/>
      <c r="N39" s="130"/>
    </row>
    <row r="40" spans="2:14" ht="25.05" customHeight="1" x14ac:dyDescent="0.3">
      <c r="B40" s="51"/>
      <c r="C40" s="51"/>
      <c r="D40" s="266">
        <f>D27</f>
        <v>2030</v>
      </c>
      <c r="E40" s="275" cm="1">
        <f t="array" ref="E40">INDEX('Vaccine prices'!$C$1:$C$84,MATCH(1,(E32='Vaccine prices'!$A$1:$A$84)*(D40='Vaccine prices'!$B$1:$B$84),0))</f>
        <v>2.9</v>
      </c>
      <c r="F40" s="276"/>
      <c r="G40" s="275" cm="1">
        <f t="array" ref="G40">INDEX('Vaccine prices'!$C$1:$C$84,MATCH(1,(G32='Vaccine prices'!$A$1:$A$84)*(D40='Vaccine prices'!$B$1:$B$84),0))</f>
        <v>2</v>
      </c>
      <c r="H40" s="276"/>
      <c r="I40" s="275" cm="1">
        <f t="array" ref="I40">INDEX('Vaccine prices'!$C$1:$C$84,MATCH(1,(I32='Vaccine prices'!$A$1:$A$84)*(D40='Vaccine prices'!$B$1:$B$84),0))</f>
        <v>3.3</v>
      </c>
      <c r="J40" s="276"/>
      <c r="K40" s="275" cm="1">
        <f t="array" ref="K40">INDEX('Vaccine prices'!$C$1:$C$84,MATCH(1,(K32='Vaccine prices'!$A$1:$A$84)*(D40='Vaccine prices'!$B$1:$B$84),0))</f>
        <v>2.8</v>
      </c>
      <c r="L40" s="132"/>
      <c r="M40" s="131"/>
      <c r="N40" s="130"/>
    </row>
    <row r="41" spans="2:14" ht="8.25" customHeight="1" x14ac:dyDescent="0.3">
      <c r="B41" s="51"/>
      <c r="C41" s="51"/>
      <c r="D41" s="138"/>
      <c r="E41" s="138"/>
      <c r="F41" s="138"/>
      <c r="G41" s="138"/>
      <c r="H41" s="138"/>
      <c r="I41" s="138"/>
      <c r="J41" s="138"/>
      <c r="K41" s="138"/>
      <c r="L41" s="132"/>
      <c r="M41" s="131"/>
      <c r="N41" s="130"/>
    </row>
    <row r="42" spans="2:14" ht="42" customHeight="1" x14ac:dyDescent="0.3">
      <c r="B42" s="51"/>
      <c r="C42" s="51"/>
      <c r="D42" s="259" t="s">
        <v>57</v>
      </c>
      <c r="E42" s="140"/>
      <c r="F42" s="140"/>
      <c r="G42" s="140"/>
      <c r="H42" s="140"/>
      <c r="I42" s="140"/>
      <c r="J42" s="140"/>
      <c r="K42" s="140"/>
      <c r="L42" s="132"/>
      <c r="M42" s="131"/>
      <c r="N42" s="130"/>
    </row>
    <row r="43" spans="2:14" ht="25.05" customHeight="1" x14ac:dyDescent="0.3">
      <c r="B43" s="51"/>
      <c r="C43" s="51"/>
      <c r="D43" s="266">
        <f>D23</f>
        <v>2026</v>
      </c>
      <c r="E43" s="324">
        <f>E36*E23</f>
        <v>0.20300000000000001</v>
      </c>
      <c r="F43" s="325"/>
      <c r="G43" s="324">
        <f>G36*E23</f>
        <v>0.14000000000000001</v>
      </c>
      <c r="H43" s="325"/>
      <c r="I43" s="324">
        <f>I36*E23</f>
        <v>0.23100000000000001</v>
      </c>
      <c r="J43" s="325"/>
      <c r="K43" s="324">
        <f>K36*E23</f>
        <v>0.19600000000000001</v>
      </c>
      <c r="L43" s="132"/>
      <c r="M43" s="131"/>
      <c r="N43" s="130"/>
    </row>
    <row r="44" spans="2:14" ht="25.05" customHeight="1" x14ac:dyDescent="0.3">
      <c r="B44" s="51"/>
      <c r="C44" s="51"/>
      <c r="D44" s="266">
        <f>D24</f>
        <v>2027</v>
      </c>
      <c r="E44" s="324">
        <f>E37*E24</f>
        <v>0.20300000000000001</v>
      </c>
      <c r="F44" s="325"/>
      <c r="G44" s="324">
        <f t="shared" ref="G44:G47" si="0">G37*E24</f>
        <v>0.14000000000000001</v>
      </c>
      <c r="H44" s="325"/>
      <c r="I44" s="324">
        <f t="shared" ref="I44:I47" si="1">I37*E24</f>
        <v>0.23100000000000001</v>
      </c>
      <c r="J44" s="325"/>
      <c r="K44" s="324">
        <f t="shared" ref="K44:K47" si="2">K37*E24</f>
        <v>0.19600000000000001</v>
      </c>
      <c r="L44" s="132"/>
      <c r="M44" s="131"/>
      <c r="N44" s="130"/>
    </row>
    <row r="45" spans="2:14" ht="25.05" customHeight="1" x14ac:dyDescent="0.3">
      <c r="B45" s="51"/>
      <c r="C45" s="51"/>
      <c r="D45" s="266">
        <f>D25</f>
        <v>2028</v>
      </c>
      <c r="E45" s="324">
        <f>E38*E25</f>
        <v>0.20300000000000001</v>
      </c>
      <c r="F45" s="325"/>
      <c r="G45" s="324">
        <f t="shared" si="0"/>
        <v>0.14000000000000001</v>
      </c>
      <c r="H45" s="325"/>
      <c r="I45" s="324">
        <f t="shared" si="1"/>
        <v>0.23100000000000001</v>
      </c>
      <c r="J45" s="325"/>
      <c r="K45" s="324">
        <f>K38*E25</f>
        <v>0.19600000000000001</v>
      </c>
      <c r="L45" s="132"/>
      <c r="M45" s="131"/>
      <c r="N45" s="130"/>
    </row>
    <row r="46" spans="2:14" ht="25.05" customHeight="1" x14ac:dyDescent="0.3">
      <c r="B46" s="51"/>
      <c r="C46" s="51"/>
      <c r="D46" s="266">
        <f>D26</f>
        <v>2029</v>
      </c>
      <c r="E46" s="324">
        <f>E39*E26</f>
        <v>0.20300000000000001</v>
      </c>
      <c r="F46" s="325"/>
      <c r="G46" s="324">
        <f t="shared" si="0"/>
        <v>0.14000000000000001</v>
      </c>
      <c r="H46" s="325"/>
      <c r="I46" s="324">
        <f t="shared" si="1"/>
        <v>0.23100000000000001</v>
      </c>
      <c r="J46" s="325"/>
      <c r="K46" s="324">
        <f t="shared" si="2"/>
        <v>0.19600000000000001</v>
      </c>
      <c r="L46" s="132"/>
      <c r="M46" s="131"/>
      <c r="N46" s="130"/>
    </row>
    <row r="47" spans="2:14" ht="25.05" customHeight="1" x14ac:dyDescent="0.3">
      <c r="B47" s="51"/>
      <c r="C47" s="51"/>
      <c r="D47" s="266">
        <f>D27</f>
        <v>2030</v>
      </c>
      <c r="E47" s="324">
        <f>E40*E27</f>
        <v>0.20300000000000001</v>
      </c>
      <c r="F47" s="325"/>
      <c r="G47" s="324">
        <f t="shared" si="0"/>
        <v>0.14000000000000001</v>
      </c>
      <c r="H47" s="325"/>
      <c r="I47" s="324">
        <f t="shared" si="1"/>
        <v>0.23100000000000001</v>
      </c>
      <c r="J47" s="325"/>
      <c r="K47" s="324">
        <f t="shared" si="2"/>
        <v>0.19600000000000001</v>
      </c>
      <c r="L47" s="132"/>
      <c r="M47" s="131"/>
      <c r="N47" s="130"/>
    </row>
    <row r="48" spans="2:14" ht="8.25" customHeight="1" x14ac:dyDescent="0.3">
      <c r="B48" s="51"/>
      <c r="C48" s="51"/>
      <c r="D48" s="136"/>
      <c r="E48" s="136"/>
      <c r="F48" s="136"/>
      <c r="G48" s="136"/>
      <c r="H48" s="136"/>
      <c r="I48" s="136"/>
      <c r="J48" s="136"/>
      <c r="K48" s="136"/>
      <c r="L48" s="132"/>
      <c r="M48" s="131"/>
      <c r="N48" s="130"/>
    </row>
    <row r="49" spans="2:15" ht="39" customHeight="1" x14ac:dyDescent="0.3">
      <c r="B49" s="51"/>
      <c r="C49" s="51"/>
      <c r="D49" s="309" t="s">
        <v>58</v>
      </c>
      <c r="E49" s="316">
        <v>3</v>
      </c>
      <c r="F49" s="129"/>
      <c r="G49" s="316">
        <v>3</v>
      </c>
      <c r="H49" s="129"/>
      <c r="I49" s="316">
        <v>3</v>
      </c>
      <c r="J49" s="129"/>
      <c r="K49" s="317">
        <v>3</v>
      </c>
      <c r="L49" s="87"/>
      <c r="M49" s="86"/>
      <c r="N49" s="85"/>
    </row>
    <row r="50" spans="2:15" ht="39" customHeight="1" x14ac:dyDescent="0.3">
      <c r="B50" s="51"/>
      <c r="C50" s="51"/>
      <c r="D50" s="310" t="s">
        <v>59</v>
      </c>
      <c r="E50" s="128">
        <f>IFERROR(INDEX('Vaccine options'!$A$3:$D$8,MATCH(E32,'Vaccine options'!$A$3:$A$8,0),2),"-")</f>
        <v>3</v>
      </c>
      <c r="F50" s="129"/>
      <c r="G50" s="314">
        <f>IFERROR(INDEX('Vaccine options'!$A$3:$D$8,MATCH(G32,'Vaccine options'!$A$3:$A$8,0),2),"-")</f>
        <v>3</v>
      </c>
      <c r="H50" s="129"/>
      <c r="I50" s="128">
        <f>IFERROR(INDEX('Vaccine options'!$A$3:$D$8,MATCH(I32,'Vaccine options'!$A$3:$A$8,0),2),"-")</f>
        <v>3</v>
      </c>
      <c r="J50" s="129"/>
      <c r="K50" s="315">
        <f>IFERROR(INDEX('Vaccine options'!$A$3:$D$8,MATCH(K32,'Vaccine options'!$A$3:$A$8,0),2),"-")</f>
        <v>3</v>
      </c>
      <c r="L50" s="87"/>
      <c r="M50" s="86"/>
      <c r="N50" s="85"/>
    </row>
    <row r="51" spans="2:15" ht="39" customHeight="1" x14ac:dyDescent="0.3">
      <c r="B51" s="51"/>
      <c r="C51" s="51"/>
      <c r="D51" s="308" t="s">
        <v>60</v>
      </c>
      <c r="E51" s="128">
        <f>IFERROR(INDEX('Vaccine options'!$A$3:$D$8,MATCH(E32,'Vaccine options'!$A$3:$A$8,0),4),"-")</f>
        <v>2.4</v>
      </c>
      <c r="F51" s="127"/>
      <c r="G51" s="128">
        <f>IFERROR(INDEX('Vaccine options'!$A$3:$D$8,MATCH(G32,'Vaccine options'!$A$3:$A$8,0),4),"-")</f>
        <v>3.5150000000000001</v>
      </c>
      <c r="H51" s="127"/>
      <c r="I51" s="128">
        <f>IFERROR(INDEX('Vaccine options'!$A$3:$D$8,MATCH(I32,'Vaccine options'!$A$3:$A$8,0),4),"-")</f>
        <v>12</v>
      </c>
      <c r="J51" s="127"/>
      <c r="K51" s="128">
        <f>IFERROR(INDEX('Vaccine options'!$A$3:$D$8,MATCH(K32,'Vaccine options'!$A$3:$A$8,0),4),"-")</f>
        <v>2.9</v>
      </c>
      <c r="L51" s="126"/>
      <c r="M51" s="125"/>
      <c r="N51" s="124"/>
    </row>
    <row r="52" spans="2:15" ht="39" customHeight="1" x14ac:dyDescent="0.3">
      <c r="B52" s="51"/>
      <c r="C52" s="51"/>
      <c r="D52" s="309" t="s">
        <v>61</v>
      </c>
      <c r="E52" s="123">
        <v>0.08</v>
      </c>
      <c r="F52" s="99"/>
      <c r="G52" s="122">
        <v>0.08</v>
      </c>
      <c r="H52" s="99"/>
      <c r="I52" s="121">
        <v>0.05</v>
      </c>
      <c r="J52" s="99">
        <v>0.05</v>
      </c>
      <c r="K52" s="121">
        <v>0.08</v>
      </c>
      <c r="L52" s="97"/>
      <c r="M52" s="96"/>
      <c r="N52" s="95"/>
    </row>
    <row r="53" spans="2:15" ht="20.100000000000001" customHeight="1" x14ac:dyDescent="0.3">
      <c r="B53" s="51"/>
      <c r="C53" s="51"/>
      <c r="D53" s="120" t="s">
        <v>62</v>
      </c>
      <c r="E53" s="119">
        <f>IFERROR(INDEX('Vaccine options'!$A$3:$D$8,MATCH(E32,'Vaccine options'!$A$3:$A$8,0),3),"-")</f>
        <v>0.08</v>
      </c>
      <c r="F53" s="117"/>
      <c r="G53" s="118">
        <f>IFERROR(INDEX('Vaccine options'!$A$3:$D$8,MATCH(G32,'Vaccine options'!$A$3:$A$8,0),3),"-")</f>
        <v>0.08</v>
      </c>
      <c r="H53" s="117"/>
      <c r="I53" s="116">
        <f>IFERROR(INDEX('Vaccine options'!$A$3:$D$8,MATCH(I32,'Vaccine options'!$A$3:$A$8,0),3),"-")</f>
        <v>0.05</v>
      </c>
      <c r="J53" s="117"/>
      <c r="K53" s="116">
        <f>IFERROR(INDEX('Vaccine options'!$A$3:$D$8,MATCH(E32,'Vaccine options'!$A$3:$A$8,0),3),"-")</f>
        <v>0.08</v>
      </c>
      <c r="L53" s="115"/>
      <c r="M53" s="96"/>
      <c r="N53" s="95"/>
      <c r="O53" s="114"/>
    </row>
    <row r="54" spans="2:15" ht="39" customHeight="1" x14ac:dyDescent="0.3">
      <c r="B54" s="51"/>
      <c r="C54" s="51"/>
      <c r="D54" s="308" t="s">
        <v>63</v>
      </c>
      <c r="E54" s="112">
        <f>(1/(1-E52))</f>
        <v>1.0869565217391304</v>
      </c>
      <c r="F54" s="113"/>
      <c r="G54" s="112">
        <f>(1/(1-G52))</f>
        <v>1.0869565217391304</v>
      </c>
      <c r="H54" s="113"/>
      <c r="I54" s="112">
        <f>(1/(1-I52))</f>
        <v>1.0526315789473684</v>
      </c>
      <c r="J54" s="113"/>
      <c r="K54" s="112">
        <f>(1/(1-K52))</f>
        <v>1.0869565217391304</v>
      </c>
      <c r="L54" s="111"/>
      <c r="M54" s="110"/>
      <c r="N54" s="109"/>
    </row>
    <row r="55" spans="2:15" ht="39" customHeight="1" x14ac:dyDescent="0.3">
      <c r="B55" s="51"/>
      <c r="C55" s="51"/>
      <c r="D55" s="308" t="s">
        <v>64</v>
      </c>
      <c r="E55" s="108">
        <v>0.05</v>
      </c>
      <c r="F55" s="106"/>
      <c r="G55" s="107">
        <v>0.05</v>
      </c>
      <c r="H55" s="106"/>
      <c r="I55" s="105">
        <v>0.05</v>
      </c>
      <c r="J55" s="106"/>
      <c r="K55" s="105">
        <v>0.05</v>
      </c>
      <c r="L55" s="104"/>
      <c r="M55" s="103"/>
      <c r="N55" s="102"/>
    </row>
    <row r="56" spans="2:15" ht="39" customHeight="1" x14ac:dyDescent="0.3">
      <c r="B56" s="51"/>
      <c r="C56" s="51"/>
      <c r="D56" s="308" t="s">
        <v>65</v>
      </c>
      <c r="E56" s="101">
        <v>7.0000000000000007E-2</v>
      </c>
      <c r="F56" s="99"/>
      <c r="G56" s="100">
        <v>7.0000000000000007E-2</v>
      </c>
      <c r="H56" s="99"/>
      <c r="I56" s="98">
        <v>7.0000000000000007E-2</v>
      </c>
      <c r="J56" s="99"/>
      <c r="K56" s="98">
        <v>7.0000000000000007E-2</v>
      </c>
      <c r="L56" s="97"/>
      <c r="M56" s="96"/>
      <c r="N56" s="95"/>
    </row>
    <row r="57" spans="2:15" ht="39" customHeight="1" x14ac:dyDescent="0.3">
      <c r="B57" s="51"/>
      <c r="C57" s="51"/>
      <c r="D57" s="308" t="s">
        <v>66</v>
      </c>
      <c r="E57" s="101">
        <v>0.25</v>
      </c>
      <c r="F57" s="99"/>
      <c r="G57" s="100">
        <v>0.25</v>
      </c>
      <c r="H57" s="99"/>
      <c r="I57" s="98">
        <v>0.25</v>
      </c>
      <c r="J57" s="99"/>
      <c r="K57" s="98">
        <v>0.25</v>
      </c>
      <c r="L57" s="97"/>
      <c r="M57" s="96"/>
      <c r="N57" s="95"/>
    </row>
    <row r="58" spans="2:15" ht="39" customHeight="1" x14ac:dyDescent="0.3">
      <c r="B58" s="51"/>
      <c r="C58" s="51"/>
      <c r="D58" s="308" t="s">
        <v>67</v>
      </c>
      <c r="E58" s="277">
        <v>0.8</v>
      </c>
      <c r="F58" s="278"/>
      <c r="G58" s="279">
        <v>0.8</v>
      </c>
      <c r="H58" s="278"/>
      <c r="I58" s="280">
        <v>0.8</v>
      </c>
      <c r="J58" s="278"/>
      <c r="K58" s="280">
        <v>0.8</v>
      </c>
      <c r="L58" s="94"/>
      <c r="M58" s="93"/>
      <c r="N58" s="92"/>
    </row>
    <row r="59" spans="2:15" ht="39" customHeight="1" x14ac:dyDescent="0.3">
      <c r="B59" s="51"/>
      <c r="C59" s="51"/>
      <c r="D59" s="308" t="s">
        <v>68</v>
      </c>
      <c r="E59" s="91">
        <v>100</v>
      </c>
      <c r="F59" s="89"/>
      <c r="G59" s="90">
        <v>100</v>
      </c>
      <c r="H59" s="89"/>
      <c r="I59" s="88">
        <v>100</v>
      </c>
      <c r="J59" s="89"/>
      <c r="K59" s="88">
        <v>100</v>
      </c>
      <c r="L59" s="87"/>
      <c r="M59" s="86"/>
      <c r="N59" s="85"/>
    </row>
    <row r="60" spans="2:15" ht="39" customHeight="1" x14ac:dyDescent="0.3">
      <c r="B60" s="51"/>
      <c r="C60" s="51"/>
      <c r="D60" s="308" t="s">
        <v>69</v>
      </c>
      <c r="E60" s="280">
        <v>0.04</v>
      </c>
      <c r="F60" s="281"/>
      <c r="G60" s="280">
        <v>0.04</v>
      </c>
      <c r="H60" s="281"/>
      <c r="I60" s="280">
        <v>0.04</v>
      </c>
      <c r="J60" s="281"/>
      <c r="K60" s="280">
        <v>0.04</v>
      </c>
      <c r="L60" s="256"/>
      <c r="M60" s="86"/>
      <c r="N60" s="85"/>
    </row>
    <row r="61" spans="2:15" ht="8.1" customHeight="1" x14ac:dyDescent="0.3">
      <c r="B61" s="51"/>
      <c r="C61" s="51"/>
      <c r="D61" s="84"/>
      <c r="E61" s="51"/>
      <c r="F61" s="51"/>
      <c r="G61" s="51"/>
      <c r="H61" s="51"/>
      <c r="I61" s="51"/>
      <c r="J61" s="51"/>
      <c r="K61" s="84"/>
      <c r="L61" s="84"/>
      <c r="M61" s="51"/>
    </row>
    <row r="62" spans="2:15" ht="45" customHeight="1" x14ac:dyDescent="0.3">
      <c r="B62" s="51"/>
      <c r="C62" s="51"/>
      <c r="D62" s="376" t="s">
        <v>22</v>
      </c>
      <c r="E62" s="376"/>
      <c r="F62" s="376"/>
      <c r="G62" s="376"/>
      <c r="H62" s="376"/>
      <c r="I62" s="376"/>
      <c r="J62" s="376"/>
      <c r="K62" s="376"/>
      <c r="L62" s="83"/>
      <c r="M62" s="82"/>
      <c r="N62" s="80"/>
    </row>
    <row r="63" spans="2:15" ht="8.1" customHeight="1" x14ac:dyDescent="0.3">
      <c r="B63" s="51"/>
      <c r="C63" s="51"/>
      <c r="D63" s="81"/>
      <c r="E63" s="81"/>
      <c r="F63" s="81"/>
      <c r="G63" s="81"/>
      <c r="H63" s="81"/>
      <c r="I63" s="51"/>
      <c r="J63" s="51"/>
      <c r="K63" s="81"/>
      <c r="L63" s="81"/>
      <c r="M63" s="81"/>
      <c r="N63" s="80"/>
    </row>
    <row r="64" spans="2:15" ht="66.75" customHeight="1" x14ac:dyDescent="0.3">
      <c r="B64" s="51"/>
      <c r="C64" s="51"/>
      <c r="D64" s="308" t="s">
        <v>70</v>
      </c>
      <c r="E64" s="282">
        <v>0</v>
      </c>
      <c r="F64" s="283"/>
      <c r="G64" s="284">
        <v>0</v>
      </c>
      <c r="H64" s="283"/>
      <c r="I64" s="282">
        <v>0</v>
      </c>
      <c r="J64" s="283"/>
      <c r="K64" s="284">
        <v>0</v>
      </c>
      <c r="L64" s="79"/>
      <c r="M64" s="78"/>
      <c r="N64" s="77"/>
    </row>
    <row r="65" spans="2:14" ht="36.75" customHeight="1" x14ac:dyDescent="0.3">
      <c r="B65" s="51"/>
      <c r="C65" s="51"/>
      <c r="D65" s="309" t="s">
        <v>24</v>
      </c>
      <c r="E65" s="380">
        <v>1</v>
      </c>
      <c r="F65" s="285"/>
      <c r="G65" s="380">
        <v>1</v>
      </c>
      <c r="H65" s="285"/>
      <c r="I65" s="380">
        <v>1</v>
      </c>
      <c r="J65" s="285">
        <v>1</v>
      </c>
      <c r="K65" s="380">
        <v>1</v>
      </c>
      <c r="L65" s="75"/>
      <c r="M65" s="74"/>
      <c r="N65" s="73"/>
    </row>
    <row r="66" spans="2:14" ht="20.25" customHeight="1" x14ac:dyDescent="0.3">
      <c r="B66" s="51"/>
      <c r="C66" s="51"/>
      <c r="D66" s="76" t="s">
        <v>71</v>
      </c>
      <c r="E66" s="381"/>
      <c r="F66" s="285"/>
      <c r="G66" s="381"/>
      <c r="H66" s="285"/>
      <c r="I66" s="381"/>
      <c r="J66" s="285"/>
      <c r="K66" s="381"/>
      <c r="L66" s="75"/>
      <c r="M66" s="74"/>
      <c r="N66" s="73"/>
    </row>
    <row r="67" spans="2:14" ht="50.55" customHeight="1" x14ac:dyDescent="0.3">
      <c r="B67" s="51"/>
      <c r="C67" s="51"/>
      <c r="D67" s="51"/>
      <c r="E67" s="297" t="str">
        <f>IF(OR(E65&gt;1.38,E65&lt;0.48),"! CONFIRMER LA VALEUR !
 Selon l’IDCC, ce coût est compris entre 0,48 et 1,38 $","")</f>
        <v/>
      </c>
      <c r="F67" s="298"/>
      <c r="G67" s="297" t="str">
        <f>IF(OR(G65&gt;1.38,G65&lt;0.48),"! CONFIRMER LA VALEUR !
 Selon l’IDCC, ce coût est compris entre 0,48 et 1,38 $","")</f>
        <v/>
      </c>
      <c r="H67" s="298"/>
      <c r="I67" s="297" t="str">
        <f>IF(OR(I65&gt;1.38,I65&lt;0.48),"! CONFIRMER LA VALEUR !
 Selon l’IDCC, ce coût est compris entre 0,48 et 1,38 $","")</f>
        <v/>
      </c>
      <c r="J67" s="298"/>
      <c r="K67" s="297" t="str">
        <f>IF(OR(K65&gt;1.38,K65&lt;0.48),"! CONFIRMER LA VALEUR !
 Selon l’IDCC, ce coût est compris entre 0,48 et 1,38 $","")</f>
        <v/>
      </c>
      <c r="L67" s="51"/>
      <c r="M67" s="70"/>
      <c r="N67" s="66"/>
    </row>
    <row r="68" spans="2:14" ht="60" customHeight="1" x14ac:dyDescent="0.3">
      <c r="B68" s="51"/>
      <c r="C68" s="72"/>
      <c r="D68" s="379" t="s">
        <v>26</v>
      </c>
      <c r="E68" s="379"/>
      <c r="F68" s="379"/>
      <c r="G68" s="379"/>
      <c r="H68" s="379"/>
      <c r="I68" s="379"/>
      <c r="J68" s="379"/>
      <c r="K68" s="379"/>
      <c r="L68" s="71"/>
      <c r="M68" s="70"/>
      <c r="N68" s="66"/>
    </row>
    <row r="69" spans="2:14" ht="32.1" customHeight="1" x14ac:dyDescent="0.4">
      <c r="B69" s="51"/>
      <c r="C69" s="69"/>
      <c r="D69" s="377" t="s">
        <v>72</v>
      </c>
      <c r="E69" s="377"/>
      <c r="F69" s="377"/>
      <c r="G69" s="377"/>
      <c r="H69" s="377"/>
      <c r="I69" s="377"/>
      <c r="J69" s="377"/>
      <c r="K69" s="377"/>
      <c r="L69" s="68"/>
      <c r="M69" s="67"/>
      <c r="N69" s="66"/>
    </row>
    <row r="70" spans="2:14" ht="8.1" hidden="1" customHeight="1" outlineLevel="1" x14ac:dyDescent="0.3">
      <c r="B70" s="51"/>
      <c r="C70" s="51"/>
      <c r="D70" s="64"/>
      <c r="E70" s="63"/>
      <c r="F70" s="63"/>
      <c r="G70" s="65"/>
      <c r="H70" s="63"/>
      <c r="I70" s="51"/>
      <c r="J70" s="51"/>
      <c r="K70" s="64"/>
      <c r="L70" s="64"/>
      <c r="M70" s="63"/>
      <c r="N70" s="62"/>
    </row>
    <row r="71" spans="2:14" ht="24" hidden="1" customHeight="1" outlineLevel="1" x14ac:dyDescent="0.3">
      <c r="B71" s="51"/>
      <c r="C71" s="51"/>
      <c r="D71" s="373" t="s">
        <v>73</v>
      </c>
      <c r="E71" s="374"/>
      <c r="F71" s="374"/>
      <c r="G71" s="374"/>
      <c r="H71" s="374"/>
      <c r="I71" s="374"/>
      <c r="J71" s="374"/>
      <c r="K71" s="375"/>
      <c r="L71" s="61"/>
      <c r="M71" s="63"/>
      <c r="N71" s="62"/>
    </row>
    <row r="72" spans="2:14" ht="8.1" hidden="1" customHeight="1" outlineLevel="1" x14ac:dyDescent="0.3">
      <c r="B72" s="51"/>
      <c r="C72" s="51"/>
      <c r="D72" s="64"/>
      <c r="E72" s="63"/>
      <c r="F72" s="63"/>
      <c r="G72" s="65"/>
      <c r="H72" s="63"/>
      <c r="I72" s="51"/>
      <c r="J72" s="51"/>
      <c r="K72" s="64"/>
      <c r="L72" s="64"/>
      <c r="M72" s="63"/>
      <c r="N72" s="62"/>
    </row>
    <row r="73" spans="2:14" ht="50.55" hidden="1" customHeight="1" outlineLevel="1" x14ac:dyDescent="0.3">
      <c r="B73" s="51"/>
      <c r="C73" s="51"/>
      <c r="D73" s="308" t="s">
        <v>74</v>
      </c>
      <c r="E73" s="56">
        <v>0.2</v>
      </c>
      <c r="F73" s="55"/>
      <c r="G73" s="54">
        <v>0.3</v>
      </c>
      <c r="H73" s="55"/>
      <c r="I73" s="54">
        <v>0.25</v>
      </c>
      <c r="J73" s="55"/>
      <c r="K73" s="54">
        <v>0.25</v>
      </c>
      <c r="L73" s="53"/>
      <c r="M73" s="51"/>
    </row>
    <row r="74" spans="2:14" ht="8.1" hidden="1" customHeight="1" outlineLevel="1" x14ac:dyDescent="0.3">
      <c r="B74" s="51"/>
      <c r="C74" s="51"/>
      <c r="D74" s="51"/>
      <c r="E74" s="51"/>
      <c r="F74" s="51"/>
      <c r="G74" s="51"/>
      <c r="H74" s="51"/>
      <c r="I74" s="51"/>
      <c r="J74" s="51"/>
      <c r="K74" s="51"/>
      <c r="L74" s="51"/>
      <c r="M74" s="51"/>
    </row>
    <row r="75" spans="2:14" ht="24" hidden="1" customHeight="1" outlineLevel="1" x14ac:dyDescent="0.3">
      <c r="B75" s="51"/>
      <c r="C75" s="51"/>
      <c r="D75" s="373" t="s">
        <v>75</v>
      </c>
      <c r="E75" s="374"/>
      <c r="F75" s="374"/>
      <c r="G75" s="374"/>
      <c r="H75" s="374"/>
      <c r="I75" s="374"/>
      <c r="J75" s="374"/>
      <c r="K75" s="375"/>
      <c r="L75" s="61"/>
      <c r="M75" s="51"/>
    </row>
    <row r="76" spans="2:14" ht="8.1" hidden="1" customHeight="1" outlineLevel="1" x14ac:dyDescent="0.3">
      <c r="B76" s="51"/>
      <c r="C76" s="51"/>
      <c r="D76" s="51"/>
      <c r="E76" s="51"/>
      <c r="F76" s="51"/>
      <c r="G76" s="51"/>
      <c r="H76" s="51"/>
      <c r="I76" s="51"/>
      <c r="J76" s="51"/>
      <c r="K76" s="51"/>
      <c r="L76" s="51"/>
      <c r="M76" s="51"/>
    </row>
    <row r="77" spans="2:14" ht="50.55" hidden="1" customHeight="1" outlineLevel="1" x14ac:dyDescent="0.3">
      <c r="B77" s="51"/>
      <c r="C77" s="51"/>
      <c r="D77" s="308" t="s">
        <v>74</v>
      </c>
      <c r="E77" s="56">
        <v>0.2</v>
      </c>
      <c r="F77" s="55"/>
      <c r="G77" s="54">
        <v>0.3</v>
      </c>
      <c r="H77" s="55"/>
      <c r="I77" s="54">
        <v>0.5</v>
      </c>
      <c r="J77" s="55"/>
      <c r="K77" s="54">
        <v>0</v>
      </c>
      <c r="L77" s="53"/>
      <c r="M77" s="51"/>
    </row>
    <row r="78" spans="2:14" ht="8.1" hidden="1" customHeight="1" outlineLevel="1" x14ac:dyDescent="0.3">
      <c r="B78" s="51"/>
      <c r="C78" s="51"/>
      <c r="D78" s="60"/>
      <c r="E78" s="59"/>
      <c r="F78" s="58"/>
      <c r="G78" s="57"/>
      <c r="H78" s="58"/>
      <c r="I78" s="57"/>
      <c r="J78" s="58"/>
      <c r="K78" s="57"/>
      <c r="L78" s="57"/>
      <c r="M78" s="51"/>
    </row>
    <row r="79" spans="2:14" ht="24" hidden="1" customHeight="1" outlineLevel="1" x14ac:dyDescent="0.3">
      <c r="B79" s="51"/>
      <c r="C79" s="51"/>
      <c r="D79" s="373" t="s">
        <v>76</v>
      </c>
      <c r="E79" s="374"/>
      <c r="F79" s="374"/>
      <c r="G79" s="374"/>
      <c r="H79" s="374"/>
      <c r="I79" s="374"/>
      <c r="J79" s="374"/>
      <c r="K79" s="375"/>
      <c r="L79" s="61"/>
      <c r="M79" s="51"/>
    </row>
    <row r="80" spans="2:14" ht="8.1" hidden="1" customHeight="1" outlineLevel="1" x14ac:dyDescent="0.3">
      <c r="B80" s="51"/>
      <c r="C80" s="51"/>
      <c r="D80" s="60"/>
      <c r="E80" s="59"/>
      <c r="F80" s="58"/>
      <c r="G80" s="57"/>
      <c r="H80" s="58"/>
      <c r="I80" s="57"/>
      <c r="J80" s="58"/>
      <c r="K80" s="57"/>
      <c r="L80" s="57"/>
      <c r="M80" s="51"/>
    </row>
    <row r="81" spans="2:13" ht="50.55" hidden="1" customHeight="1" outlineLevel="1" x14ac:dyDescent="0.3">
      <c r="B81" s="51"/>
      <c r="C81" s="51"/>
      <c r="D81" s="308" t="s">
        <v>74</v>
      </c>
      <c r="E81" s="56">
        <v>0.5</v>
      </c>
      <c r="F81" s="55"/>
      <c r="G81" s="54">
        <v>0</v>
      </c>
      <c r="H81" s="55"/>
      <c r="I81" s="54">
        <v>0.5</v>
      </c>
      <c r="J81" s="55"/>
      <c r="K81" s="54">
        <v>0</v>
      </c>
      <c r="L81" s="53"/>
      <c r="M81" s="51"/>
    </row>
    <row r="82" spans="2:13" ht="28.35" hidden="1" customHeight="1" outlineLevel="1" x14ac:dyDescent="0.3">
      <c r="B82" s="51"/>
      <c r="C82" s="51"/>
      <c r="D82" s="378" t="s">
        <v>77</v>
      </c>
      <c r="E82" s="378"/>
      <c r="F82" s="378"/>
      <c r="G82" s="378"/>
      <c r="H82" s="378"/>
      <c r="I82" s="378"/>
      <c r="J82" s="378"/>
      <c r="K82" s="378"/>
      <c r="L82" s="52"/>
      <c r="M82" s="51"/>
    </row>
    <row r="83" spans="2:13" ht="14.55" customHeight="1" collapsed="1" x14ac:dyDescent="0.3">
      <c r="D83" s="50"/>
      <c r="E83" s="49"/>
      <c r="F83" s="48"/>
      <c r="G83" s="47"/>
      <c r="H83" s="48"/>
      <c r="I83" s="47"/>
      <c r="J83" s="48"/>
      <c r="K83" s="47"/>
      <c r="L83" s="47"/>
    </row>
    <row r="84" spans="2:13" ht="20.100000000000001" customHeight="1" x14ac:dyDescent="0.3"/>
    <row r="85" spans="2:13" ht="20.100000000000001" customHeight="1" x14ac:dyDescent="0.3"/>
    <row r="86" spans="2:13" ht="20.100000000000001" customHeight="1" x14ac:dyDescent="0.3"/>
    <row r="87" spans="2:13" ht="20.100000000000001" customHeight="1" x14ac:dyDescent="0.3"/>
    <row r="88" spans="2:13" ht="20.100000000000001" customHeight="1" x14ac:dyDescent="0.3"/>
    <row r="89" spans="2:13" ht="20.100000000000001" customHeight="1" x14ac:dyDescent="0.3"/>
    <row r="90" spans="2:13" ht="20.100000000000001" customHeight="1" x14ac:dyDescent="0.3"/>
    <row r="91" spans="2:13" ht="20.100000000000001" customHeight="1" x14ac:dyDescent="0.3"/>
    <row r="92" spans="2:13" ht="20.100000000000001" customHeight="1" x14ac:dyDescent="0.3"/>
    <row r="93" spans="2:13" ht="20.100000000000001" customHeight="1" x14ac:dyDescent="0.3"/>
    <row r="94" spans="2:13" ht="29.1" customHeight="1" x14ac:dyDescent="0.3"/>
    <row r="95" spans="2:13" ht="20.100000000000001" customHeight="1" x14ac:dyDescent="0.3"/>
    <row r="96" spans="2:13" ht="20.100000000000001" customHeight="1" x14ac:dyDescent="0.3"/>
    <row r="97" ht="20.100000000000001" customHeight="1" x14ac:dyDescent="0.3"/>
    <row r="98" ht="20.100000000000001" customHeight="1" x14ac:dyDescent="0.3"/>
    <row r="99" ht="20.100000000000001" customHeight="1" x14ac:dyDescent="0.3"/>
    <row r="100" ht="20.100000000000001" customHeight="1" x14ac:dyDescent="0.3"/>
    <row r="101" ht="20.100000000000001" customHeight="1" x14ac:dyDescent="0.3"/>
    <row r="102" ht="20.100000000000001" customHeight="1" x14ac:dyDescent="0.3"/>
    <row r="103" ht="20.100000000000001" customHeight="1" x14ac:dyDescent="0.3"/>
    <row r="104" ht="20.100000000000001" customHeight="1" x14ac:dyDescent="0.3"/>
    <row r="105" ht="18" customHeight="1" x14ac:dyDescent="0.3"/>
    <row r="106" ht="25.35" customHeight="1" x14ac:dyDescent="0.3"/>
    <row r="107" ht="18" customHeight="1" x14ac:dyDescent="0.3"/>
    <row r="109" ht="20.100000000000001" customHeight="1" x14ac:dyDescent="0.3"/>
    <row r="110" ht="20.100000000000001" customHeight="1" x14ac:dyDescent="0.3"/>
    <row r="111" ht="20.100000000000001" customHeight="1" x14ac:dyDescent="0.3"/>
    <row r="112" ht="20.100000000000001" customHeight="1" x14ac:dyDescent="0.3"/>
    <row r="113" ht="20.100000000000001" customHeight="1" x14ac:dyDescent="0.3"/>
    <row r="114" ht="20.100000000000001" customHeight="1" x14ac:dyDescent="0.3"/>
    <row r="115" ht="20.100000000000001" customHeight="1" x14ac:dyDescent="0.3"/>
    <row r="116" ht="20.100000000000001" customHeight="1" x14ac:dyDescent="0.3"/>
    <row r="117" ht="20.100000000000001" customHeight="1" x14ac:dyDescent="0.3"/>
    <row r="118" ht="20.100000000000001" customHeight="1" x14ac:dyDescent="0.3"/>
    <row r="120" ht="20.100000000000001" customHeight="1" x14ac:dyDescent="0.3"/>
    <row r="121" ht="20.100000000000001" customHeight="1" x14ac:dyDescent="0.3"/>
    <row r="122" ht="20.100000000000001" customHeight="1" x14ac:dyDescent="0.3"/>
    <row r="123" ht="20.100000000000001" customHeight="1" x14ac:dyDescent="0.3"/>
    <row r="124" ht="20.100000000000001" customHeight="1" x14ac:dyDescent="0.3"/>
    <row r="125" ht="20.100000000000001" customHeight="1" x14ac:dyDescent="0.3"/>
    <row r="126" ht="20.100000000000001" customHeight="1" x14ac:dyDescent="0.3"/>
    <row r="127" ht="20.100000000000001" customHeight="1" x14ac:dyDescent="0.3"/>
    <row r="128" ht="20.100000000000001" customHeight="1" x14ac:dyDescent="0.3"/>
    <row r="129" ht="20.100000000000001" customHeight="1" x14ac:dyDescent="0.3"/>
    <row r="131" ht="25.35" customHeight="1" x14ac:dyDescent="0.3"/>
    <row r="133" ht="36" customHeight="1" x14ac:dyDescent="0.3"/>
    <row r="134" ht="20.100000000000001" customHeight="1" x14ac:dyDescent="0.3"/>
    <row r="135" ht="20.100000000000001" customHeight="1" x14ac:dyDescent="0.3"/>
    <row r="136" ht="20.100000000000001" customHeight="1" x14ac:dyDescent="0.3"/>
    <row r="137" ht="20.100000000000001" customHeight="1" x14ac:dyDescent="0.3"/>
    <row r="138" ht="20.100000000000001" customHeight="1" x14ac:dyDescent="0.3"/>
    <row r="139" ht="20.100000000000001" customHeight="1" x14ac:dyDescent="0.3"/>
    <row r="140" ht="20.100000000000001" customHeight="1" x14ac:dyDescent="0.3"/>
    <row r="141" ht="20.100000000000001" customHeight="1" x14ac:dyDescent="0.3"/>
    <row r="142" ht="20.100000000000001" customHeight="1" x14ac:dyDescent="0.3"/>
    <row r="143" ht="20.100000000000001" customHeight="1" x14ac:dyDescent="0.3"/>
    <row r="145" ht="20.100000000000001" customHeight="1" x14ac:dyDescent="0.3"/>
    <row r="146" ht="20.100000000000001" customHeight="1" x14ac:dyDescent="0.3"/>
    <row r="147" ht="20.100000000000001" customHeight="1" x14ac:dyDescent="0.3"/>
    <row r="148" ht="20.100000000000001" customHeight="1" x14ac:dyDescent="0.3"/>
    <row r="149" ht="20.100000000000001" customHeight="1" x14ac:dyDescent="0.3"/>
    <row r="150" ht="20.100000000000001" customHeight="1" x14ac:dyDescent="0.3"/>
    <row r="151" ht="20.100000000000001" customHeight="1" x14ac:dyDescent="0.3"/>
    <row r="152" ht="20.100000000000001" customHeight="1" x14ac:dyDescent="0.3"/>
    <row r="153" ht="20.100000000000001" customHeight="1" x14ac:dyDescent="0.3"/>
    <row r="154" ht="20.100000000000001" customHeight="1" x14ac:dyDescent="0.3"/>
  </sheetData>
  <sheetProtection algorithmName="SHA-512" hashValue="RiWPYp4C7yNjeEtSqI+0zfAk2ck3baZ5q+F2lIP+J5s3e7i+MC29987UPa6NMjfgX+/tFFejz4xzz00rW2vrWg==" saltValue="HvioPg8+f1TKDv9YfvhmgA==" spinCount="100000" sheet="1" formatRows="0"/>
  <mergeCells count="28">
    <mergeCell ref="B2:M2"/>
    <mergeCell ref="D4:K4"/>
    <mergeCell ref="D6:K6"/>
    <mergeCell ref="D29:K29"/>
    <mergeCell ref="G8:K8"/>
    <mergeCell ref="D21:E21"/>
    <mergeCell ref="G17:K17"/>
    <mergeCell ref="G21:K21"/>
    <mergeCell ref="G9:K9"/>
    <mergeCell ref="G10:K10"/>
    <mergeCell ref="G11:K11"/>
    <mergeCell ref="G12:K12"/>
    <mergeCell ref="G13:K13"/>
    <mergeCell ref="D15:K15"/>
    <mergeCell ref="F22:K27"/>
    <mergeCell ref="G18:K18"/>
    <mergeCell ref="D82:K82"/>
    <mergeCell ref="D79:K79"/>
    <mergeCell ref="D68:K68"/>
    <mergeCell ref="E65:E66"/>
    <mergeCell ref="G65:G66"/>
    <mergeCell ref="I65:I66"/>
    <mergeCell ref="K65:K66"/>
    <mergeCell ref="G19:K19"/>
    <mergeCell ref="D71:K71"/>
    <mergeCell ref="D75:K75"/>
    <mergeCell ref="D62:K62"/>
    <mergeCell ref="D69:K69"/>
  </mergeCells>
  <hyperlinks>
    <hyperlink ref="D66" r:id="rId1" xr:uid="{ADAC4FE8-4F70-426A-99A6-F84A3D8EAE52}"/>
  </hyperlinks>
  <printOptions horizontalCentered="1" verticalCentered="1"/>
  <pageMargins left="0.25" right="0.25" top="0.75" bottom="0.75" header="0.3" footer="0.3"/>
  <pageSetup scale="70" orientation="landscape" r:id="rId2"/>
  <rowBreaks count="4" manualBreakCount="4">
    <brk id="27" min="2" max="12" man="1"/>
    <brk id="48" min="2" max="12" man="1"/>
    <brk id="66" min="2" max="11" man="1"/>
    <brk id="132" max="16383" man="1"/>
  </rowBreaks>
  <extLst>
    <ext xmlns:x14="http://schemas.microsoft.com/office/spreadsheetml/2009/9/main" uri="{CCE6A557-97BC-4b89-ADB6-D9C93CAAB3DF}">
      <x14:dataValidations xmlns:xm="http://schemas.microsoft.com/office/excel/2006/main" count="4">
        <x14:dataValidation type="list" allowBlank="1" showInputMessage="1" showErrorMessage="1" xr:uid="{51D3A0CC-BFB7-4EF3-8967-6C16139CEA34}">
          <x14:formula1>
            <xm:f>'Vaccine options'!$A$3:$A$8</xm:f>
          </x14:formula1>
          <xm:sqref>K32 E32 G32 I32</xm:sqref>
        </x14:dataValidation>
        <x14:dataValidation type="list" allowBlank="1" showInputMessage="1" showErrorMessage="1" xr:uid="{AC6AB85C-DE0E-4E96-A382-15160659D437}">
          <x14:formula1>
            <xm:f>'Vaccine options'!$B$13:$B$33</xm:f>
          </x14:formula1>
          <xm:sqref>E73 K81 I81 G81 E81 K77 I77 G77 E77 K73 I73 G73</xm:sqref>
        </x14:dataValidation>
        <x14:dataValidation type="list" allowBlank="1" showInputMessage="1" showErrorMessage="1" xr:uid="{83B5B3BD-638C-4576-9F37-9446B48A91CA}">
          <x14:formula1>
            <xm:f>'Vaccine options'!$B$9:$B$10</xm:f>
          </x14:formula1>
          <xm:sqref>E18</xm:sqref>
        </x14:dataValidation>
        <x14:dataValidation type="list" allowBlank="1" showInputMessage="1" showErrorMessage="1" xr:uid="{849C4347-2F7C-4204-A128-E5508C1CCE59}">
          <x14:formula1>
            <xm:f>'Vaccine options'!$A$10:$A$12</xm:f>
          </x14:formula1>
          <xm:sqref>E17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A00FD-BE23-4E55-B0C3-A1AF1E1FA508}">
  <sheetPr>
    <tabColor theme="1"/>
  </sheetPr>
  <dimension ref="B1:O38"/>
  <sheetViews>
    <sheetView showGridLines="0" zoomScaleNormal="100" workbookViewId="0"/>
  </sheetViews>
  <sheetFormatPr defaultColWidth="8.77734375" defaultRowHeight="13.8" outlineLevelRow="1" x14ac:dyDescent="0.25"/>
  <cols>
    <col min="1" max="1" width="1.77734375" style="176" customWidth="1"/>
    <col min="2" max="2" width="5.21875" style="176" customWidth="1"/>
    <col min="3" max="3" width="18.77734375" style="176" customWidth="1"/>
    <col min="4" max="4" width="12.77734375" style="176" customWidth="1"/>
    <col min="5" max="5" width="2.44140625" style="176" customWidth="1"/>
    <col min="6" max="6" width="20.44140625" style="176" customWidth="1"/>
    <col min="7" max="7" width="7" style="176" customWidth="1"/>
    <col min="8" max="8" width="20.44140625" style="176" customWidth="1"/>
    <col min="9" max="9" width="6.77734375" style="176" customWidth="1"/>
    <col min="10" max="10" width="20.44140625" style="176" customWidth="1"/>
    <col min="11" max="11" width="6.77734375" style="176" customWidth="1"/>
    <col min="12" max="12" width="20.44140625" style="176" customWidth="1"/>
    <col min="13" max="13" width="8.77734375" style="176" bestFit="1" customWidth="1"/>
    <col min="14" max="16384" width="8.77734375" style="176"/>
  </cols>
  <sheetData>
    <row r="1" spans="2:15" ht="8.1" customHeight="1" x14ac:dyDescent="0.25">
      <c r="B1" s="268"/>
      <c r="C1" s="268"/>
      <c r="D1" s="268"/>
      <c r="E1" s="268"/>
      <c r="F1" s="268"/>
      <c r="G1" s="268"/>
      <c r="H1" s="268"/>
      <c r="I1" s="268"/>
      <c r="J1" s="268"/>
      <c r="K1" s="268"/>
      <c r="L1" s="268"/>
      <c r="M1" s="268"/>
    </row>
    <row r="2" spans="2:15" ht="19.05" customHeight="1" x14ac:dyDescent="0.25">
      <c r="B2" s="382" t="s">
        <v>33</v>
      </c>
      <c r="C2" s="382"/>
      <c r="D2" s="382"/>
      <c r="E2" s="382"/>
      <c r="F2" s="382"/>
      <c r="G2" s="382"/>
      <c r="H2" s="382"/>
      <c r="I2" s="382"/>
      <c r="J2" s="382"/>
      <c r="K2" s="382"/>
      <c r="L2" s="382"/>
      <c r="M2" s="382"/>
    </row>
    <row r="3" spans="2:15" ht="8.1" customHeight="1" x14ac:dyDescent="0.25">
      <c r="B3" s="224"/>
      <c r="C3" s="403"/>
      <c r="D3" s="403"/>
      <c r="E3" s="403"/>
      <c r="F3" s="403"/>
      <c r="G3" s="403"/>
      <c r="H3" s="403"/>
      <c r="I3" s="403"/>
      <c r="J3" s="403"/>
      <c r="K3" s="403"/>
      <c r="L3" s="403"/>
      <c r="M3" s="403"/>
    </row>
    <row r="4" spans="2:15" ht="60" customHeight="1" x14ac:dyDescent="0.25">
      <c r="B4" s="224"/>
      <c r="C4" s="407" t="s">
        <v>78</v>
      </c>
      <c r="D4" s="407"/>
      <c r="E4" s="407"/>
      <c r="F4" s="407"/>
      <c r="G4" s="407"/>
      <c r="H4" s="407"/>
      <c r="I4" s="407"/>
      <c r="J4" s="407"/>
      <c r="K4" s="407"/>
      <c r="L4" s="407"/>
      <c r="M4" s="226"/>
    </row>
    <row r="5" spans="2:15" ht="8.1" customHeight="1" x14ac:dyDescent="0.25">
      <c r="B5" s="225"/>
      <c r="C5" s="225"/>
      <c r="D5" s="225"/>
      <c r="E5" s="225"/>
      <c r="F5" s="224"/>
      <c r="G5" s="224"/>
      <c r="H5" s="224"/>
      <c r="I5" s="224"/>
      <c r="J5" s="224"/>
      <c r="K5" s="224"/>
      <c r="L5" s="224"/>
      <c r="M5" s="223"/>
    </row>
    <row r="6" spans="2:15" ht="46.05" customHeight="1" x14ac:dyDescent="0.25">
      <c r="B6" s="402"/>
      <c r="C6" s="186"/>
      <c r="D6" s="186"/>
      <c r="E6" s="182"/>
      <c r="F6" s="273" t="s">
        <v>46</v>
      </c>
      <c r="G6" s="222"/>
      <c r="H6" s="271" t="s">
        <v>47</v>
      </c>
      <c r="I6" s="221"/>
      <c r="J6" s="271" t="s">
        <v>48</v>
      </c>
      <c r="K6" s="221"/>
      <c r="L6" s="273" t="s">
        <v>49</v>
      </c>
      <c r="M6" s="218"/>
    </row>
    <row r="7" spans="2:15" ht="8.1" customHeight="1" x14ac:dyDescent="0.25">
      <c r="B7" s="402"/>
      <c r="C7" s="186"/>
      <c r="D7" s="186"/>
      <c r="E7" s="182"/>
      <c r="F7" s="219"/>
      <c r="G7" s="219"/>
      <c r="H7" s="220"/>
      <c r="I7" s="220"/>
      <c r="J7" s="220"/>
      <c r="K7" s="220"/>
      <c r="L7" s="219"/>
      <c r="M7" s="218"/>
    </row>
    <row r="8" spans="2:15" ht="110.1" customHeight="1" x14ac:dyDescent="0.25">
      <c r="B8" s="402"/>
      <c r="C8" s="217"/>
      <c r="D8" s="186"/>
      <c r="E8" s="182"/>
      <c r="F8" s="272" t="str">
        <f>Résultats!F6</f>
        <v>SYNFLORIX 
décavalent, 4 doses/flacon, liquide</v>
      </c>
      <c r="G8" s="216"/>
      <c r="H8" s="272" t="str">
        <f>Résultats!H6</f>
        <v>PNEUMOSIL 
décavalent, 5 doses/flacon, liquide</v>
      </c>
      <c r="I8" s="216"/>
      <c r="J8" s="272" t="str">
        <f>Résultats!J6</f>
        <v>PREVENAR 13 
13-valent, 1 dose/flacon, liquide</v>
      </c>
      <c r="K8" s="216"/>
      <c r="L8" s="272" t="str">
        <f>Résultats!L6</f>
        <v>PNEUBEVAX 14 
14 valent, 5 dose/vial, liquid</v>
      </c>
      <c r="M8" s="215"/>
    </row>
    <row r="9" spans="2:15" ht="8.1" customHeight="1" x14ac:dyDescent="0.25">
      <c r="B9" s="177"/>
      <c r="C9" s="213"/>
      <c r="D9" s="213"/>
      <c r="E9" s="213"/>
      <c r="F9" s="214" t="s">
        <v>79</v>
      </c>
      <c r="G9" s="213"/>
      <c r="H9" s="212" t="s">
        <v>79</v>
      </c>
      <c r="I9" s="213"/>
      <c r="J9" s="212" t="s">
        <v>79</v>
      </c>
      <c r="K9" s="213"/>
      <c r="L9" s="212" t="s">
        <v>79</v>
      </c>
      <c r="M9" s="211"/>
      <c r="O9" s="210"/>
    </row>
    <row r="10" spans="2:15" s="205" customFormat="1" ht="40.049999999999997" customHeight="1" x14ac:dyDescent="0.25">
      <c r="B10" s="177"/>
      <c r="C10" s="405" t="s">
        <v>80</v>
      </c>
      <c r="D10" s="183" t="s">
        <v>81</v>
      </c>
      <c r="E10" s="199"/>
      <c r="F10" s="269">
        <f>Résultats!F19/1000000</f>
        <v>6.4487646932591298</v>
      </c>
      <c r="G10" s="208"/>
      <c r="H10" s="269">
        <f>Résultats!H19/1000000</f>
        <v>6.4487646932591298</v>
      </c>
      <c r="I10" s="208"/>
      <c r="J10" s="269">
        <f>Résultats!J19/1000000</f>
        <v>6.2544170149726313</v>
      </c>
      <c r="K10" s="208"/>
      <c r="L10" s="269">
        <f>IF('Tableau de bord'!L8&lt;&gt;0, Résultats!L19/1000000," " )</f>
        <v>6.4487646932591298</v>
      </c>
      <c r="M10" s="206"/>
    </row>
    <row r="11" spans="2:15" s="205" customFormat="1" ht="40.049999999999997" customHeight="1" x14ac:dyDescent="0.25">
      <c r="B11" s="177"/>
      <c r="C11" s="406"/>
      <c r="D11" s="183" t="s">
        <v>82</v>
      </c>
      <c r="E11" s="199"/>
      <c r="F11" s="270">
        <f>F10/5</f>
        <v>1.2897529386518261</v>
      </c>
      <c r="G11" s="209"/>
      <c r="H11" s="270">
        <f>H10/5</f>
        <v>1.2897529386518261</v>
      </c>
      <c r="I11" s="208"/>
      <c r="J11" s="270">
        <f>J10/5</f>
        <v>1.2508834029945262</v>
      </c>
      <c r="K11" s="208"/>
      <c r="L11" s="270">
        <f>IF('Tableau de bord'!L8&lt;&gt;0,L10/5, " ")</f>
        <v>1.2897529386518261</v>
      </c>
      <c r="M11" s="206"/>
    </row>
    <row r="12" spans="2:15" s="205" customFormat="1" ht="8.1" customHeight="1" x14ac:dyDescent="0.25">
      <c r="B12" s="177"/>
      <c r="C12" s="182"/>
      <c r="D12" s="184"/>
      <c r="E12" s="199"/>
      <c r="F12" s="207"/>
      <c r="G12" s="209"/>
      <c r="H12" s="207"/>
      <c r="I12" s="208"/>
      <c r="J12" s="207"/>
      <c r="K12" s="208"/>
      <c r="L12" s="207"/>
      <c r="M12" s="206"/>
    </row>
    <row r="13" spans="2:15" ht="72" customHeight="1" x14ac:dyDescent="0.25">
      <c r="B13" s="177"/>
      <c r="C13" s="308" t="s">
        <v>83</v>
      </c>
      <c r="D13" s="183" t="s">
        <v>82</v>
      </c>
      <c r="E13" s="199"/>
      <c r="F13" s="274">
        <f>AVERAGE(Résultats!F28:F32)/1000000</f>
        <v>3.0954070527643816</v>
      </c>
      <c r="G13" s="198"/>
      <c r="H13" s="274">
        <f>AVERAGE(Résultats!H28:H32)/1000000</f>
        <v>4.5334815793611689</v>
      </c>
      <c r="I13" s="197">
        <f>(H13-F13)/F13</f>
        <v>0.4645833333333339</v>
      </c>
      <c r="J13" s="274">
        <f>AVERAGE(Résultats!J28:J32)/1000000</f>
        <v>15.010600835934317</v>
      </c>
      <c r="K13" s="197">
        <f>(J13-F13)/F13</f>
        <v>3.8493140256073799</v>
      </c>
      <c r="L13" s="274">
        <f>IF('Tableau de bord'!L8&lt;&gt;0,AVERAGE(Résultats!L28:L32)/1000000," ")</f>
        <v>3.7402835220902957</v>
      </c>
      <c r="M13" s="196">
        <f>(L13-F13)/F13</f>
        <v>0.20833333333333376</v>
      </c>
    </row>
    <row r="14" spans="2:15" ht="8.1" customHeight="1" x14ac:dyDescent="0.25">
      <c r="B14" s="177"/>
      <c r="C14" s="186"/>
      <c r="D14" s="184"/>
      <c r="E14" s="199"/>
      <c r="F14" s="201"/>
      <c r="G14" s="198"/>
      <c r="H14" s="201"/>
      <c r="I14" s="203"/>
      <c r="J14" s="201"/>
      <c r="K14" s="202"/>
      <c r="L14" s="201"/>
      <c r="M14" s="200"/>
    </row>
    <row r="15" spans="2:15" ht="40.049999999999997" customHeight="1" x14ac:dyDescent="0.25">
      <c r="B15" s="177"/>
      <c r="C15" s="405" t="s">
        <v>84</v>
      </c>
      <c r="D15" s="183" t="s">
        <v>81</v>
      </c>
      <c r="E15" s="199"/>
      <c r="F15" s="274">
        <f>Résultats!F38/1000000</f>
        <v>1.7379669339752357</v>
      </c>
      <c r="G15" s="204"/>
      <c r="H15" s="274">
        <f>Résultats!H38/1000000</f>
        <v>1.2829420972188719</v>
      </c>
      <c r="I15" s="197">
        <f>(H15-F15)/F15</f>
        <v>-0.26181443838841612</v>
      </c>
      <c r="J15" s="274">
        <f>Résultats!J38/1000000</f>
        <v>1.8899185634295592</v>
      </c>
      <c r="K15" s="197">
        <f>(J15-F15)/F15</f>
        <v>8.7430679194089117E-2</v>
      </c>
      <c r="L15" s="274">
        <f>IF('Tableau de bord'!L8&lt;&gt;0,Résultats!L38/1000000," ")</f>
        <v>1.6874086187800845</v>
      </c>
      <c r="M15" s="196">
        <f>(L15-F15)/F15</f>
        <v>-2.909049315426826E-2</v>
      </c>
    </row>
    <row r="16" spans="2:15" ht="40.049999999999997" customHeight="1" x14ac:dyDescent="0.25">
      <c r="B16" s="177"/>
      <c r="C16" s="406"/>
      <c r="D16" s="183" t="s">
        <v>82</v>
      </c>
      <c r="E16" s="199"/>
      <c r="F16" s="274">
        <f>F15/5</f>
        <v>0.34759338679504714</v>
      </c>
      <c r="G16" s="198"/>
      <c r="H16" s="274">
        <f>H15/5</f>
        <v>0.25658841944377436</v>
      </c>
      <c r="I16" s="197">
        <f>(H16-F16)/F16</f>
        <v>-0.26181443838841617</v>
      </c>
      <c r="J16" s="274">
        <f>J15/5</f>
        <v>0.37798371268591185</v>
      </c>
      <c r="K16" s="197">
        <f>(J16-F16)/F16</f>
        <v>8.7430679194089145E-2</v>
      </c>
      <c r="L16" s="274">
        <f>IF('Tableau de bord'!L8&lt;&gt;0,L15/5," ")</f>
        <v>0.33748172375601693</v>
      </c>
      <c r="M16" s="196">
        <f>(L16-F16)/F16</f>
        <v>-2.9090493154268197E-2</v>
      </c>
    </row>
    <row r="17" spans="2:13" ht="8.1" customHeight="1" x14ac:dyDescent="0.25">
      <c r="B17" s="177"/>
      <c r="C17" s="182"/>
      <c r="D17" s="184"/>
      <c r="E17" s="199"/>
      <c r="F17" s="201"/>
      <c r="G17" s="198"/>
      <c r="H17" s="201"/>
      <c r="I17" s="203"/>
      <c r="J17" s="201"/>
      <c r="K17" s="202"/>
      <c r="L17" s="201"/>
      <c r="M17" s="200"/>
    </row>
    <row r="18" spans="2:13" ht="40.049999999999997" customHeight="1" x14ac:dyDescent="0.25">
      <c r="B18" s="177"/>
      <c r="C18" s="405" t="s">
        <v>85</v>
      </c>
      <c r="D18" s="183" t="s">
        <v>81</v>
      </c>
      <c r="E18" s="199"/>
      <c r="F18" s="274">
        <f>Résultats!F47/1000000</f>
        <v>7.3999626280552357</v>
      </c>
      <c r="G18" s="198"/>
      <c r="H18" s="274">
        <f>Résultats!H47/1000000</f>
        <v>6.9449377912988712</v>
      </c>
      <c r="I18" s="197">
        <f>(H18-F18)/F18</f>
        <v>-6.1490153346348504E-2</v>
      </c>
      <c r="J18" s="274">
        <f>Résultats!J47/1000000</f>
        <v>7.5519142575095595</v>
      </c>
      <c r="K18" s="197">
        <f>(J18-F18)/F18</f>
        <v>2.05341076829543E-2</v>
      </c>
      <c r="L18" s="274">
        <f>IF('Tableau de bord'!L8&lt;&gt;0,Résultats!L47/1000000," ")</f>
        <v>7.3494043128600843</v>
      </c>
      <c r="M18" s="196">
        <f>(L18-F18)/F18</f>
        <v>-6.8322392607053622E-3</v>
      </c>
    </row>
    <row r="19" spans="2:13" ht="59.25" customHeight="1" x14ac:dyDescent="0.25">
      <c r="B19" s="177"/>
      <c r="C19" s="406"/>
      <c r="D19" s="183" t="s">
        <v>82</v>
      </c>
      <c r="E19" s="199"/>
      <c r="F19" s="274">
        <f>F18/5</f>
        <v>1.4799925256110471</v>
      </c>
      <c r="G19" s="198"/>
      <c r="H19" s="274">
        <f>H18/5</f>
        <v>1.3889875582597742</v>
      </c>
      <c r="I19" s="197">
        <f>(H19-F19)/F19</f>
        <v>-6.1490153346348532E-2</v>
      </c>
      <c r="J19" s="274">
        <f>J18/5</f>
        <v>1.510382851501912</v>
      </c>
      <c r="K19" s="197">
        <f>(J19-F19)/F19</f>
        <v>2.0534107682954394E-2</v>
      </c>
      <c r="L19" s="274">
        <f>IF('Tableau de bord'!L8&lt;&gt;0,L18/5," ")</f>
        <v>1.4698808625720168</v>
      </c>
      <c r="M19" s="196">
        <f>(L19-F19)/F19</f>
        <v>-6.8322392607053925E-3</v>
      </c>
    </row>
    <row r="20" spans="2:13" ht="21" customHeight="1" x14ac:dyDescent="0.25">
      <c r="B20" s="177"/>
      <c r="C20" s="404" t="s">
        <v>86</v>
      </c>
      <c r="D20" s="404"/>
      <c r="E20" s="404"/>
      <c r="F20" s="404"/>
      <c r="G20" s="404"/>
      <c r="H20" s="404"/>
      <c r="I20" s="404"/>
      <c r="J20" s="404"/>
      <c r="K20" s="404"/>
      <c r="L20" s="404"/>
      <c r="M20" s="404"/>
    </row>
    <row r="21" spans="2:13" ht="17.399999999999999" x14ac:dyDescent="0.25">
      <c r="C21" s="195"/>
      <c r="D21" s="195"/>
      <c r="E21" s="195"/>
      <c r="F21" s="195"/>
      <c r="G21" s="195"/>
      <c r="H21" s="195"/>
      <c r="I21" s="195"/>
      <c r="J21" s="114"/>
      <c r="K21" s="114"/>
      <c r="L21" s="195"/>
      <c r="M21" s="195"/>
    </row>
    <row r="22" spans="2:13" ht="15.6" x14ac:dyDescent="0.25">
      <c r="B22" s="177"/>
      <c r="C22" s="194"/>
      <c r="D22" s="194"/>
      <c r="E22" s="194"/>
      <c r="F22" s="193"/>
      <c r="G22" s="193"/>
      <c r="H22" s="193"/>
      <c r="I22" s="193"/>
      <c r="J22" s="193"/>
      <c r="K22" s="193"/>
      <c r="L22" s="193"/>
      <c r="M22" s="193"/>
    </row>
    <row r="23" spans="2:13" ht="32.1" customHeight="1" x14ac:dyDescent="0.25">
      <c r="B23" s="177"/>
      <c r="C23" s="408" t="s">
        <v>87</v>
      </c>
      <c r="D23" s="408"/>
      <c r="E23" s="408"/>
      <c r="F23" s="408"/>
      <c r="G23" s="408"/>
      <c r="H23" s="408"/>
      <c r="I23" s="408"/>
      <c r="J23" s="408"/>
      <c r="K23" s="408"/>
      <c r="L23" s="408"/>
      <c r="M23" s="179"/>
    </row>
    <row r="24" spans="2:13" ht="27" customHeight="1" x14ac:dyDescent="0.25">
      <c r="B24" s="177"/>
      <c r="C24" s="401" t="s">
        <v>88</v>
      </c>
      <c r="D24" s="401"/>
      <c r="E24" s="401"/>
      <c r="F24" s="401"/>
      <c r="G24" s="401"/>
      <c r="H24" s="401"/>
      <c r="I24" s="401"/>
      <c r="J24" s="401"/>
      <c r="K24" s="179"/>
      <c r="L24" s="178"/>
      <c r="M24" s="178"/>
    </row>
    <row r="25" spans="2:13" ht="34.049999999999997" hidden="1" customHeight="1" outlineLevel="1" x14ac:dyDescent="0.25">
      <c r="B25" s="177"/>
      <c r="C25" s="182"/>
      <c r="D25" s="182"/>
      <c r="E25" s="182"/>
      <c r="F25" s="189" t="s">
        <v>73</v>
      </c>
      <c r="G25" s="192"/>
      <c r="H25" s="191" t="s">
        <v>75</v>
      </c>
      <c r="I25" s="190"/>
      <c r="J25" s="189" t="s">
        <v>76</v>
      </c>
      <c r="K25" s="179"/>
      <c r="L25" s="178"/>
      <c r="M25" s="178"/>
    </row>
    <row r="26" spans="2:13" ht="8.1" hidden="1" customHeight="1" outlineLevel="1" x14ac:dyDescent="0.25">
      <c r="B26" s="177"/>
      <c r="C26" s="182"/>
      <c r="D26" s="182"/>
      <c r="E26" s="182"/>
      <c r="F26" s="179"/>
      <c r="G26" s="179"/>
      <c r="H26" s="178"/>
      <c r="I26" s="178"/>
      <c r="J26" s="179"/>
      <c r="K26" s="179"/>
      <c r="L26" s="178"/>
      <c r="M26" s="178"/>
    </row>
    <row r="27" spans="2:13" ht="40.049999999999997" hidden="1" customHeight="1" outlineLevel="1" x14ac:dyDescent="0.25">
      <c r="B27" s="177"/>
      <c r="C27" s="400" t="s">
        <v>80</v>
      </c>
      <c r="D27" s="183" t="s">
        <v>81</v>
      </c>
      <c r="E27" s="182"/>
      <c r="F27" s="188">
        <f>('Saisie des données'!$E73*Résultats!$F19+'Saisie des données'!$G73*Résultats!$H19+'Saisie des données'!$I73*Résultats!$J19+'Saisie des données'!$K73*Résultats!$L19)/1000000</f>
        <v>6.4001777736875054</v>
      </c>
      <c r="G27" s="181"/>
      <c r="H27" s="188">
        <f>('Saisie des données'!$E77*Résultats!$F19+'Saisie des données'!$G77*Résultats!$H19+'Saisie des données'!$I77*Résultats!$J19+'Saisie des données'!$K77*Résultats!$L19)/1000000</f>
        <v>6.351590854115881</v>
      </c>
      <c r="I27" s="180"/>
      <c r="J27" s="188">
        <f>('Saisie des données'!$E81*Résultats!$F19+'Saisie des données'!$G81*Résultats!$H19+'Saisie des données'!$I81*Résultats!$J19+'Saisie des données'!$K81*Résultats!$L19)/1000000</f>
        <v>6.351590854115881</v>
      </c>
      <c r="K27" s="179"/>
      <c r="L27" s="178"/>
      <c r="M27" s="178"/>
    </row>
    <row r="28" spans="2:13" ht="40.049999999999997" hidden="1" customHeight="1" outlineLevel="1" x14ac:dyDescent="0.25">
      <c r="B28" s="177"/>
      <c r="C28" s="400"/>
      <c r="D28" s="183" t="s">
        <v>82</v>
      </c>
      <c r="E28" s="182"/>
      <c r="F28" s="187">
        <f>F27/5</f>
        <v>1.2800355547375011</v>
      </c>
      <c r="G28" s="181"/>
      <c r="H28" s="187">
        <f>H27/5</f>
        <v>1.2703181708231761</v>
      </c>
      <c r="I28" s="180"/>
      <c r="J28" s="187">
        <f>J27/5</f>
        <v>1.2703181708231761</v>
      </c>
      <c r="K28" s="179"/>
      <c r="L28" s="178"/>
      <c r="M28" s="178"/>
    </row>
    <row r="29" spans="2:13" ht="8.1" hidden="1" customHeight="1" outlineLevel="1" x14ac:dyDescent="0.25">
      <c r="B29" s="177"/>
      <c r="C29" s="182"/>
      <c r="D29" s="184"/>
      <c r="E29" s="182"/>
      <c r="F29" s="185"/>
      <c r="G29" s="181"/>
      <c r="H29" s="185"/>
      <c r="I29" s="180"/>
      <c r="J29" s="185"/>
      <c r="K29" s="179"/>
      <c r="L29" s="178"/>
      <c r="M29" s="178"/>
    </row>
    <row r="30" spans="2:13" ht="72" hidden="1" customHeight="1" outlineLevel="1" x14ac:dyDescent="0.25">
      <c r="B30" s="177"/>
      <c r="C30" s="308" t="s">
        <v>83</v>
      </c>
      <c r="D30" s="183" t="s">
        <v>82</v>
      </c>
      <c r="E30" s="182"/>
      <c r="F30" s="187">
        <f>('Saisie des données'!$E73*SUM(Résultats!$F28:$F32)/5+'Saisie des données'!$G73*SUM(Résultats!$H28:$H32)/5+'Saisie des données'!$I73*SUM(Résultats!$J28:$J32)/5+'Saisie des données'!$K73*SUM(Résultats!$L28:$L32)/5)/1000000</f>
        <v>6.6668469738673801</v>
      </c>
      <c r="G30" s="181"/>
      <c r="H30" s="187">
        <f>('Saisie des données'!$E77*SUM(Résultats!$F28:$F32)/5+'Saisie des données'!$G77*SUM(Résultats!$H28:$H32)/5+'Saisie des données'!$I77*SUM(Résultats!$J28:$J32)/5+'Saisie des données'!$K77*SUM(Résultats!$L28:$L32)/5)/1000000</f>
        <v>9.4844263023283855</v>
      </c>
      <c r="I30" s="180"/>
      <c r="J30" s="187">
        <f>('Saisie des données'!$E81*SUM(Résultats!$F28:$F32)/5+'Saisie des données'!$G81*SUM(Résultats!$H28:$H32)/5+'Saisie des données'!$I81*SUM(Résultats!$J28:$J32)/5+'Saisie des données'!$K81*SUM(Résultats!$L28:$L32)/5)/1000000</f>
        <v>9.0530039443493493</v>
      </c>
      <c r="K30" s="179"/>
      <c r="L30" s="178"/>
      <c r="M30" s="178"/>
    </row>
    <row r="31" spans="2:13" ht="8.1" hidden="1" customHeight="1" outlineLevel="1" x14ac:dyDescent="0.25">
      <c r="B31" s="177"/>
      <c r="C31" s="186"/>
      <c r="D31" s="184"/>
      <c r="E31" s="182"/>
      <c r="F31" s="185"/>
      <c r="G31" s="181"/>
      <c r="H31" s="185"/>
      <c r="I31" s="180"/>
      <c r="J31" s="185"/>
      <c r="K31" s="179"/>
      <c r="L31" s="178"/>
      <c r="M31" s="178"/>
    </row>
    <row r="32" spans="2:13" ht="40.049999999999997" hidden="1" customHeight="1" outlineLevel="1" x14ac:dyDescent="0.25">
      <c r="B32" s="177"/>
      <c r="C32" s="400" t="s">
        <v>89</v>
      </c>
      <c r="D32" s="183" t="s">
        <v>81</v>
      </c>
      <c r="E32" s="182"/>
      <c r="F32" s="286">
        <f>('Saisie des données'!$E73*Résultats!$F38+'Saisie des données'!$G73*Résultats!$H38+'Saisie des données'!$I73*Résultats!$J38+'Saisie des données'!$K73*Résultats!$L38)/1000000</f>
        <v>1.6268078115131195</v>
      </c>
      <c r="G32" s="287"/>
      <c r="H32" s="286">
        <f>('Saisie des données'!$E77*Résultats!$F38+'Saisie des données'!$G77*Résultats!$H38+'Saisie des données'!$I77*Résultats!$J38+'Saisie des données'!$K77*Résultats!$L38)/1000000</f>
        <v>1.6774352976754883</v>
      </c>
      <c r="I32" s="288"/>
      <c r="J32" s="286">
        <f>('Saisie des données'!$E81*Résultats!$F38+'Saisie des données'!$G81*Résultats!$H38+'Saisie des données'!$I81*Résultats!$J38+'Saisie des données'!$K81*Résultats!$L38)/1000000</f>
        <v>1.8139427487023976</v>
      </c>
      <c r="K32" s="179"/>
      <c r="L32" s="178"/>
      <c r="M32" s="178"/>
    </row>
    <row r="33" spans="2:13" ht="40.049999999999997" hidden="1" customHeight="1" outlineLevel="1" x14ac:dyDescent="0.25">
      <c r="B33" s="177"/>
      <c r="C33" s="400"/>
      <c r="D33" s="183" t="s">
        <v>82</v>
      </c>
      <c r="E33" s="182"/>
      <c r="F33" s="286">
        <f>F32/5</f>
        <v>0.32536156230262392</v>
      </c>
      <c r="G33" s="287"/>
      <c r="H33" s="286">
        <f>H32/5</f>
        <v>0.33548705953509766</v>
      </c>
      <c r="I33" s="288"/>
      <c r="J33" s="286">
        <f>J32/5</f>
        <v>0.36278854974047953</v>
      </c>
      <c r="K33" s="179"/>
      <c r="L33" s="178"/>
      <c r="M33" s="178"/>
    </row>
    <row r="34" spans="2:13" ht="8.1" hidden="1" customHeight="1" outlineLevel="1" x14ac:dyDescent="0.25">
      <c r="B34" s="177"/>
      <c r="C34" s="182"/>
      <c r="D34" s="184"/>
      <c r="E34" s="182"/>
      <c r="F34" s="287"/>
      <c r="G34" s="287"/>
      <c r="H34" s="287"/>
      <c r="I34" s="288"/>
      <c r="J34" s="287"/>
      <c r="K34" s="179"/>
      <c r="L34" s="178"/>
      <c r="M34" s="178"/>
    </row>
    <row r="35" spans="2:13" ht="40.049999999999997" hidden="1" customHeight="1" outlineLevel="1" x14ac:dyDescent="0.25">
      <c r="B35" s="177"/>
      <c r="C35" s="400" t="s">
        <v>85</v>
      </c>
      <c r="D35" s="183" t="s">
        <v>81</v>
      </c>
      <c r="E35" s="182"/>
      <c r="F35" s="289">
        <f>('Saisie des données'!$E73*Résultats!$F47+'Saisie des données'!$G73*Résultats!$H47+'Saisie des données'!$I73*Résultats!$J47+'Saisie des données'!K$73*Résultats!$L47)/1000000</f>
        <v>7.2888035055931191</v>
      </c>
      <c r="G35" s="287"/>
      <c r="H35" s="289">
        <f>('Saisie des données'!$E77*Résultats!$F47+'Saisie des données'!$G77*Résultats!$H47+'Saisie des données'!$I77*Résultats!$J47+'Saisie des données'!$K77*Résultats!$L47)/1000000</f>
        <v>7.3394309917554885</v>
      </c>
      <c r="I35" s="288"/>
      <c r="J35" s="289">
        <f>('Saisie des données'!$E81*Résultats!$F47+'Saisie des données'!$G81*Résultats!$H47+'Saisie des données'!$I81*Résultats!$J47+'Saisie des données'!$K81*Résultats!$L47)/1000000</f>
        <v>7.4759384427823976</v>
      </c>
      <c r="K35" s="179"/>
      <c r="L35" s="178"/>
      <c r="M35" s="178"/>
    </row>
    <row r="36" spans="2:13" ht="60" hidden="1" customHeight="1" outlineLevel="1" x14ac:dyDescent="0.25">
      <c r="B36" s="177"/>
      <c r="C36" s="400"/>
      <c r="D36" s="183" t="s">
        <v>82</v>
      </c>
      <c r="E36" s="182"/>
      <c r="F36" s="286">
        <f>F35/5</f>
        <v>1.4577607011186238</v>
      </c>
      <c r="G36" s="287"/>
      <c r="H36" s="286">
        <f>H35/5</f>
        <v>1.4678861983510978</v>
      </c>
      <c r="I36" s="288"/>
      <c r="J36" s="286">
        <f>J35/5</f>
        <v>1.4951876885564794</v>
      </c>
      <c r="K36" s="179"/>
      <c r="L36" s="178"/>
      <c r="M36" s="178"/>
    </row>
    <row r="37" spans="2:13" hidden="1" outlineLevel="1" x14ac:dyDescent="0.25">
      <c r="B37" s="177"/>
      <c r="C37" s="177"/>
      <c r="D37" s="177"/>
      <c r="E37" s="177"/>
      <c r="F37" s="177"/>
      <c r="G37" s="177"/>
      <c r="H37" s="177"/>
      <c r="I37" s="177"/>
      <c r="J37" s="177"/>
      <c r="K37" s="177"/>
      <c r="L37" s="177"/>
      <c r="M37" s="177"/>
    </row>
    <row r="38" spans="2:13" collapsed="1" x14ac:dyDescent="0.25"/>
  </sheetData>
  <sheetProtection algorithmName="SHA-512" hashValue="+AY5e239cmSOCapqXMNO1fJ3MKTyIGE6Cj7LX+/Zo1uXnsU1V+T3HqjLZtCJptOB+GgTLPNNWSfRTpSAcx9lHg==" saltValue="DX/8BCNesvG2I9Z1cEsC5w==" spinCount="100000" sheet="1" formatRows="0"/>
  <mergeCells count="13">
    <mergeCell ref="C32:C33"/>
    <mergeCell ref="C35:C36"/>
    <mergeCell ref="C24:J24"/>
    <mergeCell ref="B2:M2"/>
    <mergeCell ref="B6:B8"/>
    <mergeCell ref="C3:M3"/>
    <mergeCell ref="C20:M20"/>
    <mergeCell ref="C10:C11"/>
    <mergeCell ref="C15:C16"/>
    <mergeCell ref="C18:C19"/>
    <mergeCell ref="C4:L4"/>
    <mergeCell ref="C23:L23"/>
    <mergeCell ref="C27:C28"/>
  </mergeCells>
  <conditionalFormatting sqref="F30 H30 J30">
    <cfRule type="colorScale" priority="3">
      <colorScale>
        <cfvo type="min"/>
        <cfvo type="percentile" val="50"/>
        <cfvo type="max"/>
        <color rgb="FF00BB6B"/>
        <color rgb="FFE2E278"/>
        <color theme="3"/>
      </colorScale>
    </cfRule>
  </conditionalFormatting>
  <conditionalFormatting sqref="F32 H32 J32">
    <cfRule type="colorScale" priority="2">
      <colorScale>
        <cfvo type="min"/>
        <cfvo type="percentile" val="50"/>
        <cfvo type="max"/>
        <color rgb="FF00BB6B"/>
        <color rgb="FFE2E278"/>
        <color theme="3"/>
      </colorScale>
    </cfRule>
    <cfRule type="colorScale" priority="12">
      <colorScale>
        <cfvo type="min"/>
        <cfvo type="max"/>
        <color rgb="FF00BB6B"/>
        <color rgb="FFE2E278"/>
      </colorScale>
    </cfRule>
  </conditionalFormatting>
  <conditionalFormatting sqref="F35 H35 J35">
    <cfRule type="colorScale" priority="1">
      <colorScale>
        <cfvo type="min"/>
        <cfvo type="percentile" val="50"/>
        <cfvo type="max"/>
        <color rgb="FF00BB6B"/>
        <color rgb="FFE2E278"/>
        <color theme="3"/>
      </colorScale>
    </cfRule>
    <cfRule type="colorScale" priority="11">
      <colorScale>
        <cfvo type="min"/>
        <cfvo type="max"/>
        <color rgb="FF00BB6B"/>
        <color rgb="FFE2E278"/>
      </colorScale>
    </cfRule>
  </conditionalFormatting>
  <conditionalFormatting sqref="H13 F13 J13 L13">
    <cfRule type="colorScale" priority="6">
      <colorScale>
        <cfvo type="min"/>
        <cfvo type="percentile" val="50"/>
        <cfvo type="max"/>
        <color rgb="FF00BB6B"/>
        <color rgb="FFE2E278"/>
        <color theme="3"/>
      </colorScale>
    </cfRule>
  </conditionalFormatting>
  <conditionalFormatting sqref="H13:H14 F13:F14 J13:J14 L13:L14">
    <cfRule type="colorScale" priority="9">
      <colorScale>
        <cfvo type="min"/>
        <cfvo type="max"/>
        <color rgb="FF00BB6B"/>
        <color rgb="FFE2E278"/>
      </colorScale>
    </cfRule>
  </conditionalFormatting>
  <conditionalFormatting sqref="H15 F15 J15 L15">
    <cfRule type="colorScale" priority="5">
      <colorScale>
        <cfvo type="min"/>
        <cfvo type="percentile" val="50"/>
        <cfvo type="max"/>
        <color rgb="FF00BB6B"/>
        <color rgb="FFE2E278"/>
        <color theme="3"/>
      </colorScale>
    </cfRule>
    <cfRule type="colorScale" priority="8">
      <colorScale>
        <cfvo type="min"/>
        <cfvo type="max"/>
        <color rgb="FF00BB6B"/>
        <color rgb="FFE2E278"/>
      </colorScale>
    </cfRule>
  </conditionalFormatting>
  <conditionalFormatting sqref="H18 F18 J18 L18">
    <cfRule type="colorScale" priority="4">
      <colorScale>
        <cfvo type="min"/>
        <cfvo type="percentile" val="50"/>
        <cfvo type="max"/>
        <color rgb="FF00BB6B"/>
        <color rgb="FFE2E278"/>
        <color theme="3"/>
      </colorScale>
    </cfRule>
    <cfRule type="colorScale" priority="7">
      <colorScale>
        <cfvo type="min"/>
        <cfvo type="max"/>
        <color rgb="FF00BB6B"/>
        <color rgb="FFE2E278"/>
      </colorScale>
    </cfRule>
  </conditionalFormatting>
  <conditionalFormatting sqref="H30:H31 F30:F31 J30:J31">
    <cfRule type="colorScale" priority="13">
      <colorScale>
        <cfvo type="min"/>
        <cfvo type="max"/>
        <color rgb="FF00BB6B"/>
        <color rgb="FFE2E278"/>
      </colorScale>
    </cfRule>
  </conditionalFormatting>
  <conditionalFormatting sqref="L12">
    <cfRule type="colorScale" priority="10">
      <colorScale>
        <cfvo type="min"/>
        <cfvo type="max"/>
        <color rgb="FF00BB6B"/>
        <color rgb="FFE2E278"/>
      </colorScale>
    </cfRule>
  </conditionalFormatting>
  <conditionalFormatting sqref="M13 M15:M16 M18:M19">
    <cfRule type="containsErrors" dxfId="0" priority="14">
      <formula>ISERROR(M13)</formula>
    </cfRule>
  </conditionalFormatting>
  <pageMargins left="0.25" right="0.25" top="0.75" bottom="0.75" header="0.3" footer="0.3"/>
  <pageSetup scale="70" orientation="landscape" r:id="rId1"/>
  <rowBreaks count="1" manualBreakCount="1">
    <brk id="20" min="1" max="11"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C31D9-9774-48E7-B15E-69D1D11928FD}">
  <sheetPr>
    <tabColor theme="9"/>
  </sheetPr>
  <dimension ref="A1:Q73"/>
  <sheetViews>
    <sheetView zoomScaleNormal="100" workbookViewId="0"/>
  </sheetViews>
  <sheetFormatPr defaultColWidth="8.77734375" defaultRowHeight="13.8" x14ac:dyDescent="0.25"/>
  <cols>
    <col min="1" max="1" width="2.44140625" style="227" customWidth="1"/>
    <col min="2" max="3" width="5.77734375" style="227" customWidth="1"/>
    <col min="4" max="4" width="20.44140625" style="227" customWidth="1"/>
    <col min="5" max="5" width="1.44140625" style="227" customWidth="1"/>
    <col min="6" max="6" width="22.44140625" style="227" customWidth="1"/>
    <col min="7" max="7" width="1.44140625" style="227" customWidth="1"/>
    <col min="8" max="8" width="22.44140625" style="227" customWidth="1"/>
    <col min="9" max="9" width="1.44140625" style="227" customWidth="1"/>
    <col min="10" max="10" width="22.44140625" style="227" customWidth="1"/>
    <col min="11" max="11" width="1.44140625" style="227" customWidth="1"/>
    <col min="12" max="12" width="22.44140625" style="227" customWidth="1"/>
    <col min="13" max="14" width="5.77734375" style="227" customWidth="1"/>
    <col min="15" max="17" width="10.5546875" style="227" bestFit="1" customWidth="1"/>
    <col min="18" max="16384" width="8.77734375" style="227"/>
  </cols>
  <sheetData>
    <row r="1" spans="1:15" ht="8.1" customHeight="1" x14ac:dyDescent="0.25">
      <c r="B1" s="410"/>
      <c r="C1" s="410"/>
      <c r="D1" s="410"/>
      <c r="E1" s="410"/>
      <c r="F1" s="410"/>
      <c r="G1" s="410"/>
      <c r="H1" s="410"/>
      <c r="I1" s="410"/>
      <c r="J1" s="410"/>
      <c r="K1" s="410"/>
      <c r="L1" s="410"/>
      <c r="M1" s="410"/>
      <c r="N1" s="311"/>
    </row>
    <row r="2" spans="1:15" ht="19.05" customHeight="1" x14ac:dyDescent="0.25">
      <c r="A2" s="382" t="s">
        <v>33</v>
      </c>
      <c r="B2" s="382"/>
      <c r="C2" s="382"/>
      <c r="D2" s="382"/>
      <c r="E2" s="382"/>
      <c r="F2" s="382"/>
      <c r="G2" s="382"/>
      <c r="H2" s="382"/>
      <c r="I2" s="382"/>
      <c r="J2" s="382"/>
      <c r="K2" s="382"/>
      <c r="L2" s="382"/>
      <c r="M2" s="382"/>
      <c r="N2" s="382"/>
      <c r="O2" s="305"/>
    </row>
    <row r="3" spans="1:15" ht="14.55" customHeight="1" x14ac:dyDescent="0.25">
      <c r="B3" s="231"/>
      <c r="C3" s="231"/>
      <c r="D3" s="413"/>
      <c r="E3" s="413"/>
      <c r="F3" s="413"/>
      <c r="G3" s="413"/>
      <c r="H3" s="413"/>
      <c r="I3" s="413"/>
      <c r="J3" s="413"/>
      <c r="K3" s="413"/>
      <c r="L3" s="413"/>
      <c r="M3" s="313"/>
      <c r="N3" s="313"/>
    </row>
    <row r="4" spans="1:15" ht="60" customHeight="1" x14ac:dyDescent="0.25">
      <c r="B4" s="231"/>
      <c r="C4" s="261"/>
      <c r="D4" s="415" t="s">
        <v>90</v>
      </c>
      <c r="E4" s="415"/>
      <c r="F4" s="415"/>
      <c r="G4" s="415"/>
      <c r="H4" s="415"/>
      <c r="I4" s="415"/>
      <c r="J4" s="415"/>
      <c r="K4" s="415"/>
      <c r="L4" s="415"/>
      <c r="M4" s="262"/>
      <c r="N4" s="313"/>
    </row>
    <row r="5" spans="1:15" ht="14.55" customHeight="1" x14ac:dyDescent="0.25">
      <c r="B5" s="231"/>
      <c r="C5" s="231"/>
      <c r="D5" s="313"/>
      <c r="E5" s="313"/>
      <c r="F5" s="313"/>
      <c r="G5" s="313"/>
      <c r="H5" s="313"/>
      <c r="I5" s="313"/>
      <c r="J5" s="313"/>
      <c r="K5" s="313"/>
      <c r="L5" s="228"/>
      <c r="M5" s="228"/>
      <c r="N5" s="228"/>
    </row>
    <row r="6" spans="1:15" s="251" customFormat="1" ht="121.05" customHeight="1" x14ac:dyDescent="0.25">
      <c r="B6" s="254"/>
      <c r="C6" s="254"/>
      <c r="D6" s="253"/>
      <c r="E6" s="253"/>
      <c r="F6" s="308" t="str">
        <f>'Saisie des données'!E32</f>
        <v>SYNFLORIX 
décavalent, 4 doses/flacon, liquide</v>
      </c>
      <c r="G6" s="234"/>
      <c r="H6" s="308" t="str">
        <f>'Saisie des données'!G32</f>
        <v>PNEUMOSIL 
décavalent, 5 doses/flacon, liquide</v>
      </c>
      <c r="I6" s="234"/>
      <c r="J6" s="308" t="str">
        <f>'Saisie des données'!I32</f>
        <v>PREVENAR 13 
13-valent, 1 dose/flacon, liquide</v>
      </c>
      <c r="K6" s="234"/>
      <c r="L6" s="308" t="str">
        <f>'Saisie des données'!K32</f>
        <v>PNEUBEVAX 14 
14 valent, 5 dose/vial, liquid</v>
      </c>
      <c r="M6" s="252"/>
      <c r="N6" s="252"/>
    </row>
    <row r="7" spans="1:15" ht="15" customHeight="1" x14ac:dyDescent="0.25">
      <c r="B7" s="231"/>
      <c r="C7" s="231"/>
      <c r="D7" s="312"/>
      <c r="E7" s="312"/>
      <c r="F7" s="312"/>
      <c r="G7" s="312"/>
      <c r="H7" s="312"/>
      <c r="I7" s="312"/>
      <c r="J7" s="312"/>
      <c r="K7" s="312"/>
      <c r="L7" s="312"/>
      <c r="M7" s="228"/>
      <c r="N7" s="228"/>
    </row>
    <row r="8" spans="1:15" ht="41.1" customHeight="1" x14ac:dyDescent="0.25">
      <c r="B8" s="231"/>
      <c r="C8" s="231"/>
      <c r="D8" s="414" t="s">
        <v>91</v>
      </c>
      <c r="E8" s="414"/>
      <c r="F8" s="414"/>
      <c r="G8" s="414"/>
      <c r="H8" s="414"/>
      <c r="I8" s="414"/>
      <c r="J8" s="414"/>
      <c r="K8" s="414"/>
      <c r="L8" s="414"/>
      <c r="M8" s="228"/>
      <c r="N8" s="228"/>
    </row>
    <row r="9" spans="1:15" ht="8.1" customHeight="1" x14ac:dyDescent="0.25">
      <c r="B9" s="231"/>
      <c r="C9" s="231"/>
      <c r="D9" s="250"/>
      <c r="E9" s="250"/>
      <c r="F9" s="250"/>
      <c r="G9" s="250"/>
      <c r="H9" s="250"/>
      <c r="I9" s="250"/>
      <c r="J9" s="250"/>
      <c r="K9" s="250"/>
      <c r="L9" s="250"/>
      <c r="M9" s="228"/>
      <c r="N9" s="228"/>
    </row>
    <row r="10" spans="1:15" ht="35.1" customHeight="1" x14ac:dyDescent="0.25">
      <c r="B10" s="231"/>
      <c r="C10" s="231"/>
      <c r="D10" s="249" t="s">
        <v>92</v>
      </c>
      <c r="E10" s="248"/>
      <c r="F10" s="246">
        <f>SUM(F11:F15)</f>
        <v>5661995.6940800007</v>
      </c>
      <c r="G10" s="247"/>
      <c r="H10" s="246">
        <f>SUM(H11:H15)</f>
        <v>5661995.6940800007</v>
      </c>
      <c r="I10" s="247"/>
      <c r="J10" s="246">
        <f>SUM(J11:J15)</f>
        <v>5661995.6940800007</v>
      </c>
      <c r="K10" s="247"/>
      <c r="L10" s="246">
        <f>SUM(L11:L15)</f>
        <v>5661995.6940800007</v>
      </c>
      <c r="M10" s="228"/>
      <c r="N10" s="228"/>
    </row>
    <row r="11" spans="1:15" ht="15.6" x14ac:dyDescent="0.25">
      <c r="B11" s="231"/>
      <c r="C11" s="231"/>
      <c r="D11" s="230">
        <f>'Saisie des données'!$E$8</f>
        <v>2026</v>
      </c>
      <c r="E11" s="229"/>
      <c r="F11" s="238">
        <f>IF('Saisie des données'!E$49=3,(('Saisie des données'!$E$9*(1+'Saisie des données'!$E$10)^(D11-'Saisie des données'!$E$8))*'Saisie des données'!$E$11+('Saisie des données'!$E$9*(1+'Saisie des données'!$E$10)^(D11-'Saisie des données'!$E$8))*'Saisie des données'!$E$12+('Saisie des données'!$E$9*(1+'Saisie des données'!$E$10)^(D11-'Saisie des données'!$E$8))*'Saisie des données'!$E$13),('Saisie des données'!$E$9*(1+'Saisie des données'!$E$10)^(D11-'Saisie des données'!$E$8))*'Saisie des données'!$E$11+('Saisie des données'!$E$9*(1+'Saisie des données'!$E$10)^(D11-'Saisie des données'!$E$8))*'Saisie des données'!$E$12)</f>
        <v>1088000</v>
      </c>
      <c r="G11" s="239"/>
      <c r="H11" s="238">
        <f>IF('Saisie des données'!G$49=3,(('Saisie des données'!$E$9*(1+'Saisie des données'!$E$10)^(D11-'Saisie des données'!$E$8))*'Saisie des données'!$E$11+('Saisie des données'!$E$9*(1+'Saisie des données'!$E$10)^(D11-'Saisie des données'!$E$8))*'Saisie des données'!$E$12+('Saisie des données'!$E$9*(1+'Saisie des données'!$E$10)^(D11-'Saisie des données'!$E$8))*'Saisie des données'!$E$13),('Saisie des données'!$E$9*(1+'Saisie des données'!$E$10)^(D11-'Saisie des données'!$E$8))*'Saisie des données'!$E$11+('Saisie des données'!$E$9*(1+'Saisie des données'!$E$10)^(D11-'Saisie des données'!$E$8))*'Saisie des données'!$E$12)</f>
        <v>1088000</v>
      </c>
      <c r="I11" s="239"/>
      <c r="J11" s="238">
        <f>IF('Saisie des données'!I$49=3,(('Saisie des données'!$E$9*(1+'Saisie des données'!$E$10)^(D11-'Saisie des données'!$E$8))*'Saisie des données'!$E$11+('Saisie des données'!$E$9*(1+'Saisie des données'!$E$10)^(D11-'Saisie des données'!$E$8))*'Saisie des données'!$E$12+('Saisie des données'!$E$9*(1+'Saisie des données'!$E$10)^(D11-'Saisie des données'!$E$8))*'Saisie des données'!$E$13),('Saisie des données'!$E$9*(1+'Saisie des données'!$E$10)^(D11-'Saisie des données'!$E$8))*'Saisie des données'!$E$11+('Saisie des données'!$E$9*(1+'Saisie des données'!$E$10)^(D11-'Saisie des données'!$E$8))*'Saisie des données'!$E$12)</f>
        <v>1088000</v>
      </c>
      <c r="K11" s="239"/>
      <c r="L11" s="238">
        <f>IF('Saisie des données'!K$49=3,(('Saisie des données'!$E$9*(1+'Saisie des données'!$E$10)^(D11-'Saisie des données'!$E$8))*'Saisie des données'!$E$11+('Saisie des données'!$E$9*(1+'Saisie des données'!$E$10)^(D11-'Saisie des données'!$E$8))*'Saisie des données'!$E$12+('Saisie des données'!$E$9*(1+'Saisie des données'!$E$10)^(D11-'Saisie des données'!$E$8))*'Saisie des données'!$E$13),('Saisie des données'!$E$9*(1+'Saisie des données'!$E$10)^(D11-'Saisie des données'!$E$8))*'Saisie des données'!$E$11+('Saisie des données'!$E$9*(1+'Saisie des données'!$E$10)^(D11-'Saisie des données'!$E$8))*'Saisie des données'!$E$12)</f>
        <v>1088000</v>
      </c>
      <c r="M11" s="228"/>
      <c r="N11" s="228"/>
    </row>
    <row r="12" spans="1:15" ht="15.6" x14ac:dyDescent="0.25">
      <c r="B12" s="231"/>
      <c r="C12" s="231"/>
      <c r="D12" s="230">
        <f>'Saisie des données'!$E$8+1</f>
        <v>2027</v>
      </c>
      <c r="E12" s="229"/>
      <c r="F12" s="238">
        <f>IF('Saisie des données'!E$49=3,(('Saisie des données'!$E$9*(1+'Saisie des données'!$E$10)^(D12-'Saisie des données'!$E$8))*'Saisie des données'!$E$11+('Saisie des données'!$E$9*(1+'Saisie des données'!$E$10)^(D12-'Saisie des données'!$E$8))*'Saisie des données'!$E$12+('Saisie des données'!$E$9*(1+'Saisie des données'!$E$10)^(D12-'Saisie des données'!$E$8))*'Saisie des données'!$E$13),('Saisie des données'!$E$9*(1+'Saisie des données'!$E$10)^(D12-'Saisie des données'!$E$8))*'Saisie des données'!$E$11+('Saisie des données'!$E$9*(1+'Saisie des données'!$E$10)^(D12-'Saisie des données'!$E$8))*'Saisie des données'!$E$12)</f>
        <v>1109760</v>
      </c>
      <c r="G12" s="239"/>
      <c r="H12" s="238">
        <f>IF('Saisie des données'!G$49=3,(('Saisie des données'!$E$9*(1+'Saisie des données'!$E$10)^(D12-'Saisie des données'!$E$8))*'Saisie des données'!$E$11+('Saisie des données'!$E$9*(1+'Saisie des données'!$E$10)^(D12-'Saisie des données'!$E$8))*'Saisie des données'!$E$12+('Saisie des données'!$E$9*(1+'Saisie des données'!$E$10)^(D12-'Saisie des données'!$E$8))*'Saisie des données'!$E$13),('Saisie des données'!$E$9*(1+'Saisie des données'!$E$10)^(D12-'Saisie des données'!$E$8))*'Saisie des données'!$E$11+('Saisie des données'!$E$9*(1+'Saisie des données'!$E$10)^(D12-'Saisie des données'!$E$8))*'Saisie des données'!$E$12)</f>
        <v>1109760</v>
      </c>
      <c r="I12" s="239"/>
      <c r="J12" s="238">
        <f>IF('Saisie des données'!I$49=3,(('Saisie des données'!$E$9*(1+'Saisie des données'!$E$10)^(D12-'Saisie des données'!$E$8))*'Saisie des données'!$E$11+('Saisie des données'!$E$9*(1+'Saisie des données'!$E$10)^(D12-'Saisie des données'!$E$8))*'Saisie des données'!$E$12+('Saisie des données'!$E$9*(1+'Saisie des données'!$E$10)^(D12-'Saisie des données'!$E$8))*'Saisie des données'!$E$13),('Saisie des données'!$E$9*(1+'Saisie des données'!$E$10)^(D12-'Saisie des données'!$E$8))*'Saisie des données'!$E$11+('Saisie des données'!$E$9*(1+'Saisie des données'!$E$10)^(D12-'Saisie des données'!$E$8))*'Saisie des données'!$E$12)</f>
        <v>1109760</v>
      </c>
      <c r="K12" s="239"/>
      <c r="L12" s="238">
        <f>IF('Saisie des données'!K$49=3,(('Saisie des données'!$E$9*(1+'Saisie des données'!$E$10)^(D12-'Saisie des données'!$E$8))*'Saisie des données'!$E$11+('Saisie des données'!$E$9*(1+'Saisie des données'!$E$10)^(D12-'Saisie des données'!$E$8))*'Saisie des données'!$E$12+('Saisie des données'!$E$9*(1+'Saisie des données'!$E$10)^(D12-'Saisie des données'!$E$8))*'Saisie des données'!$E$13),('Saisie des données'!$E$9*(1+'Saisie des données'!$E$10)^(D12-'Saisie des données'!$E$8))*'Saisie des données'!$E$11+('Saisie des données'!$E$9*(1+'Saisie des données'!$E$10)^(D12-'Saisie des données'!$E$8))*'Saisie des données'!$E$12)</f>
        <v>1109760</v>
      </c>
      <c r="M12" s="228"/>
      <c r="N12" s="228"/>
    </row>
    <row r="13" spans="1:15" ht="15.6" x14ac:dyDescent="0.25">
      <c r="B13" s="231"/>
      <c r="C13" s="231"/>
      <c r="D13" s="230">
        <f>'Saisie des données'!$E$8+2</f>
        <v>2028</v>
      </c>
      <c r="E13" s="229"/>
      <c r="F13" s="238">
        <f>IF('Saisie des données'!E$49=3,(('Saisie des données'!$E$9*(1+'Saisie des données'!$E$10)^(D13-'Saisie des données'!$E$8))*'Saisie des données'!$E$11+('Saisie des données'!$E$9*(1+'Saisie des données'!$E$10)^(D13-'Saisie des données'!$E$8))*'Saisie des données'!$E$12+('Saisie des données'!$E$9*(1+'Saisie des données'!$E$10)^(D13-'Saisie des données'!$E$8))*'Saisie des données'!$E$13),('Saisie des données'!$E$9*(1+'Saisie des données'!$E$10)^(D13-'Saisie des données'!$E$8))*'Saisie des données'!$E$11+('Saisie des données'!$E$9*(1+'Saisie des données'!$E$10)^(D13-'Saisie des données'!$E$8))*'Saisie des données'!$E$12)</f>
        <v>1131955.2</v>
      </c>
      <c r="G13" s="239"/>
      <c r="H13" s="238">
        <f>IF('Saisie des données'!G$49=3,(('Saisie des données'!$E$9*(1+'Saisie des données'!$E$10)^(D13-'Saisie des données'!$E$8))*'Saisie des données'!$E$11+('Saisie des données'!$E$9*(1+'Saisie des données'!$E$10)^(D13-'Saisie des données'!$E$8))*'Saisie des données'!$E$12+('Saisie des données'!$E$9*(1+'Saisie des données'!$E$10)^(D13-'Saisie des données'!$E$8))*'Saisie des données'!$E$13),('Saisie des données'!$E$9*(1+'Saisie des données'!$E$10)^(D13-'Saisie des données'!$E$8))*'Saisie des données'!$E$11+('Saisie des données'!$E$9*(1+'Saisie des données'!$E$10)^(D13-'Saisie des données'!$E$8))*'Saisie des données'!$E$12)</f>
        <v>1131955.2</v>
      </c>
      <c r="I13" s="239"/>
      <c r="J13" s="238">
        <f>IF('Saisie des données'!I$49=3,(('Saisie des données'!$E$9*(1+'Saisie des données'!$E$10)^(D13-'Saisie des données'!$E$8))*'Saisie des données'!$E$11+('Saisie des données'!$E$9*(1+'Saisie des données'!$E$10)^(D13-'Saisie des données'!$E$8))*'Saisie des données'!$E$12+('Saisie des données'!$E$9*(1+'Saisie des données'!$E$10)^(D13-'Saisie des données'!$E$8))*'Saisie des données'!$E$13),('Saisie des données'!$E$9*(1+'Saisie des données'!$E$10)^(D13-'Saisie des données'!$E$8))*'Saisie des données'!$E$11+('Saisie des données'!$E$9*(1+'Saisie des données'!$E$10)^(D13-'Saisie des données'!$E$8))*'Saisie des données'!$E$12)</f>
        <v>1131955.2</v>
      </c>
      <c r="K13" s="239"/>
      <c r="L13" s="238">
        <f>IF('Saisie des données'!K$49=3,(('Saisie des données'!$E$9*(1+'Saisie des données'!$E$10)^(D13-'Saisie des données'!$E$8))*'Saisie des données'!$E$11+('Saisie des données'!$E$9*(1+'Saisie des données'!$E$10)^(D13-'Saisie des données'!$E$8))*'Saisie des données'!$E$12+('Saisie des données'!$E$9*(1+'Saisie des données'!$E$10)^(D13-'Saisie des données'!$E$8))*'Saisie des données'!$E$13),('Saisie des données'!$E$9*(1+'Saisie des données'!$E$10)^(D13-'Saisie des données'!$E$8))*'Saisie des données'!$E$11+('Saisie des données'!$E$9*(1+'Saisie des données'!$E$10)^(D13-'Saisie des données'!$E$8))*'Saisie des données'!$E$12)</f>
        <v>1131955.2</v>
      </c>
      <c r="M13" s="228"/>
      <c r="N13" s="228"/>
    </row>
    <row r="14" spans="1:15" ht="15.6" x14ac:dyDescent="0.25">
      <c r="B14" s="231"/>
      <c r="C14" s="231"/>
      <c r="D14" s="230">
        <f>'Saisie des données'!$E$8+3</f>
        <v>2029</v>
      </c>
      <c r="E14" s="229"/>
      <c r="F14" s="238">
        <f>IF('Saisie des données'!E$49=3,(('Saisie des données'!$E$9*(1+'Saisie des données'!$E$10)^(D14-'Saisie des données'!$E$8))*'Saisie des données'!$E$11+('Saisie des données'!$E$9*(1+'Saisie des données'!$E$10)^(D14-'Saisie des données'!$E$8))*'Saisie des données'!$E$12+('Saisie des données'!$E$9*(1+'Saisie des données'!$E$10)^(D14-'Saisie des données'!$E$8))*'Saisie des données'!$E$13),('Saisie des données'!$E$9*(1+'Saisie des données'!$E$10)^(D14-'Saisie des données'!$E$8))*'Saisie des données'!$E$11+('Saisie des données'!$E$9*(1+'Saisie des données'!$E$10)^(D14-'Saisie des données'!$E$8))*'Saisie des données'!$E$12)</f>
        <v>1154594.304</v>
      </c>
      <c r="G14" s="239"/>
      <c r="H14" s="238">
        <f>IF('Saisie des données'!G$49=3,(('Saisie des données'!$E$9*(1+'Saisie des données'!$E$10)^(D14-'Saisie des données'!$E$8))*'Saisie des données'!$E$11+('Saisie des données'!$E$9*(1+'Saisie des données'!$E$10)^(D14-'Saisie des données'!$E$8))*'Saisie des données'!$E$12+('Saisie des données'!$E$9*(1+'Saisie des données'!$E$10)^(D14-'Saisie des données'!$E$8))*'Saisie des données'!$E$13),('Saisie des données'!$E$9*(1+'Saisie des données'!$E$10)^(D14-'Saisie des données'!$E$8))*'Saisie des données'!$E$11+('Saisie des données'!$E$9*(1+'Saisie des données'!$E$10)^(D14-'Saisie des données'!$E$8))*'Saisie des données'!$E$12)</f>
        <v>1154594.304</v>
      </c>
      <c r="I14" s="239"/>
      <c r="J14" s="238">
        <f>IF('Saisie des données'!I$49=3,(('Saisie des données'!$E$9*(1+'Saisie des données'!$E$10)^(D14-'Saisie des données'!$E$8))*'Saisie des données'!$E$11+('Saisie des données'!$E$9*(1+'Saisie des données'!$E$10)^(D14-'Saisie des données'!$E$8))*'Saisie des données'!$E$12+('Saisie des données'!$E$9*(1+'Saisie des données'!$E$10)^(D14-'Saisie des données'!$E$8))*'Saisie des données'!$E$13),('Saisie des données'!$E$9*(1+'Saisie des données'!$E$10)^(D14-'Saisie des données'!$E$8))*'Saisie des données'!$E$11+('Saisie des données'!$E$9*(1+'Saisie des données'!$E$10)^(D14-'Saisie des données'!$E$8))*'Saisie des données'!$E$12)</f>
        <v>1154594.304</v>
      </c>
      <c r="K14" s="239"/>
      <c r="L14" s="238">
        <f>IF('Saisie des données'!K$49=3,(('Saisie des données'!$E$9*(1+'Saisie des données'!$E$10)^(D14-'Saisie des données'!$E$8))*'Saisie des données'!$E$11+('Saisie des données'!$E$9*(1+'Saisie des données'!$E$10)^(D14-'Saisie des données'!$E$8))*'Saisie des données'!$E$12+('Saisie des données'!$E$9*(1+'Saisie des données'!$E$10)^(D14-'Saisie des données'!$E$8))*'Saisie des données'!$E$13),('Saisie des données'!$E$9*(1+'Saisie des données'!$E$10)^(D14-'Saisie des données'!$E$8))*'Saisie des données'!$E$11+('Saisie des données'!$E$9*(1+'Saisie des données'!$E$10)^(D14-'Saisie des données'!$E$8))*'Saisie des données'!$E$12)</f>
        <v>1154594.304</v>
      </c>
      <c r="M14" s="228"/>
      <c r="N14" s="228"/>
    </row>
    <row r="15" spans="1:15" ht="15.75" customHeight="1" x14ac:dyDescent="0.25">
      <c r="B15" s="231"/>
      <c r="C15" s="231"/>
      <c r="D15" s="230">
        <f>'Saisie des données'!$E$8+4</f>
        <v>2030</v>
      </c>
      <c r="E15" s="229"/>
      <c r="F15" s="238">
        <f>IF('Saisie des données'!E$49=3,(('Saisie des données'!$E$9*(1+'Saisie des données'!$E$10)^(D15-'Saisie des données'!$E$8))*'Saisie des données'!$E$11+('Saisie des données'!$E$9*(1+'Saisie des données'!$E$10)^(D15-'Saisie des données'!$E$8))*'Saisie des données'!$E$12+('Saisie des données'!$E$9*(1+'Saisie des données'!$E$10)^(D15-'Saisie des données'!$E$8))*'Saisie des données'!$E$13),('Saisie des données'!$E$9*(1+'Saisie des données'!$E$10)^(D15-'Saisie des données'!$E$8))*'Saisie des données'!$E$11+('Saisie des données'!$E$9*(1+'Saisie des données'!$E$10)^(D15-'Saisie des données'!$E$8))*'Saisie des données'!$E$12)</f>
        <v>1177686.1900799999</v>
      </c>
      <c r="G15" s="239"/>
      <c r="H15" s="238">
        <f>IF('Saisie des données'!G$49=3,(('Saisie des données'!$E$9*(1+'Saisie des données'!$E$10)^(D15-'Saisie des données'!$E$8))*'Saisie des données'!$E$11+('Saisie des données'!$E$9*(1+'Saisie des données'!$E$10)^(D15-'Saisie des données'!$E$8))*'Saisie des données'!$E$12+('Saisie des données'!$E$9*(1+'Saisie des données'!$E$10)^(D15-'Saisie des données'!$E$8))*'Saisie des données'!$E$13),('Saisie des données'!$E$9*(1+'Saisie des données'!$E$10)^(D15-'Saisie des données'!$E$8))*'Saisie des données'!$E$11+('Saisie des données'!$E$9*(1+'Saisie des données'!$E$10)^(D15-'Saisie des données'!$E$8))*'Saisie des données'!$E$12)</f>
        <v>1177686.1900799999</v>
      </c>
      <c r="I15" s="239"/>
      <c r="J15" s="238">
        <f>IF('Saisie des données'!I$49=3,(('Saisie des données'!$E$9*(1+'Saisie des données'!$E$10)^(D15-'Saisie des données'!$E$8))*'Saisie des données'!$E$11+('Saisie des données'!$E$9*(1+'Saisie des données'!$E$10)^(D15-'Saisie des données'!$E$8))*'Saisie des données'!$E$12+('Saisie des données'!$E$9*(1+'Saisie des données'!$E$10)^(D15-'Saisie des données'!$E$8))*'Saisie des données'!$E$13),('Saisie des données'!$E$9*(1+'Saisie des données'!$E$10)^(D15-'Saisie des données'!$E$8))*'Saisie des données'!$E$11+('Saisie des données'!$E$9*(1+'Saisie des données'!$E$10)^(D15-'Saisie des données'!$E$8))*'Saisie des données'!$E$12)</f>
        <v>1177686.1900799999</v>
      </c>
      <c r="K15" s="239"/>
      <c r="L15" s="238">
        <f>IF('Saisie des données'!K$49=3,(('Saisie des données'!$E$9*(1+'Saisie des données'!$E$10)^(D15-'Saisie des données'!$E$8))*'Saisie des données'!$E$11+('Saisie des données'!$E$9*(1+'Saisie des données'!$E$10)^(D15-'Saisie des données'!$E$8))*'Saisie des données'!$E$12+('Saisie des données'!$E$9*(1+'Saisie des données'!$E$10)^(D15-'Saisie des données'!$E$8))*'Saisie des données'!$E$13),('Saisie des données'!$E$9*(1+'Saisie des données'!$E$10)^(D15-'Saisie des données'!$E$8))*'Saisie des données'!$E$11+('Saisie des données'!$E$9*(1+'Saisie des données'!$E$10)^(D15-'Saisie des données'!$E$8))*'Saisie des données'!$E$12)</f>
        <v>1177686.1900799999</v>
      </c>
      <c r="M15" s="228"/>
      <c r="N15" s="228"/>
    </row>
    <row r="16" spans="1:15" ht="15" customHeight="1" x14ac:dyDescent="0.25">
      <c r="B16" s="231"/>
      <c r="C16" s="231"/>
      <c r="D16" s="237"/>
      <c r="E16" s="229"/>
      <c r="F16" s="245"/>
      <c r="G16" s="239"/>
      <c r="H16" s="245"/>
      <c r="I16" s="239"/>
      <c r="J16" s="245"/>
      <c r="K16" s="239"/>
      <c r="L16" s="245"/>
      <c r="M16" s="228"/>
      <c r="N16" s="228"/>
    </row>
    <row r="17" spans="2:14" ht="42" customHeight="1" x14ac:dyDescent="0.25">
      <c r="B17" s="231"/>
      <c r="C17" s="231"/>
      <c r="D17" s="412" t="s">
        <v>93</v>
      </c>
      <c r="E17" s="412"/>
      <c r="F17" s="412"/>
      <c r="G17" s="412"/>
      <c r="H17" s="412"/>
      <c r="I17" s="412"/>
      <c r="J17" s="412"/>
      <c r="K17" s="412"/>
      <c r="L17" s="412"/>
      <c r="M17" s="228"/>
      <c r="N17" s="228"/>
    </row>
    <row r="18" spans="2:14" ht="8.1" customHeight="1" x14ac:dyDescent="0.25">
      <c r="B18" s="231"/>
      <c r="C18" s="231"/>
      <c r="D18" s="234"/>
      <c r="E18" s="234"/>
      <c r="F18" s="234"/>
      <c r="G18" s="234"/>
      <c r="H18" s="234"/>
      <c r="I18" s="234"/>
      <c r="J18" s="234"/>
      <c r="K18" s="234"/>
      <c r="L18" s="234"/>
      <c r="M18" s="228"/>
      <c r="N18" s="228"/>
    </row>
    <row r="19" spans="2:14" ht="35.1" customHeight="1" x14ac:dyDescent="0.25">
      <c r="B19" s="231"/>
      <c r="C19" s="231"/>
      <c r="D19" s="249" t="s">
        <v>92</v>
      </c>
      <c r="E19" s="248"/>
      <c r="F19" s="246">
        <f>SUM(F20:F24)</f>
        <v>6448764.6932591302</v>
      </c>
      <c r="G19" s="247"/>
      <c r="H19" s="246">
        <f>SUM(H20:H24)</f>
        <v>6448764.6932591302</v>
      </c>
      <c r="I19" s="247"/>
      <c r="J19" s="246">
        <f>SUM(J20:J24)</f>
        <v>6254417.0149726309</v>
      </c>
      <c r="K19" s="247"/>
      <c r="L19" s="246">
        <f>SUM(L20:L24)</f>
        <v>6448764.6932591302</v>
      </c>
      <c r="M19" s="228"/>
      <c r="N19" s="228"/>
    </row>
    <row r="20" spans="2:14" ht="15.6" x14ac:dyDescent="0.25">
      <c r="B20" s="231"/>
      <c r="C20" s="231"/>
      <c r="D20" s="230">
        <f>'Saisie des données'!$E$8</f>
        <v>2026</v>
      </c>
      <c r="E20" s="229"/>
      <c r="F20" s="238">
        <f>F11*'Saisie des données'!E$54+F11*'Saisie des données'!E$57</f>
        <v>1454608.6956521738</v>
      </c>
      <c r="G20" s="239"/>
      <c r="H20" s="238">
        <f>H11*'Saisie des données'!G$54+H11*'Saisie des données'!G$57</f>
        <v>1454608.6956521738</v>
      </c>
      <c r="I20" s="239"/>
      <c r="J20" s="238">
        <f>J11*'Saisie des données'!I$54+J11*'Saisie des données'!I$57</f>
        <v>1417263.1578947369</v>
      </c>
      <c r="K20" s="239"/>
      <c r="L20" s="238">
        <f>L11*'Saisie des données'!K$54+L11*'Saisie des données'!K$57</f>
        <v>1454608.6956521738</v>
      </c>
      <c r="M20" s="228"/>
      <c r="N20" s="228"/>
    </row>
    <row r="21" spans="2:14" ht="15.6" x14ac:dyDescent="0.25">
      <c r="B21" s="231"/>
      <c r="C21" s="231"/>
      <c r="D21" s="230">
        <f>'Saisie des données'!$E$8+1</f>
        <v>2027</v>
      </c>
      <c r="E21" s="229"/>
      <c r="F21" s="238">
        <f>F12*'Saisie des données'!E$54+(F12*'Saisie des données'!E$57-Résultats!F11*'Saisie des données'!E$57)</f>
        <v>1211700.8695652173</v>
      </c>
      <c r="G21" s="239"/>
      <c r="H21" s="238">
        <f>H12*'Saisie des données'!G$54+(H12*'Saisie des données'!G$57-Résultats!H11*'Saisie des données'!G$57)</f>
        <v>1211700.8695652173</v>
      </c>
      <c r="I21" s="239"/>
      <c r="J21" s="238">
        <f>J12*'Saisie des données'!I$54+(J12*'Saisie des données'!I$57-Résultats!J11*'Saisie des données'!I$57)</f>
        <v>1173608.4210526315</v>
      </c>
      <c r="K21" s="239"/>
      <c r="L21" s="238">
        <f>L12*'Saisie des données'!K$54+(L12*'Saisie des données'!K$57-Résultats!L11*'Saisie des données'!K$57)</f>
        <v>1211700.8695652173</v>
      </c>
      <c r="M21" s="228"/>
      <c r="N21" s="228"/>
    </row>
    <row r="22" spans="2:14" ht="15.6" x14ac:dyDescent="0.25">
      <c r="B22" s="231"/>
      <c r="C22" s="231"/>
      <c r="D22" s="230">
        <f>'Saisie des données'!$E$8+2</f>
        <v>2028</v>
      </c>
      <c r="E22" s="229"/>
      <c r="F22" s="238">
        <f>F13*'Saisie des données'!E$54+(F13*'Saisie des données'!E$57-Résultats!F12*'Saisie des données'!E$57)</f>
        <v>1235934.8869565218</v>
      </c>
      <c r="G22" s="239"/>
      <c r="H22" s="238">
        <f>H13*'Saisie des données'!G$54+(H13*'Saisie des données'!G$57-Résultats!H12*'Saisie des données'!G$57)</f>
        <v>1235934.8869565218</v>
      </c>
      <c r="I22" s="239"/>
      <c r="J22" s="238">
        <f>J13*'Saisie des données'!I$54+(J13*'Saisie des données'!I$57-Résultats!J12*'Saisie des données'!I$57)</f>
        <v>1197080.5894736841</v>
      </c>
      <c r="K22" s="239"/>
      <c r="L22" s="238">
        <f>L13*'Saisie des données'!K$54+(L13*'Saisie des données'!K$57-Résultats!L12*'Saisie des données'!K$57)</f>
        <v>1235934.8869565218</v>
      </c>
      <c r="M22" s="228"/>
      <c r="N22" s="228"/>
    </row>
    <row r="23" spans="2:14" ht="15.6" x14ac:dyDescent="0.25">
      <c r="B23" s="231"/>
      <c r="C23" s="231"/>
      <c r="D23" s="230">
        <f>'Saisie des données'!$E$8+3</f>
        <v>2029</v>
      </c>
      <c r="E23" s="229"/>
      <c r="F23" s="238">
        <f>F14*'Saisie des données'!E$54+(F14*'Saisie des données'!E$57-Résultats!F13*'Saisie des données'!E$57)</f>
        <v>1260653.5846956521</v>
      </c>
      <c r="G23" s="239"/>
      <c r="H23" s="238">
        <f>H14*'Saisie des données'!G$54+(H14*'Saisie des données'!G$57-Résultats!H13*'Saisie des données'!G$57)</f>
        <v>1260653.5846956521</v>
      </c>
      <c r="I23" s="239"/>
      <c r="J23" s="238">
        <f>J14*'Saisie des données'!I$54+(J14*'Saisie des données'!I$57-Résultats!J13*'Saisie des données'!I$57)</f>
        <v>1221022.2012631579</v>
      </c>
      <c r="K23" s="239"/>
      <c r="L23" s="238">
        <f>L14*'Saisie des données'!K$54+(L14*'Saisie des données'!K$57-Résultats!L13*'Saisie des données'!K$57)</f>
        <v>1260653.5846956521</v>
      </c>
      <c r="M23" s="228"/>
      <c r="N23" s="228"/>
    </row>
    <row r="24" spans="2:14" ht="15.75" customHeight="1" x14ac:dyDescent="0.25">
      <c r="B24" s="231"/>
      <c r="C24" s="231"/>
      <c r="D24" s="230">
        <f>'Saisie des données'!$E$8+4</f>
        <v>2030</v>
      </c>
      <c r="E24" s="229"/>
      <c r="F24" s="238">
        <f>F15*'Saisie des données'!E$54+(F15*'Saisie des données'!E$57-Résultats!F14*'Saisie des données'!E$57)</f>
        <v>1285866.656389565</v>
      </c>
      <c r="G24" s="239"/>
      <c r="H24" s="238">
        <f>H15*'Saisie des données'!G$54+(H15*'Saisie des données'!G$57-Résultats!H14*'Saisie des données'!G$57)</f>
        <v>1285866.656389565</v>
      </c>
      <c r="I24" s="239"/>
      <c r="J24" s="238">
        <f>J15*'Saisie des données'!I$54+(J15*'Saisie des données'!I$57-Résultats!J14*'Saisie des données'!I$57)</f>
        <v>1245442.6452884208</v>
      </c>
      <c r="K24" s="239"/>
      <c r="L24" s="238">
        <f>L15*'Saisie des données'!K$54+(L15*'Saisie des données'!K$57-Résultats!L14*'Saisie des données'!K$57)</f>
        <v>1285866.656389565</v>
      </c>
      <c r="M24" s="228"/>
      <c r="N24" s="228"/>
    </row>
    <row r="25" spans="2:14" ht="15" customHeight="1" x14ac:dyDescent="0.25">
      <c r="B25" s="231"/>
      <c r="C25" s="231"/>
      <c r="D25" s="237"/>
      <c r="E25" s="229"/>
      <c r="F25" s="245"/>
      <c r="G25" s="239"/>
      <c r="H25" s="245"/>
      <c r="I25" s="239"/>
      <c r="J25" s="245"/>
      <c r="K25" s="239"/>
      <c r="L25" s="245"/>
      <c r="M25" s="228"/>
      <c r="N25" s="228"/>
    </row>
    <row r="26" spans="2:14" s="242" customFormat="1" ht="42" customHeight="1" x14ac:dyDescent="0.25">
      <c r="B26" s="244"/>
      <c r="C26" s="244"/>
      <c r="D26" s="412" t="s">
        <v>94</v>
      </c>
      <c r="E26" s="412"/>
      <c r="F26" s="412"/>
      <c r="G26" s="412"/>
      <c r="H26" s="412"/>
      <c r="I26" s="412"/>
      <c r="J26" s="412"/>
      <c r="K26" s="412"/>
      <c r="L26" s="412"/>
      <c r="M26" s="243"/>
      <c r="N26" s="243"/>
    </row>
    <row r="27" spans="2:14" ht="8.1" customHeight="1" x14ac:dyDescent="0.25">
      <c r="B27" s="231"/>
      <c r="C27" s="231"/>
      <c r="D27" s="241"/>
      <c r="E27" s="234"/>
      <c r="F27" s="241"/>
      <c r="G27" s="234"/>
      <c r="H27" s="241"/>
      <c r="I27" s="234"/>
      <c r="J27" s="241"/>
      <c r="K27" s="234"/>
      <c r="L27" s="241"/>
      <c r="M27" s="240"/>
      <c r="N27" s="240"/>
    </row>
    <row r="28" spans="2:14" ht="15.6" x14ac:dyDescent="0.25">
      <c r="B28" s="231"/>
      <c r="C28" s="231"/>
      <c r="D28" s="230">
        <f>'Saisie des données'!$E$8</f>
        <v>2026</v>
      </c>
      <c r="E28" s="229"/>
      <c r="F28" s="238">
        <f>F20*'Saisie des données'!E$51</f>
        <v>3491060.8695652173</v>
      </c>
      <c r="G28" s="239"/>
      <c r="H28" s="238">
        <f>H20*'Saisie des données'!G$51</f>
        <v>5112949.5652173916</v>
      </c>
      <c r="I28" s="239"/>
      <c r="J28" s="238">
        <f>J20*'Saisie des données'!I$51</f>
        <v>17007157.894736841</v>
      </c>
      <c r="K28" s="239"/>
      <c r="L28" s="238">
        <f>L20*'Saisie des données'!K$51</f>
        <v>4218365.2173913037</v>
      </c>
      <c r="M28" s="228"/>
      <c r="N28" s="228"/>
    </row>
    <row r="29" spans="2:14" ht="15.6" x14ac:dyDescent="0.25">
      <c r="B29" s="231"/>
      <c r="C29" s="231"/>
      <c r="D29" s="230">
        <f>'Saisie des données'!$E$8+1</f>
        <v>2027</v>
      </c>
      <c r="E29" s="229"/>
      <c r="F29" s="238">
        <f>F21*'Saisie des données'!E$51</f>
        <v>2908082.0869565215</v>
      </c>
      <c r="G29" s="239"/>
      <c r="H29" s="238">
        <f>H21*'Saisie des données'!G$51</f>
        <v>4259128.5565217389</v>
      </c>
      <c r="I29" s="239"/>
      <c r="J29" s="238">
        <f>J21*'Saisie des données'!I$51</f>
        <v>14083301.052631577</v>
      </c>
      <c r="K29" s="239"/>
      <c r="L29" s="238">
        <f>L21*'Saisie des données'!K$51</f>
        <v>3513932.5217391299</v>
      </c>
      <c r="M29" s="228"/>
      <c r="N29" s="228"/>
    </row>
    <row r="30" spans="2:14" ht="15.6" x14ac:dyDescent="0.25">
      <c r="B30" s="231"/>
      <c r="C30" s="231"/>
      <c r="D30" s="230">
        <f>'Saisie des données'!$E$8+2</f>
        <v>2028</v>
      </c>
      <c r="E30" s="229"/>
      <c r="F30" s="238">
        <f>F22*'Saisie des données'!E$51</f>
        <v>2966243.728695652</v>
      </c>
      <c r="G30" s="239"/>
      <c r="H30" s="238">
        <f>H22*'Saisie des données'!G$51</f>
        <v>4344311.1276521739</v>
      </c>
      <c r="I30" s="239"/>
      <c r="J30" s="238">
        <f>J22*'Saisie des données'!I$51</f>
        <v>14364967.073684208</v>
      </c>
      <c r="K30" s="239"/>
      <c r="L30" s="238">
        <f>L22*'Saisie des données'!K$51</f>
        <v>3584211.1721739131</v>
      </c>
      <c r="M30" s="228"/>
      <c r="N30" s="228"/>
    </row>
    <row r="31" spans="2:14" ht="15.6" x14ac:dyDescent="0.25">
      <c r="B31" s="231"/>
      <c r="C31" s="231"/>
      <c r="D31" s="230">
        <f>'Saisie des données'!$E$8+3</f>
        <v>2029</v>
      </c>
      <c r="E31" s="229"/>
      <c r="F31" s="238">
        <f>F23*'Saisie des données'!E$51</f>
        <v>3025568.6032695649</v>
      </c>
      <c r="G31" s="239"/>
      <c r="H31" s="238">
        <f>H23*'Saisie des données'!G$51</f>
        <v>4431197.3502052175</v>
      </c>
      <c r="I31" s="239"/>
      <c r="J31" s="238">
        <f>J23*'Saisie des données'!I$51</f>
        <v>14652266.415157896</v>
      </c>
      <c r="K31" s="239"/>
      <c r="L31" s="238">
        <f>L23*'Saisie des données'!K$51</f>
        <v>3655895.395617391</v>
      </c>
      <c r="M31" s="228"/>
      <c r="N31" s="228"/>
    </row>
    <row r="32" spans="2:14" ht="15.6" x14ac:dyDescent="0.25">
      <c r="B32" s="231"/>
      <c r="C32" s="231"/>
      <c r="D32" s="230">
        <f>'Saisie des données'!$E$8+4</f>
        <v>2030</v>
      </c>
      <c r="E32" s="229"/>
      <c r="F32" s="238">
        <f>F24*'Saisie des données'!E$51</f>
        <v>3086079.9753349558</v>
      </c>
      <c r="G32" s="239"/>
      <c r="H32" s="238">
        <f>H24*'Saisie des données'!G$51</f>
        <v>4519821.2972093206</v>
      </c>
      <c r="I32" s="239"/>
      <c r="J32" s="238">
        <f>J24*'Saisie des données'!I$51</f>
        <v>14945311.74346105</v>
      </c>
      <c r="K32" s="239"/>
      <c r="L32" s="238">
        <f>L24*'Saisie des données'!K$51</f>
        <v>3729013.3035297384</v>
      </c>
      <c r="M32" s="228"/>
      <c r="N32" s="228"/>
    </row>
    <row r="33" spans="2:17" ht="15" customHeight="1" x14ac:dyDescent="0.25">
      <c r="B33" s="231"/>
      <c r="C33" s="231"/>
      <c r="D33" s="411"/>
      <c r="E33" s="411"/>
      <c r="F33" s="411"/>
      <c r="G33" s="411"/>
      <c r="H33" s="411"/>
      <c r="I33" s="411"/>
      <c r="J33" s="411"/>
      <c r="K33" s="411"/>
      <c r="L33" s="411"/>
      <c r="M33" s="312"/>
      <c r="N33" s="312"/>
    </row>
    <row r="34" spans="2:17" ht="40.049999999999997" customHeight="1" x14ac:dyDescent="0.25">
      <c r="B34" s="231"/>
      <c r="C34" s="417" t="s">
        <v>95</v>
      </c>
      <c r="D34" s="417"/>
      <c r="E34" s="417"/>
      <c r="F34" s="417"/>
      <c r="G34" s="417"/>
      <c r="H34" s="417"/>
      <c r="I34" s="417"/>
      <c r="J34" s="417"/>
      <c r="K34" s="417"/>
      <c r="L34" s="417"/>
      <c r="M34" s="417"/>
      <c r="N34" s="312"/>
    </row>
    <row r="35" spans="2:17" ht="15" customHeight="1" x14ac:dyDescent="0.25">
      <c r="B35" s="231"/>
      <c r="C35" s="231"/>
      <c r="D35" s="312"/>
      <c r="E35" s="312"/>
      <c r="F35" s="312"/>
      <c r="G35" s="312"/>
      <c r="H35" s="312"/>
      <c r="I35" s="312"/>
      <c r="J35" s="312"/>
      <c r="K35" s="312"/>
      <c r="L35" s="312"/>
      <c r="M35" s="312"/>
      <c r="N35" s="312"/>
    </row>
    <row r="36" spans="2:17" ht="41.1" customHeight="1" x14ac:dyDescent="0.25">
      <c r="B36" s="231"/>
      <c r="C36" s="231"/>
      <c r="D36" s="412" t="s">
        <v>96</v>
      </c>
      <c r="E36" s="412"/>
      <c r="F36" s="412"/>
      <c r="G36" s="412"/>
      <c r="H36" s="412"/>
      <c r="I36" s="412"/>
      <c r="J36" s="412"/>
      <c r="K36" s="412"/>
      <c r="L36" s="412"/>
      <c r="M36" s="228"/>
      <c r="N36" s="228"/>
    </row>
    <row r="37" spans="2:17" ht="8.1" customHeight="1" x14ac:dyDescent="0.25">
      <c r="B37" s="231"/>
      <c r="C37" s="231"/>
      <c r="D37" s="234"/>
      <c r="E37" s="234"/>
      <c r="F37" s="234"/>
      <c r="G37" s="234"/>
      <c r="H37" s="234"/>
      <c r="I37" s="234"/>
      <c r="J37" s="234"/>
      <c r="K37" s="234"/>
      <c r="L37" s="234"/>
      <c r="M37" s="228"/>
      <c r="N37" s="228"/>
    </row>
    <row r="38" spans="2:17" ht="35.1" customHeight="1" x14ac:dyDescent="0.25">
      <c r="B38" s="231"/>
      <c r="C38" s="231"/>
      <c r="D38" s="233" t="s">
        <v>92</v>
      </c>
      <c r="E38" s="232"/>
      <c r="F38" s="290">
        <f>SUM(F39:F43)</f>
        <v>1737966.9339752358</v>
      </c>
      <c r="G38" s="291"/>
      <c r="H38" s="290">
        <f>SUM(H39:H43)</f>
        <v>1282942.0972188718</v>
      </c>
      <c r="I38" s="291"/>
      <c r="J38" s="290">
        <f>SUM(J39:J43)</f>
        <v>1889918.5634295591</v>
      </c>
      <c r="K38" s="291"/>
      <c r="L38" s="290">
        <f>SUM(L39:L43)</f>
        <v>1687408.6187800844</v>
      </c>
      <c r="M38" s="228"/>
      <c r="N38" s="228"/>
    </row>
    <row r="39" spans="2:17" ht="15.6" x14ac:dyDescent="0.25">
      <c r="B39" s="231"/>
      <c r="C39" s="231"/>
      <c r="D39" s="230">
        <f>'Saisie des données'!$E$8</f>
        <v>2026</v>
      </c>
      <c r="E39" s="229"/>
      <c r="F39" s="294">
        <f>F20*('Saisie des données'!E43+'Saisie des données'!E43*'Saisie des données'!E$55+'Saisie des données'!E43*'Saisie des données'!E$56)+(F11/'Saisie des données'!E$59*'Saisie des données'!E$58)+(F11*'Saisie des données'!$E$60)</f>
        <v>382943.83304347825</v>
      </c>
      <c r="G39" s="295"/>
      <c r="H39" s="294">
        <f>H20*('Saisie des données'!G43+'Saisie des données'!G43*'Saisie des données'!G$55+'Saisie des données'!G43*'Saisie des données'!G$56)+(H11/'Saisie des données'!G$59*'Saisie des données'!G$58)+(H11*'Saisie des données'!$G$60)</f>
        <v>280306.6434782609</v>
      </c>
      <c r="I39" s="295"/>
      <c r="J39" s="294">
        <f>J20*('Saisie des données'!I43+'Saisie des données'!I43*'Saisie des données'!I$55+'Saisie des données'!I43*'Saisie des données'!I$56)+(J11/'Saisie des données'!I$59*'Saisie des données'!I$58)+(J11*'Saisie des données'!$I$60)</f>
        <v>418898.32421052631</v>
      </c>
      <c r="K39" s="295"/>
      <c r="L39" s="294">
        <f>L20*('Saisie des données'!K43+'Saisie des données'!K43*'Saisie des données'!K$55+'Saisie des données'!K43*'Saisie des données'!K$56)+(L11/'Saisie des données'!K$59*'Saisie des données'!K$58)+(L11*'Saisie des données'!$K$60)</f>
        <v>371539.70086956525</v>
      </c>
      <c r="M39" s="228"/>
      <c r="N39" s="228"/>
    </row>
    <row r="40" spans="2:17" ht="15.6" x14ac:dyDescent="0.25">
      <c r="B40" s="231"/>
      <c r="C40" s="231"/>
      <c r="D40" s="230">
        <f>'Saisie des données'!$E$8+1</f>
        <v>2027</v>
      </c>
      <c r="E40" s="229"/>
      <c r="F40" s="294">
        <f>F21*('Saisie des données'!E44+'Saisie des données'!E44*'Saisie des données'!E$55+'Saisie des données'!E44*'Saisie des données'!E$56)+(F12/'Saisie des données'!E$59*'Saisie des données'!E$58)+(F12*'Saisie des données'!$E$60)</f>
        <v>328760.78970434784</v>
      </c>
      <c r="G40" s="295"/>
      <c r="H40" s="294">
        <f>H21*('Saisie des données'!G44+'Saisie des données'!G44*'Saisie des données'!G$55+'Saisie des données'!G44*'Saisie des données'!G$56)+(H12/'Saisie des données'!G$59*'Saisie des données'!G$58)+(H12*'Saisie des données'!$G$60)</f>
        <v>243263.17634782608</v>
      </c>
      <c r="I40" s="295"/>
      <c r="J40" s="294">
        <f>J21*('Saisie des données'!I44+'Saisie des données'!I44*'Saisie des données'!I$55+'Saisie des données'!I44*'Saisie des données'!I$56)+(J12/'Saisie des données'!I$59*'Saisie des données'!I$58)+(J12*'Saisie des données'!$I$60)</f>
        <v>356904.45069473685</v>
      </c>
      <c r="K40" s="295"/>
      <c r="L40" s="294">
        <f>L21*('Saisie des données'!K44+'Saisie des données'!K44*'Saisie des données'!K$55+'Saisie des données'!K44*'Saisie des données'!K$56)+(L12/'Saisie des données'!K$59*'Saisie des données'!K$58)+(L12*'Saisie des données'!$K$60)</f>
        <v>319261.05488695658</v>
      </c>
      <c r="M40" s="228"/>
      <c r="N40" s="228"/>
    </row>
    <row r="41" spans="2:17" ht="15.6" x14ac:dyDescent="0.25">
      <c r="B41" s="231"/>
      <c r="C41" s="231"/>
      <c r="D41" s="230">
        <f>'Saisie des données'!$E$8+2</f>
        <v>2028</v>
      </c>
      <c r="E41" s="229"/>
      <c r="F41" s="294">
        <f>F22*('Saisie des données'!E45+'Saisie des données'!E45*'Saisie des données'!E$55+'Saisie des données'!E45*'Saisie des données'!E$56)+(F13/'Saisie des données'!E$59*'Saisie des données'!E$58)+(F13*'Saisie des données'!$E$60)</f>
        <v>335336.00549843477</v>
      </c>
      <c r="G41" s="295"/>
      <c r="H41" s="294">
        <f>H22*('Saisie des données'!G45+'Saisie des données'!G45*'Saisie des données'!G$55+'Saisie des données'!G45*'Saisie des données'!G$56)+(H13/'Saisie des données'!G$59*'Saisie des données'!G$58)+(H13*'Saisie des données'!$G$60)</f>
        <v>248128.43987478263</v>
      </c>
      <c r="I41" s="295"/>
      <c r="J41" s="294">
        <f>J22*('Saisie des données'!I45+'Saisie des données'!I45*'Saisie des données'!I$55+'Saisie des données'!I45*'Saisie des données'!I$56)+(J13/'Saisie des données'!I$59*'Saisie des données'!I$58)+(J13*'Saisie des données'!$I$60)</f>
        <v>364042.53970863152</v>
      </c>
      <c r="K41" s="295"/>
      <c r="L41" s="294">
        <f>L22*('Saisie des données'!K45+'Saisie des données'!K45*'Saisie des données'!K$55+'Saisie des données'!K45*'Saisie des données'!K$56)+(L13/'Saisie des données'!K$59*'Saisie des données'!K$58)+(L13*'Saisie des données'!$K$60)</f>
        <v>325646.27598469565</v>
      </c>
      <c r="M41" s="228"/>
      <c r="N41" s="228"/>
    </row>
    <row r="42" spans="2:17" ht="15.6" x14ac:dyDescent="0.25">
      <c r="B42" s="231"/>
      <c r="C42" s="231"/>
      <c r="D42" s="230">
        <f>'Saisie des données'!$E$8+3</f>
        <v>2029</v>
      </c>
      <c r="E42" s="229"/>
      <c r="F42" s="294">
        <f>F23*('Saisie des données'!E46+'Saisie des données'!E46*'Saisie des données'!E$55+'Saisie des données'!E46*'Saisie des données'!E$56)+(F14/'Saisie des données'!E$59*'Saisie des données'!E$58)+(F14*'Saisie des données'!$E$60)</f>
        <v>342042.72560840345</v>
      </c>
      <c r="G42" s="295"/>
      <c r="H42" s="294">
        <f>H23*('Saisie des données'!G46+'Saisie des données'!G46*'Saisie des données'!G$55+'Saisie des données'!G46*'Saisie des données'!G$56)+(H14/'Saisie des données'!G$59*'Saisie des données'!G$58)+(H14*'Saisie des données'!$G$60)</f>
        <v>253091.00867227826</v>
      </c>
      <c r="I42" s="295"/>
      <c r="J42" s="294">
        <f>J23*('Saisie des données'!I46+'Saisie des données'!I46*'Saisie des données'!I$55+'Saisie des données'!I46*'Saisie des données'!I$56)+(J14/'Saisie des données'!I$59*'Saisie des données'!I$58)+(J14*'Saisie des données'!$I$60)</f>
        <v>371323.39050280419</v>
      </c>
      <c r="K42" s="295"/>
      <c r="L42" s="294">
        <f>L23*('Saisie des données'!K46+'Saisie des données'!K46*'Saisie des données'!K$55+'Saisie des données'!K46*'Saisie des données'!K$56)+(L14/'Saisie des données'!K$59*'Saisie des données'!K$58)+(L14*'Saisie des données'!$K$60)</f>
        <v>332159.20150438958</v>
      </c>
      <c r="M42" s="228"/>
      <c r="N42" s="228"/>
    </row>
    <row r="43" spans="2:17" ht="15.75" customHeight="1" x14ac:dyDescent="0.25">
      <c r="B43" s="231"/>
      <c r="C43" s="231"/>
      <c r="D43" s="230">
        <f>'Saisie des données'!$E$8+4</f>
        <v>2030</v>
      </c>
      <c r="E43" s="229"/>
      <c r="F43" s="294">
        <f>F24*('Saisie des données'!E47+'Saisie des données'!E47*'Saisie des données'!E$55+'Saisie des données'!E47*'Saisie des données'!E$56)+(F15/'Saisie des données'!E$59*'Saisie des données'!E$58)+(F15*'Saisie des données'!$E$60)</f>
        <v>348883.58012057148</v>
      </c>
      <c r="G43" s="295"/>
      <c r="H43" s="294">
        <f>H24*('Saisie des données'!G47+'Saisie des données'!G47*'Saisie des données'!G$55+'Saisie des données'!G47*'Saisie des données'!G$56)+(H15/'Saisie des données'!G$59*'Saisie des données'!G$58)+(H15*'Saisie des données'!$G$60)</f>
        <v>258152.82884572382</v>
      </c>
      <c r="I43" s="295"/>
      <c r="J43" s="294">
        <f>J24*('Saisie des données'!I47+'Saisie des données'!I47*'Saisie des données'!I$55+'Saisie des données'!I47*'Saisie des données'!I$56)+(J15/'Saisie des données'!I$59*'Saisie des données'!I$58)+(J15*'Saisie des données'!$I$60)</f>
        <v>378749.85831286025</v>
      </c>
      <c r="K43" s="295"/>
      <c r="L43" s="294">
        <f>L24*('Saisie des données'!K47+'Saisie des données'!K47*'Saisie des données'!K$55+'Saisie des données'!K47*'Saisie des données'!K$56)+(L15/'Saisie des données'!K$59*'Saisie des données'!K$58)+(L15*'Saisie des données'!$K$60)</f>
        <v>338802.3855344773</v>
      </c>
      <c r="M43" s="228"/>
      <c r="N43" s="228"/>
    </row>
    <row r="44" spans="2:17" ht="15" customHeight="1" x14ac:dyDescent="0.25">
      <c r="B44" s="231"/>
      <c r="C44" s="231"/>
      <c r="D44" s="237"/>
      <c r="E44" s="229"/>
      <c r="F44" s="235"/>
      <c r="G44" s="236"/>
      <c r="H44" s="235"/>
      <c r="I44" s="236"/>
      <c r="J44" s="235"/>
      <c r="K44" s="236"/>
      <c r="L44" s="235"/>
      <c r="M44" s="228"/>
      <c r="N44" s="228"/>
    </row>
    <row r="45" spans="2:17" ht="42" customHeight="1" x14ac:dyDescent="0.25">
      <c r="B45" s="231"/>
      <c r="C45" s="231"/>
      <c r="D45" s="412" t="s">
        <v>97</v>
      </c>
      <c r="E45" s="412"/>
      <c r="F45" s="412"/>
      <c r="G45" s="412"/>
      <c r="H45" s="412"/>
      <c r="I45" s="412"/>
      <c r="J45" s="412"/>
      <c r="K45" s="412"/>
      <c r="L45" s="412"/>
      <c r="M45" s="228"/>
      <c r="N45" s="228"/>
    </row>
    <row r="46" spans="2:17" ht="8.1" customHeight="1" x14ac:dyDescent="0.25">
      <c r="B46" s="231"/>
      <c r="C46" s="231"/>
      <c r="D46" s="234"/>
      <c r="E46" s="234"/>
      <c r="F46" s="234"/>
      <c r="G46" s="234"/>
      <c r="H46" s="234"/>
      <c r="I46" s="234"/>
      <c r="J46" s="234"/>
      <c r="K46" s="234"/>
      <c r="L46" s="234"/>
      <c r="M46" s="228"/>
      <c r="N46" s="228"/>
    </row>
    <row r="47" spans="2:17" ht="35.1" customHeight="1" x14ac:dyDescent="0.25">
      <c r="B47" s="231"/>
      <c r="C47" s="231"/>
      <c r="D47" s="233" t="s">
        <v>92</v>
      </c>
      <c r="E47" s="232"/>
      <c r="F47" s="290">
        <f>SUM(F48:F52)</f>
        <v>7399962.6280552354</v>
      </c>
      <c r="G47" s="291"/>
      <c r="H47" s="290">
        <f>SUM(H48:H52)</f>
        <v>6944937.7912988709</v>
      </c>
      <c r="I47" s="291"/>
      <c r="J47" s="290">
        <f>SUM(J48:J52)</f>
        <v>7551914.2575095594</v>
      </c>
      <c r="K47" s="291"/>
      <c r="L47" s="290">
        <f>SUM(L48:L52)</f>
        <v>7349404.3128600847</v>
      </c>
      <c r="M47" s="228"/>
      <c r="N47" s="228"/>
    </row>
    <row r="48" spans="2:17" ht="15.6" x14ac:dyDescent="0.25">
      <c r="B48" s="231"/>
      <c r="C48" s="231"/>
      <c r="D48" s="230">
        <f>'Saisie des données'!$E$8</f>
        <v>2026</v>
      </c>
      <c r="E48" s="229"/>
      <c r="F48" s="294">
        <f>F39+(F11*'Saisie des données'!E$65)+'Saisie des données'!E64</f>
        <v>1470943.8330434782</v>
      </c>
      <c r="G48" s="295"/>
      <c r="H48" s="294">
        <f>H39+(H11*'Saisie des données'!G$65)+'Saisie des données'!G64</f>
        <v>1368306.6434782608</v>
      </c>
      <c r="I48" s="295"/>
      <c r="J48" s="294">
        <f>J39+(J11*'Saisie des données'!I$65)+'Saisie des données'!I64</f>
        <v>1506898.3242105264</v>
      </c>
      <c r="K48" s="295"/>
      <c r="L48" s="294">
        <f>L39+(L11*'Saisie des données'!K$65)+'Saisie des données'!K64</f>
        <v>1459539.7008695654</v>
      </c>
      <c r="M48" s="228"/>
      <c r="N48" s="228"/>
      <c r="O48" s="255"/>
      <c r="P48" s="255"/>
      <c r="Q48" s="255"/>
    </row>
    <row r="49" spans="2:14" ht="15.6" x14ac:dyDescent="0.25">
      <c r="B49" s="231"/>
      <c r="C49" s="231"/>
      <c r="D49" s="230">
        <f>'Saisie des données'!$E$8+1</f>
        <v>2027</v>
      </c>
      <c r="E49" s="229"/>
      <c r="F49" s="294">
        <f>F40+F12*'Saisie des données'!E$65</f>
        <v>1438520.789704348</v>
      </c>
      <c r="G49" s="295"/>
      <c r="H49" s="294">
        <f>H40+H12*'Saisie des données'!G$65</f>
        <v>1353023.1763478261</v>
      </c>
      <c r="I49" s="295"/>
      <c r="J49" s="294">
        <f>J40+J12*'Saisie des données'!I$65</f>
        <v>1466664.4506947368</v>
      </c>
      <c r="K49" s="295"/>
      <c r="L49" s="294">
        <f>L40+L12*'Saisie des données'!K65</f>
        <v>1429021.0548869567</v>
      </c>
      <c r="M49" s="228"/>
      <c r="N49" s="228"/>
    </row>
    <row r="50" spans="2:14" ht="15.6" x14ac:dyDescent="0.25">
      <c r="B50" s="231"/>
      <c r="C50" s="231"/>
      <c r="D50" s="230">
        <f>'Saisie des données'!$E$8+2</f>
        <v>2028</v>
      </c>
      <c r="E50" s="229"/>
      <c r="F50" s="294">
        <f>F41+F13*'Saisie des données'!E$65</f>
        <v>1467291.2054984346</v>
      </c>
      <c r="G50" s="295"/>
      <c r="H50" s="294">
        <f>H41+H13*'Saisie des données'!G$65</f>
        <v>1380083.6398747826</v>
      </c>
      <c r="I50" s="295"/>
      <c r="J50" s="294">
        <f>J41+J13*'Saisie des données'!I$65</f>
        <v>1495997.7397086315</v>
      </c>
      <c r="K50" s="295"/>
      <c r="L50" s="294">
        <f>L41+L13*'Saisie des données'!K65</f>
        <v>1457601.4759846956</v>
      </c>
      <c r="M50" s="228"/>
      <c r="N50" s="228"/>
    </row>
    <row r="51" spans="2:14" ht="15.6" x14ac:dyDescent="0.25">
      <c r="B51" s="231"/>
      <c r="C51" s="231"/>
      <c r="D51" s="230">
        <f>'Saisie des données'!$E$8+3</f>
        <v>2029</v>
      </c>
      <c r="E51" s="229"/>
      <c r="F51" s="294">
        <f>F42+F14*'Saisie des données'!E$65</f>
        <v>1496637.0296084033</v>
      </c>
      <c r="G51" s="295"/>
      <c r="H51" s="294">
        <f>H42+H14*'Saisie des données'!G$65</f>
        <v>1407685.3126722784</v>
      </c>
      <c r="I51" s="295"/>
      <c r="J51" s="294">
        <f>J42+J14*'Saisie des données'!I$65</f>
        <v>1525917.6945028042</v>
      </c>
      <c r="K51" s="295"/>
      <c r="L51" s="294">
        <f>L42+L14*'Saisie des données'!K65</f>
        <v>1486753.5055043895</v>
      </c>
      <c r="M51" s="228"/>
      <c r="N51" s="228"/>
    </row>
    <row r="52" spans="2:14" ht="15.6" x14ac:dyDescent="0.25">
      <c r="B52" s="231"/>
      <c r="C52" s="231"/>
      <c r="D52" s="230">
        <f>'Saisie des données'!$E$8+4</f>
        <v>2030</v>
      </c>
      <c r="E52" s="229"/>
      <c r="F52" s="294">
        <f>F43+F15*'Saisie des données'!E$65</f>
        <v>1526569.7702005713</v>
      </c>
      <c r="G52" s="295"/>
      <c r="H52" s="294">
        <f>H43+H15*'Saisie des données'!G$65</f>
        <v>1435839.0189257236</v>
      </c>
      <c r="I52" s="295"/>
      <c r="J52" s="294">
        <f>J43+J15*'Saisie des données'!I$65</f>
        <v>1556436.0483928602</v>
      </c>
      <c r="K52" s="295"/>
      <c r="L52" s="294">
        <f>L43+L15*'Saisie des données'!K65</f>
        <v>1516488.575614477</v>
      </c>
      <c r="M52" s="228"/>
      <c r="N52" s="228"/>
    </row>
    <row r="53" spans="2:14" ht="15" customHeight="1" x14ac:dyDescent="0.25">
      <c r="B53" s="228"/>
      <c r="C53" s="228"/>
      <c r="D53" s="228"/>
      <c r="E53" s="228"/>
      <c r="F53" s="228"/>
      <c r="G53" s="228"/>
      <c r="H53" s="228"/>
      <c r="I53" s="228"/>
      <c r="J53" s="228"/>
      <c r="K53" s="228"/>
      <c r="L53" s="228"/>
      <c r="M53" s="228"/>
      <c r="N53" s="228"/>
    </row>
    <row r="54" spans="2:14" ht="40.049999999999997" customHeight="1" x14ac:dyDescent="0.25">
      <c r="B54" s="228"/>
      <c r="C54" s="416" t="s">
        <v>98</v>
      </c>
      <c r="D54" s="416"/>
      <c r="E54" s="416"/>
      <c r="F54" s="416"/>
      <c r="G54" s="416"/>
      <c r="H54" s="416"/>
      <c r="I54" s="416"/>
      <c r="J54" s="416"/>
      <c r="K54" s="416"/>
      <c r="L54" s="416"/>
      <c r="M54" s="416"/>
      <c r="N54" s="228"/>
    </row>
    <row r="55" spans="2:14" ht="15" customHeight="1" x14ac:dyDescent="0.25">
      <c r="B55" s="228"/>
      <c r="C55" s="228"/>
      <c r="D55" s="228"/>
      <c r="E55" s="228"/>
      <c r="F55" s="228"/>
      <c r="G55" s="228"/>
      <c r="H55" s="228"/>
      <c r="I55" s="228"/>
      <c r="J55" s="228"/>
      <c r="K55" s="228"/>
      <c r="L55" s="228"/>
      <c r="M55" s="228"/>
      <c r="N55" s="228"/>
    </row>
    <row r="56" spans="2:14" ht="42" customHeight="1" x14ac:dyDescent="0.25">
      <c r="B56" s="231"/>
      <c r="C56" s="231"/>
      <c r="D56" s="409" t="s">
        <v>99</v>
      </c>
      <c r="E56" s="409"/>
      <c r="F56" s="409"/>
      <c r="G56" s="409"/>
      <c r="H56" s="409"/>
      <c r="I56" s="409"/>
      <c r="J56" s="409"/>
      <c r="K56" s="409"/>
      <c r="L56" s="409"/>
      <c r="M56" s="228"/>
      <c r="N56" s="228"/>
    </row>
    <row r="57" spans="2:14" ht="15.6" x14ac:dyDescent="0.25">
      <c r="B57" s="231"/>
      <c r="C57" s="231"/>
      <c r="D57" s="234"/>
      <c r="E57" s="234"/>
      <c r="F57" s="234"/>
      <c r="G57" s="234"/>
      <c r="H57" s="234"/>
      <c r="I57" s="234"/>
      <c r="J57" s="234"/>
      <c r="K57" s="234"/>
      <c r="L57" s="234"/>
      <c r="M57" s="228"/>
      <c r="N57" s="228"/>
    </row>
    <row r="58" spans="2:14" ht="31.2" x14ac:dyDescent="0.25">
      <c r="B58" s="231"/>
      <c r="C58" s="231"/>
      <c r="D58" s="233" t="s">
        <v>92</v>
      </c>
      <c r="E58" s="232"/>
      <c r="F58" s="290">
        <f>SUM(F59:F63)</f>
        <v>21217363.517021492</v>
      </c>
      <c r="G58" s="291"/>
      <c r="H58" s="290">
        <f>SUM(H59:H63)</f>
        <v>14717008.706216292</v>
      </c>
      <c r="I58" s="291"/>
      <c r="J58" s="290">
        <f>SUM(J59:J63)</f>
        <v>23388101.080654684</v>
      </c>
      <c r="K58" s="291"/>
      <c r="L58" s="290">
        <f>SUM(L59:L63)</f>
        <v>20495101.87137647</v>
      </c>
      <c r="M58" s="228"/>
      <c r="N58" s="228"/>
    </row>
    <row r="59" spans="2:14" ht="15.6" x14ac:dyDescent="0.25">
      <c r="B59" s="231"/>
      <c r="C59" s="231"/>
      <c r="D59" s="230">
        <f>'Saisie des données'!$E$8</f>
        <v>2026</v>
      </c>
      <c r="E59" s="229"/>
      <c r="F59" s="292">
        <f>F20*('Saisie des données'!E36+'Saisie des données'!E36*'Saisie des données'!E$55+'Saisie des données'!E36*'Saisie des données'!E$56)+(F11/'Saisie des données'!E$59*'Saisie des données'!E$58)+(F11*'Saisie des données'!$E$60)</f>
        <v>4776793.0434782598</v>
      </c>
      <c r="G59" s="293"/>
      <c r="H59" s="292">
        <f>H20*('Saisie des données'!G36+'Saisie des données'!G36*'Saisie des données'!G$55+'Saisie des données'!G36*'Saisie des données'!G$56)+(H11/'Saisie des données'!G$59*'Saisie des données'!G$58)+(H11*'Saisie des données'!$G$60)</f>
        <v>3310547.4782608696</v>
      </c>
      <c r="I59" s="293"/>
      <c r="J59" s="292">
        <f>J20*('Saisie des données'!I36+'Saisie des données'!I36*'Saisie des données'!I$55+'Saisie des données'!I36*'Saisie des données'!I$56)+(J11/'Saisie des données'!I$59*'Saisie des données'!I$58)+(J11*'Saisie des données'!$I$60)</f>
        <v>5290428.6315789474</v>
      </c>
      <c r="K59" s="293"/>
      <c r="L59" s="292">
        <f>L20*('Saisie des données'!K36+'Saisie des données'!K36*'Saisie des données'!K$55+'Saisie des données'!K36*'Saisie des données'!K$56)+(L11/'Saisie des données'!K$59*'Saisie des données'!K$58)+(L11*'Saisie des données'!$K$60)</f>
        <v>4613876.8695652178</v>
      </c>
      <c r="M59" s="228"/>
      <c r="N59" s="228"/>
    </row>
    <row r="60" spans="2:14" ht="15.6" x14ac:dyDescent="0.25">
      <c r="B60" s="231"/>
      <c r="C60" s="231"/>
      <c r="D60" s="230">
        <f>'Saisie des données'!$E$8+1</f>
        <v>2027</v>
      </c>
      <c r="E60" s="229"/>
      <c r="F60" s="292">
        <f>F21*('Saisie des données'!E37+'Saisie des données'!E37*'Saisie des données'!E$55+'Saisie des données'!E37*'Saisie des données'!E$56)+(F12/'Saisie des données'!E$59*'Saisie des données'!E$58)+(F12*'Saisie des données'!$E$60)</f>
        <v>3988872.9043478253</v>
      </c>
      <c r="G60" s="293"/>
      <c r="H60" s="292">
        <f>H21*('Saisie des données'!G37+'Saisie des données'!G37*'Saisie des données'!G$55+'Saisie des données'!G37*'Saisie des données'!G$56)+(H12/'Saisie des données'!G$59*'Saisie des données'!G$58)+(H12*'Saisie des données'!$G$60)</f>
        <v>2767478.427826087</v>
      </c>
      <c r="I60" s="293"/>
      <c r="J60" s="292">
        <f>J21*('Saisie des données'!I37+'Saisie des données'!I37*'Saisie des données'!I$55+'Saisie des données'!I37*'Saisie des données'!I$56)+(J12/'Saisie des données'!I$59*'Saisie des données'!I$58)+(J12*'Saisie des données'!$I$60)</f>
        <v>4390925.2042105263</v>
      </c>
      <c r="K60" s="293"/>
      <c r="L60" s="292">
        <f>L21*('Saisie des données'!K37+'Saisie des données'!K37*'Saisie des données'!K$55+'Saisie des données'!K37*'Saisie des données'!K$56)+(L12/'Saisie des données'!K$59*'Saisie des données'!K$58)+(L12*'Saisie des données'!$K$60)</f>
        <v>3853162.4069565213</v>
      </c>
      <c r="M60" s="228"/>
      <c r="N60" s="228"/>
    </row>
    <row r="61" spans="2:14" ht="15.6" x14ac:dyDescent="0.25">
      <c r="B61" s="231"/>
      <c r="C61" s="231"/>
      <c r="D61" s="230">
        <f>'Saisie des données'!$E$8+2</f>
        <v>2028</v>
      </c>
      <c r="E61" s="229"/>
      <c r="F61" s="292">
        <f>F22*('Saisie des données'!E38+'Saisie des données'!E38*'Saisie des données'!E$55+'Saisie des données'!E38*'Saisie des données'!E$56)+(F13/'Saisie des données'!E$59*'Saisie des données'!E$58)+(F13*'Saisie des données'!$E$60)</f>
        <v>4068650.3624347826</v>
      </c>
      <c r="G61" s="293"/>
      <c r="H61" s="292">
        <f>H22*('Saisie des données'!G38+'Saisie des données'!G38*'Saisie des données'!G$55+'Saisie des données'!G38*'Saisie des données'!G$56)+(H13/'Saisie des données'!G$59*'Saisie des données'!G$58)+(H13*'Saisie des données'!$G$60)</f>
        <v>2822827.9963826095</v>
      </c>
      <c r="I61" s="293"/>
      <c r="J61" s="292">
        <f>J22*('Saisie des données'!I38+'Saisie des données'!I38*'Saisie des données'!I$55+'Saisie des données'!I38*'Saisie des données'!I$56)+(J13/'Saisie des données'!I$59*'Saisie des données'!I$58)+(J13*'Saisie des données'!$I$60)</f>
        <v>4478743.7082947353</v>
      </c>
      <c r="K61" s="293"/>
      <c r="L61" s="292">
        <f>L22*('Saisie des données'!K38+'Saisie des données'!K38*'Saisie des données'!K$55+'Saisie des données'!K38*'Saisie des données'!K$56)+(L13/'Saisie des données'!K$59*'Saisie des données'!K$58)+(L13*'Saisie des données'!$K$60)</f>
        <v>3930225.6550956527</v>
      </c>
      <c r="M61" s="228"/>
      <c r="N61" s="228"/>
    </row>
    <row r="62" spans="2:14" ht="15.6" x14ac:dyDescent="0.25">
      <c r="B62" s="231"/>
      <c r="C62" s="231"/>
      <c r="D62" s="230">
        <f>'Saisie des données'!$E$8+3</f>
        <v>2029</v>
      </c>
      <c r="E62" s="229"/>
      <c r="F62" s="292">
        <f>F23*('Saisie des données'!E39+'Saisie des données'!E39*'Saisie des données'!E$55+'Saisie des données'!E39*'Saisie des données'!E$56)+(F14/'Saisie des données'!E$59*'Saisie des données'!E$58)+(F14*'Saisie des données'!$E$60)</f>
        <v>4150023.369683478</v>
      </c>
      <c r="G62" s="293"/>
      <c r="H62" s="292">
        <f>H23*('Saisie des données'!G39+'Saisie des données'!G39*'Saisie des données'!G$55+'Saisie des données'!G39*'Saisie des données'!G$56)+(H14/'Saisie des données'!G$59*'Saisie des données'!G$58)+(H14*'Saisie des données'!$G$60)</f>
        <v>2879284.5563102616</v>
      </c>
      <c r="I62" s="293"/>
      <c r="J62" s="292">
        <f>J23*('Saisie des données'!I39+'Saisie des données'!I39*'Saisie des données'!I$55+'Saisie des données'!I39*'Saisie des données'!I$56)+(J14/'Saisie des données'!I$59*'Saisie des données'!I$58)+(J14*'Saisie des données'!$I$60)</f>
        <v>4568318.5824606316</v>
      </c>
      <c r="K62" s="293"/>
      <c r="L62" s="292">
        <f>L23*('Saisie des données'!K39+'Saisie des données'!K39*'Saisie des données'!K$55+'Saisie des données'!K39*'Saisie des données'!K$56)+(L14/'Saisie des données'!K$59*'Saisie des données'!K$58)+(L14*'Saisie des données'!$K$60)</f>
        <v>4008830.1681975657</v>
      </c>
      <c r="M62" s="228"/>
      <c r="N62" s="228"/>
    </row>
    <row r="63" spans="2:14" ht="15.6" x14ac:dyDescent="0.25">
      <c r="B63" s="231"/>
      <c r="C63" s="231"/>
      <c r="D63" s="230">
        <f>'Saisie des données'!$E$8+4</f>
        <v>2030</v>
      </c>
      <c r="E63" s="229"/>
      <c r="F63" s="292">
        <f>F24*('Saisie des données'!E40+'Saisie des données'!E40*'Saisie des données'!E$55+'Saisie des données'!E40*'Saisie des données'!E$56)+(F15/'Saisie des données'!E$59*'Saisie des données'!E$58)+(F15*'Saisie des données'!$E$60)</f>
        <v>4233023.8370771464</v>
      </c>
      <c r="G63" s="293"/>
      <c r="H63" s="292">
        <f>H24*('Saisie des données'!G40+'Saisie des données'!G40*'Saisie des données'!G$55+'Saisie des données'!G40*'Saisie des données'!G$56)+(H15/'Saisie des données'!G$59*'Saisie des données'!G$58)+(H15*'Saisie des données'!$G$60)</f>
        <v>2936870.2474364662</v>
      </c>
      <c r="I63" s="293"/>
      <c r="J63" s="292">
        <f>J24*('Saisie des données'!I40+'Saisie des données'!I40*'Saisie des données'!I$55+'Saisie des données'!I40*'Saisie des données'!I$56)+(J15/'Saisie des données'!I$59*'Saisie des données'!I$58)+(J15*'Saisie des données'!$I$60)</f>
        <v>4659684.9541098429</v>
      </c>
      <c r="K63" s="293"/>
      <c r="L63" s="292">
        <f>L24*('Saisie des données'!K40+'Saisie des données'!K40*'Saisie des données'!K$55+'Saisie des données'!K40*'Saisie des données'!K$56)+(L15/'Saisie des données'!K$59*'Saisie des données'!K$58)+(L15*'Saisie des données'!$K$60)</f>
        <v>4089006.771561516</v>
      </c>
      <c r="M63" s="228"/>
      <c r="N63" s="228"/>
    </row>
    <row r="64" spans="2:14" ht="15.6" x14ac:dyDescent="0.25">
      <c r="B64" s="231"/>
      <c r="C64" s="231"/>
      <c r="D64" s="237"/>
      <c r="E64" s="229"/>
      <c r="F64" s="235"/>
      <c r="G64" s="236"/>
      <c r="H64" s="235"/>
      <c r="I64" s="236"/>
      <c r="J64" s="235"/>
      <c r="K64" s="236"/>
      <c r="L64" s="235"/>
      <c r="M64" s="228"/>
      <c r="N64" s="228"/>
    </row>
    <row r="65" spans="2:14" ht="42" customHeight="1" x14ac:dyDescent="0.25">
      <c r="B65" s="231"/>
      <c r="C65" s="231"/>
      <c r="D65" s="409" t="s">
        <v>100</v>
      </c>
      <c r="E65" s="409"/>
      <c r="F65" s="409"/>
      <c r="G65" s="409"/>
      <c r="H65" s="409"/>
      <c r="I65" s="409"/>
      <c r="J65" s="409"/>
      <c r="K65" s="409"/>
      <c r="L65" s="409"/>
      <c r="M65" s="228"/>
      <c r="N65" s="228"/>
    </row>
    <row r="66" spans="2:14" ht="15.6" x14ac:dyDescent="0.25">
      <c r="B66" s="231"/>
      <c r="C66" s="231"/>
      <c r="D66" s="234"/>
      <c r="E66" s="234"/>
      <c r="F66" s="234"/>
      <c r="G66" s="234"/>
      <c r="H66" s="234"/>
      <c r="I66" s="234"/>
      <c r="J66" s="234"/>
      <c r="K66" s="234"/>
      <c r="L66" s="234"/>
      <c r="M66" s="228"/>
      <c r="N66" s="228"/>
    </row>
    <row r="67" spans="2:14" ht="31.2" x14ac:dyDescent="0.25">
      <c r="B67" s="231"/>
      <c r="C67" s="231"/>
      <c r="D67" s="233" t="s">
        <v>92</v>
      </c>
      <c r="E67" s="232"/>
      <c r="F67" s="290">
        <f>SUM(F68:F72)</f>
        <v>36694398.780843407</v>
      </c>
      <c r="G67" s="291"/>
      <c r="H67" s="290">
        <f>SUM(H68:H72)</f>
        <v>38238237.61171779</v>
      </c>
      <c r="I67" s="291"/>
      <c r="J67" s="290">
        <f>SUM(J68:J72)</f>
        <v>98441105.260326251</v>
      </c>
      <c r="K67" s="291"/>
      <c r="L67" s="290">
        <f>SUM(L68:L72)</f>
        <v>39196519.481827945</v>
      </c>
      <c r="M67" s="228"/>
      <c r="N67" s="228"/>
    </row>
    <row r="68" spans="2:14" ht="15.6" x14ac:dyDescent="0.25">
      <c r="B68" s="231"/>
      <c r="C68" s="231"/>
      <c r="D68" s="230">
        <f>'Saisie des données'!$E$8</f>
        <v>2026</v>
      </c>
      <c r="E68" s="229"/>
      <c r="F68" s="294">
        <f>F59+(F28*'Saisie des données'!E$65)+'Saisie des données'!E64</f>
        <v>8267853.9130434766</v>
      </c>
      <c r="G68" s="295"/>
      <c r="H68" s="294">
        <f>H59+(H28*'Saisie des données'!G$65)+'Saisie des données'!G64</f>
        <v>8423497.0434782617</v>
      </c>
      <c r="I68" s="295"/>
      <c r="J68" s="294">
        <f>J59+(J28*'Saisie des données'!I$65)+'Saisie des données'!I64</f>
        <v>22297586.52631579</v>
      </c>
      <c r="K68" s="295"/>
      <c r="L68" s="294">
        <f>L59+(L28*'Saisie des données'!K$65)+'Saisie des données'!K64</f>
        <v>8832242.0869565215</v>
      </c>
      <c r="M68" s="228"/>
      <c r="N68" s="228"/>
    </row>
    <row r="69" spans="2:14" ht="15.6" x14ac:dyDescent="0.25">
      <c r="B69" s="231"/>
      <c r="C69" s="231"/>
      <c r="D69" s="230">
        <f>'Saisie des données'!$E$8+1</f>
        <v>2027</v>
      </c>
      <c r="E69" s="229"/>
      <c r="F69" s="294">
        <f>F60+F29*'Saisie des données'!E$65</f>
        <v>6896954.9913043473</v>
      </c>
      <c r="G69" s="295"/>
      <c r="H69" s="294">
        <f>H60+H28*'Saisie des données'!G$65</f>
        <v>7880427.9930434786</v>
      </c>
      <c r="I69" s="295"/>
      <c r="J69" s="294">
        <f>J60+J29*'Saisie des données'!I$65</f>
        <v>18474226.256842103</v>
      </c>
      <c r="K69" s="295"/>
      <c r="L69" s="294">
        <f>L60+L29*'Saisie des données'!K$65</f>
        <v>7367094.9286956508</v>
      </c>
      <c r="M69" s="228"/>
      <c r="N69" s="228"/>
    </row>
    <row r="70" spans="2:14" ht="15.6" x14ac:dyDescent="0.25">
      <c r="B70" s="231"/>
      <c r="C70" s="231"/>
      <c r="D70" s="230">
        <f>'Saisie des données'!$E$8+2</f>
        <v>2028</v>
      </c>
      <c r="E70" s="229"/>
      <c r="F70" s="294">
        <f>F61+F30*'Saisie des données'!E$65</f>
        <v>7034894.0911304345</v>
      </c>
      <c r="G70" s="295"/>
      <c r="H70" s="294">
        <f>H61+H30*'Saisie des données'!G$65</f>
        <v>7167139.1240347829</v>
      </c>
      <c r="I70" s="295"/>
      <c r="J70" s="294">
        <f>J61+J30*'Saisie des données'!I$65</f>
        <v>18843710.781978942</v>
      </c>
      <c r="K70" s="295"/>
      <c r="L70" s="294">
        <f>L61+L30*'Saisie des données'!K$65</f>
        <v>7514436.8272695653</v>
      </c>
      <c r="M70" s="228"/>
      <c r="N70" s="228"/>
    </row>
    <row r="71" spans="2:14" ht="15.6" x14ac:dyDescent="0.25">
      <c r="B71" s="231"/>
      <c r="C71" s="231"/>
      <c r="D71" s="230">
        <f>'Saisie des données'!$E$8+3</f>
        <v>2029</v>
      </c>
      <c r="E71" s="229"/>
      <c r="F71" s="294">
        <f>F62+F31*'Saisie des données'!E$65</f>
        <v>7175591.9729530429</v>
      </c>
      <c r="G71" s="295"/>
      <c r="H71" s="294">
        <f>H62+H31*'Saisie des données'!G$65</f>
        <v>7310481.9065154791</v>
      </c>
      <c r="I71" s="295"/>
      <c r="J71" s="294">
        <f>J62+J31*'Saisie des données'!I$65</f>
        <v>19220584.997618526</v>
      </c>
      <c r="K71" s="295"/>
      <c r="L71" s="294">
        <f>L62+L31*'Saisie des données'!K$65</f>
        <v>7664725.5638149567</v>
      </c>
      <c r="M71" s="228"/>
      <c r="N71" s="228"/>
    </row>
    <row r="72" spans="2:14" ht="15.6" x14ac:dyDescent="0.25">
      <c r="B72" s="231"/>
      <c r="C72" s="231"/>
      <c r="D72" s="230">
        <f>'Saisie des données'!$E$8+4</f>
        <v>2030</v>
      </c>
      <c r="E72" s="229"/>
      <c r="F72" s="294">
        <f>F63+F32*'Saisie des données'!E$65</f>
        <v>7319103.8124121018</v>
      </c>
      <c r="G72" s="295"/>
      <c r="H72" s="294">
        <f>H63+H32*'Saisie des données'!G$65</f>
        <v>7456691.5446457863</v>
      </c>
      <c r="I72" s="295"/>
      <c r="J72" s="294">
        <f>J63+J32*'Saisie des données'!I$65</f>
        <v>19604996.697570894</v>
      </c>
      <c r="K72" s="295"/>
      <c r="L72" s="294">
        <f>L63+L32*'Saisie des données'!K$65</f>
        <v>7818020.075091254</v>
      </c>
      <c r="M72" s="228"/>
      <c r="N72" s="228"/>
    </row>
    <row r="73" spans="2:14" x14ac:dyDescent="0.25">
      <c r="B73" s="228"/>
      <c r="C73" s="228"/>
      <c r="D73" s="228"/>
      <c r="E73" s="228"/>
      <c r="F73" s="228"/>
      <c r="G73" s="228"/>
      <c r="H73" s="228"/>
      <c r="I73" s="228"/>
      <c r="J73" s="228"/>
      <c r="K73" s="228"/>
      <c r="L73" s="228"/>
      <c r="M73" s="228"/>
      <c r="N73" s="228"/>
    </row>
  </sheetData>
  <sheetProtection algorithmName="SHA-512" hashValue="yG4iOoUlw7z37IiF0bQYUfTq7rb8UPQqAqzFpBlDuphTdQMn7GygOap6TCevk9D0TLTwemiiJNQrISxz4xPQeA==" saltValue="Wlx3he4Zu9Z6LALSx5r/Bg==" spinCount="100000" sheet="1" formatCells="0" formatColumns="0" formatRows="0" insertColumns="0" insertRows="0" insertHyperlinks="0" deleteColumns="0" deleteRows="0" sort="0" autoFilter="0" pivotTables="0"/>
  <mergeCells count="14">
    <mergeCell ref="D56:L56"/>
    <mergeCell ref="D65:L65"/>
    <mergeCell ref="B1:M1"/>
    <mergeCell ref="D33:L33"/>
    <mergeCell ref="D36:L36"/>
    <mergeCell ref="D45:L45"/>
    <mergeCell ref="D3:L3"/>
    <mergeCell ref="D8:L8"/>
    <mergeCell ref="D17:L17"/>
    <mergeCell ref="D26:L26"/>
    <mergeCell ref="D4:L4"/>
    <mergeCell ref="C54:M54"/>
    <mergeCell ref="C34:M34"/>
    <mergeCell ref="A2:N2"/>
  </mergeCells>
  <conditionalFormatting sqref="F38 H38 J38">
    <cfRule type="colorScale" priority="14">
      <colorScale>
        <cfvo type="min"/>
        <cfvo type="percentile" val="50"/>
        <cfvo type="max"/>
        <color theme="6"/>
        <color rgb="FFDFE382"/>
        <color theme="3"/>
      </colorScale>
    </cfRule>
  </conditionalFormatting>
  <conditionalFormatting sqref="F47 H47 J47 L47">
    <cfRule type="colorScale" priority="12">
      <colorScale>
        <cfvo type="min"/>
        <cfvo type="percentile" val="50"/>
        <cfvo type="max"/>
        <color theme="6"/>
        <color rgb="FFDFE382"/>
        <color theme="3"/>
      </colorScale>
    </cfRule>
  </conditionalFormatting>
  <conditionalFormatting sqref="F58 H58 J58 L58">
    <cfRule type="colorScale" priority="2">
      <colorScale>
        <cfvo type="min"/>
        <cfvo type="percentile" val="50"/>
        <cfvo type="max"/>
        <color theme="6"/>
        <color rgb="FFDFE382"/>
        <color theme="3"/>
      </colorScale>
    </cfRule>
  </conditionalFormatting>
  <conditionalFormatting sqref="F58 H58 J58">
    <cfRule type="colorScale" priority="3">
      <colorScale>
        <cfvo type="min"/>
        <cfvo type="percentile" val="50"/>
        <cfvo type="max"/>
        <color theme="6"/>
        <color rgb="FFDFE382"/>
        <color theme="3"/>
      </colorScale>
    </cfRule>
  </conditionalFormatting>
  <conditionalFormatting sqref="F67 H67 J67 L67">
    <cfRule type="colorScale" priority="1">
      <colorScale>
        <cfvo type="min"/>
        <cfvo type="percentile" val="50"/>
        <cfvo type="max"/>
        <color theme="6"/>
        <color rgb="FFDFE382"/>
        <color theme="3"/>
      </colorScale>
    </cfRule>
  </conditionalFormatting>
  <conditionalFormatting sqref="F47:K47">
    <cfRule type="colorScale" priority="16">
      <colorScale>
        <cfvo type="min"/>
        <cfvo type="max"/>
        <color theme="6"/>
        <color rgb="FFDFE382"/>
      </colorScale>
    </cfRule>
    <cfRule type="colorScale" priority="17">
      <colorScale>
        <cfvo type="min"/>
        <cfvo type="max"/>
        <color rgb="FFDFE382"/>
        <color rgb="FFFFC000"/>
      </colorScale>
    </cfRule>
    <cfRule type="colorScale" priority="18">
      <colorScale>
        <cfvo type="min"/>
        <cfvo type="percentile" val="50"/>
        <cfvo type="max"/>
        <color theme="6"/>
        <color theme="3"/>
        <color theme="3"/>
      </colorScale>
    </cfRule>
  </conditionalFormatting>
  <conditionalFormatting sqref="F67:K67">
    <cfRule type="colorScale" priority="5">
      <colorScale>
        <cfvo type="min"/>
        <cfvo type="max"/>
        <color theme="6"/>
        <color rgb="FFDFE382"/>
      </colorScale>
    </cfRule>
    <cfRule type="colorScale" priority="6">
      <colorScale>
        <cfvo type="min"/>
        <cfvo type="max"/>
        <color rgb="FFDFE382"/>
        <color rgb="FFFFC000"/>
      </colorScale>
    </cfRule>
    <cfRule type="colorScale" priority="7">
      <colorScale>
        <cfvo type="min"/>
        <cfvo type="percentile" val="50"/>
        <cfvo type="max"/>
        <color theme="6"/>
        <color theme="3"/>
        <color theme="3"/>
      </colorScale>
    </cfRule>
  </conditionalFormatting>
  <conditionalFormatting sqref="F47:L47">
    <cfRule type="colorScale" priority="19">
      <colorScale>
        <cfvo type="min"/>
        <cfvo type="max"/>
        <color theme="6"/>
        <color rgb="FFDFE382"/>
      </colorScale>
    </cfRule>
  </conditionalFormatting>
  <conditionalFormatting sqref="F67:L67">
    <cfRule type="colorScale" priority="8">
      <colorScale>
        <cfvo type="min"/>
        <cfvo type="max"/>
        <color theme="6"/>
        <color rgb="FFDFE382"/>
      </colorScale>
    </cfRule>
  </conditionalFormatting>
  <conditionalFormatting sqref="H38 F38 J38 L38">
    <cfRule type="colorScale" priority="13">
      <colorScale>
        <cfvo type="min"/>
        <cfvo type="percentile" val="50"/>
        <cfvo type="max"/>
        <color theme="6"/>
        <color rgb="FFDFE382"/>
        <color theme="3"/>
      </colorScale>
    </cfRule>
  </conditionalFormatting>
  <conditionalFormatting sqref="J38 L38 H38 F38">
    <cfRule type="colorScale" priority="15">
      <colorScale>
        <cfvo type="min"/>
        <cfvo type="max"/>
        <color theme="6"/>
        <color rgb="FFDFE382"/>
      </colorScale>
    </cfRule>
  </conditionalFormatting>
  <conditionalFormatting sqref="L47">
    <cfRule type="colorScale" priority="20">
      <colorScale>
        <cfvo type="min"/>
        <cfvo type="max"/>
        <color theme="6"/>
        <color rgb="FFDFE382"/>
      </colorScale>
    </cfRule>
    <cfRule type="colorScale" priority="21">
      <colorScale>
        <cfvo type="min"/>
        <cfvo type="max"/>
        <color rgb="FFDFE382"/>
        <color rgb="FFFFC000"/>
      </colorScale>
    </cfRule>
    <cfRule type="colorScale" priority="22">
      <colorScale>
        <cfvo type="min"/>
        <cfvo type="percentile" val="50"/>
        <cfvo type="max"/>
        <color theme="6"/>
        <color theme="3"/>
        <color theme="3"/>
      </colorScale>
    </cfRule>
  </conditionalFormatting>
  <conditionalFormatting sqref="L58 J58 H58 F58">
    <cfRule type="colorScale" priority="4">
      <colorScale>
        <cfvo type="min"/>
        <cfvo type="max"/>
        <color theme="6"/>
        <color rgb="FFDFE382"/>
      </colorScale>
    </cfRule>
  </conditionalFormatting>
  <conditionalFormatting sqref="L67">
    <cfRule type="colorScale" priority="9">
      <colorScale>
        <cfvo type="min"/>
        <cfvo type="max"/>
        <color theme="6"/>
        <color rgb="FFDFE382"/>
      </colorScale>
    </cfRule>
    <cfRule type="colorScale" priority="10">
      <colorScale>
        <cfvo type="min"/>
        <cfvo type="max"/>
        <color rgb="FFDFE382"/>
        <color rgb="FFFFC000"/>
      </colorScale>
    </cfRule>
    <cfRule type="colorScale" priority="11">
      <colorScale>
        <cfvo type="min"/>
        <cfvo type="percentile" val="50"/>
        <cfvo type="max"/>
        <color theme="6"/>
        <color theme="3"/>
        <color theme="3"/>
      </colorScale>
    </cfRule>
  </conditionalFormatting>
  <printOptions horizontalCentered="1" verticalCentered="1"/>
  <pageMargins left="0.25" right="0.25" top="0.75" bottom="0.75" header="0.3" footer="0.3"/>
  <pageSetup paperSize="9" scale="66" orientation="portrait" r:id="rId1"/>
  <rowBreaks count="1" manualBreakCount="1">
    <brk id="53" min="1" max="1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G36"/>
  <sheetViews>
    <sheetView topLeftCell="A7" workbookViewId="0">
      <selection activeCell="F21" sqref="F21"/>
    </sheetView>
  </sheetViews>
  <sheetFormatPr defaultColWidth="8.77734375" defaultRowHeight="14.4" x14ac:dyDescent="0.3"/>
  <cols>
    <col min="1" max="1" width="52" customWidth="1"/>
    <col min="2" max="3" width="20.5546875" customWidth="1"/>
    <col min="4" max="4" width="40.21875" bestFit="1" customWidth="1"/>
    <col min="5" max="27" width="20.5546875" customWidth="1"/>
  </cols>
  <sheetData>
    <row r="1" spans="1:6" ht="16.2" x14ac:dyDescent="0.3">
      <c r="A1" s="3" t="s">
        <v>101</v>
      </c>
      <c r="B1" s="3" t="s">
        <v>102</v>
      </c>
      <c r="C1" s="3" t="s">
        <v>103</v>
      </c>
      <c r="D1" s="3" t="s">
        <v>104</v>
      </c>
      <c r="E1" s="3" t="s">
        <v>105</v>
      </c>
    </row>
    <row r="2" spans="1:6" x14ac:dyDescent="0.3">
      <c r="A2" s="3"/>
      <c r="B2" s="3"/>
      <c r="C2" s="3"/>
      <c r="D2" s="3"/>
      <c r="E2" s="3"/>
    </row>
    <row r="3" spans="1:6" ht="28.8" x14ac:dyDescent="0.3">
      <c r="A3" s="7" t="s">
        <v>51</v>
      </c>
      <c r="B3" s="4">
        <v>3</v>
      </c>
      <c r="C3" s="2">
        <v>0.08</v>
      </c>
      <c r="D3" s="1">
        <v>2.4</v>
      </c>
      <c r="E3" s="8" t="s">
        <v>106</v>
      </c>
    </row>
    <row r="4" spans="1:6" ht="28.8" x14ac:dyDescent="0.3">
      <c r="A4" s="7" t="s">
        <v>107</v>
      </c>
      <c r="B4" s="4">
        <v>3</v>
      </c>
      <c r="C4" s="2">
        <v>0.05</v>
      </c>
      <c r="D4" s="1">
        <v>14.06</v>
      </c>
      <c r="E4" s="8" t="s">
        <v>106</v>
      </c>
    </row>
    <row r="5" spans="1:6" ht="28.8" x14ac:dyDescent="0.3">
      <c r="A5" s="7" t="s">
        <v>52</v>
      </c>
      <c r="B5" s="4">
        <v>3</v>
      </c>
      <c r="C5" s="2">
        <v>0.08</v>
      </c>
      <c r="D5" s="1">
        <v>3.5150000000000001</v>
      </c>
      <c r="E5" s="8" t="s">
        <v>106</v>
      </c>
    </row>
    <row r="6" spans="1:6" ht="28.8" x14ac:dyDescent="0.3">
      <c r="A6" s="7" t="s">
        <v>53</v>
      </c>
      <c r="B6" s="4">
        <v>3</v>
      </c>
      <c r="C6" s="2">
        <v>0.05</v>
      </c>
      <c r="D6" s="1">
        <v>12</v>
      </c>
      <c r="E6" s="8" t="s">
        <v>106</v>
      </c>
    </row>
    <row r="7" spans="1:6" ht="28.8" x14ac:dyDescent="0.3">
      <c r="A7" s="7" t="s">
        <v>54</v>
      </c>
      <c r="B7" s="4">
        <v>3</v>
      </c>
      <c r="C7" s="2">
        <v>0.08</v>
      </c>
      <c r="D7" s="1">
        <v>3.5</v>
      </c>
      <c r="E7" s="8" t="s">
        <v>106</v>
      </c>
    </row>
    <row r="8" spans="1:6" ht="28.8" x14ac:dyDescent="0.3">
      <c r="A8" s="7" t="s">
        <v>108</v>
      </c>
      <c r="B8" s="4">
        <v>3</v>
      </c>
      <c r="C8" s="2">
        <v>0.08</v>
      </c>
      <c r="D8" s="1">
        <v>2.9</v>
      </c>
      <c r="E8" s="8" t="s">
        <v>109</v>
      </c>
    </row>
    <row r="9" spans="1:6" x14ac:dyDescent="0.3">
      <c r="A9" s="3" t="s">
        <v>110</v>
      </c>
      <c r="B9" t="s">
        <v>129</v>
      </c>
    </row>
    <row r="10" spans="1:6" x14ac:dyDescent="0.3">
      <c r="A10" t="s">
        <v>131</v>
      </c>
      <c r="B10" t="s">
        <v>130</v>
      </c>
    </row>
    <row r="11" spans="1:6" x14ac:dyDescent="0.3">
      <c r="A11" t="s">
        <v>132</v>
      </c>
    </row>
    <row r="12" spans="1:6" x14ac:dyDescent="0.3">
      <c r="A12" t="s">
        <v>133</v>
      </c>
      <c r="D12" s="7" t="s">
        <v>111</v>
      </c>
      <c r="F12" t="s">
        <v>112</v>
      </c>
    </row>
    <row r="13" spans="1:6" x14ac:dyDescent="0.3">
      <c r="A13" s="6"/>
      <c r="B13" s="260">
        <v>0</v>
      </c>
      <c r="D13" s="318">
        <v>7.0000000000000007E-2</v>
      </c>
      <c r="E13" s="319">
        <v>1</v>
      </c>
      <c r="F13" s="318">
        <f>'Saisie des données'!E22</f>
        <v>0.2</v>
      </c>
    </row>
    <row r="14" spans="1:6" x14ac:dyDescent="0.3">
      <c r="B14" s="260">
        <v>0.05</v>
      </c>
      <c r="D14" s="318">
        <f>D13*1.15</f>
        <v>8.0500000000000002E-2</v>
      </c>
      <c r="E14" s="319">
        <v>2</v>
      </c>
      <c r="F14" s="318">
        <v>0.4</v>
      </c>
    </row>
    <row r="15" spans="1:6" x14ac:dyDescent="0.3">
      <c r="B15" s="260">
        <v>0.1</v>
      </c>
      <c r="D15" s="318">
        <f t="shared" ref="D15:D36" si="0">D14*1.15</f>
        <v>9.2574999999999991E-2</v>
      </c>
      <c r="E15" s="319">
        <v>3</v>
      </c>
      <c r="F15" s="318">
        <v>0.5</v>
      </c>
    </row>
    <row r="16" spans="1:6" x14ac:dyDescent="0.3">
      <c r="B16" s="260">
        <v>0.15</v>
      </c>
      <c r="D16" s="318">
        <f t="shared" si="0"/>
        <v>0.10646124999999998</v>
      </c>
      <c r="E16" s="319">
        <v>4</v>
      </c>
      <c r="F16" s="318">
        <v>0.6</v>
      </c>
    </row>
    <row r="17" spans="2:7" x14ac:dyDescent="0.3">
      <c r="B17" s="260">
        <v>0.2</v>
      </c>
      <c r="D17" s="318">
        <f t="shared" si="0"/>
        <v>0.12243043749999996</v>
      </c>
      <c r="E17" s="319">
        <v>5</v>
      </c>
      <c r="F17" s="318">
        <v>0.7</v>
      </c>
    </row>
    <row r="18" spans="2:7" x14ac:dyDescent="0.3">
      <c r="B18" s="260">
        <v>0.25</v>
      </c>
      <c r="D18" s="318">
        <f t="shared" si="0"/>
        <v>0.14079500312499996</v>
      </c>
      <c r="E18" s="319">
        <v>6</v>
      </c>
      <c r="F18" s="318">
        <v>0.8</v>
      </c>
    </row>
    <row r="19" spans="2:7" x14ac:dyDescent="0.3">
      <c r="B19" s="260">
        <v>0.3</v>
      </c>
      <c r="D19" s="318">
        <f t="shared" si="0"/>
        <v>0.16191425359374995</v>
      </c>
      <c r="E19" s="319">
        <v>7</v>
      </c>
      <c r="F19" s="318">
        <v>0.9</v>
      </c>
    </row>
    <row r="20" spans="2:7" x14ac:dyDescent="0.3">
      <c r="B20" s="260">
        <v>0.35</v>
      </c>
      <c r="D20" s="318">
        <f t="shared" si="0"/>
        <v>0.18620139163281244</v>
      </c>
      <c r="E20" s="319">
        <v>8</v>
      </c>
      <c r="F20" s="318">
        <v>0.9</v>
      </c>
    </row>
    <row r="21" spans="2:7" x14ac:dyDescent="0.3">
      <c r="B21" s="260">
        <v>0.4</v>
      </c>
      <c r="D21" s="318">
        <f t="shared" si="0"/>
        <v>0.21413160037773429</v>
      </c>
      <c r="E21" s="319">
        <f>'Saisie des données'!D23</f>
        <v>2026</v>
      </c>
      <c r="F21" s="318" cm="1">
        <f t="array" ref="F21">IF('Saisie des données'!E18=B9,INDEX('Vaccine options'!$F$13:$F$20,MATCH('Saisie des données'!E19,'Vaccine options'!$E$13:$E$20),0),'Saisie des données'!E22)</f>
        <v>0.5</v>
      </c>
      <c r="G21" t="s">
        <v>113</v>
      </c>
    </row>
    <row r="22" spans="2:7" x14ac:dyDescent="0.3">
      <c r="B22" s="260">
        <v>0.45</v>
      </c>
      <c r="D22" s="318">
        <f t="shared" si="0"/>
        <v>0.24625134043439442</v>
      </c>
      <c r="E22" s="319">
        <f>'Saisie des données'!D24</f>
        <v>2027</v>
      </c>
      <c r="F22" s="318">
        <f>MIN(1,F21+(1-$F$21)/(9-'Saisie des données'!$E$19))</f>
        <v>0.58333333333333337</v>
      </c>
      <c r="G22" s="320" t="s">
        <v>114</v>
      </c>
    </row>
    <row r="23" spans="2:7" x14ac:dyDescent="0.3">
      <c r="B23" s="260">
        <v>0.5</v>
      </c>
      <c r="D23" s="318">
        <f t="shared" si="0"/>
        <v>0.28318904149955354</v>
      </c>
      <c r="E23" s="319">
        <f>'Saisie des données'!D25</f>
        <v>2028</v>
      </c>
      <c r="F23" s="318">
        <f>MIN(1,F22+(1-$F$21)/(9-'Saisie des données'!$E$19))</f>
        <v>0.66666666666666674</v>
      </c>
      <c r="G23" t="s">
        <v>115</v>
      </c>
    </row>
    <row r="24" spans="2:7" x14ac:dyDescent="0.3">
      <c r="B24" s="260">
        <v>0.55000000000000004</v>
      </c>
      <c r="D24" s="318">
        <f t="shared" si="0"/>
        <v>0.32566739772448655</v>
      </c>
      <c r="E24" s="319">
        <f>'Saisie des données'!D26</f>
        <v>2029</v>
      </c>
      <c r="F24" s="318">
        <f>MIN(1,F23+(1-$F$21)/(9-'Saisie des données'!$E$19))</f>
        <v>0.75000000000000011</v>
      </c>
      <c r="G24" s="320" t="s">
        <v>116</v>
      </c>
    </row>
    <row r="25" spans="2:7" x14ac:dyDescent="0.3">
      <c r="B25" s="260">
        <v>0.6</v>
      </c>
      <c r="D25" s="318">
        <f t="shared" si="0"/>
        <v>0.37451750738315953</v>
      </c>
      <c r="E25" s="319">
        <f>'Saisie des données'!D27</f>
        <v>2030</v>
      </c>
      <c r="F25" s="318">
        <f>MIN(1,F24+(1-$F$21)/(9-'Saisie des données'!$E$19))</f>
        <v>0.83333333333333348</v>
      </c>
      <c r="G25" t="s">
        <v>117</v>
      </c>
    </row>
    <row r="26" spans="2:7" x14ac:dyDescent="0.3">
      <c r="B26" s="260">
        <v>0.65</v>
      </c>
      <c r="D26" s="318">
        <f t="shared" si="0"/>
        <v>0.43069513349063343</v>
      </c>
      <c r="E26" s="319"/>
      <c r="F26" s="318">
        <f>MIN(1,F25+(1-$F$21)/(9-'Saisie des données'!$E$19))</f>
        <v>0.91666666666666685</v>
      </c>
      <c r="G26" s="320" t="s">
        <v>118</v>
      </c>
    </row>
    <row r="27" spans="2:7" x14ac:dyDescent="0.3">
      <c r="B27" s="260">
        <v>0.7</v>
      </c>
      <c r="D27" s="318">
        <f t="shared" si="0"/>
        <v>0.49529940351422841</v>
      </c>
      <c r="E27" s="319"/>
      <c r="F27" s="318">
        <f>MIN(1,F26+(1-$F$21)/(9-'Saisie des données'!$E$19))</f>
        <v>1</v>
      </c>
      <c r="G27" t="s">
        <v>119</v>
      </c>
    </row>
    <row r="28" spans="2:7" x14ac:dyDescent="0.3">
      <c r="B28" s="260">
        <v>0.75</v>
      </c>
      <c r="D28" s="318">
        <f t="shared" si="0"/>
        <v>0.56959431404136263</v>
      </c>
      <c r="E28" s="319"/>
      <c r="F28" s="318">
        <f>MIN(1,F27+(1-$F$21)/(9-'Saisie des données'!$E$19))</f>
        <v>1</v>
      </c>
      <c r="G28" s="320" t="s">
        <v>120</v>
      </c>
    </row>
    <row r="29" spans="2:7" x14ac:dyDescent="0.3">
      <c r="B29" s="260">
        <v>0.8</v>
      </c>
      <c r="D29" s="318">
        <f t="shared" si="0"/>
        <v>0.655033461147567</v>
      </c>
      <c r="E29" s="319"/>
      <c r="F29" s="318">
        <f>MIN(1,F28+(1-$F$21)/(9-'Saisie des données'!$E$19))</f>
        <v>1</v>
      </c>
      <c r="G29" t="s">
        <v>121</v>
      </c>
    </row>
    <row r="30" spans="2:7" x14ac:dyDescent="0.3">
      <c r="B30" s="260">
        <v>0.85</v>
      </c>
      <c r="D30" s="318">
        <f t="shared" si="0"/>
        <v>0.75328848031970197</v>
      </c>
      <c r="E30" s="318"/>
      <c r="F30" s="318"/>
    </row>
    <row r="31" spans="2:7" x14ac:dyDescent="0.3">
      <c r="B31" s="260">
        <v>0.9</v>
      </c>
      <c r="D31" s="318">
        <f t="shared" si="0"/>
        <v>0.86628175236765714</v>
      </c>
      <c r="E31" s="318"/>
      <c r="F31" s="318"/>
    </row>
    <row r="32" spans="2:7" x14ac:dyDescent="0.3">
      <c r="B32" s="260">
        <v>0.95</v>
      </c>
      <c r="D32" s="318">
        <f t="shared" si="0"/>
        <v>0.99622401522280568</v>
      </c>
      <c r="E32" s="318"/>
      <c r="F32" s="318"/>
    </row>
    <row r="33" spans="2:5" x14ac:dyDescent="0.3">
      <c r="B33" s="260">
        <v>1</v>
      </c>
      <c r="D33" s="318">
        <f t="shared" si="0"/>
        <v>1.1456576175062265</v>
      </c>
      <c r="E33" s="318"/>
    </row>
    <row r="34" spans="2:5" x14ac:dyDescent="0.3">
      <c r="D34" s="318">
        <f>D33*1.15</f>
        <v>1.3175062601321603</v>
      </c>
    </row>
    <row r="35" spans="2:5" x14ac:dyDescent="0.3">
      <c r="D35" s="318">
        <f t="shared" si="0"/>
        <v>1.5151321991519842</v>
      </c>
    </row>
    <row r="36" spans="2:5" x14ac:dyDescent="0.3">
      <c r="D36" s="318">
        <f t="shared" si="0"/>
        <v>1.7424020290247817</v>
      </c>
    </row>
  </sheetData>
  <pageMargins left="0.7" right="0.7" top="0.75" bottom="0.75" header="0.3" footer="0.3"/>
  <pageSetup paperSize="9" orientation="portrait" r:id="rId1"/>
  <headerFooter>
    <oddHeader>&amp;L&amp;&amp;"Calibri"&amp;10&amp;K000000Classé comme Interne&amp;K000000&amp;1#</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CF14F-6316-4AF2-B9B7-4533468E0754}">
  <sheetPr codeName="Sheet8"/>
  <dimension ref="A1:C84"/>
  <sheetViews>
    <sheetView topLeftCell="A75" workbookViewId="0">
      <selection activeCell="C74" sqref="C74:C84"/>
    </sheetView>
  </sheetViews>
  <sheetFormatPr defaultColWidth="8.77734375" defaultRowHeight="14.4" x14ac:dyDescent="0.3"/>
  <cols>
    <col min="1" max="1" width="59.44140625" customWidth="1"/>
    <col min="2" max="2" width="8.77734375" style="1"/>
    <col min="3" max="3" width="8.77734375" style="296"/>
  </cols>
  <sheetData>
    <row r="1" spans="1:3" ht="28.8" x14ac:dyDescent="0.3">
      <c r="A1" s="7" t="s">
        <v>51</v>
      </c>
      <c r="B1" s="1">
        <v>2022</v>
      </c>
      <c r="C1" s="296">
        <v>2.9</v>
      </c>
    </row>
    <row r="2" spans="1:3" ht="28.8" x14ac:dyDescent="0.3">
      <c r="A2" s="7" t="s">
        <v>51</v>
      </c>
      <c r="B2" s="1">
        <v>2023</v>
      </c>
      <c r="C2" s="296">
        <v>2.9</v>
      </c>
    </row>
    <row r="3" spans="1:3" ht="28.8" x14ac:dyDescent="0.3">
      <c r="A3" s="7" t="s">
        <v>51</v>
      </c>
      <c r="B3" s="1">
        <v>2024</v>
      </c>
      <c r="C3" s="296">
        <v>2.9</v>
      </c>
    </row>
    <row r="4" spans="1:3" ht="28.8" x14ac:dyDescent="0.3">
      <c r="A4" s="7" t="s">
        <v>51</v>
      </c>
      <c r="B4" s="1">
        <v>2025</v>
      </c>
      <c r="C4" s="296">
        <v>2.9</v>
      </c>
    </row>
    <row r="5" spans="1:3" ht="28.8" x14ac:dyDescent="0.3">
      <c r="A5" s="7" t="s">
        <v>51</v>
      </c>
      <c r="B5" s="1">
        <v>2026</v>
      </c>
      <c r="C5" s="296">
        <v>2.9</v>
      </c>
    </row>
    <row r="6" spans="1:3" ht="28.8" x14ac:dyDescent="0.3">
      <c r="A6" s="7" t="s">
        <v>51</v>
      </c>
      <c r="B6" s="1">
        <v>2027</v>
      </c>
      <c r="C6" s="296">
        <v>2.9</v>
      </c>
    </row>
    <row r="7" spans="1:3" ht="28.8" x14ac:dyDescent="0.3">
      <c r="A7" s="7" t="s">
        <v>51</v>
      </c>
      <c r="B7" s="1">
        <v>2028</v>
      </c>
      <c r="C7" s="296">
        <v>2.9</v>
      </c>
    </row>
    <row r="8" spans="1:3" ht="28.8" x14ac:dyDescent="0.3">
      <c r="A8" s="7" t="s">
        <v>51</v>
      </c>
      <c r="B8" s="1">
        <v>2029</v>
      </c>
      <c r="C8" s="296">
        <v>2.9</v>
      </c>
    </row>
    <row r="9" spans="1:3" ht="28.8" x14ac:dyDescent="0.3">
      <c r="A9" s="7" t="s">
        <v>51</v>
      </c>
      <c r="B9" s="1">
        <v>2030</v>
      </c>
      <c r="C9" s="296">
        <v>2.9</v>
      </c>
    </row>
    <row r="10" spans="1:3" ht="28.8" x14ac:dyDescent="0.3">
      <c r="A10" s="7" t="s">
        <v>51</v>
      </c>
      <c r="B10" s="1">
        <v>2031</v>
      </c>
      <c r="C10" s="296">
        <v>2.9</v>
      </c>
    </row>
    <row r="11" spans="1:3" ht="28.8" x14ac:dyDescent="0.3">
      <c r="A11" s="7" t="s">
        <v>51</v>
      </c>
      <c r="B11" s="1">
        <v>2032</v>
      </c>
      <c r="C11" s="296">
        <v>2.9</v>
      </c>
    </row>
    <row r="12" spans="1:3" ht="28.8" x14ac:dyDescent="0.3">
      <c r="A12" s="7" t="s">
        <v>51</v>
      </c>
      <c r="B12" s="1">
        <v>2033</v>
      </c>
      <c r="C12" s="296">
        <v>2.9</v>
      </c>
    </row>
    <row r="13" spans="1:3" ht="28.8" x14ac:dyDescent="0.3">
      <c r="A13" s="7" t="s">
        <v>51</v>
      </c>
      <c r="B13" s="1">
        <v>2034</v>
      </c>
      <c r="C13" s="296">
        <v>2.9</v>
      </c>
    </row>
    <row r="14" spans="1:3" ht="28.8" x14ac:dyDescent="0.3">
      <c r="A14" s="7" t="s">
        <v>51</v>
      </c>
      <c r="B14" s="1">
        <v>2035</v>
      </c>
      <c r="C14" s="296">
        <v>2.9</v>
      </c>
    </row>
    <row r="15" spans="1:3" ht="28.8" x14ac:dyDescent="0.3">
      <c r="A15" s="7" t="s">
        <v>107</v>
      </c>
      <c r="B15" s="1">
        <v>2022</v>
      </c>
      <c r="C15" s="296">
        <v>2.9</v>
      </c>
    </row>
    <row r="16" spans="1:3" ht="28.8" x14ac:dyDescent="0.3">
      <c r="A16" s="7" t="s">
        <v>107</v>
      </c>
      <c r="B16" s="1">
        <v>2023</v>
      </c>
      <c r="C16" s="296">
        <v>2.9</v>
      </c>
    </row>
    <row r="17" spans="1:3" ht="28.8" x14ac:dyDescent="0.3">
      <c r="A17" s="7" t="s">
        <v>107</v>
      </c>
      <c r="B17" s="1">
        <v>2024</v>
      </c>
      <c r="C17" s="296">
        <v>2.9</v>
      </c>
    </row>
    <row r="18" spans="1:3" ht="28.8" x14ac:dyDescent="0.3">
      <c r="A18" s="7" t="s">
        <v>107</v>
      </c>
      <c r="B18" s="1">
        <v>2025</v>
      </c>
      <c r="C18" s="296">
        <v>2.9</v>
      </c>
    </row>
    <row r="19" spans="1:3" ht="28.8" x14ac:dyDescent="0.3">
      <c r="A19" s="7" t="s">
        <v>107</v>
      </c>
      <c r="B19" s="1">
        <v>2026</v>
      </c>
      <c r="C19" s="296">
        <v>2.9</v>
      </c>
    </row>
    <row r="20" spans="1:3" ht="28.8" x14ac:dyDescent="0.3">
      <c r="A20" s="7" t="s">
        <v>107</v>
      </c>
      <c r="B20" s="1">
        <v>2027</v>
      </c>
      <c r="C20" s="296">
        <v>2.9</v>
      </c>
    </row>
    <row r="21" spans="1:3" ht="28.8" x14ac:dyDescent="0.3">
      <c r="A21" s="7" t="s">
        <v>107</v>
      </c>
      <c r="B21" s="1">
        <v>2028</v>
      </c>
      <c r="C21" s="296">
        <v>2.9</v>
      </c>
    </row>
    <row r="22" spans="1:3" ht="28.8" x14ac:dyDescent="0.3">
      <c r="A22" s="7" t="s">
        <v>107</v>
      </c>
      <c r="B22" s="1">
        <v>2029</v>
      </c>
      <c r="C22" s="296">
        <v>2.9</v>
      </c>
    </row>
    <row r="23" spans="1:3" ht="28.8" x14ac:dyDescent="0.3">
      <c r="A23" s="7" t="s">
        <v>107</v>
      </c>
      <c r="B23" s="1">
        <v>2030</v>
      </c>
      <c r="C23" s="296">
        <v>2.9</v>
      </c>
    </row>
    <row r="24" spans="1:3" ht="28.8" x14ac:dyDescent="0.3">
      <c r="A24" s="7" t="s">
        <v>107</v>
      </c>
      <c r="B24" s="1">
        <v>2031</v>
      </c>
      <c r="C24" s="296">
        <v>2.9</v>
      </c>
    </row>
    <row r="25" spans="1:3" ht="28.8" x14ac:dyDescent="0.3">
      <c r="A25" s="7" t="s">
        <v>107</v>
      </c>
      <c r="B25" s="1">
        <v>2032</v>
      </c>
      <c r="C25" s="296">
        <v>2.9</v>
      </c>
    </row>
    <row r="26" spans="1:3" ht="28.8" x14ac:dyDescent="0.3">
      <c r="A26" s="7" t="s">
        <v>107</v>
      </c>
      <c r="B26" s="1">
        <v>2033</v>
      </c>
      <c r="C26" s="296">
        <v>2.9</v>
      </c>
    </row>
    <row r="27" spans="1:3" ht="28.8" x14ac:dyDescent="0.3">
      <c r="A27" s="7" t="s">
        <v>107</v>
      </c>
      <c r="B27" s="1">
        <v>2034</v>
      </c>
      <c r="C27" s="296">
        <v>2.9</v>
      </c>
    </row>
    <row r="28" spans="1:3" ht="28.8" x14ac:dyDescent="0.3">
      <c r="A28" s="7" t="s">
        <v>107</v>
      </c>
      <c r="B28" s="1">
        <v>2035</v>
      </c>
      <c r="C28" s="296">
        <v>2.9</v>
      </c>
    </row>
    <row r="29" spans="1:3" ht="28.8" x14ac:dyDescent="0.3">
      <c r="A29" s="7" t="s">
        <v>52</v>
      </c>
      <c r="B29" s="1">
        <v>2022</v>
      </c>
      <c r="C29" s="296">
        <v>2</v>
      </c>
    </row>
    <row r="30" spans="1:3" ht="28.8" x14ac:dyDescent="0.3">
      <c r="A30" s="7" t="s">
        <v>52</v>
      </c>
      <c r="B30" s="1">
        <v>2023</v>
      </c>
      <c r="C30" s="296">
        <v>2</v>
      </c>
    </row>
    <row r="31" spans="1:3" ht="28.8" x14ac:dyDescent="0.3">
      <c r="A31" s="7" t="s">
        <v>52</v>
      </c>
      <c r="B31" s="1">
        <v>2024</v>
      </c>
      <c r="C31" s="296">
        <v>2</v>
      </c>
    </row>
    <row r="32" spans="1:3" ht="28.8" x14ac:dyDescent="0.3">
      <c r="A32" s="7" t="s">
        <v>52</v>
      </c>
      <c r="B32" s="1">
        <v>2025</v>
      </c>
      <c r="C32" s="296">
        <v>2</v>
      </c>
    </row>
    <row r="33" spans="1:3" ht="28.8" x14ac:dyDescent="0.3">
      <c r="A33" s="7" t="s">
        <v>52</v>
      </c>
      <c r="B33" s="1">
        <v>2026</v>
      </c>
      <c r="C33" s="296">
        <v>2</v>
      </c>
    </row>
    <row r="34" spans="1:3" ht="28.8" x14ac:dyDescent="0.3">
      <c r="A34" s="7" t="s">
        <v>52</v>
      </c>
      <c r="B34" s="1">
        <v>2027</v>
      </c>
      <c r="C34" s="296">
        <v>2</v>
      </c>
    </row>
    <row r="35" spans="1:3" ht="28.8" x14ac:dyDescent="0.3">
      <c r="A35" s="7" t="s">
        <v>52</v>
      </c>
      <c r="B35" s="1">
        <v>2028</v>
      </c>
      <c r="C35" s="296">
        <v>2</v>
      </c>
    </row>
    <row r="36" spans="1:3" ht="28.8" x14ac:dyDescent="0.3">
      <c r="A36" s="7" t="s">
        <v>52</v>
      </c>
      <c r="B36" s="1">
        <v>2029</v>
      </c>
      <c r="C36" s="296">
        <v>2</v>
      </c>
    </row>
    <row r="37" spans="1:3" ht="28.8" x14ac:dyDescent="0.3">
      <c r="A37" s="7" t="s">
        <v>52</v>
      </c>
      <c r="B37" s="1">
        <v>2030</v>
      </c>
      <c r="C37" s="296">
        <v>2</v>
      </c>
    </row>
    <row r="38" spans="1:3" ht="28.8" x14ac:dyDescent="0.3">
      <c r="A38" s="7" t="s">
        <v>52</v>
      </c>
      <c r="B38" s="1">
        <v>2031</v>
      </c>
      <c r="C38" s="296">
        <v>2</v>
      </c>
    </row>
    <row r="39" spans="1:3" ht="28.8" x14ac:dyDescent="0.3">
      <c r="A39" s="7" t="s">
        <v>52</v>
      </c>
      <c r="B39" s="1">
        <v>2032</v>
      </c>
      <c r="C39" s="296">
        <v>2</v>
      </c>
    </row>
    <row r="40" spans="1:3" ht="28.8" x14ac:dyDescent="0.3">
      <c r="A40" s="7" t="s">
        <v>52</v>
      </c>
      <c r="B40" s="1">
        <v>2033</v>
      </c>
      <c r="C40" s="296">
        <v>2</v>
      </c>
    </row>
    <row r="41" spans="1:3" ht="28.8" x14ac:dyDescent="0.3">
      <c r="A41" s="7" t="s">
        <v>52</v>
      </c>
      <c r="B41" s="1">
        <v>2034</v>
      </c>
      <c r="C41" s="296">
        <v>2</v>
      </c>
    </row>
    <row r="42" spans="1:3" ht="28.8" x14ac:dyDescent="0.3">
      <c r="A42" s="7" t="s">
        <v>52</v>
      </c>
      <c r="B42" s="1">
        <v>2035</v>
      </c>
      <c r="C42" s="296">
        <v>2</v>
      </c>
    </row>
    <row r="43" spans="1:3" ht="28.8" x14ac:dyDescent="0.3">
      <c r="A43" s="7" t="s">
        <v>53</v>
      </c>
      <c r="B43" s="1">
        <v>2022</v>
      </c>
      <c r="C43" s="296">
        <v>3.3</v>
      </c>
    </row>
    <row r="44" spans="1:3" ht="28.8" x14ac:dyDescent="0.3">
      <c r="A44" s="7" t="s">
        <v>53</v>
      </c>
      <c r="B44" s="1">
        <v>2023</v>
      </c>
      <c r="C44" s="296">
        <v>3.3</v>
      </c>
    </row>
    <row r="45" spans="1:3" ht="28.8" x14ac:dyDescent="0.3">
      <c r="A45" s="7" t="s">
        <v>53</v>
      </c>
      <c r="B45" s="1">
        <v>2024</v>
      </c>
      <c r="C45" s="296">
        <v>3.3</v>
      </c>
    </row>
    <row r="46" spans="1:3" ht="28.8" x14ac:dyDescent="0.3">
      <c r="A46" s="7" t="s">
        <v>53</v>
      </c>
      <c r="B46" s="1">
        <v>2025</v>
      </c>
      <c r="C46" s="296">
        <v>3.3</v>
      </c>
    </row>
    <row r="47" spans="1:3" ht="28.8" x14ac:dyDescent="0.3">
      <c r="A47" s="7" t="s">
        <v>53</v>
      </c>
      <c r="B47" s="1">
        <v>2026</v>
      </c>
      <c r="C47" s="296">
        <v>3.3</v>
      </c>
    </row>
    <row r="48" spans="1:3" ht="28.8" x14ac:dyDescent="0.3">
      <c r="A48" s="7" t="s">
        <v>53</v>
      </c>
      <c r="B48" s="1">
        <v>2027</v>
      </c>
      <c r="C48" s="296">
        <v>3.3</v>
      </c>
    </row>
    <row r="49" spans="1:3" ht="28.8" x14ac:dyDescent="0.3">
      <c r="A49" s="7" t="s">
        <v>53</v>
      </c>
      <c r="B49" s="1">
        <v>2028</v>
      </c>
      <c r="C49" s="296">
        <v>3.3</v>
      </c>
    </row>
    <row r="50" spans="1:3" ht="28.8" x14ac:dyDescent="0.3">
      <c r="A50" s="7" t="s">
        <v>53</v>
      </c>
      <c r="B50" s="1">
        <v>2029</v>
      </c>
      <c r="C50" s="296">
        <v>3.3</v>
      </c>
    </row>
    <row r="51" spans="1:3" ht="28.8" x14ac:dyDescent="0.3">
      <c r="A51" s="7" t="s">
        <v>53</v>
      </c>
      <c r="B51" s="1">
        <v>2030</v>
      </c>
      <c r="C51" s="296">
        <v>3.3</v>
      </c>
    </row>
    <row r="52" spans="1:3" ht="28.8" x14ac:dyDescent="0.3">
      <c r="A52" s="7" t="s">
        <v>53</v>
      </c>
      <c r="B52" s="1">
        <v>2031</v>
      </c>
      <c r="C52" s="296">
        <v>3.3</v>
      </c>
    </row>
    <row r="53" spans="1:3" ht="28.8" x14ac:dyDescent="0.3">
      <c r="A53" s="7" t="s">
        <v>53</v>
      </c>
      <c r="B53" s="1">
        <v>2032</v>
      </c>
      <c r="C53" s="296">
        <v>3.3</v>
      </c>
    </row>
    <row r="54" spans="1:3" ht="28.8" x14ac:dyDescent="0.3">
      <c r="A54" s="7" t="s">
        <v>53</v>
      </c>
      <c r="B54" s="1">
        <v>2033</v>
      </c>
      <c r="C54" s="296">
        <v>3.3</v>
      </c>
    </row>
    <row r="55" spans="1:3" ht="28.8" x14ac:dyDescent="0.3">
      <c r="A55" s="7" t="s">
        <v>53</v>
      </c>
      <c r="B55" s="1">
        <v>2034</v>
      </c>
      <c r="C55" s="296">
        <v>3.3</v>
      </c>
    </row>
    <row r="56" spans="1:3" ht="28.8" x14ac:dyDescent="0.3">
      <c r="A56" s="7" t="s">
        <v>53</v>
      </c>
      <c r="B56" s="1">
        <v>2035</v>
      </c>
      <c r="C56" s="296">
        <v>3.3</v>
      </c>
    </row>
    <row r="57" spans="1:3" ht="28.8" x14ac:dyDescent="0.3">
      <c r="A57" s="7" t="s">
        <v>54</v>
      </c>
      <c r="B57" s="1">
        <v>2022</v>
      </c>
      <c r="C57" s="296">
        <v>2.75</v>
      </c>
    </row>
    <row r="58" spans="1:3" ht="28.8" x14ac:dyDescent="0.3">
      <c r="A58" s="7" t="s">
        <v>54</v>
      </c>
      <c r="B58" s="1">
        <v>2023</v>
      </c>
      <c r="C58" s="296">
        <v>2.75</v>
      </c>
    </row>
    <row r="59" spans="1:3" ht="28.8" x14ac:dyDescent="0.3">
      <c r="A59" s="7" t="s">
        <v>54</v>
      </c>
      <c r="B59" s="1">
        <v>2024</v>
      </c>
      <c r="C59" s="296">
        <v>2.75</v>
      </c>
    </row>
    <row r="60" spans="1:3" ht="28.8" x14ac:dyDescent="0.3">
      <c r="A60" s="7" t="s">
        <v>54</v>
      </c>
      <c r="B60" s="1">
        <v>2025</v>
      </c>
      <c r="C60" s="296">
        <v>2.75</v>
      </c>
    </row>
    <row r="61" spans="1:3" ht="28.8" x14ac:dyDescent="0.3">
      <c r="A61" s="7" t="s">
        <v>54</v>
      </c>
      <c r="B61" s="1">
        <v>2026</v>
      </c>
      <c r="C61" s="296">
        <v>2.75</v>
      </c>
    </row>
    <row r="62" spans="1:3" ht="28.8" x14ac:dyDescent="0.3">
      <c r="A62" s="7" t="s">
        <v>54</v>
      </c>
      <c r="B62" s="1">
        <v>2027</v>
      </c>
      <c r="C62" s="296">
        <v>2.75</v>
      </c>
    </row>
    <row r="63" spans="1:3" ht="28.8" x14ac:dyDescent="0.3">
      <c r="A63" s="7" t="s">
        <v>54</v>
      </c>
      <c r="B63" s="1">
        <v>2028</v>
      </c>
      <c r="C63" s="296">
        <v>2.75</v>
      </c>
    </row>
    <row r="64" spans="1:3" ht="28.8" x14ac:dyDescent="0.3">
      <c r="A64" s="7" t="s">
        <v>54</v>
      </c>
      <c r="B64" s="1">
        <v>2029</v>
      </c>
      <c r="C64" s="296">
        <v>2.75</v>
      </c>
    </row>
    <row r="65" spans="1:3" ht="28.8" x14ac:dyDescent="0.3">
      <c r="A65" s="7" t="s">
        <v>54</v>
      </c>
      <c r="B65" s="1">
        <v>2030</v>
      </c>
      <c r="C65" s="296">
        <v>2.75</v>
      </c>
    </row>
    <row r="66" spans="1:3" ht="28.8" x14ac:dyDescent="0.3">
      <c r="A66" s="7" t="s">
        <v>54</v>
      </c>
      <c r="B66" s="1">
        <v>2031</v>
      </c>
      <c r="C66" s="296">
        <v>2.75</v>
      </c>
    </row>
    <row r="67" spans="1:3" ht="28.8" x14ac:dyDescent="0.3">
      <c r="A67" s="7" t="s">
        <v>54</v>
      </c>
      <c r="B67" s="1">
        <v>2032</v>
      </c>
      <c r="C67" s="296">
        <v>2.75</v>
      </c>
    </row>
    <row r="68" spans="1:3" ht="28.8" x14ac:dyDescent="0.3">
      <c r="A68" s="7" t="s">
        <v>54</v>
      </c>
      <c r="B68" s="1">
        <v>2033</v>
      </c>
      <c r="C68" s="296">
        <v>2.75</v>
      </c>
    </row>
    <row r="69" spans="1:3" ht="28.8" x14ac:dyDescent="0.3">
      <c r="A69" s="7" t="s">
        <v>54</v>
      </c>
      <c r="B69" s="1">
        <v>2034</v>
      </c>
      <c r="C69" s="296">
        <v>2.75</v>
      </c>
    </row>
    <row r="70" spans="1:3" ht="28.8" x14ac:dyDescent="0.3">
      <c r="A70" s="7" t="s">
        <v>54</v>
      </c>
      <c r="B70" s="1">
        <v>2035</v>
      </c>
      <c r="C70" s="296">
        <v>2.75</v>
      </c>
    </row>
    <row r="71" spans="1:3" ht="28.8" x14ac:dyDescent="0.3">
      <c r="A71" s="7" t="s">
        <v>108</v>
      </c>
      <c r="B71" s="1">
        <v>2022</v>
      </c>
    </row>
    <row r="72" spans="1:3" ht="28.8" x14ac:dyDescent="0.3">
      <c r="A72" s="7" t="s">
        <v>108</v>
      </c>
      <c r="B72" s="1">
        <v>2023</v>
      </c>
    </row>
    <row r="73" spans="1:3" ht="28.8" x14ac:dyDescent="0.3">
      <c r="A73" s="7" t="s">
        <v>108</v>
      </c>
      <c r="B73" s="1">
        <v>2024</v>
      </c>
    </row>
    <row r="74" spans="1:3" ht="28.8" x14ac:dyDescent="0.3">
      <c r="A74" s="7" t="s">
        <v>108</v>
      </c>
      <c r="B74" s="1">
        <v>2025</v>
      </c>
      <c r="C74" s="296">
        <v>2.8</v>
      </c>
    </row>
    <row r="75" spans="1:3" ht="28.8" x14ac:dyDescent="0.3">
      <c r="A75" s="7" t="s">
        <v>108</v>
      </c>
      <c r="B75" s="1">
        <v>2026</v>
      </c>
      <c r="C75" s="296">
        <v>2.8</v>
      </c>
    </row>
    <row r="76" spans="1:3" ht="28.8" x14ac:dyDescent="0.3">
      <c r="A76" s="7" t="s">
        <v>108</v>
      </c>
      <c r="B76" s="1">
        <v>2027</v>
      </c>
      <c r="C76" s="296">
        <v>2.8</v>
      </c>
    </row>
    <row r="77" spans="1:3" ht="28.8" x14ac:dyDescent="0.3">
      <c r="A77" s="7" t="s">
        <v>108</v>
      </c>
      <c r="B77" s="1">
        <v>2028</v>
      </c>
      <c r="C77" s="296">
        <v>2.8</v>
      </c>
    </row>
    <row r="78" spans="1:3" ht="28.8" x14ac:dyDescent="0.3">
      <c r="A78" s="7" t="s">
        <v>108</v>
      </c>
      <c r="B78" s="1">
        <v>2029</v>
      </c>
      <c r="C78" s="296">
        <v>2.8</v>
      </c>
    </row>
    <row r="79" spans="1:3" ht="28.8" x14ac:dyDescent="0.3">
      <c r="A79" s="7" t="s">
        <v>108</v>
      </c>
      <c r="B79" s="1">
        <v>2030</v>
      </c>
      <c r="C79" s="296">
        <v>2.8</v>
      </c>
    </row>
    <row r="80" spans="1:3" ht="28.8" x14ac:dyDescent="0.3">
      <c r="A80" s="7" t="s">
        <v>108</v>
      </c>
      <c r="B80" s="1">
        <v>2031</v>
      </c>
      <c r="C80" s="296">
        <v>2.8</v>
      </c>
    </row>
    <row r="81" spans="1:3" ht="28.8" x14ac:dyDescent="0.3">
      <c r="A81" s="7" t="s">
        <v>108</v>
      </c>
      <c r="B81" s="1">
        <v>2032</v>
      </c>
      <c r="C81" s="296">
        <v>2.8</v>
      </c>
    </row>
    <row r="82" spans="1:3" ht="28.8" x14ac:dyDescent="0.3">
      <c r="A82" s="7" t="s">
        <v>108</v>
      </c>
      <c r="B82" s="1">
        <v>2033</v>
      </c>
      <c r="C82" s="296">
        <v>2.8</v>
      </c>
    </row>
    <row r="83" spans="1:3" ht="28.8" x14ac:dyDescent="0.3">
      <c r="A83" s="7" t="s">
        <v>108</v>
      </c>
      <c r="B83" s="1">
        <v>2034</v>
      </c>
      <c r="C83" s="296">
        <v>2.8</v>
      </c>
    </row>
    <row r="84" spans="1:3" ht="28.8" x14ac:dyDescent="0.3">
      <c r="A84" s="7" t="s">
        <v>108</v>
      </c>
      <c r="B84" s="1">
        <v>2035</v>
      </c>
      <c r="C84" s="296">
        <v>2.8</v>
      </c>
    </row>
  </sheetData>
  <phoneticPr fontId="90" type="noConversion"/>
  <pageMargins left="0.7" right="0.7" top="0.75" bottom="0.75" header="0.3" footer="0.3"/>
  <pageSetup orientation="portrait" r:id="rId1"/>
  <headerFooter>
    <oddHeader>&amp;L&amp;&amp;"Calibri"&amp;10&amp;K000000Classé comme Interne&amp;K000000&amp;1#</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C89426CD6990C48B571977008B5B929" ma:contentTypeVersion="13" ma:contentTypeDescription="Create a new document." ma:contentTypeScope="" ma:versionID="0e01c7bc96b6eed3db98ed54fdc55eb5">
  <xsd:schema xmlns:xsd="http://www.w3.org/2001/XMLSchema" xmlns:xs="http://www.w3.org/2001/XMLSchema" xmlns:p="http://schemas.microsoft.com/office/2006/metadata/properties" xmlns:ns3="6825cbcc-075a-4232-9296-e9bac03f9e0c" xmlns:ns4="6f211968-1ce9-4ce8-bc32-9c87e03ae60e" targetNamespace="http://schemas.microsoft.com/office/2006/metadata/properties" ma:root="true" ma:fieldsID="3d38f0102057625f23cc481bc4af9216" ns3:_="" ns4:_="">
    <xsd:import namespace="6825cbcc-075a-4232-9296-e9bac03f9e0c"/>
    <xsd:import namespace="6f211968-1ce9-4ce8-bc32-9c87e03ae60e"/>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4:SharedWithUsers" minOccurs="0"/>
                <xsd:element ref="ns4:SharedWithDetails" minOccurs="0"/>
                <xsd:element ref="ns4:SharingHintHash"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25cbcc-075a-4232-9296-e9bac03f9e0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f211968-1ce9-4ce8-bc32-9c87e03ae60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6C1983F-F266-4005-8EC6-D5065FD7537B}">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6A564C82-A93A-469E-A667-E6054C7D72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25cbcc-075a-4232-9296-e9bac03f9e0c"/>
    <ds:schemaRef ds:uri="6f211968-1ce9-4ce8-bc32-9c87e03ae6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69E5AC5-64B2-4B7B-9D75-A7C00E9C1AC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Instructions</vt:lpstr>
      <vt:lpstr>Saisie des données</vt:lpstr>
      <vt:lpstr>Tableau de bord</vt:lpstr>
      <vt:lpstr>Résultats</vt:lpstr>
      <vt:lpstr>Vaccine options</vt:lpstr>
      <vt:lpstr>Vaccine prices</vt:lpstr>
      <vt:lpstr>Résultats!Print_Area</vt:lpstr>
      <vt:lpstr>'Saisie des données'!Print_Area</vt:lpstr>
      <vt:lpstr>'Tableau de bord'!Print_Area</vt:lpstr>
    </vt:vector>
  </TitlesOfParts>
  <Manager/>
  <Company>PATH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Allison Clifford</cp:lastModifiedBy>
  <cp:revision/>
  <dcterms:created xsi:type="dcterms:W3CDTF">2018-05-24T13:25:57Z</dcterms:created>
  <dcterms:modified xsi:type="dcterms:W3CDTF">2026-01-22T22:00:39Z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f5e72d3-b6ef-4c9c-b371-eb3c79f627ee_Enabled">
    <vt:lpwstr>true</vt:lpwstr>
  </property>
  <property fmtid="{D5CDD505-2E9C-101B-9397-08002B2CF9AE}" pid="3" name="MSIP_Label_8f5e72d3-b6ef-4c9c-b371-eb3c79f627ee_SetDate">
    <vt:lpwstr>2019-12-04T11:02:07Z</vt:lpwstr>
  </property>
  <property fmtid="{D5CDD505-2E9C-101B-9397-08002B2CF9AE}" pid="4" name="MSIP_Label_8f5e72d3-b6ef-4c9c-b371-eb3c79f627ee_Method">
    <vt:lpwstr>Privileged</vt:lpwstr>
  </property>
  <property fmtid="{D5CDD505-2E9C-101B-9397-08002B2CF9AE}" pid="5" name="MSIP_Label_8f5e72d3-b6ef-4c9c-b371-eb3c79f627ee_Name">
    <vt:lpwstr>8f5e72d3-b6ef-4c9c-b371-eb3c79f627ee</vt:lpwstr>
  </property>
  <property fmtid="{D5CDD505-2E9C-101B-9397-08002B2CF9AE}" pid="6" name="MSIP_Label_8f5e72d3-b6ef-4c9c-b371-eb3c79f627ee_SiteId">
    <vt:lpwstr>1de6d9f3-0daf-4df6-b9d6-5959f16f6118</vt:lpwstr>
  </property>
  <property fmtid="{D5CDD505-2E9C-101B-9397-08002B2CF9AE}" pid="7" name="MSIP_Label_8f5e72d3-b6ef-4c9c-b371-eb3c79f627ee_ActionId">
    <vt:lpwstr>b8e400df-7c36-45f2-9454-000070304384</vt:lpwstr>
  </property>
  <property fmtid="{D5CDD505-2E9C-101B-9397-08002B2CF9AE}" pid="8" name="MSIP_Label_8f5e72d3-b6ef-4c9c-b371-eb3c79f627ee_ContentBits">
    <vt:lpwstr>1</vt:lpwstr>
  </property>
  <property fmtid="{D5CDD505-2E9C-101B-9397-08002B2CF9AE}" pid="9" name="ContentTypeId">
    <vt:lpwstr>0x010100AC89426CD6990C48B571977008B5B929</vt:lpwstr>
  </property>
</Properties>
</file>