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api.box.com/wopi/files/2266165921341/WOPIServiceId_TP_BOX_2/WOPIUserId_-/"/>
    </mc:Choice>
  </mc:AlternateContent>
  <xr:revisionPtr revIDLastSave="35" documentId="13_ncr:1_{B4139BC9-967C-41CA-85D1-DCEEE415492D}" xr6:coauthVersionLast="47" xr6:coauthVersionMax="47" xr10:uidLastSave="{7433C5C1-FBDA-49B1-9619-847D4B958919}"/>
  <workbookProtection workbookAlgorithmName="SHA-512" workbookHashValue="6oFmlXtUUp0o8mbIGPMecZ8nN8x7o0JGpkB00m7rAIb7olZHB9HcNjUQFGE2MldiVM/9NiqKxl4JlQVvRfROqg==" workbookSaltValue="oXmit3Culqlin33LomHa/g==" workbookSpinCount="100000" lockStructure="1"/>
  <bookViews>
    <workbookView xWindow="28680" yWindow="-4290" windowWidth="29040" windowHeight="15720" xr2:uid="{00000000-000D-0000-FFFF-FFFF00000000}"/>
  </bookViews>
  <sheets>
    <sheet name="READ ME FIRST" sheetId="15" r:id="rId1"/>
    <sheet name="Inputs" sheetId="16" r:id="rId2"/>
    <sheet name="Dashboard" sheetId="17" r:id="rId3"/>
    <sheet name="Results" sheetId="18" r:id="rId4"/>
    <sheet name="Vaccine options" sheetId="3" state="hidden" r:id="rId5"/>
    <sheet name="Vaccine prices" sheetId="13" state="hidden" r:id="rId6"/>
    <sheet name="Version" sheetId="14" state="hidden" r:id="rId7"/>
  </sheets>
  <definedNames>
    <definedName name="_xlnm.Print_Area" localSheetId="2">Dashboard!$B$3:$M$37</definedName>
    <definedName name="_xlnm.Print_Area" localSheetId="1">Inputs!$C$3:$M$82</definedName>
    <definedName name="_xlnm.Print_Area" localSheetId="3">Results!$B$3:$M$73</definedName>
  </definedNames>
  <calcPr calcId="191028"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3" l="1" a="1"/>
  <c r="F21" i="3"/>
  <c r="F22" i="3"/>
  <c r="F23" i="3"/>
  <c r="F24" i="3"/>
  <c r="F25" i="3"/>
  <c r="F26" i="3"/>
  <c r="F27" i="3"/>
  <c r="F28" i="3"/>
  <c r="F29" i="3"/>
  <c r="E25" i="3"/>
  <c r="E24" i="3"/>
  <c r="E23" i="3"/>
  <c r="E22" i="3"/>
  <c r="E21" i="3"/>
  <c r="F13" i="3"/>
  <c r="K53" i="16"/>
  <c r="I53" i="16"/>
  <c r="G53" i="16"/>
  <c r="E53" i="16"/>
  <c r="K51" i="16"/>
  <c r="I51" i="16"/>
  <c r="G51" i="16"/>
  <c r="E51" i="16"/>
  <c r="K50" i="16"/>
  <c r="I50" i="16"/>
  <c r="G50" i="16"/>
  <c r="E50" i="16"/>
  <c r="K33" i="16"/>
  <c r="I33" i="16"/>
  <c r="G33" i="16"/>
  <c r="E33" i="16"/>
  <c r="K67" i="16"/>
  <c r="I67" i="16"/>
  <c r="G67" i="16"/>
  <c r="E67" i="16"/>
  <c r="D72" i="18"/>
  <c r="D71" i="18"/>
  <c r="D70" i="18"/>
  <c r="D69" i="18"/>
  <c r="D68" i="18"/>
  <c r="D63" i="18"/>
  <c r="D62" i="18"/>
  <c r="D61" i="18"/>
  <c r="D60" i="18"/>
  <c r="D59" i="18"/>
  <c r="I54" i="16"/>
  <c r="G54" i="16"/>
  <c r="F6" i="18"/>
  <c r="F8" i="17"/>
  <c r="H6" i="18"/>
  <c r="H8" i="17"/>
  <c r="J6" i="18"/>
  <c r="J8" i="17"/>
  <c r="L6" i="18"/>
  <c r="L8" i="17"/>
  <c r="D11" i="18"/>
  <c r="F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26" i="16"/>
  <c r="D25" i="16"/>
  <c r="D24" i="16"/>
  <c r="D23" i="16"/>
  <c r="E54" i="16"/>
  <c r="K54" i="16"/>
  <c r="D36" i="16"/>
  <c r="E23" i="16"/>
  <c r="E24" i="16"/>
  <c r="E25" i="16"/>
  <c r="D38" i="16"/>
  <c r="E38" i="16" a="1"/>
  <c r="E38" i="16"/>
  <c r="D37" i="16"/>
  <c r="D39" i="16"/>
  <c r="I39" i="16" a="1"/>
  <c r="I39" i="16"/>
  <c r="D40" i="16"/>
  <c r="G36" i="16" a="1"/>
  <c r="G36" i="16"/>
  <c r="E36" i="16" a="1"/>
  <c r="E36" i="16"/>
  <c r="K36" i="16" a="1"/>
  <c r="K36" i="16"/>
  <c r="I36" i="16" a="1"/>
  <c r="I36" i="16"/>
  <c r="G37" i="16" a="1"/>
  <c r="G37" i="16"/>
  <c r="E37" i="16" a="1"/>
  <c r="E37" i="16"/>
  <c r="K37" i="16" a="1"/>
  <c r="K37" i="16"/>
  <c r="I37" i="16" a="1"/>
  <c r="I37" i="16"/>
  <c r="K38" i="16" a="1"/>
  <c r="K38" i="16"/>
  <c r="K40" i="16" a="1"/>
  <c r="K40" i="16"/>
  <c r="E40" i="16" a="1"/>
  <c r="E40" i="16"/>
  <c r="I40" i="16" a="1"/>
  <c r="I40" i="16"/>
  <c r="G40" i="16" a="1"/>
  <c r="G40" i="16"/>
  <c r="F20" i="18"/>
  <c r="L11" i="18"/>
  <c r="L20" i="18"/>
  <c r="L15" i="18"/>
  <c r="L13" i="18"/>
  <c r="D46" i="16"/>
  <c r="D43" i="16"/>
  <c r="D44" i="16"/>
  <c r="D45" i="16"/>
  <c r="D47" i="16"/>
  <c r="J13" i="18"/>
  <c r="H13" i="18"/>
  <c r="F12" i="18"/>
  <c r="J11" i="18"/>
  <c r="J20" i="18"/>
  <c r="J15" i="18"/>
  <c r="J14" i="18"/>
  <c r="J12" i="18"/>
  <c r="H12" i="18"/>
  <c r="H11" i="18"/>
  <c r="H20" i="18"/>
  <c r="H15" i="18"/>
  <c r="F14" i="18"/>
  <c r="F15" i="18"/>
  <c r="F13" i="18"/>
  <c r="L12" i="18"/>
  <c r="L14" i="18"/>
  <c r="H14" i="18"/>
  <c r="G43" i="16"/>
  <c r="H39" i="18"/>
  <c r="E43" i="16"/>
  <c r="F39" i="18"/>
  <c r="F48" i="18"/>
  <c r="I43" i="16"/>
  <c r="J39" i="18"/>
  <c r="K43" i="16"/>
  <c r="E39" i="16" a="1"/>
  <c r="E39" i="16"/>
  <c r="K39" i="16" a="1"/>
  <c r="K39" i="16"/>
  <c r="I38" i="16" a="1"/>
  <c r="I38" i="16"/>
  <c r="G38" i="16" a="1"/>
  <c r="G38" i="16"/>
  <c r="G39" i="16" a="1"/>
  <c r="G39" i="16"/>
  <c r="L21" i="18"/>
  <c r="L23" i="18"/>
  <c r="L59" i="18"/>
  <c r="F59" i="18"/>
  <c r="F28" i="18"/>
  <c r="J59" i="18"/>
  <c r="H59" i="18"/>
  <c r="L22" i="18"/>
  <c r="L61" i="18"/>
  <c r="L24" i="18"/>
  <c r="L63" i="18"/>
  <c r="L10" i="18"/>
  <c r="J10" i="18"/>
  <c r="J21" i="18"/>
  <c r="H23" i="18"/>
  <c r="J24" i="18"/>
  <c r="J23" i="18"/>
  <c r="F24" i="18"/>
  <c r="J22" i="18"/>
  <c r="F23" i="18"/>
  <c r="J28" i="18"/>
  <c r="F10" i="18"/>
  <c r="L28" i="18"/>
  <c r="H28" i="18"/>
  <c r="H21" i="18"/>
  <c r="H22" i="18"/>
  <c r="F22" i="18"/>
  <c r="F21" i="18"/>
  <c r="H10" i="18"/>
  <c r="H24" i="18"/>
  <c r="K44" i="16"/>
  <c r="L40" i="18"/>
  <c r="L49" i="18"/>
  <c r="E44" i="16"/>
  <c r="F40" i="18"/>
  <c r="I44" i="16"/>
  <c r="J40" i="18"/>
  <c r="G44" i="16"/>
  <c r="H40" i="18"/>
  <c r="L62" i="18"/>
  <c r="L60" i="18"/>
  <c r="F68" i="18"/>
  <c r="F61" i="18"/>
  <c r="H60" i="18"/>
  <c r="H69" i="18"/>
  <c r="F63" i="18"/>
  <c r="J62" i="18"/>
  <c r="H62" i="18"/>
  <c r="J48" i="18"/>
  <c r="H63" i="18"/>
  <c r="F60" i="18"/>
  <c r="H61" i="18"/>
  <c r="J63" i="18"/>
  <c r="J60" i="18"/>
  <c r="F62" i="18"/>
  <c r="J61" i="18"/>
  <c r="H48" i="18"/>
  <c r="L39" i="18"/>
  <c r="L48" i="18"/>
  <c r="L68" i="18"/>
  <c r="J29" i="18"/>
  <c r="J68" i="18"/>
  <c r="J30" i="18"/>
  <c r="L19" i="18"/>
  <c r="L10" i="17"/>
  <c r="L11" i="17"/>
  <c r="J31" i="18"/>
  <c r="F29" i="18"/>
  <c r="J32" i="18"/>
  <c r="H68" i="18"/>
  <c r="L29" i="18"/>
  <c r="J19" i="18"/>
  <c r="J10" i="17"/>
  <c r="J11" i="17"/>
  <c r="F19" i="18"/>
  <c r="F10" i="17"/>
  <c r="F11" i="17"/>
  <c r="F31" i="18"/>
  <c r="H31" i="18"/>
  <c r="F32" i="18"/>
  <c r="H30" i="18"/>
  <c r="H29" i="18"/>
  <c r="F30" i="18"/>
  <c r="L31" i="18"/>
  <c r="L71" i="18"/>
  <c r="H32" i="18"/>
  <c r="L32" i="18"/>
  <c r="H19" i="18"/>
  <c r="H10" i="17"/>
  <c r="H11" i="17"/>
  <c r="L30" i="18"/>
  <c r="E26" i="16"/>
  <c r="K45" i="16"/>
  <c r="L41" i="18"/>
  <c r="L50" i="18"/>
  <c r="E45" i="16"/>
  <c r="F41" i="18"/>
  <c r="F50" i="18"/>
  <c r="I45" i="16"/>
  <c r="J41" i="18"/>
  <c r="J50" i="18"/>
  <c r="G45" i="16"/>
  <c r="H41" i="18"/>
  <c r="H50" i="18"/>
  <c r="F71" i="18"/>
  <c r="J13" i="17"/>
  <c r="H72" i="18"/>
  <c r="F70" i="18"/>
  <c r="L72" i="18"/>
  <c r="L58" i="18"/>
  <c r="L70" i="18"/>
  <c r="J69" i="18"/>
  <c r="J71" i="18"/>
  <c r="J72" i="18"/>
  <c r="J70" i="18"/>
  <c r="H71" i="18"/>
  <c r="H70" i="18"/>
  <c r="L69" i="18"/>
  <c r="F69" i="18"/>
  <c r="F72" i="18"/>
  <c r="F13" i="17"/>
  <c r="H13" i="17"/>
  <c r="J49" i="18"/>
  <c r="H49" i="18"/>
  <c r="F49" i="18"/>
  <c r="L13" i="17"/>
  <c r="J27" i="17"/>
  <c r="J28" i="17"/>
  <c r="H27" i="17"/>
  <c r="H28" i="17"/>
  <c r="H30" i="17"/>
  <c r="J30" i="17"/>
  <c r="F30" i="17"/>
  <c r="F27" i="17"/>
  <c r="F28" i="17"/>
  <c r="E27" i="16"/>
  <c r="G46" i="16"/>
  <c r="H42" i="18"/>
  <c r="K46" i="16"/>
  <c r="L42" i="18"/>
  <c r="L51" i="18"/>
  <c r="I46" i="16"/>
  <c r="J42" i="18"/>
  <c r="E46" i="16"/>
  <c r="F42" i="18"/>
  <c r="K13" i="17"/>
  <c r="L67" i="18"/>
  <c r="I13" i="17"/>
  <c r="M13" i="17"/>
  <c r="J58" i="18"/>
  <c r="J67" i="18"/>
  <c r="H58" i="18"/>
  <c r="H67" i="18"/>
  <c r="F58" i="18"/>
  <c r="F67" i="18"/>
  <c r="G47" i="16"/>
  <c r="H43" i="18"/>
  <c r="H52" i="18"/>
  <c r="K47" i="16"/>
  <c r="L43" i="18"/>
  <c r="L52" i="18"/>
  <c r="L47" i="18"/>
  <c r="L18" i="17"/>
  <c r="L19" i="17"/>
  <c r="E47" i="16"/>
  <c r="F43" i="18"/>
  <c r="F52" i="18"/>
  <c r="I47" i="16"/>
  <c r="J43" i="18"/>
  <c r="J52" i="18"/>
  <c r="F51" i="18"/>
  <c r="J51" i="18"/>
  <c r="H51" i="18"/>
  <c r="H47" i="18"/>
  <c r="H18" i="17"/>
  <c r="H19" i="17"/>
  <c r="J38" i="18"/>
  <c r="J15" i="17"/>
  <c r="J16" i="17"/>
  <c r="L38" i="18"/>
  <c r="L15" i="17"/>
  <c r="L16" i="17"/>
  <c r="J47" i="18"/>
  <c r="J18" i="17"/>
  <c r="J19" i="17"/>
  <c r="H38" i="18"/>
  <c r="H15" i="17"/>
  <c r="H16" i="17"/>
  <c r="F47" i="18"/>
  <c r="F18" i="17"/>
  <c r="F19" i="17"/>
  <c r="I19" i="17"/>
  <c r="F38" i="18"/>
  <c r="J35" i="17"/>
  <c r="J36" i="17"/>
  <c r="H35" i="17"/>
  <c r="H36" i="17"/>
  <c r="M19" i="17"/>
  <c r="I18" i="17"/>
  <c r="K19" i="17"/>
  <c r="M18" i="17"/>
  <c r="K18" i="17"/>
  <c r="F35" i="17"/>
  <c r="F36" i="17"/>
  <c r="F15" i="17"/>
  <c r="J32" i="17"/>
  <c r="J33" i="17"/>
  <c r="H32" i="17"/>
  <c r="H33" i="17"/>
  <c r="F32" i="17"/>
  <c r="F33" i="17"/>
  <c r="F16" i="17"/>
  <c r="I15" i="17"/>
  <c r="M15" i="17"/>
  <c r="K15" i="17"/>
  <c r="M16" i="17"/>
  <c r="I16" i="17"/>
  <c r="K16"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<sst xmlns="http://schemas.openxmlformats.org/spreadsheetml/2006/main" count="295" uniqueCount="156">
  <si>
    <r>
      <rPr>
        <b/>
        <sz val="36"/>
        <color theme="5"/>
        <rFont val="Arial"/>
        <family val="2"/>
      </rPr>
      <t xml:space="preserve">Pneumococcal conjugate vaccine 
</t>
    </r>
    <r>
      <rPr>
        <sz val="26"/>
        <color rgb="FF000000"/>
        <rFont val="Arial"/>
        <family val="2"/>
      </rPr>
      <t>Cost calculator</t>
    </r>
  </si>
  <si>
    <t>For Gavi-eligible countries</t>
  </si>
  <si>
    <r>
      <t xml:space="preserve">For questions or support, contact PATH's Health Economics &amp; Outcomes Research team: </t>
    </r>
    <r>
      <rPr>
        <u/>
        <sz val="12"/>
        <color rgb="FF000000"/>
        <rFont val="Arial"/>
        <family val="2"/>
      </rPr>
      <t>HEOR@path.org</t>
    </r>
  </si>
  <si>
    <t>Overview</t>
  </si>
  <si>
    <r>
      <rPr>
        <b/>
        <i/>
        <u/>
        <sz val="12"/>
        <color theme="1" tint="-0.499984740745262"/>
        <rFont val="Arial"/>
        <family val="2"/>
      </rPr>
      <t>Disclaimer:</t>
    </r>
    <r>
      <rPr>
        <b/>
        <i/>
        <sz val="12"/>
        <color theme="1" tint="-0.499984740745262"/>
        <rFont val="Arial"/>
        <family val="2"/>
      </rPr>
      <t xml:space="preserve"> The PCV cost calculator for Gavi-eligible countries </t>
    </r>
    <r>
      <rPr>
        <i/>
        <sz val="12"/>
        <color theme="1" tint="-0.499984740745262"/>
        <rFont val="Arial"/>
        <family val="2"/>
      </rPr>
      <t xml:space="preserve">is a tool that aims to inform vaccine introduction or switch decision-making and product selection. It is important to note that cost is only one consideration, and users involved in decision-making around new vaccine introduction/switch or product selection should always consider other dimensions as well. This model is meant to provide insights into the </t>
    </r>
    <r>
      <rPr>
        <b/>
        <i/>
        <sz val="12"/>
        <color theme="1" tint="-0.499984740745262"/>
        <rFont val="Arial"/>
        <family val="2"/>
      </rPr>
      <t>potential</t>
    </r>
    <r>
      <rPr>
        <i/>
        <sz val="12"/>
        <color theme="1" tint="-0.499984740745262"/>
        <rFont val="Arial"/>
        <family val="2"/>
      </rPr>
      <t xml:space="preserve"> costs of alternative product choices and should not replace detailed budget planning once a product has been selected.</t>
    </r>
  </si>
  <si>
    <t>User guide</t>
  </si>
  <si>
    <t>Inputs</t>
  </si>
  <si>
    <t>Purple boxes indicate a dropdown menu from which the user can select a pre-specified choice. Click on the box and a dropdown arrow will appear. Clicking on the arrow will allow the user to select from a menu of options.</t>
  </si>
  <si>
    <t>Green boxes require user inputs. Example data are included in the model, but this information should be revised to reflect the local immunization program and inputs.</t>
  </si>
  <si>
    <t>White cells include information that is fixed and cannot be changed by the user.</t>
  </si>
  <si>
    <t>Immunization program</t>
  </si>
  <si>
    <t>Enter data related to your immunization program: annual target population, annual population growth rate, and expected coverage for each dose in the vaccine schedule.</t>
  </si>
  <si>
    <t>Co-financing</t>
  </si>
  <si>
    <t>PCV options and cost</t>
  </si>
  <si>
    <t>► Select your vaccines of interest from the dropdown menu (option 1 to 4). 
► All default vaccine characteristics are from Gavi's detailed product profiles, including price per dose, number of doses in the schedule, and indicative wastage rate.
► Annual co-financing amount per dose cannot be changed as these are the results of calculations based on the vaccine price and co-financing share provided earlier.
► Enter the expected wastage rate for each presentation and, where applicable, the expected cost of handling, international transportation, and supplies.
► Enter a buffer rate if applicable.</t>
  </si>
  <si>
    <t>Resources</t>
  </si>
  <si>
    <t>Gavi detailed product profiles</t>
  </si>
  <si>
    <t>Handling fees</t>
  </si>
  <si>
    <t>UNICEF website - handling fees</t>
  </si>
  <si>
    <t>Supplies cost</t>
  </si>
  <si>
    <t>UNICEF website - pricing data</t>
  </si>
  <si>
    <t>Vaccine program costs</t>
  </si>
  <si>
    <t>Incremental cost of delivery per dose</t>
  </si>
  <si>
    <t>Immunization Delivery Cost Catalogue</t>
  </si>
  <si>
    <t>Optional scenario analysis for multi-vaccine use</t>
  </si>
  <si>
    <t>This option allows for analyzing the cost of programs involving multiple products used at once in the country by adjusting the proportion for a number of options. For countries using or anticipating using more than one product, the calculator offers the possibility to define three scenarios (A, B, and C) with different combinations of proportion of vaccine use. Each scenario should involve a combination of two or more products with a total proportion that equals 100%.</t>
  </si>
  <si>
    <t>Dashboard</t>
  </si>
  <si>
    <t>The dashboard provides summary results for the country perspective and for scenarios A, B, and C if the optional scenario analysis for multi-vaccine use is populated. Conditional formatting is used to highlight potential savings (green color) and potential losses (red color). Summary results are provided seperately for vaccine cost to the country (i.e., vaccine and supplies procurement and international shipping, without Gavi contribution), for vaccination program costs to the country (i.e., vaccine cost and cost of delivery without Gavi contribution), and for cold chain volume requirements.</t>
  </si>
  <si>
    <t>Results</t>
  </si>
  <si>
    <t>Calculation formulas*</t>
  </si>
  <si>
    <r>
      <rPr>
        <b/>
        <sz val="11"/>
        <color theme="5"/>
        <rFont val="Arial"/>
        <family val="2"/>
      </rPr>
      <t>Pneumococcal conjugate vaccine</t>
    </r>
    <r>
      <rPr>
        <sz val="11"/>
        <color theme="1"/>
        <rFont val="Arial"/>
        <family val="2"/>
      </rPr>
      <t xml:space="preserve"> cost calculator</t>
    </r>
    <r>
      <rPr>
        <sz val="11"/>
        <color theme="5"/>
        <rFont val="Arial"/>
        <family val="2"/>
      </rPr>
      <t xml:space="preserve"> for Gavi-eligible countries</t>
    </r>
  </si>
  <si>
    <t>Start year</t>
  </si>
  <si>
    <t>Expected introduction or switch year</t>
  </si>
  <si>
    <t>Target population</t>
  </si>
  <si>
    <t>children per year</t>
  </si>
  <si>
    <t>Annual population growth rate</t>
  </si>
  <si>
    <t>%</t>
  </si>
  <si>
    <t>Expected coverage dose 1</t>
  </si>
  <si>
    <t>annual coverage</t>
  </si>
  <si>
    <t>Expected coverage dose 2</t>
  </si>
  <si>
    <t>Expected coverage dose 3</t>
  </si>
  <si>
    <t>Gavi transition phase</t>
  </si>
  <si>
    <t>Initial self-financing phase</t>
  </si>
  <si>
    <t>If you selected "Other transition phase," please complete the country co-financing shares below.*</t>
  </si>
  <si>
    <r>
      <t>Country co-financing share</t>
    </r>
    <r>
      <rPr>
        <b/>
        <sz val="12"/>
        <color theme="1"/>
        <rFont val="Calibri"/>
        <family val="2"/>
        <scheme val="minor"/>
      </rPr>
      <t xml:space="preserve"> </t>
    </r>
  </si>
  <si>
    <t>CURRENT or PREFERRED OPTION</t>
  </si>
  <si>
    <t>OPTION 2</t>
  </si>
  <si>
    <t>OPTION 3</t>
  </si>
  <si>
    <t>OPTION 4</t>
  </si>
  <si>
    <t>Select vaccine / presentation &gt;&gt;&gt;</t>
  </si>
  <si>
    <t>SYNFLORIX 
10 valent, 4 doses/vial, liquid</t>
  </si>
  <si>
    <t>PNEUMOSIL 
10 valent, 5 doses/vial, liquid</t>
  </si>
  <si>
    <t>PREVENAR 13 
13 valent, 1 dose/vial, liquid</t>
  </si>
  <si>
    <t>PREVENAR 13 
13 valent, 4 doses/vial, liquid</t>
  </si>
  <si>
    <t>Supply status</t>
  </si>
  <si>
    <t>Price per dose</t>
  </si>
  <si>
    <t>Co-financing per dose</t>
  </si>
  <si>
    <t>Number of doses in schedule</t>
  </si>
  <si>
    <t>Indicative number of doses in schedule</t>
  </si>
  <si>
    <r>
      <t>Cold chain volume per dose
(in cm</t>
    </r>
    <r>
      <rPr>
        <b/>
        <vertAlign val="superscript"/>
        <sz val="12"/>
        <color theme="1"/>
        <rFont val="Arial"/>
        <family val="2"/>
      </rPr>
      <t>3</t>
    </r>
    <r>
      <rPr>
        <b/>
        <sz val="12"/>
        <color theme="1"/>
        <rFont val="Arial"/>
        <family val="2"/>
      </rPr>
      <t>)</t>
    </r>
  </si>
  <si>
    <t>Wastage rate</t>
  </si>
  <si>
    <t>Indicative wastage rate</t>
  </si>
  <si>
    <t>Wastage factor</t>
  </si>
  <si>
    <t>International handling
(% of vaccine price)</t>
  </si>
  <si>
    <t>International transportation
(% of vaccine price)</t>
  </si>
  <si>
    <t>Buffer rate</t>
  </si>
  <si>
    <t>Safety box/bag price</t>
  </si>
  <si>
    <t>Safety box/bag volume</t>
  </si>
  <si>
    <t>Syringe price</t>
  </si>
  <si>
    <t>Vaccination program costs</t>
  </si>
  <si>
    <t>One-time introduction or switch costs
(lump sum or budget in first year)</t>
  </si>
  <si>
    <t>IDCC</t>
  </si>
  <si>
    <t>Click on the + symbol to the left to display</t>
  </si>
  <si>
    <t>SCENARIO A</t>
  </si>
  <si>
    <t>Proportion of vaccine option in use in the program (%)*</t>
  </si>
  <si>
    <t>SCENARIO B</t>
  </si>
  <si>
    <t>SCENARIO C</t>
  </si>
  <si>
    <t>* Reminder: Each scenario must involve a combination of two or more products with a total proportion that equals 100%.</t>
  </si>
  <si>
    <r>
      <rPr>
        <b/>
        <sz val="11"/>
        <color theme="5"/>
        <rFont val="Arial"/>
        <family val="2"/>
      </rPr>
      <t>Pneumococcal conjugate vaccine</t>
    </r>
    <r>
      <rPr>
        <sz val="11"/>
        <color theme="5"/>
        <rFont val="Arial"/>
        <family val="2"/>
      </rPr>
      <t xml:space="preserve"> </t>
    </r>
    <r>
      <rPr>
        <sz val="11"/>
        <color theme="1"/>
        <rFont val="Arial"/>
        <family val="2"/>
      </rPr>
      <t>cost calculator</t>
    </r>
    <r>
      <rPr>
        <sz val="11"/>
        <color theme="5"/>
        <rFont val="Arial"/>
        <family val="2"/>
      </rPr>
      <t xml:space="preserve"> for Gavi-eligible countries</t>
    </r>
  </si>
  <si>
    <t>Dashboard - Main analysis</t>
  </si>
  <si>
    <t xml:space="preserve"> </t>
  </si>
  <si>
    <t>Million doses required</t>
  </si>
  <si>
    <t>5 years</t>
  </si>
  <si>
    <t>Average per year</t>
  </si>
  <si>
    <r>
      <t>Cold chain volume
(in million cm</t>
    </r>
    <r>
      <rPr>
        <b/>
        <vertAlign val="superscript"/>
        <sz val="12"/>
        <color theme="1"/>
        <rFont val="Arial"/>
        <family val="2"/>
      </rPr>
      <t>3</t>
    </r>
    <r>
      <rPr>
        <b/>
        <sz val="12"/>
        <color theme="1"/>
        <rFont val="Arial"/>
        <family val="2"/>
      </rPr>
      <t>)</t>
    </r>
  </si>
  <si>
    <t>Total vaccine cost to country
(in million US$)</t>
  </si>
  <si>
    <t>Total vaccination program cost to country
(in million US$)</t>
  </si>
  <si>
    <t>Percentages indicate the increase or decrease in cold chain volume or cost compared to the current or preferred option.</t>
  </si>
  <si>
    <t>Dashboard - Optional scenario analysis</t>
  </si>
  <si>
    <t xml:space="preserve">Click on the + symbol to the left to display </t>
  </si>
  <si>
    <t>Total vaccine cost
(in million US$)</t>
  </si>
  <si>
    <r>
      <rPr>
        <b/>
        <sz val="11"/>
        <color theme="5"/>
        <rFont val="Arial"/>
        <family val="2"/>
      </rPr>
      <t>Pneumococcal conjugate vaccine</t>
    </r>
    <r>
      <rPr>
        <sz val="11"/>
        <color theme="5"/>
        <rFont val="Arial"/>
        <family val="2"/>
      </rPr>
      <t xml:space="preserve"> </t>
    </r>
    <r>
      <rPr>
        <sz val="11"/>
        <color theme="1"/>
        <rFont val="Arial"/>
        <family val="2"/>
      </rPr>
      <t xml:space="preserve">cost calculator </t>
    </r>
    <r>
      <rPr>
        <sz val="11"/>
        <color theme="5"/>
        <rFont val="Arial"/>
        <family val="2"/>
      </rPr>
      <t>for Gavi-eligible countries</t>
    </r>
  </si>
  <si>
    <t>Results - Main analysis</t>
  </si>
  <si>
    <t>Number of doses delivered</t>
  </si>
  <si>
    <t>Total
for 5 years</t>
  </si>
  <si>
    <r>
      <rPr>
        <b/>
        <sz val="20"/>
        <color theme="0"/>
        <rFont val="Arial"/>
        <family val="2"/>
      </rPr>
      <t>Number of doses required</t>
    </r>
    <r>
      <rPr>
        <b/>
        <sz val="12"/>
        <color theme="0"/>
        <rFont val="Arial"/>
        <family val="2"/>
      </rPr>
      <t xml:space="preserve">
</t>
    </r>
    <r>
      <rPr>
        <i/>
        <sz val="10"/>
        <color theme="0"/>
        <rFont val="Arial"/>
        <family val="2"/>
      </rPr>
      <t>includes buffer doses and doses wasted</t>
    </r>
    <r>
      <rPr>
        <b/>
        <sz val="12"/>
        <color theme="0"/>
        <rFont val="Arial"/>
        <family val="2"/>
      </rPr>
      <t xml:space="preserve"> </t>
    </r>
  </si>
  <si>
    <r>
      <rPr>
        <b/>
        <sz val="20"/>
        <color theme="0"/>
        <rFont val="Arial"/>
        <family val="2"/>
      </rPr>
      <t>Cold chain volume required</t>
    </r>
    <r>
      <rPr>
        <b/>
        <sz val="12"/>
        <color theme="0"/>
        <rFont val="Arial"/>
        <family val="2"/>
      </rPr>
      <t xml:space="preserve">
</t>
    </r>
    <r>
      <rPr>
        <i/>
        <sz val="10"/>
        <color theme="0"/>
        <rFont val="Arial"/>
        <family val="2"/>
      </rPr>
      <t>in cm</t>
    </r>
    <r>
      <rPr>
        <i/>
        <vertAlign val="superscript"/>
        <sz val="10"/>
        <color theme="0"/>
        <rFont val="Arial"/>
        <family val="2"/>
      </rPr>
      <t>3</t>
    </r>
  </si>
  <si>
    <t>Cost to country</t>
  </si>
  <si>
    <r>
      <rPr>
        <b/>
        <sz val="20"/>
        <color theme="0"/>
        <rFont val="Arial"/>
        <family val="2"/>
      </rPr>
      <t>Vaccine cost to country</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</si>
  <si>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t>
    </r>
    <r>
      <rPr>
        <b/>
        <sz val="12"/>
        <color theme="0"/>
        <rFont val="Arial"/>
        <family val="2"/>
      </rPr>
      <t xml:space="preserve">
</t>
    </r>
    <r>
      <rPr>
        <i/>
        <sz val="10"/>
        <color theme="0"/>
        <rFont val="Arial"/>
        <family val="2"/>
      </rPr>
      <t>Vaccine cost + cost of delivery</t>
    </r>
  </si>
  <si>
    <t>Cost to country + Gavi</t>
  </si>
  <si>
    <r>
      <rPr>
        <b/>
        <sz val="20"/>
        <color theme="0"/>
        <rFont val="Arial"/>
        <family val="2"/>
      </rPr>
      <t>Vaccine cost to country + Gavi</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</si>
  <si>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 + Gavi</t>
    </r>
    <r>
      <rPr>
        <b/>
        <sz val="12"/>
        <color theme="0"/>
        <rFont val="Arial"/>
        <family val="2"/>
      </rPr>
      <t xml:space="preserve">
</t>
    </r>
    <r>
      <rPr>
        <i/>
        <sz val="10"/>
        <color theme="0"/>
        <rFont val="Arial"/>
        <family val="2"/>
      </rPr>
      <t>Vaccine cost + cost of delivery</t>
    </r>
  </si>
  <si>
    <t>Vaccine and presentation</t>
  </si>
  <si>
    <t>Doses in schedule</t>
  </si>
  <si>
    <t>Wastage</t>
  </si>
  <si>
    <t>Cold chain volume (cm3) per dose</t>
  </si>
  <si>
    <t>Disclaimer</t>
  </si>
  <si>
    <t>Supply exceeds demand</t>
  </si>
  <si>
    <t>PNEUMOSIL 
10 valent, 1 dose/vial, liquid</t>
  </si>
  <si>
    <t>Version</t>
  </si>
  <si>
    <t xml:space="preserve">Date </t>
  </si>
  <si>
    <t>Comment</t>
  </si>
  <si>
    <t>Feb 2 2022</t>
  </si>
  <si>
    <t>Changed formula in Model inputs row 31 to 35 to account for ISF Co financing = 0.4/3 for 3 dose vaccines</t>
  </si>
  <si>
    <t>Aug 17 2022</t>
  </si>
  <si>
    <t>Made changes in wastage rates and disclaimers based on updated Gavi RVV DPP slidedeck</t>
  </si>
  <si>
    <t>Feb 2 2023</t>
  </si>
  <si>
    <t>Adjustments made to ROTARIX price and wastage rate update for option 2</t>
  </si>
  <si>
    <t>Decembre 2025</t>
  </si>
  <si>
    <t>Text adjustment to Read me first (vacciantion program costs)</t>
  </si>
  <si>
    <t>Accounting for new ELTRACO policy for ISF country (7% co fi)</t>
  </si>
  <si>
    <t>Vaccination program costs include vaccine costs plus cost of delivery. Cost of delivery should capture additional expenditures required to administer vaccines, other than the direct cost of vaccine procurement and commodities. This encompasses expenditures such as per diem, travel allowances, cold chain equipment, vehicles, transport, and fuel, etc. Any cost already incurred by the immunization system (shared costs) can be excluded. For example, the cost of transporting PCV should not be included if this is part of the same transport used to deliver other vaccines. You can separately enter introduction or switch costs (lump sum in the first year) and/or a cost per dose delivered (applied every year).</t>
  </si>
  <si>
    <t>The results worksheet presents cost information annually, as well as a total over five years, for each vaccine option indicated in the inputs worksheet, and for both perspectives. Results are provided seperately for cold chain volume requirements, for vaccine cost (i.e., vaccine and supplies procurement and international shipping), and for vaccination program costs (i.e., vaccine cost plus cost of delivery). Estimates are provided seperately for country cost and for country + Gavi cost.</t>
  </si>
  <si>
    <t>Allows for analysing 1+1 programs</t>
  </si>
  <si>
    <t>Added PNEUBEVAX 14 product</t>
  </si>
  <si>
    <t>Needs planning</t>
  </si>
  <si>
    <t>PNEUBEVAX 14 
14 valent, 5 dose/vial, liquid</t>
  </si>
  <si>
    <t>Are you planning a new vaccine introduction or a product switch</t>
  </si>
  <si>
    <t>Preparatory transition</t>
  </si>
  <si>
    <t>Accelerated transition</t>
  </si>
  <si>
    <t>New introduction</t>
  </si>
  <si>
    <t>Product switch</t>
  </si>
  <si>
    <t>Indicate whether you are planning a new vaccine introduction or a product switch in an existing vaccination program.</t>
  </si>
  <si>
    <t>Introduction/Switch year in accelerated transition phase</t>
  </si>
  <si>
    <t>Price fraction applied to other vaccines in the portfolio in the introduction/switch year</t>
  </si>
  <si>
    <t>Y1</t>
  </si>
  <si>
    <t>Y2</t>
  </si>
  <si>
    <t>Y3</t>
  </si>
  <si>
    <t>Y4</t>
  </si>
  <si>
    <t>Y5</t>
  </si>
  <si>
    <t>Y6</t>
  </si>
  <si>
    <t>Y7</t>
  </si>
  <si>
    <t>Y8</t>
  </si>
  <si>
    <t>Y9</t>
  </si>
  <si>
    <t>Updated co financing functionality and calculations to align with recent HPV tool</t>
  </si>
  <si>
    <t>Updated co financing text on Read me first</t>
  </si>
  <si>
    <t>Insert % of vaccine price per dose or "price fraction" that applied to other vaccines in the portfolio in the introduction/switch year.
If you do not know your country co-financing share, contact your Senior Country Manager at Gavi.</t>
  </si>
  <si>
    <r>
      <t xml:space="preserve">If you selected "Accelerated transition," indicate which year your country will be in this phase when starting the vaccination program or switching products. This value should be from 1 to 8. 
</t>
    </r>
    <r>
      <rPr>
        <b/>
        <sz val="12"/>
        <color theme="1"/>
        <rFont val="Arial"/>
        <family val="2"/>
      </rPr>
      <t>NOTE: This field is not used in results calculations if you selected "Initial self-financing" above.</t>
    </r>
  </si>
  <si>
    <t xml:space="preserve">Indicate if your country is currently in the Gavi initial self-financing phase, preparatory transition phase, or accelerated transition phase.
► If your country is in the Gavi initial self-financing phase, calculations of co-financing will be automatic, displaying co-financing per dose as per Gavi's ELTRACO policy which starts in 2026 (i.e., 7% of PCV vaccine price per dose).
► If your country is in the preparatory transition or accelerated transition phase, enter your country’s co-financing share applied to other vaccines of the portfolio in the introduction or switch year. If you are not aware of your country co-financing share, please contact your Senior Country Manager at Gavi for this information.
► If your country is in the accelerated transition phase, indicate whether your country is planning for a new vaccine introduction or product switch for an existing vaccination program. Then, enter the year your country will be in the accelerated transition phase when starting the new vaccination program or switching products. </t>
  </si>
  <si>
    <t>*If your country is scheduled to move from one transition phase to another during the five-year period, contact HEOR@path.org to discuss how to set up the model.</t>
  </si>
  <si>
    <t>Updated disclaimer in inputs G21</t>
  </si>
  <si>
    <r>
      <t xml:space="preserve">The </t>
    </r>
    <r>
      <rPr>
        <b/>
        <sz val="14"/>
        <color theme="1" tint="-0.499984740745262"/>
        <rFont val="Arial"/>
        <family val="2"/>
      </rPr>
      <t xml:space="preserve">Pneumococcal conjugate vaccine (PCV) cost calculator for Gavi-eligible countries </t>
    </r>
    <r>
      <rPr>
        <sz val="14"/>
        <color theme="1" tint="-0.499984740745262"/>
        <rFont val="Arial"/>
        <family val="2"/>
      </rPr>
      <t xml:space="preserve">is a simple tool for assessing and comparing financial costs of PCV vaccination programs with each PCV product supported by Gavi, the Vaccine Alliance. It aims to help national-level policy-makers in countries eligible for Gavi support to compare products and estimate vaccination program costs for different PCVs, exploring up to four different vaccine options at a time. 
The tool calculates cold chain volume and costs annually and for a total period of five years. Cost estimates are composed of vaccine cost (i.e., vaccine and supplies procurement and international shipping) and vaccination program costs (i.e., vaccine cost </t>
    </r>
    <r>
      <rPr>
        <sz val="14"/>
        <rFont val="Arial"/>
        <family val="2"/>
      </rPr>
      <t>plus</t>
    </r>
    <r>
      <rPr>
        <sz val="14"/>
        <color theme="1" tint="-0.499984740745262"/>
        <rFont val="Arial"/>
        <family val="2"/>
      </rPr>
      <t xml:space="preserve"> cost of delivery). Cost estimates are provided separately for two perspectives: (1) the country perspective and (2) the combined country and Gavi perspective. The country perspective accounts only for what is paid from the country budget, while the country and Gavi perspective also accounts for Gavi co-financing of vaccines. Cold chain volume estimates are calculated from total doses required and World Health Organization prequalification information on cold chain volume per dose, which account for buffer and wastage but not necessarily "dead" space or space needed at different levels.</t>
    </r>
  </si>
  <si>
    <r>
      <rPr>
        <b/>
        <sz val="12"/>
        <color theme="1"/>
        <rFont val="Arial"/>
        <family val="2"/>
      </rPr>
      <t xml:space="preserve">Number of doses delivered </t>
    </r>
    <r>
      <rPr>
        <sz val="12"/>
        <color theme="1"/>
        <rFont val="Arial"/>
        <family val="2"/>
      </rPr>
      <t xml:space="preserve">= Target population x coverage D1 + target population x coverage D2 + target population x coverage D3 (if applicable)
</t>
    </r>
    <r>
      <rPr>
        <b/>
        <sz val="12"/>
        <color theme="1"/>
        <rFont val="Arial"/>
        <family val="2"/>
      </rPr>
      <t>Total doses required</t>
    </r>
    <r>
      <rPr>
        <sz val="12"/>
        <color theme="1"/>
        <rFont val="Arial"/>
        <family val="2"/>
      </rPr>
      <t xml:space="preserve"> = Number of doses delivered x wastage factor + optional buffer doses
</t>
    </r>
    <r>
      <rPr>
        <b/>
        <sz val="12"/>
        <color theme="1"/>
        <rFont val="Arial"/>
        <family val="2"/>
      </rPr>
      <t>Total cold chain volume required</t>
    </r>
    <r>
      <rPr>
        <sz val="12"/>
        <color theme="1"/>
        <rFont val="Arial"/>
        <family val="2"/>
      </rPr>
      <t xml:space="preserve"> = Cold chain volume per dose in cm3 x total doses required
</t>
    </r>
    <r>
      <rPr>
        <b/>
        <sz val="12"/>
        <color theme="1"/>
        <rFont val="Arial"/>
        <family val="2"/>
      </rPr>
      <t>Wastage factor</t>
    </r>
    <r>
      <rPr>
        <sz val="12"/>
        <color theme="1"/>
        <rFont val="Arial"/>
        <family val="2"/>
      </rPr>
      <t xml:space="preserve"> = (1 / (1 - wastage rate))
</t>
    </r>
    <r>
      <rPr>
        <b/>
        <sz val="12"/>
        <color theme="1"/>
        <rFont val="Arial"/>
        <family val="2"/>
      </rPr>
      <t>Vaccine cost (country cost)</t>
    </r>
    <r>
      <rPr>
        <sz val="12"/>
        <color theme="1"/>
        <rFont val="Arial"/>
        <family val="2"/>
      </rPr>
      <t xml:space="preserve"> = Total doses required x (co-financing amount per dose + co-financing amount per dose x international handling + co-financing amount per dose x international transportation) + (number of doses delivered / volume of safety box/bag x price of safety box/bag) + (number of doses administered x price of a syringe)
</t>
    </r>
    <r>
      <rPr>
        <b/>
        <sz val="12"/>
        <color theme="1"/>
        <rFont val="Arial"/>
        <family val="2"/>
      </rPr>
      <t>Vaccine cost (country + Gavi cost)</t>
    </r>
    <r>
      <rPr>
        <sz val="12"/>
        <color theme="1"/>
        <rFont val="Arial"/>
        <family val="2"/>
      </rPr>
      <t xml:space="preserve"> = Total doses required x (price per dose + price per dose x international handling + price per dose x international transportation) + (number of doses delivered / volume of safety box/bag x price of safety box/bag) + (number of doses administered x price of a syringe)
</t>
    </r>
    <r>
      <rPr>
        <b/>
        <sz val="12"/>
        <color theme="1"/>
        <rFont val="Arial"/>
        <family val="2"/>
      </rPr>
      <t>Vaccination program cost (country cost)</t>
    </r>
    <r>
      <rPr>
        <sz val="12"/>
        <color theme="1"/>
        <rFont val="Arial"/>
        <family val="2"/>
      </rPr>
      <t xml:space="preserve"> = Vaccine cost + number of doses delivered x incremental cost of delivery per dose + introduction or switching costs (only in Year 1)
</t>
    </r>
    <r>
      <rPr>
        <b/>
        <sz val="12"/>
        <color theme="1"/>
        <rFont val="Arial"/>
        <family val="2"/>
      </rPr>
      <t>Vaccination program cost</t>
    </r>
    <r>
      <rPr>
        <sz val="12"/>
        <color theme="1"/>
        <rFont val="Arial"/>
        <family val="2"/>
      </rPr>
      <t xml:space="preserve"> </t>
    </r>
    <r>
      <rPr>
        <b/>
        <sz val="12"/>
        <color theme="1"/>
        <rFont val="Arial"/>
        <family val="2"/>
      </rPr>
      <t xml:space="preserve"> (country + Gavi cost)</t>
    </r>
    <r>
      <rPr>
        <sz val="12"/>
        <color theme="1"/>
        <rFont val="Arial"/>
        <family val="2"/>
      </rPr>
      <t xml:space="preserve"> = Number of doses delivered x incremental cost of delivery per dose + introduction or switching costs (only in Year 1)
* x = multiply</t>
    </r>
  </si>
  <si>
    <t>Version 3.2 / June 2026</t>
  </si>
  <si>
    <t>Updated Price data for PCV SII 4 dose, PREVNAR 4 dose 2030, PNEUBEVAX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</si>
</sst>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409]#,##0.00"/>
  </numFmts>
  <fonts count="88"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b/>
      <sz val="36"/>
      <color theme="5"/>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sz val="14"/>
      <name val="Arial"/>
      <family val="2"/>
    </font>
    <font>
      <sz val="8"/>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5">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8" fontId="0" fillId="0" borderId="0" xfId="0" applyNumberFormat="1" applyAlignment="1">
      <alignment horizontal="center" vertical="center"/>
    </xf>
    <xf numFmtId="16" fontId="0" fillId="0" borderId="0" xfId="0" applyNumberForma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2" fillId="2" borderId="0" xfId="0" applyFont="1" applyFill="1" applyAlignment="1" applyProtection="1">
      <alignment horizontal="center" vertical="center"/>
      <protection hidden="1"/>
    </xf>
    <xf numFmtId="0" fontId="32" fillId="2" borderId="1" xfId="0" applyFont="1" applyFill="1" applyBorder="1" applyAlignment="1" applyProtection="1">
      <alignment horizontal="center" vertical="center"/>
      <protection hidden="1"/>
    </xf>
    <xf numFmtId="9" fontId="33" fillId="2" borderId="0" xfId="0" applyNumberFormat="1"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9" fontId="33" fillId="2" borderId="0" xfId="2" applyFont="1" applyFill="1" applyBorder="1" applyAlignment="1" applyProtection="1">
      <alignment horizontal="center" vertical="center"/>
      <protection hidden="1"/>
    </xf>
    <xf numFmtId="0" fontId="34" fillId="2"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protection hidden="1"/>
    </xf>
    <xf numFmtId="0" fontId="35" fillId="10" borderId="0" xfId="0" applyFont="1" applyFill="1" applyAlignment="1" applyProtection="1">
      <alignment horizontal="left" vertical="center" wrapText="1"/>
      <protection hidden="1"/>
    </xf>
    <xf numFmtId="9" fontId="33" fillId="10" borderId="0" xfId="0" applyNumberFormat="1" applyFont="1" applyFill="1" applyAlignment="1" applyProtection="1">
      <alignment horizontal="center" vertical="center"/>
      <protection locked="0"/>
    </xf>
    <xf numFmtId="9" fontId="37" fillId="5" borderId="1" xfId="0" applyNumberFormat="1" applyFont="1" applyFill="1" applyBorder="1" applyAlignment="1" applyProtection="1">
      <alignment horizontal="center" vertical="center"/>
      <protection locked="0"/>
    </xf>
    <xf numFmtId="0" fontId="37" fillId="10" borderId="0" xfId="0" applyFont="1" applyFill="1" applyAlignment="1" applyProtection="1">
      <alignment horizontal="center" vertical="center"/>
      <protection hidden="1"/>
    </xf>
    <xf numFmtId="9" fontId="37" fillId="5" borderId="1" xfId="2" applyFont="1" applyFill="1" applyBorder="1" applyAlignment="1" applyProtection="1">
      <alignment horizontal="center" vertical="center"/>
      <protection locked="0"/>
    </xf>
    <xf numFmtId="9" fontId="33" fillId="10" borderId="0" xfId="0" applyNumberFormat="1" applyFont="1" applyFill="1" applyAlignment="1" applyProtection="1">
      <alignment horizontal="center" vertical="center"/>
      <protection hidden="1"/>
    </xf>
    <xf numFmtId="0" fontId="33" fillId="10" borderId="0" xfId="0" applyFont="1" applyFill="1" applyAlignment="1" applyProtection="1">
      <alignment horizontal="center" vertical="center"/>
      <protection hidden="1"/>
    </xf>
    <xf numFmtId="9" fontId="33" fillId="10" borderId="0" xfId="2" applyFont="1" applyFill="1" applyBorder="1" applyAlignment="1" applyProtection="1">
      <alignment horizontal="center" vertical="center"/>
      <protection hidden="1"/>
    </xf>
    <xf numFmtId="0" fontId="34" fillId="10" borderId="0" xfId="0" applyFont="1" applyFill="1" applyAlignment="1" applyProtection="1">
      <alignment horizontal="center" vertical="center" wrapText="1"/>
      <protection hidden="1"/>
    </xf>
    <xf numFmtId="0" fontId="38" fillId="10" borderId="0" xfId="0" applyFont="1" applyFill="1" applyAlignment="1" applyProtection="1">
      <alignment horizontal="center" vertical="center"/>
      <protection hidden="1"/>
    </xf>
    <xf numFmtId="164" fontId="32" fillId="2"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hidden="1"/>
    </xf>
    <xf numFmtId="0" fontId="39" fillId="10" borderId="0" xfId="0" applyFont="1" applyFill="1" applyAlignment="1" applyProtection="1">
      <alignment horizontal="center" vertical="center"/>
      <protection hidden="1"/>
    </xf>
    <xf numFmtId="0" fontId="40"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1" fillId="10" borderId="2" xfId="0" applyFont="1" applyFill="1" applyBorder="1" applyAlignment="1" applyProtection="1">
      <alignment horizontal="left"/>
      <protection hidden="1"/>
    </xf>
    <xf numFmtId="0" fontId="32"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2" fillId="11" borderId="0" xfId="0" applyFont="1" applyFill="1" applyAlignment="1" applyProtection="1">
      <alignment horizontal="center" vertical="center"/>
      <protection hidden="1"/>
    </xf>
    <xf numFmtId="0" fontId="32"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3"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12" fillId="2" borderId="8" xfId="3"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3" fillId="10" borderId="0" xfId="0" applyNumberFormat="1" applyFont="1" applyFill="1" applyAlignment="1" applyProtection="1">
      <alignment horizontal="center" vertical="center" wrapText="1"/>
      <protection locked="0"/>
    </xf>
    <xf numFmtId="165" fontId="9" fillId="13" borderId="6" xfId="0" applyNumberFormat="1" applyFont="1" applyFill="1" applyBorder="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165" fontId="9" fillId="13" borderId="1" xfId="0" applyNumberFormat="1"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3" fillId="10" borderId="0" xfId="0" applyFont="1" applyFill="1" applyAlignment="1" applyProtection="1">
      <alignment vertical="center"/>
      <protection hidden="1"/>
    </xf>
    <xf numFmtId="0" fontId="44" fillId="10" borderId="0" xfId="0" applyFont="1" applyFill="1" applyAlignment="1" applyProtection="1">
      <alignment horizontal="center" vertical="center"/>
      <protection hidden="1"/>
    </xf>
    <xf numFmtId="0" fontId="32"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3"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3" fillId="10" borderId="12" xfId="2" applyNumberFormat="1" applyFont="1" applyFill="1" applyBorder="1" applyAlignment="1" applyProtection="1">
      <alignment horizontal="center" vertical="center"/>
      <protection locked="0"/>
    </xf>
    <xf numFmtId="164" fontId="9" fillId="13" borderId="1"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164" fontId="9" fillId="13" borderId="4" xfId="2" applyNumberFormat="1" applyFont="1" applyFill="1" applyBorder="1" applyAlignment="1" applyProtection="1">
      <alignment horizontal="center" vertical="center"/>
      <protection locked="0"/>
    </xf>
    <xf numFmtId="164" fontId="9" fillId="13" borderId="3"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3"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3"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3" fillId="10" borderId="0" xfId="0" applyNumberFormat="1" applyFont="1" applyFill="1" applyAlignment="1" applyProtection="1">
      <alignment horizontal="center" vertical="center"/>
      <protection hidden="1"/>
    </xf>
    <xf numFmtId="2" fontId="37" fillId="2" borderId="1" xfId="0" applyNumberFormat="1" applyFont="1" applyFill="1" applyBorder="1" applyAlignment="1" applyProtection="1">
      <alignment horizontal="center" vertical="center"/>
      <protection hidden="1"/>
    </xf>
    <xf numFmtId="2" fontId="37" fillId="10" borderId="0" xfId="0" applyNumberFormat="1" applyFont="1" applyFill="1" applyAlignment="1" applyProtection="1">
      <alignment horizontal="center" vertical="center"/>
      <protection hidden="1"/>
    </xf>
    <xf numFmtId="0" fontId="32" fillId="0" borderId="0" xfId="0" applyFont="1" applyAlignment="1" applyProtection="1">
      <alignment horizontal="center" vertical="center"/>
      <protection hidden="1"/>
    </xf>
    <xf numFmtId="9" fontId="45" fillId="10" borderId="12" xfId="2" applyFont="1" applyFill="1" applyBorder="1" applyAlignment="1" applyProtection="1">
      <alignment horizontal="center" vertical="center"/>
      <protection hidden="1"/>
    </xf>
    <xf numFmtId="9" fontId="46" fillId="0" borderId="8" xfId="2" applyFont="1" applyFill="1" applyBorder="1" applyAlignment="1" applyProtection="1">
      <alignment horizontal="center" vertical="center"/>
      <protection hidden="1"/>
    </xf>
    <xf numFmtId="9" fontId="46" fillId="10" borderId="7" xfId="2" applyFont="1" applyFill="1" applyBorder="1" applyAlignment="1" applyProtection="1">
      <alignment horizontal="center" vertical="center"/>
      <protection hidden="1"/>
    </xf>
    <xf numFmtId="9" fontId="46" fillId="0" borderId="15" xfId="2" applyFont="1" applyFill="1" applyBorder="1" applyAlignment="1" applyProtection="1">
      <alignment horizontal="center" vertical="center"/>
      <protection hidden="1"/>
    </xf>
    <xf numFmtId="9" fontId="46" fillId="0" borderId="14" xfId="2" applyFont="1" applyFill="1" applyBorder="1" applyAlignment="1" applyProtection="1">
      <alignment horizontal="center" vertical="center"/>
      <protection hidden="1"/>
    </xf>
    <xf numFmtId="0" fontId="47"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3" fillId="10" borderId="12" xfId="2" applyNumberFormat="1" applyFont="1" applyFill="1" applyBorder="1" applyAlignment="1" applyProtection="1">
      <alignment horizontal="center" vertical="center"/>
      <protection locked="0"/>
    </xf>
    <xf numFmtId="2" fontId="37" fillId="10" borderId="7" xfId="2" applyNumberFormat="1" applyFont="1" applyFill="1" applyBorder="1" applyAlignment="1" applyProtection="1">
      <alignment horizontal="center" vertical="center"/>
      <protection hidden="1"/>
    </xf>
    <xf numFmtId="1" fontId="37" fillId="2" borderId="14" xfId="2" applyNumberFormat="1" applyFont="1" applyFill="1" applyBorder="1" applyAlignment="1" applyProtection="1">
      <alignment horizontal="center" vertical="center"/>
      <protection hidden="1"/>
    </xf>
    <xf numFmtId="1" fontId="37"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3"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0" fontId="43"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3" fillId="10" borderId="0" xfId="0" applyFont="1" applyFill="1" applyAlignment="1" applyProtection="1">
      <alignment horizontal="center" vertical="center" wrapText="1"/>
      <protection locked="0"/>
    </xf>
    <xf numFmtId="0" fontId="37" fillId="10" borderId="0" xfId="0" applyFont="1" applyFill="1" applyAlignment="1" applyProtection="1">
      <alignment vertical="center" wrapText="1"/>
      <protection hidden="1"/>
    </xf>
    <xf numFmtId="0" fontId="37" fillId="5" borderId="1" xfId="0" applyFont="1" applyFill="1" applyBorder="1" applyAlignment="1" applyProtection="1">
      <alignment horizontal="center" vertical="center" wrapText="1"/>
      <protection locked="0"/>
    </xf>
    <xf numFmtId="0" fontId="42"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9" fillId="10" borderId="15" xfId="0" applyFont="1" applyFill="1" applyBorder="1" applyAlignment="1" applyProtection="1">
      <alignment vertical="center"/>
      <protection hidden="1"/>
    </xf>
    <xf numFmtId="0" fontId="32" fillId="2" borderId="0" xfId="0" applyFont="1" applyFill="1" applyAlignment="1" applyProtection="1">
      <alignment vertical="center" wrapText="1"/>
      <protection hidden="1"/>
    </xf>
    <xf numFmtId="0" fontId="32" fillId="10" borderId="0" xfId="0" applyFont="1" applyFill="1" applyAlignment="1" applyProtection="1">
      <alignment vertical="center" wrapText="1"/>
      <protection hidden="1"/>
    </xf>
    <xf numFmtId="0" fontId="50" fillId="10" borderId="0" xfId="0" applyFont="1" applyFill="1" applyAlignment="1" applyProtection="1">
      <alignment horizontal="center" vertical="center" wrapText="1"/>
      <protection hidden="1"/>
    </xf>
    <xf numFmtId="9" fontId="51" fillId="10" borderId="0" xfId="2" applyFont="1" applyFill="1" applyBorder="1" applyAlignment="1" applyProtection="1">
      <alignment horizontal="center" vertical="center"/>
      <protection hidden="1"/>
    </xf>
    <xf numFmtId="0" fontId="52"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3" fillId="10" borderId="0" xfId="0" applyFont="1" applyFill="1" applyAlignment="1" applyProtection="1">
      <alignment horizontal="left" vertical="center" wrapText="1"/>
      <protection hidden="1"/>
    </xf>
    <xf numFmtId="9" fontId="53" fillId="2" borderId="3" xfId="2" applyFont="1" applyFill="1" applyBorder="1" applyAlignment="1" applyProtection="1">
      <alignment horizontal="center" vertical="center"/>
      <protection hidden="1"/>
    </xf>
    <xf numFmtId="0" fontId="32" fillId="10" borderId="0" xfId="0" applyFont="1" applyFill="1" applyAlignment="1" applyProtection="1">
      <alignment vertical="center"/>
      <protection hidden="1"/>
    </xf>
    <xf numFmtId="9" fontId="33"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3"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3" fillId="10" borderId="0" xfId="0" applyFont="1" applyFill="1" applyAlignment="1" applyProtection="1">
      <alignment horizontal="left" vertical="center"/>
      <protection hidden="1"/>
    </xf>
    <xf numFmtId="0" fontId="33"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3" fillId="2" borderId="0" xfId="0" applyFont="1" applyFill="1" applyAlignment="1" applyProtection="1">
      <alignment horizontal="center" vertical="center"/>
      <protection hidden="1"/>
    </xf>
    <xf numFmtId="0" fontId="43" fillId="10" borderId="0" xfId="0" applyFont="1" applyFill="1" applyAlignment="1" applyProtection="1">
      <alignment horizontal="center" vertical="center"/>
      <protection hidden="1"/>
    </xf>
    <xf numFmtId="0" fontId="43" fillId="10" borderId="0" xfId="0" applyFont="1" applyFill="1" applyAlignment="1" applyProtection="1">
      <alignment horizontal="left" vertical="center"/>
      <protection hidden="1"/>
    </xf>
    <xf numFmtId="0" fontId="38" fillId="2" borderId="0" xfId="0" applyFont="1" applyFill="1" applyAlignment="1" applyProtection="1">
      <alignment horizontal="right" vertical="center"/>
      <protection hidden="1"/>
    </xf>
    <xf numFmtId="0" fontId="38" fillId="10" borderId="0" xfId="0" applyFont="1" applyFill="1" applyAlignment="1" applyProtection="1">
      <alignment horizontal="right" vertical="center"/>
      <protection hidden="1"/>
    </xf>
    <xf numFmtId="0" fontId="38" fillId="10" borderId="0" xfId="0" applyFont="1" applyFill="1" applyAlignment="1" applyProtection="1">
      <alignment vertical="center"/>
      <protection hidden="1"/>
    </xf>
    <xf numFmtId="0" fontId="54" fillId="14" borderId="0" xfId="0" applyFont="1" applyFill="1" applyAlignment="1" applyProtection="1">
      <alignment horizontal="center" vertical="center"/>
      <protection hidden="1"/>
    </xf>
    <xf numFmtId="0" fontId="32" fillId="14" borderId="0" xfId="0" applyFont="1" applyFill="1" applyAlignment="1" applyProtection="1">
      <alignment horizontal="center" vertical="center"/>
      <protection hidden="1"/>
    </xf>
    <xf numFmtId="0" fontId="56" fillId="2" borderId="0" xfId="0" applyFont="1" applyFill="1" applyAlignment="1" applyProtection="1">
      <alignment horizontal="left" vertical="center" wrapText="1"/>
      <protection hidden="1"/>
    </xf>
    <xf numFmtId="0" fontId="57" fillId="10" borderId="0" xfId="0" applyFont="1" applyFill="1" applyAlignment="1" applyProtection="1">
      <alignment vertical="center"/>
      <protection hidden="1"/>
    </xf>
    <xf numFmtId="0" fontId="46" fillId="10" borderId="0" xfId="0" applyFont="1" applyFill="1" applyAlignment="1" applyProtection="1">
      <alignment horizontal="left" vertical="center"/>
      <protection hidden="1"/>
    </xf>
    <xf numFmtId="0" fontId="46" fillId="2"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32" fillId="0" borderId="0" xfId="0" applyFont="1"/>
    <xf numFmtId="0" fontId="32"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2" borderId="0" xfId="0" applyNumberFormat="1" applyFont="1" applyFill="1" applyAlignment="1">
      <alignment horizontal="center" vertical="center"/>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9" fillId="2" borderId="1" xfId="0" applyFont="1" applyFill="1" applyBorder="1" applyAlignment="1" applyProtection="1">
      <alignment horizontal="center" vertical="center" wrapText="1"/>
      <protection hidden="1"/>
    </xf>
    <xf numFmtId="164" fontId="23" fillId="2" borderId="2" xfId="0" applyNumberFormat="1" applyFont="1" applyFill="1" applyBorder="1" applyAlignment="1">
      <alignment horizontal="center" vertical="center"/>
    </xf>
    <xf numFmtId="0" fontId="59"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9" fillId="2" borderId="0" xfId="0" applyNumberFormat="1" applyFont="1" applyFill="1" applyAlignment="1" applyProtection="1">
      <alignment horizontal="center" vertical="center"/>
      <protection locked="0"/>
    </xf>
    <xf numFmtId="164" fontId="39" fillId="8" borderId="0" xfId="0" applyNumberFormat="1" applyFont="1" applyFill="1" applyAlignment="1" applyProtection="1">
      <alignment horizontal="center" vertical="center"/>
      <protection hidden="1"/>
    </xf>
    <xf numFmtId="164" fontId="39" fillId="2" borderId="0" xfId="0" applyNumberFormat="1" applyFont="1" applyFill="1" applyAlignment="1" applyProtection="1">
      <alignment horizontal="center" vertical="center"/>
      <protection hidden="1"/>
    </xf>
    <xf numFmtId="164" fontId="39"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60"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2" fillId="8" borderId="0" xfId="2" applyFont="1" applyFill="1" applyBorder="1" applyAlignment="1" applyProtection="1">
      <alignment horizontal="left" vertical="center"/>
      <protection hidden="1"/>
    </xf>
    <xf numFmtId="9" fontId="63"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9" fillId="8" borderId="0" xfId="0" applyFont="1" applyFill="1" applyAlignment="1" applyProtection="1">
      <alignment horizontal="right" vertical="center" wrapText="1"/>
      <protection hidden="1"/>
    </xf>
    <xf numFmtId="9" fontId="62" fillId="8" borderId="0" xfId="2" applyFont="1" applyFill="1" applyBorder="1" applyAlignment="1" applyProtection="1">
      <alignment horizontal="left" vertical="center"/>
      <protection locked="0" hidden="1"/>
    </xf>
    <xf numFmtId="2" fontId="35" fillId="8" borderId="0" xfId="2" applyNumberFormat="1" applyFont="1" applyFill="1" applyBorder="1" applyAlignment="1" applyProtection="1">
      <alignment horizontal="center" vertical="center"/>
    </xf>
    <xf numFmtId="9" fontId="63" fillId="8" borderId="0" xfId="2" applyFont="1" applyFill="1" applyBorder="1" applyAlignment="1" applyProtection="1">
      <alignment horizontal="left" vertical="center"/>
      <protection locked="0" hidden="1"/>
    </xf>
    <xf numFmtId="2" fontId="63"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2" fillId="0" borderId="0" xfId="0" applyNumberFormat="1" applyFont="1"/>
    <xf numFmtId="2" fontId="64" fillId="8" borderId="0" xfId="1" applyNumberFormat="1" applyFont="1" applyFill="1" applyBorder="1" applyAlignment="1" applyProtection="1">
      <alignment horizontal="center" vertical="center"/>
      <protection locked="0" hidden="1"/>
    </xf>
    <xf numFmtId="2" fontId="35"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9" fillId="0" borderId="0" xfId="0" applyFont="1"/>
    <xf numFmtId="0" fontId="65"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4" fillId="8" borderId="0" xfId="0" applyFont="1" applyFill="1" applyAlignment="1">
      <alignment vertical="center" wrapText="1"/>
    </xf>
    <xf numFmtId="0" fontId="7" fillId="8" borderId="0" xfId="0" applyFont="1" applyFill="1" applyAlignment="1">
      <alignment vertical="center" wrapText="1"/>
    </xf>
    <xf numFmtId="0" fontId="66" fillId="8" borderId="0" xfId="0" applyFont="1" applyFill="1" applyAlignment="1" applyProtection="1">
      <alignment horizontal="center" vertical="center" wrapText="1"/>
      <protection hidden="1"/>
    </xf>
    <xf numFmtId="0" fontId="67"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wrapText="1"/>
      <protection hidden="1"/>
    </xf>
    <xf numFmtId="0" fontId="68" fillId="8" borderId="0" xfId="0" applyFont="1" applyFill="1" applyAlignment="1" applyProtection="1">
      <alignment vertical="center" wrapText="1"/>
      <protection hidden="1"/>
    </xf>
    <xf numFmtId="0" fontId="69" fillId="8" borderId="0" xfId="0" applyFont="1" applyFill="1" applyAlignment="1" applyProtection="1">
      <alignment vertical="center" wrapText="1"/>
      <protection hidden="1"/>
    </xf>
    <xf numFmtId="0" fontId="69" fillId="8" borderId="0" xfId="0" applyFont="1" applyFill="1" applyAlignment="1" applyProtection="1">
      <alignment horizontal="center" vertical="center" wrapText="1"/>
      <protection hidden="1"/>
    </xf>
    <xf numFmtId="0" fontId="70" fillId="8" borderId="0" xfId="0" applyFont="1" applyFill="1" applyAlignment="1" applyProtection="1">
      <alignment horizontal="left" vertical="center" wrapText="1"/>
      <protection hidden="1"/>
    </xf>
    <xf numFmtId="0" fontId="32" fillId="2" borderId="0" xfId="0" applyFont="1" applyFill="1" applyProtection="1">
      <protection hidden="1"/>
    </xf>
    <xf numFmtId="0" fontId="32" fillId="3" borderId="0" xfId="0" applyFont="1" applyFill="1" applyProtection="1">
      <protection hidden="1"/>
    </xf>
    <xf numFmtId="165" fontId="7" fillId="2" borderId="1" xfId="0" applyNumberFormat="1" applyFont="1" applyFill="1" applyBorder="1" applyAlignment="1" applyProtection="1">
      <alignment horizontal="center" vertical="center"/>
      <protection hidden="1"/>
    </xf>
    <xf numFmtId="165" fontId="7" fillId="3" borderId="0" xfId="0" applyNumberFormat="1" applyFont="1" applyFill="1" applyAlignment="1" applyProtection="1">
      <alignment horizontal="center" vertical="center"/>
      <protection hidden="1"/>
    </xf>
    <xf numFmtId="0" fontId="59" fillId="3" borderId="0" xfId="0" applyFont="1" applyFill="1" applyAlignment="1" applyProtection="1">
      <alignment horizontal="right" vertical="center" wrapText="1"/>
      <protection hidden="1"/>
    </xf>
    <xf numFmtId="0" fontId="59" fillId="2" borderId="1" xfId="0" applyFont="1" applyFill="1" applyBorder="1" applyAlignment="1" applyProtection="1">
      <alignment horizontal="right" vertical="center" wrapText="1"/>
      <protection hidden="1"/>
    </xf>
    <xf numFmtId="0" fontId="32" fillId="3" borderId="0" xfId="0" applyFont="1" applyFill="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7" fillId="3" borderId="0" xfId="0" applyFont="1" applyFill="1" applyAlignment="1" applyProtection="1">
      <alignment horizontal="right" vertical="center" wrapText="1"/>
      <protection hidden="1"/>
    </xf>
    <xf numFmtId="0" fontId="4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3" fillId="3" borderId="10" xfId="0" applyNumberFormat="1" applyFont="1" applyFill="1" applyBorder="1" applyAlignment="1" applyProtection="1">
      <alignment horizontal="center" vertical="center"/>
      <protection hidden="1"/>
    </xf>
    <xf numFmtId="165" fontId="73" fillId="3" borderId="0" xfId="0" applyNumberFormat="1" applyFont="1" applyFill="1" applyAlignment="1" applyProtection="1">
      <alignment horizontal="center" vertical="center"/>
      <protection hidden="1"/>
    </xf>
    <xf numFmtId="0" fontId="59"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4" fillId="2" borderId="0" xfId="0" applyFont="1" applyFill="1" applyProtection="1">
      <protection hidden="1"/>
    </xf>
    <xf numFmtId="0" fontId="75" fillId="3" borderId="0" xfId="0" applyFont="1" applyFill="1" applyAlignment="1" applyProtection="1">
      <alignment vertical="center" wrapText="1"/>
      <protection hidden="1"/>
    </xf>
    <xf numFmtId="0" fontId="74"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7" fillId="2" borderId="1" xfId="0" applyNumberFormat="1" applyFont="1" applyFill="1" applyBorder="1" applyAlignment="1" applyProtection="1">
      <alignment horizontal="center" vertical="center"/>
      <protection hidden="1"/>
    </xf>
    <xf numFmtId="3" fontId="77" fillId="3" borderId="0" xfId="0" applyNumberFormat="1" applyFont="1" applyFill="1" applyAlignment="1" applyProtection="1">
      <alignment horizontal="center" vertical="center"/>
      <protection hidden="1"/>
    </xf>
    <xf numFmtId="0" fontId="78" fillId="3" borderId="0" xfId="0" applyFont="1" applyFill="1" applyAlignment="1" applyProtection="1">
      <alignment horizontal="right" vertical="center" wrapText="1"/>
      <protection hidden="1"/>
    </xf>
    <xf numFmtId="0" fontId="78"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2" fillId="2" borderId="0" xfId="0" applyFont="1" applyFill="1" applyAlignment="1" applyProtection="1">
      <alignment wrapText="1"/>
      <protection hidden="1"/>
    </xf>
    <xf numFmtId="0" fontId="32" fillId="3" borderId="0" xfId="0" applyFont="1" applyFill="1" applyAlignment="1" applyProtection="1">
      <alignment wrapText="1"/>
      <protection hidden="1"/>
    </xf>
    <xf numFmtId="0" fontId="39" fillId="3" borderId="0" xfId="0" applyFont="1" applyFill="1" applyAlignment="1" applyProtection="1">
      <alignment vertical="center" wrapText="1"/>
      <protection hidden="1"/>
    </xf>
    <xf numFmtId="0" fontId="32" fillId="3" borderId="0" xfId="0" applyFont="1" applyFill="1" applyAlignment="1" applyProtection="1">
      <alignment horizontal="center" vertical="center" wrapText="1"/>
      <protection hidden="1"/>
    </xf>
    <xf numFmtId="7" fontId="37" fillId="10" borderId="0" xfId="1" applyNumberFormat="1" applyFont="1" applyFill="1" applyBorder="1" applyAlignment="1" applyProtection="1">
      <alignment horizontal="center" vertical="center"/>
      <protection hidden="1"/>
    </xf>
    <xf numFmtId="165" fontId="32"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3" fillId="10" borderId="0" xfId="2" applyNumberFormat="1" applyFont="1" applyFill="1" applyBorder="1" applyAlignment="1" applyProtection="1">
      <alignment horizontal="center" vertical="center"/>
      <protection locked="0"/>
    </xf>
    <xf numFmtId="167" fontId="9" fillId="13" borderId="1"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7"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2" fillId="7" borderId="0" xfId="0" applyFont="1" applyFill="1" applyAlignment="1" applyProtection="1">
      <alignment horizontal="center" vertical="center"/>
      <protection hidden="1"/>
    </xf>
    <xf numFmtId="0" fontId="41" fillId="7" borderId="0" xfId="0" applyFont="1" applyFill="1" applyAlignment="1" applyProtection="1">
      <alignment horizontal="center" vertical="center"/>
      <protection hidden="1"/>
    </xf>
    <xf numFmtId="0" fontId="7" fillId="18" borderId="0" xfId="0" applyFont="1" applyFill="1"/>
    <xf numFmtId="0" fontId="84" fillId="2" borderId="1" xfId="0" applyFont="1" applyFill="1" applyBorder="1" applyAlignment="1">
      <alignment horizontal="center" vertical="center" wrapText="1"/>
    </xf>
    <xf numFmtId="0" fontId="84" fillId="10" borderId="0" xfId="0" applyFont="1" applyFill="1" applyAlignment="1" applyProtection="1">
      <alignment vertical="center" wrapText="1"/>
      <protection hidden="1"/>
    </xf>
    <xf numFmtId="0" fontId="37" fillId="2" borderId="1" xfId="0" applyFont="1" applyFill="1" applyBorder="1" applyAlignment="1" applyProtection="1">
      <alignment horizontal="center" vertical="center" wrapText="1"/>
      <protection hidden="1"/>
    </xf>
    <xf numFmtId="7" fontId="37" fillId="2" borderId="1" xfId="1" applyNumberFormat="1" applyFont="1" applyFill="1" applyBorder="1" applyAlignment="1" applyProtection="1">
      <alignment horizontal="center" vertical="center"/>
    </xf>
    <xf numFmtId="0" fontId="85" fillId="18" borderId="0" xfId="0" applyFont="1" applyFill="1" applyAlignment="1" applyProtection="1">
      <alignment horizontal="center" vertical="center"/>
      <protection hidden="1"/>
    </xf>
    <xf numFmtId="0" fontId="32" fillId="18" borderId="0" xfId="0" applyFont="1" applyFill="1" applyAlignment="1" applyProtection="1">
      <alignment horizontal="center" vertical="center"/>
      <protection hidden="1"/>
    </xf>
    <xf numFmtId="2" fontId="35" fillId="2" borderId="1" xfId="1" applyNumberFormat="1" applyFont="1" applyFill="1" applyBorder="1" applyAlignment="1" applyProtection="1">
      <alignment horizontal="center" vertical="center"/>
      <protection hidden="1"/>
    </xf>
    <xf numFmtId="2" fontId="35" fillId="2" borderId="1" xfId="0" applyNumberFormat="1" applyFont="1" applyFill="1" applyBorder="1" applyAlignment="1" applyProtection="1">
      <alignment horizontal="center" vertical="center"/>
      <protection hidden="1"/>
    </xf>
    <xf numFmtId="0" fontId="39"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9" fillId="2" borderId="1" xfId="0" applyFont="1" applyFill="1" applyBorder="1" applyAlignment="1" applyProtection="1">
      <alignment horizontal="center" vertical="center" wrapText="1"/>
      <protection hidden="1"/>
    </xf>
    <xf numFmtId="2" fontId="35" fillId="2" borderId="1" xfId="2" applyNumberFormat="1" applyFont="1" applyFill="1" applyBorder="1" applyAlignment="1" applyProtection="1">
      <alignment horizontal="center" vertical="center"/>
    </xf>
    <xf numFmtId="164" fontId="49" fillId="10" borderId="0" xfId="0" applyNumberFormat="1" applyFont="1" applyFill="1" applyAlignment="1" applyProtection="1">
      <alignment horizontal="center" vertical="center" wrapText="1"/>
      <protection hidden="1"/>
    </xf>
    <xf numFmtId="164" fontId="49" fillId="10" borderId="0" xfId="0" applyNumberFormat="1" applyFont="1" applyFill="1" applyAlignment="1" applyProtection="1">
      <alignment vertical="center"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7" fillId="10" borderId="0" xfId="0" applyFont="1" applyFill="1" applyAlignment="1">
      <alignment horizontal="left" vertical="center" wrapText="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32" fillId="2" borderId="0" xfId="0" applyFont="1" applyFill="1" applyAlignment="1" applyProtection="1">
      <alignment horizontal="right" vertical="center"/>
      <protection hidden="1"/>
    </xf>
    <xf numFmtId="0" fontId="8" fillId="2" borderId="4"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3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41" fillId="3" borderId="0" xfId="0" applyFont="1" applyFill="1" applyAlignment="1" applyProtection="1">
      <alignment horizontal="center" vertical="center"/>
      <protection hidden="1"/>
    </xf>
    <xf numFmtId="1" fontId="37" fillId="2" borderId="14" xfId="2" applyNumberFormat="1" applyFont="1" applyFill="1" applyBorder="1" applyAlignment="1" applyProtection="1">
      <alignment horizontal="center" vertical="center"/>
    </xf>
    <xf numFmtId="1" fontId="37" fillId="13" borderId="6" xfId="2" applyNumberFormat="1" applyFont="1" applyFill="1" applyBorder="1" applyAlignment="1" applyProtection="1">
      <alignment horizontal="center" vertical="center"/>
      <protection locked="0" hidden="1"/>
    </xf>
    <xf numFmtId="1" fontId="37" fillId="2" borderId="8" xfId="2" applyNumberFormat="1" applyFont="1" applyFill="1" applyBorder="1" applyAlignment="1" applyProtection="1">
      <alignment horizontal="center" vertical="center"/>
      <protection hidden="1"/>
    </xf>
    <xf numFmtId="1" fontId="37" fillId="13" borderId="6" xfId="2" applyNumberFormat="1"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hidden="1"/>
    </xf>
    <xf numFmtId="0" fontId="7" fillId="2" borderId="3" xfId="0" applyFont="1" applyFill="1" applyBorder="1" applyAlignment="1" applyProtection="1">
      <alignment horizontal="center" vertical="center" wrapText="1"/>
      <protection hidden="1"/>
    </xf>
    <xf numFmtId="0" fontId="7" fillId="2" borderId="13" xfId="0" applyFont="1" applyFill="1" applyBorder="1" applyAlignment="1" applyProtection="1">
      <alignment vertical="center" wrapText="1"/>
      <protection hidden="1"/>
    </xf>
    <xf numFmtId="0" fontId="7" fillId="2" borderId="2" xfId="0" applyFont="1" applyFill="1" applyBorder="1" applyAlignment="1" applyProtection="1">
      <alignment vertical="center" wrapText="1"/>
      <protection hidden="1"/>
    </xf>
    <xf numFmtId="0" fontId="7" fillId="2" borderId="15" xfId="0" applyFont="1" applyFill="1" applyBorder="1" applyAlignment="1" applyProtection="1">
      <alignment vertical="center" wrapText="1"/>
      <protection hidden="1"/>
    </xf>
    <xf numFmtId="0" fontId="7" fillId="2" borderId="12" xfId="0" applyFont="1" applyFill="1" applyBorder="1" applyAlignment="1" applyProtection="1">
      <alignment vertical="center" wrapText="1"/>
      <protection hidden="1"/>
    </xf>
    <xf numFmtId="0" fontId="7" fillId="2" borderId="14" xfId="0" applyFont="1" applyFill="1" applyBorder="1" applyAlignment="1" applyProtection="1">
      <alignment vertical="center" wrapText="1"/>
      <protection hidden="1"/>
    </xf>
    <xf numFmtId="0" fontId="7" fillId="2" borderId="9" xfId="0" applyFont="1" applyFill="1" applyBorder="1" applyAlignment="1" applyProtection="1">
      <alignment vertical="center" wrapText="1"/>
      <protection hidden="1"/>
    </xf>
    <xf numFmtId="0" fontId="37" fillId="13" borderId="1" xfId="0" applyFont="1" applyFill="1" applyBorder="1" applyAlignment="1" applyProtection="1">
      <alignment horizontal="center" vertical="center" wrapText="1"/>
      <protection locked="0" hidden="1"/>
    </xf>
    <xf numFmtId="9" fontId="37" fillId="2" borderId="3" xfId="0"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9" fontId="37" fillId="13" borderId="3" xfId="0" applyNumberFormat="1" applyFont="1" applyFill="1" applyBorder="1" applyAlignment="1" applyProtection="1">
      <alignment horizontal="center" vertical="center" wrapText="1"/>
      <protection locked="0" hidden="1"/>
    </xf>
    <xf numFmtId="17" fontId="0" fillId="0" borderId="0" xfId="0" applyNumberFormat="1"/>
    <xf numFmtId="0" fontId="36"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164" fontId="9" fillId="13" borderId="6" xfId="0" applyNumberFormat="1" applyFont="1" applyFill="1" applyBorder="1" applyAlignment="1" applyProtection="1">
      <alignment horizontal="center" vertical="center"/>
      <protection locked="0"/>
    </xf>
    <xf numFmtId="164" fontId="9" fillId="13" borderId="8" xfId="0" applyNumberFormat="1"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wrapText="1"/>
      <protection hidden="1"/>
    </xf>
    <xf numFmtId="0" fontId="7" fillId="2" borderId="11" xfId="0" applyFont="1" applyFill="1" applyBorder="1" applyAlignment="1" applyProtection="1">
      <alignment horizontal="center" vertical="center" wrapText="1"/>
      <protection hidden="1"/>
    </xf>
    <xf numFmtId="0" fontId="42"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2" fillId="2" borderId="0" xfId="0" applyFont="1" applyFill="1" applyAlignment="1" applyProtection="1">
      <alignment horizontal="right" vertical="center"/>
      <protection hidden="1"/>
    </xf>
    <xf numFmtId="0" fontId="55"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58"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3"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49" fontId="26" fillId="2" borderId="0" xfId="0" applyNumberFormat="1" applyFont="1" applyFill="1" applyAlignment="1">
      <alignment horizontal="righ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2" fillId="8" borderId="0" xfId="0" applyFont="1" applyFill="1" applyAlignment="1">
      <alignment horizontal="center"/>
    </xf>
    <xf numFmtId="0" fontId="57" fillId="8" borderId="0" xfId="0" applyFont="1" applyFill="1" applyAlignment="1" applyProtection="1">
      <alignment horizontal="left" vertical="center" wrapText="1"/>
      <protection hidden="1"/>
    </xf>
    <xf numFmtId="0" fontId="61"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5" fillId="9" borderId="0" xfId="0" applyFont="1" applyFill="1" applyAlignment="1" applyProtection="1">
      <alignment horizontal="center" vertical="center" wrapText="1"/>
      <protection hidden="1"/>
    </xf>
    <xf numFmtId="0" fontId="42" fillId="16" borderId="0" xfId="0" applyFont="1" applyFill="1" applyAlignment="1" applyProtection="1">
      <alignment horizontal="center" vertical="center" wrapText="1"/>
      <protection hidden="1"/>
    </xf>
    <xf numFmtId="0" fontId="71" fillId="19" borderId="0" xfId="0" applyFont="1" applyFill="1" applyAlignment="1" applyProtection="1">
      <alignment horizontal="center" vertical="center" wrapText="1"/>
      <protection hidden="1"/>
    </xf>
    <xf numFmtId="0" fontId="3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1" fillId="17" borderId="0" xfId="0" applyFont="1" applyFill="1" applyAlignment="1" applyProtection="1">
      <alignment horizontal="center" vertical="center" wrapText="1"/>
      <protection hidden="1"/>
    </xf>
    <xf numFmtId="0" fontId="41" fillId="3" borderId="0" xfId="0" applyFont="1" applyFill="1" applyAlignment="1" applyProtection="1">
      <alignment horizontal="center" vertical="center"/>
      <protection hidden="1"/>
    </xf>
    <xf numFmtId="0" fontId="42" fillId="17" borderId="0" xfId="0" applyFont="1" applyFill="1" applyAlignment="1" applyProtection="1">
      <alignment horizontal="center" vertical="center"/>
      <protection hidden="1"/>
    </xf>
    <xf numFmtId="0" fontId="55"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D2EFDF"/>
      <color rgb="FFDFE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1168400</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8007350" y="349250"/>
          <a:ext cx="1162050" cy="520700"/>
        </a:xfrm>
        <a:prstGeom prst="rect">
          <a:avLst/>
        </a:prstGeom>
      </xdr:spPr>
    </xdr:pic>
    <xdr:clientData/>
  </xdr:oneCellAnchor>
  <xdr:twoCellAnchor>
    <xdr:from>
      <xdr:col>0</xdr:col>
      <xdr:colOff>38100</xdr:colOff>
      <xdr:row>1</xdr:row>
      <xdr:rowOff>359410</xdr:rowOff>
    </xdr:from>
    <xdr:to>
      <xdr:col>4</xdr:col>
      <xdr:colOff>114300</xdr:colOff>
      <xdr:row>2</xdr:row>
      <xdr:rowOff>76200</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38100" y="549910"/>
          <a:ext cx="1381125" cy="1259840"/>
        </a:xfrm>
        <a:prstGeom prst="triangl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chorCtr="0"/>
        <a:lstStyle/>
        <a:p>
          <a:pPr algn="ctr"/>
          <a:r>
            <a:rPr lang="en-US" sz="1600" b="1">
              <a:latin typeface="Arial" panose="020B0604020202020204" pitchFamily="34" charset="0"/>
              <a:cs typeface="Arial" panose="020B0604020202020204" pitchFamily="34" charset="0"/>
            </a:rPr>
            <a:t>PCV</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Lower volume or cost</a:t>
          </a:r>
          <a:endParaRPr lang="en-CH" sz="1000">
            <a:latin typeface="Arial" panose="020B0604020202020204" pitchFamily="34" charset="0"/>
            <a:cs typeface="Arial" panose="020B0604020202020204" pitchFamily="34" charset="0"/>
          </a:endParaRP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Higher volume or cost</a:t>
          </a:r>
          <a:endParaRPr lang="en-CH" sz="10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248283</xdr:rowOff>
    </xdr:from>
    <xdr:to>
      <xdr:col>4</xdr:col>
      <xdr:colOff>76200</xdr:colOff>
      <xdr:row>5</xdr:row>
      <xdr:rowOff>422274</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461767" y="1105533"/>
          <a:ext cx="462283" cy="254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Lower volume or cost</a:t>
          </a:r>
          <a:endParaRPr lang="en-CH" sz="800">
            <a:latin typeface="Arial" panose="020B0604020202020204" pitchFamily="34" charset="0"/>
            <a:cs typeface="Arial" panose="020B0604020202020204" pitchFamily="34" charset="0"/>
          </a:endParaRPr>
        </a:p>
      </xdr:txBody>
    </xdr:sp>
    <xdr:clientData/>
  </xdr:twoCellAnchor>
  <xdr:twoCellAnchor>
    <xdr:from>
      <xdr:col>3</xdr:col>
      <xdr:colOff>236220</xdr:colOff>
      <xdr:row>5</xdr:row>
      <xdr:rowOff>767081</xdr:rowOff>
    </xdr:from>
    <xdr:to>
      <xdr:col>4</xdr:col>
      <xdr:colOff>53341</xdr:colOff>
      <xdr:row>5</xdr:row>
      <xdr:rowOff>965201</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468120" y="1103631"/>
          <a:ext cx="433071" cy="127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Higher volume or cost</a:t>
          </a:r>
          <a:endParaRPr lang="en-CH" sz="8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77734375" defaultRowHeight="15" x14ac:dyDescent="0.25"/>
  <cols>
    <col min="1" max="1" width="4.21875" style="12" customWidth="1"/>
    <col min="2" max="3" width="3.21875" style="12" customWidth="1"/>
    <col min="4" max="4" width="8.77734375" style="12" customWidth="1"/>
    <col min="5" max="6" width="7.21875" style="12" customWidth="1"/>
    <col min="7" max="11" width="8.77734375" style="12"/>
    <col min="12" max="12" width="11.44140625" style="12" customWidth="1"/>
    <col min="13" max="13" width="32" style="12" customWidth="1"/>
    <col min="14" max="15" width="3.21875" style="12" customWidth="1"/>
    <col min="16" max="16" width="4.21875" style="12" customWidth="1"/>
    <col min="17" max="16384" width="8.77734375" style="12"/>
  </cols>
  <sheetData>
    <row r="1" spans="1:16" ht="15" customHeight="1" x14ac:dyDescent="0.25">
      <c r="A1" s="13"/>
      <c r="B1" s="283"/>
      <c r="C1" s="283"/>
      <c r="D1" s="283"/>
      <c r="E1" s="283"/>
      <c r="F1" s="283"/>
      <c r="G1" s="283"/>
      <c r="H1" s="283"/>
      <c r="I1" s="283"/>
      <c r="J1" s="283"/>
      <c r="K1" s="283"/>
      <c r="L1" s="283"/>
      <c r="M1" s="283"/>
      <c r="N1" s="283"/>
      <c r="O1" s="283"/>
      <c r="P1" s="13"/>
    </row>
    <row r="2" spans="1:16" ht="122.1" customHeight="1" x14ac:dyDescent="0.25">
      <c r="A2" s="13"/>
      <c r="C2" s="47"/>
      <c r="D2" s="47"/>
      <c r="E2" s="356" t="s">
        <v>0</v>
      </c>
      <c r="F2" s="356"/>
      <c r="G2" s="356"/>
      <c r="H2" s="356"/>
      <c r="I2" s="356"/>
      <c r="J2" s="356"/>
      <c r="K2" s="356"/>
      <c r="L2" s="356"/>
      <c r="M2" s="46"/>
      <c r="N2" s="46"/>
      <c r="P2" s="13"/>
    </row>
    <row r="3" spans="1:16" ht="54" customHeight="1" x14ac:dyDescent="0.25">
      <c r="A3" s="13"/>
      <c r="C3" s="45"/>
      <c r="D3" s="45"/>
      <c r="E3" s="357" t="s">
        <v>1</v>
      </c>
      <c r="F3" s="357"/>
      <c r="G3" s="357"/>
      <c r="H3" s="357"/>
      <c r="I3" s="357"/>
      <c r="J3" s="357"/>
      <c r="K3" s="357"/>
      <c r="L3" s="357"/>
      <c r="M3" s="361" t="s">
        <v>154</v>
      </c>
      <c r="N3" s="361"/>
      <c r="P3" s="13"/>
    </row>
    <row r="4" spans="1:16" ht="34.950000000000003" customHeight="1" x14ac:dyDescent="0.25">
      <c r="A4" s="13"/>
      <c r="B4" s="13"/>
      <c r="C4" s="353" t="s">
        <v>2</v>
      </c>
      <c r="D4" s="353"/>
      <c r="E4" s="353"/>
      <c r="F4" s="353"/>
      <c r="G4" s="353"/>
      <c r="H4" s="353"/>
      <c r="I4" s="353"/>
      <c r="J4" s="353"/>
      <c r="K4" s="353"/>
      <c r="L4" s="353"/>
      <c r="M4" s="353"/>
      <c r="N4" s="298"/>
      <c r="O4" s="13"/>
      <c r="P4" s="13"/>
    </row>
    <row r="5" spans="1:16" ht="8.1" customHeight="1" x14ac:dyDescent="0.25">
      <c r="A5" s="13"/>
      <c r="B5" s="13"/>
      <c r="C5" s="13"/>
      <c r="D5" s="44"/>
      <c r="E5" s="44"/>
      <c r="F5" s="44"/>
      <c r="G5" s="44"/>
      <c r="H5" s="44"/>
      <c r="I5" s="44"/>
      <c r="J5" s="44"/>
      <c r="K5" s="44"/>
      <c r="L5" s="44"/>
      <c r="M5" s="44"/>
      <c r="N5" s="44"/>
      <c r="O5" s="13"/>
      <c r="P5" s="13"/>
    </row>
    <row r="6" spans="1:16" ht="46.2" customHeight="1" x14ac:dyDescent="0.25">
      <c r="A6" s="13"/>
      <c r="B6" s="39"/>
      <c r="C6" s="43"/>
      <c r="D6" s="355" t="s">
        <v>3</v>
      </c>
      <c r="E6" s="355"/>
      <c r="F6" s="355"/>
      <c r="G6" s="355"/>
      <c r="H6" s="355"/>
      <c r="I6" s="355"/>
      <c r="J6" s="355"/>
      <c r="K6" s="355"/>
      <c r="L6" s="355"/>
      <c r="M6" s="355"/>
      <c r="N6" s="300"/>
      <c r="O6" s="43"/>
      <c r="P6" s="13"/>
    </row>
    <row r="7" spans="1:16" ht="7.95" customHeight="1" x14ac:dyDescent="0.25">
      <c r="A7" s="13"/>
      <c r="B7" s="13"/>
      <c r="C7" s="13"/>
      <c r="D7" s="13"/>
      <c r="E7" s="13"/>
      <c r="F7" s="13"/>
      <c r="G7" s="13"/>
      <c r="H7" s="13"/>
      <c r="I7" s="13"/>
      <c r="J7" s="13"/>
      <c r="K7" s="13"/>
      <c r="L7" s="13"/>
      <c r="M7" s="13"/>
      <c r="N7" s="13"/>
      <c r="O7" s="13"/>
      <c r="P7" s="13"/>
    </row>
    <row r="8" spans="1:16" ht="306.60000000000002" customHeight="1" x14ac:dyDescent="0.25">
      <c r="A8" s="13"/>
      <c r="B8" s="13"/>
      <c r="D8" s="358" t="s">
        <v>152</v>
      </c>
      <c r="E8" s="358"/>
      <c r="F8" s="358"/>
      <c r="G8" s="358"/>
      <c r="H8" s="358"/>
      <c r="I8" s="358"/>
      <c r="J8" s="358"/>
      <c r="K8" s="358"/>
      <c r="L8" s="358"/>
      <c r="M8" s="358"/>
      <c r="N8" s="42"/>
      <c r="O8" s="13"/>
      <c r="P8" s="13"/>
    </row>
    <row r="9" spans="1:16" ht="8.1" customHeight="1" x14ac:dyDescent="0.25">
      <c r="A9" s="13"/>
      <c r="B9" s="13"/>
      <c r="C9" s="13"/>
      <c r="D9" s="41"/>
      <c r="E9" s="41"/>
      <c r="F9" s="41"/>
      <c r="G9" s="41"/>
      <c r="H9" s="41"/>
      <c r="I9" s="41"/>
      <c r="J9" s="41"/>
      <c r="K9" s="41"/>
      <c r="L9" s="41"/>
      <c r="M9" s="41"/>
      <c r="N9" s="41"/>
      <c r="O9" s="13"/>
      <c r="P9" s="13"/>
    </row>
    <row r="10" spans="1:16" ht="99" customHeight="1" x14ac:dyDescent="0.25">
      <c r="A10" s="13"/>
      <c r="B10" s="13"/>
      <c r="C10" s="13"/>
      <c r="D10" s="359" t="s">
        <v>4</v>
      </c>
      <c r="E10" s="360"/>
      <c r="F10" s="360"/>
      <c r="G10" s="360"/>
      <c r="H10" s="360"/>
      <c r="I10" s="360"/>
      <c r="J10" s="360"/>
      <c r="K10" s="360"/>
      <c r="L10" s="360"/>
      <c r="M10" s="360"/>
      <c r="N10" s="40"/>
      <c r="O10" s="13"/>
      <c r="P10" s="13"/>
    </row>
    <row r="11" spans="1:16" ht="8.1" customHeight="1" x14ac:dyDescent="0.25">
      <c r="A11" s="13"/>
      <c r="B11" s="13"/>
      <c r="C11" s="13"/>
      <c r="D11" s="13"/>
      <c r="E11" s="13"/>
      <c r="F11" s="13"/>
      <c r="G11" s="13"/>
      <c r="H11" s="13"/>
      <c r="I11" s="13"/>
      <c r="J11" s="13"/>
      <c r="K11" s="13"/>
      <c r="L11" s="13"/>
      <c r="M11" s="13"/>
      <c r="N11" s="13"/>
      <c r="O11" s="13"/>
      <c r="P11" s="13"/>
    </row>
    <row r="12" spans="1:16" ht="49.2" customHeight="1" x14ac:dyDescent="0.25">
      <c r="A12" s="13"/>
      <c r="B12" s="39"/>
      <c r="C12" s="38"/>
      <c r="D12" s="355" t="s">
        <v>5</v>
      </c>
      <c r="E12" s="355"/>
      <c r="F12" s="355"/>
      <c r="G12" s="355"/>
      <c r="H12" s="355"/>
      <c r="I12" s="355"/>
      <c r="J12" s="355"/>
      <c r="K12" s="355"/>
      <c r="L12" s="355"/>
      <c r="M12" s="355"/>
      <c r="N12" s="300"/>
      <c r="O12" s="38"/>
      <c r="P12" s="13"/>
    </row>
    <row r="13" spans="1:16" ht="5.0999999999999996" customHeight="1" x14ac:dyDescent="0.25">
      <c r="A13" s="13"/>
      <c r="B13" s="13"/>
      <c r="C13" s="13"/>
      <c r="D13" s="13"/>
      <c r="E13" s="13"/>
      <c r="F13" s="13"/>
      <c r="G13" s="13"/>
      <c r="H13" s="13"/>
      <c r="I13" s="13"/>
      <c r="J13" s="13"/>
      <c r="K13" s="13"/>
      <c r="L13" s="13"/>
      <c r="M13" s="13"/>
      <c r="N13" s="13"/>
      <c r="O13" s="13"/>
      <c r="P13" s="13"/>
    </row>
    <row r="14" spans="1:16" ht="29.1" customHeight="1" x14ac:dyDescent="0.25">
      <c r="A14" s="13"/>
      <c r="B14" s="13"/>
      <c r="C14" s="37"/>
      <c r="D14" s="354" t="s">
        <v>6</v>
      </c>
      <c r="E14" s="354"/>
      <c r="F14" s="354"/>
      <c r="G14" s="354"/>
      <c r="H14" s="354"/>
      <c r="I14" s="354"/>
      <c r="J14" s="354"/>
      <c r="K14" s="354"/>
      <c r="L14" s="354"/>
      <c r="M14" s="354"/>
      <c r="N14" s="299"/>
      <c r="O14" s="13"/>
      <c r="P14" s="13"/>
    </row>
    <row r="15" spans="1:16" ht="8.1" customHeight="1" x14ac:dyDescent="0.25">
      <c r="A15" s="13"/>
      <c r="B15" s="13"/>
      <c r="O15" s="13"/>
      <c r="P15" s="13"/>
    </row>
    <row r="16" spans="1:16" ht="15.6" customHeight="1" x14ac:dyDescent="0.25">
      <c r="A16" s="13"/>
      <c r="B16" s="13"/>
      <c r="D16" s="36"/>
      <c r="E16" s="382" t="s">
        <v>7</v>
      </c>
      <c r="F16" s="382"/>
      <c r="G16" s="382"/>
      <c r="H16" s="382"/>
      <c r="I16" s="382"/>
      <c r="J16" s="382"/>
      <c r="K16" s="382"/>
      <c r="L16" s="382"/>
      <c r="M16" s="382"/>
      <c r="N16" s="303"/>
      <c r="O16" s="13"/>
      <c r="P16" s="13"/>
    </row>
    <row r="17" spans="1:16" ht="13.35" customHeight="1" x14ac:dyDescent="0.25">
      <c r="A17" s="13"/>
      <c r="B17" s="13"/>
      <c r="D17" s="34"/>
      <c r="E17" s="382"/>
      <c r="F17" s="382"/>
      <c r="G17" s="382"/>
      <c r="H17" s="382"/>
      <c r="I17" s="382"/>
      <c r="J17" s="382"/>
      <c r="K17" s="382"/>
      <c r="L17" s="382"/>
      <c r="M17" s="382"/>
      <c r="N17" s="303"/>
      <c r="O17" s="13"/>
      <c r="P17" s="13"/>
    </row>
    <row r="18" spans="1:16" ht="16.2" customHeight="1" x14ac:dyDescent="0.25">
      <c r="A18" s="13"/>
      <c r="B18" s="13"/>
      <c r="D18" s="34"/>
      <c r="E18" s="382"/>
      <c r="F18" s="382"/>
      <c r="G18" s="382"/>
      <c r="H18" s="382"/>
      <c r="I18" s="382"/>
      <c r="J18" s="382"/>
      <c r="K18" s="382"/>
      <c r="L18" s="382"/>
      <c r="M18" s="382"/>
      <c r="N18" s="303"/>
      <c r="O18" s="13"/>
      <c r="P18" s="13"/>
    </row>
    <row r="19" spans="1:16" ht="6" customHeight="1" x14ac:dyDescent="0.25">
      <c r="A19" s="13"/>
      <c r="B19" s="13"/>
      <c r="D19" s="34"/>
      <c r="E19" s="34"/>
      <c r="F19" s="23"/>
      <c r="G19" s="23"/>
      <c r="H19" s="23"/>
      <c r="I19" s="23"/>
      <c r="J19" s="23"/>
      <c r="K19" s="23"/>
      <c r="L19" s="23"/>
      <c r="M19" s="23"/>
      <c r="O19" s="13"/>
      <c r="P19" s="13"/>
    </row>
    <row r="20" spans="1:16" ht="15.6" customHeight="1" x14ac:dyDescent="0.25">
      <c r="A20" s="13"/>
      <c r="B20" s="13"/>
      <c r="D20" s="35"/>
      <c r="E20" s="382" t="s">
        <v>8</v>
      </c>
      <c r="F20" s="382"/>
      <c r="G20" s="382"/>
      <c r="H20" s="382"/>
      <c r="I20" s="382"/>
      <c r="J20" s="382"/>
      <c r="K20" s="382"/>
      <c r="L20" s="382"/>
      <c r="M20" s="382"/>
      <c r="N20" s="26"/>
      <c r="O20" s="13"/>
      <c r="P20" s="13"/>
    </row>
    <row r="21" spans="1:16" ht="16.95" customHeight="1" x14ac:dyDescent="0.25">
      <c r="A21" s="13"/>
      <c r="B21" s="13"/>
      <c r="D21" s="34"/>
      <c r="E21" s="382"/>
      <c r="F21" s="382"/>
      <c r="G21" s="382"/>
      <c r="H21" s="382"/>
      <c r="I21" s="382"/>
      <c r="J21" s="382"/>
      <c r="K21" s="382"/>
      <c r="L21" s="382"/>
      <c r="M21" s="382"/>
      <c r="N21" s="26"/>
      <c r="O21" s="13"/>
      <c r="P21" s="13"/>
    </row>
    <row r="22" spans="1:16" ht="6" customHeight="1" x14ac:dyDescent="0.25">
      <c r="A22" s="13"/>
      <c r="B22" s="13"/>
      <c r="D22" s="34"/>
      <c r="E22" s="34"/>
      <c r="F22" s="23"/>
      <c r="G22" s="23"/>
      <c r="H22" s="23"/>
      <c r="I22" s="23"/>
      <c r="J22" s="23"/>
      <c r="K22" s="23"/>
      <c r="L22" s="23"/>
      <c r="M22" s="23"/>
      <c r="O22" s="13"/>
      <c r="P22" s="13"/>
    </row>
    <row r="23" spans="1:16" x14ac:dyDescent="0.25">
      <c r="A23" s="13"/>
      <c r="B23" s="13"/>
      <c r="D23" s="33"/>
      <c r="E23" s="380" t="s">
        <v>9</v>
      </c>
      <c r="F23" s="381"/>
      <c r="G23" s="381"/>
      <c r="H23" s="381"/>
      <c r="I23" s="381"/>
      <c r="J23" s="381"/>
      <c r="K23" s="381"/>
      <c r="L23" s="381"/>
      <c r="M23" s="381"/>
      <c r="N23" s="26"/>
      <c r="O23" s="13"/>
      <c r="P23" s="13"/>
    </row>
    <row r="24" spans="1:16" ht="10.199999999999999" customHeight="1" x14ac:dyDescent="0.25">
      <c r="A24" s="13"/>
      <c r="B24" s="13"/>
      <c r="D24" s="23"/>
      <c r="E24" s="23"/>
      <c r="F24" s="23"/>
      <c r="G24" s="23"/>
      <c r="H24" s="23"/>
      <c r="I24" s="23"/>
      <c r="J24" s="23"/>
      <c r="K24" s="23"/>
      <c r="L24" s="23"/>
      <c r="M24" s="23"/>
      <c r="O24" s="13"/>
      <c r="P24" s="13"/>
    </row>
    <row r="25" spans="1:16" ht="45" customHeight="1" x14ac:dyDescent="0.25">
      <c r="A25" s="13"/>
      <c r="B25" s="13"/>
      <c r="D25" s="365" t="s">
        <v>10</v>
      </c>
      <c r="E25" s="365"/>
      <c r="F25" s="365"/>
      <c r="G25" s="366" t="s">
        <v>11</v>
      </c>
      <c r="H25" s="366"/>
      <c r="I25" s="366"/>
      <c r="J25" s="366"/>
      <c r="K25" s="366"/>
      <c r="L25" s="366"/>
      <c r="M25" s="366"/>
      <c r="N25" s="26"/>
      <c r="O25" s="13"/>
      <c r="P25" s="13"/>
    </row>
    <row r="26" spans="1:16" ht="8.1" customHeight="1" x14ac:dyDescent="0.25">
      <c r="A26" s="13"/>
      <c r="B26" s="13"/>
      <c r="D26" s="23"/>
      <c r="E26" s="23"/>
      <c r="F26" s="23"/>
      <c r="G26" s="23"/>
      <c r="H26" s="23"/>
      <c r="I26" s="23"/>
      <c r="J26" s="23"/>
      <c r="K26" s="23"/>
      <c r="L26" s="23"/>
      <c r="M26" s="23"/>
      <c r="O26" s="13"/>
      <c r="P26" s="13"/>
    </row>
    <row r="27" spans="1:16" ht="217.95" customHeight="1" x14ac:dyDescent="0.25">
      <c r="A27" s="13"/>
      <c r="B27" s="13"/>
      <c r="D27" s="365" t="s">
        <v>12</v>
      </c>
      <c r="E27" s="365"/>
      <c r="F27" s="365"/>
      <c r="G27" s="366" t="s">
        <v>149</v>
      </c>
      <c r="H27" s="366"/>
      <c r="I27" s="366"/>
      <c r="J27" s="366"/>
      <c r="K27" s="366"/>
      <c r="L27" s="366"/>
      <c r="M27" s="366"/>
      <c r="O27" s="13"/>
      <c r="P27" s="13"/>
    </row>
    <row r="28" spans="1:16" ht="8.1" customHeight="1" x14ac:dyDescent="0.25">
      <c r="A28" s="13"/>
      <c r="B28" s="13"/>
      <c r="D28" s="23"/>
      <c r="E28" s="23"/>
      <c r="F28" s="23"/>
      <c r="G28" s="23"/>
      <c r="H28" s="23"/>
      <c r="I28" s="23"/>
      <c r="J28" s="23"/>
      <c r="K28" s="23"/>
      <c r="L28" s="23"/>
      <c r="M28" s="23"/>
      <c r="O28" s="13"/>
      <c r="P28" s="13"/>
    </row>
    <row r="29" spans="1:16" ht="148.5" customHeight="1" x14ac:dyDescent="0.25">
      <c r="A29" s="13"/>
      <c r="B29" s="13"/>
      <c r="D29" s="365" t="s">
        <v>13</v>
      </c>
      <c r="E29" s="365"/>
      <c r="F29" s="365"/>
      <c r="G29" s="366" t="s">
        <v>14</v>
      </c>
      <c r="H29" s="366"/>
      <c r="I29" s="366"/>
      <c r="J29" s="366"/>
      <c r="K29" s="366"/>
      <c r="L29" s="366"/>
      <c r="M29" s="366"/>
      <c r="N29" s="26"/>
      <c r="O29" s="13"/>
      <c r="P29" s="13"/>
    </row>
    <row r="30" spans="1:16" ht="24.6" customHeight="1" x14ac:dyDescent="0.25">
      <c r="A30" s="13"/>
      <c r="B30" s="13"/>
      <c r="D30" s="375" t="s">
        <v>15</v>
      </c>
      <c r="E30" s="376"/>
      <c r="F30" s="376"/>
      <c r="G30" s="376"/>
      <c r="H30" s="376"/>
      <c r="I30" s="376"/>
      <c r="J30" s="376"/>
      <c r="K30" s="376"/>
      <c r="L30" s="376"/>
      <c r="M30" s="377"/>
      <c r="N30" s="32"/>
      <c r="O30" s="13"/>
      <c r="P30" s="13"/>
    </row>
    <row r="31" spans="1:16" ht="32.1" customHeight="1" x14ac:dyDescent="0.25">
      <c r="A31" s="13"/>
      <c r="B31" s="13"/>
      <c r="D31" s="371" t="s">
        <v>16</v>
      </c>
      <c r="E31" s="372"/>
      <c r="F31" s="372"/>
      <c r="G31" s="378" t="s">
        <v>16</v>
      </c>
      <c r="H31" s="378"/>
      <c r="I31" s="378"/>
      <c r="J31" s="378"/>
      <c r="K31" s="378"/>
      <c r="L31" s="378"/>
      <c r="M31" s="379"/>
      <c r="N31" s="31"/>
      <c r="O31" s="13"/>
      <c r="P31" s="13"/>
    </row>
    <row r="32" spans="1:16" ht="27.6" customHeight="1" x14ac:dyDescent="0.25">
      <c r="A32" s="13"/>
      <c r="B32" s="13"/>
      <c r="D32" s="371" t="s">
        <v>17</v>
      </c>
      <c r="E32" s="372"/>
      <c r="F32" s="372"/>
      <c r="G32" s="30" t="s">
        <v>18</v>
      </c>
      <c r="H32" s="301"/>
      <c r="I32" s="301"/>
      <c r="J32" s="301"/>
      <c r="K32" s="301"/>
      <c r="L32" s="301"/>
      <c r="M32" s="29"/>
      <c r="N32" s="26"/>
      <c r="O32" s="13"/>
      <c r="P32" s="13"/>
    </row>
    <row r="33" spans="1:16" ht="29.7" customHeight="1" x14ac:dyDescent="0.25">
      <c r="A33" s="13"/>
      <c r="B33" s="13"/>
      <c r="D33" s="373" t="s">
        <v>19</v>
      </c>
      <c r="E33" s="374"/>
      <c r="F33" s="374"/>
      <c r="G33" s="302" t="s">
        <v>20</v>
      </c>
      <c r="H33" s="28"/>
      <c r="I33" s="28"/>
      <c r="J33" s="28"/>
      <c r="K33" s="28"/>
      <c r="L33" s="28"/>
      <c r="M33" s="27"/>
      <c r="N33" s="26"/>
      <c r="O33" s="13"/>
      <c r="P33" s="13"/>
    </row>
    <row r="34" spans="1:16" ht="8.1" customHeight="1" x14ac:dyDescent="0.25">
      <c r="A34" s="13"/>
      <c r="B34" s="13"/>
      <c r="D34" s="23"/>
      <c r="E34" s="23"/>
      <c r="F34" s="23"/>
      <c r="G34" s="23"/>
      <c r="H34" s="23"/>
      <c r="I34" s="23"/>
      <c r="J34" s="23"/>
      <c r="K34" s="23"/>
      <c r="L34" s="23"/>
      <c r="M34" s="23"/>
      <c r="O34" s="13"/>
      <c r="P34" s="13"/>
    </row>
    <row r="35" spans="1:16" ht="147.75" customHeight="1" x14ac:dyDescent="0.25">
      <c r="A35" s="13"/>
      <c r="B35" s="13"/>
      <c r="D35" s="367" t="s">
        <v>21</v>
      </c>
      <c r="E35" s="367"/>
      <c r="F35" s="367"/>
      <c r="G35" s="368" t="s">
        <v>122</v>
      </c>
      <c r="H35" s="369"/>
      <c r="I35" s="369"/>
      <c r="J35" s="369"/>
      <c r="K35" s="369"/>
      <c r="L35" s="369"/>
      <c r="M35" s="370"/>
      <c r="N35" s="26"/>
      <c r="O35" s="13"/>
      <c r="P35" s="13"/>
    </row>
    <row r="36" spans="1:16" ht="18" customHeight="1" x14ac:dyDescent="0.25">
      <c r="A36" s="13"/>
      <c r="B36" s="13"/>
      <c r="D36" s="362" t="s">
        <v>15</v>
      </c>
      <c r="E36" s="363"/>
      <c r="F36" s="363"/>
      <c r="G36" s="363"/>
      <c r="H36" s="363"/>
      <c r="I36" s="363"/>
      <c r="J36" s="363"/>
      <c r="K36" s="363"/>
      <c r="L36" s="363"/>
      <c r="M36" s="364"/>
      <c r="N36" s="25"/>
      <c r="O36" s="13"/>
      <c r="P36" s="13"/>
    </row>
    <row r="37" spans="1:16" ht="36" customHeight="1" x14ac:dyDescent="0.25">
      <c r="A37" s="13"/>
      <c r="B37" s="13"/>
      <c r="D37" s="373" t="s">
        <v>22</v>
      </c>
      <c r="E37" s="374"/>
      <c r="F37" s="374"/>
      <c r="G37" s="383" t="s">
        <v>23</v>
      </c>
      <c r="H37" s="383"/>
      <c r="I37" s="383"/>
      <c r="J37" s="383"/>
      <c r="K37" s="383"/>
      <c r="L37" s="383"/>
      <c r="M37" s="384"/>
      <c r="N37" s="24"/>
      <c r="O37" s="13"/>
      <c r="P37" s="13"/>
    </row>
    <row r="38" spans="1:16" ht="8.1" customHeight="1" x14ac:dyDescent="0.25">
      <c r="A38" s="13"/>
      <c r="B38" s="13"/>
      <c r="D38" s="23"/>
      <c r="E38" s="23"/>
      <c r="F38" s="23"/>
      <c r="G38" s="23"/>
      <c r="H38" s="23"/>
      <c r="I38" s="23"/>
      <c r="J38" s="23"/>
      <c r="K38" s="23"/>
      <c r="L38" s="23"/>
      <c r="M38" s="23"/>
      <c r="O38" s="13"/>
      <c r="P38" s="13"/>
    </row>
    <row r="39" spans="1:16" ht="25.2" customHeight="1" x14ac:dyDescent="0.4">
      <c r="A39" s="13"/>
      <c r="B39" s="13"/>
      <c r="D39" s="389" t="s">
        <v>24</v>
      </c>
      <c r="E39" s="390"/>
      <c r="F39" s="390"/>
      <c r="G39" s="390"/>
      <c r="H39" s="390"/>
      <c r="I39" s="390"/>
      <c r="J39" s="390"/>
      <c r="K39" s="390"/>
      <c r="L39" s="390"/>
      <c r="M39" s="391"/>
      <c r="N39" s="15"/>
      <c r="O39" s="13"/>
      <c r="P39" s="13"/>
    </row>
    <row r="40" spans="1:16" ht="8.1" customHeight="1" x14ac:dyDescent="0.25">
      <c r="A40" s="13"/>
      <c r="B40" s="13"/>
      <c r="D40" s="23"/>
      <c r="E40" s="23"/>
      <c r="F40" s="23"/>
      <c r="G40" s="23"/>
      <c r="H40" s="23"/>
      <c r="I40" s="23"/>
      <c r="J40" s="23"/>
      <c r="K40" s="23"/>
      <c r="L40" s="23"/>
      <c r="M40" s="23"/>
      <c r="O40" s="13"/>
      <c r="P40" s="13"/>
    </row>
    <row r="41" spans="1:16" ht="87.6" customHeight="1" x14ac:dyDescent="0.25">
      <c r="A41" s="13"/>
      <c r="B41" s="13"/>
      <c r="D41" s="392" t="s">
        <v>25</v>
      </c>
      <c r="E41" s="393"/>
      <c r="F41" s="393"/>
      <c r="G41" s="393"/>
      <c r="H41" s="393"/>
      <c r="I41" s="393"/>
      <c r="J41" s="393"/>
      <c r="K41" s="393"/>
      <c r="L41" s="393"/>
      <c r="M41" s="394"/>
      <c r="N41" s="18"/>
      <c r="O41" s="13"/>
      <c r="P41" s="13"/>
    </row>
    <row r="42" spans="1:16" ht="8.1" customHeight="1" x14ac:dyDescent="0.25">
      <c r="A42" s="13"/>
      <c r="B42" s="13"/>
      <c r="O42" s="13"/>
      <c r="P42" s="13"/>
    </row>
    <row r="43" spans="1:16" ht="34.200000000000003" customHeight="1" x14ac:dyDescent="0.4">
      <c r="A43" s="13"/>
      <c r="B43" s="13"/>
      <c r="C43" s="22"/>
      <c r="D43" s="386" t="s">
        <v>26</v>
      </c>
      <c r="E43" s="386"/>
      <c r="F43" s="386"/>
      <c r="G43" s="386"/>
      <c r="H43" s="386"/>
      <c r="I43" s="386"/>
      <c r="J43" s="386"/>
      <c r="K43" s="386"/>
      <c r="L43" s="386"/>
      <c r="M43" s="386"/>
      <c r="N43" s="21"/>
      <c r="O43" s="13"/>
      <c r="P43" s="13"/>
    </row>
    <row r="44" spans="1:16" ht="8.1" customHeight="1" x14ac:dyDescent="0.25">
      <c r="A44" s="13"/>
      <c r="B44" s="13"/>
      <c r="O44" s="13"/>
      <c r="P44" s="13"/>
    </row>
    <row r="45" spans="1:16" ht="96.6" customHeight="1" x14ac:dyDescent="0.25">
      <c r="A45" s="13"/>
      <c r="B45" s="13"/>
      <c r="D45" s="395" t="s">
        <v>27</v>
      </c>
      <c r="E45" s="395"/>
      <c r="F45" s="395"/>
      <c r="G45" s="395"/>
      <c r="H45" s="395"/>
      <c r="I45" s="395"/>
      <c r="J45" s="395"/>
      <c r="K45" s="395"/>
      <c r="L45" s="395"/>
      <c r="M45" s="395"/>
      <c r="N45" s="18"/>
      <c r="O45" s="13"/>
      <c r="P45" s="13"/>
    </row>
    <row r="46" spans="1:16" ht="8.1" customHeight="1" x14ac:dyDescent="0.25">
      <c r="A46" s="13"/>
      <c r="B46" s="13"/>
      <c r="O46" s="13"/>
      <c r="P46" s="13"/>
    </row>
    <row r="47" spans="1:16" ht="35.1" customHeight="1" x14ac:dyDescent="0.3">
      <c r="A47" s="13"/>
      <c r="B47" s="13"/>
      <c r="C47" s="20"/>
      <c r="D47" s="387" t="s">
        <v>28</v>
      </c>
      <c r="E47" s="387"/>
      <c r="F47" s="387"/>
      <c r="G47" s="387"/>
      <c r="H47" s="387"/>
      <c r="I47" s="387"/>
      <c r="J47" s="387"/>
      <c r="K47" s="387"/>
      <c r="L47" s="387"/>
      <c r="M47" s="387"/>
      <c r="N47" s="19"/>
      <c r="O47" s="13"/>
      <c r="P47" s="13"/>
    </row>
    <row r="48" spans="1:16" ht="8.1" customHeight="1" x14ac:dyDescent="0.3">
      <c r="A48" s="13"/>
      <c r="B48" s="13"/>
      <c r="D48" s="15"/>
      <c r="E48" s="15"/>
      <c r="F48" s="15"/>
      <c r="G48" s="15"/>
      <c r="H48" s="15"/>
      <c r="I48" s="15"/>
      <c r="J48" s="15"/>
      <c r="K48" s="15"/>
      <c r="L48" s="15"/>
      <c r="M48" s="15"/>
      <c r="N48" s="15"/>
      <c r="O48" s="13"/>
      <c r="P48" s="13"/>
    </row>
    <row r="49" spans="1:16" ht="84" customHeight="1" x14ac:dyDescent="0.25">
      <c r="A49" s="13"/>
      <c r="B49" s="13"/>
      <c r="D49" s="396" t="s">
        <v>123</v>
      </c>
      <c r="E49" s="396"/>
      <c r="F49" s="396"/>
      <c r="G49" s="396"/>
      <c r="H49" s="396"/>
      <c r="I49" s="396"/>
      <c r="J49" s="396"/>
      <c r="K49" s="396"/>
      <c r="L49" s="396"/>
      <c r="M49" s="396"/>
      <c r="N49" s="18"/>
      <c r="O49" s="13"/>
      <c r="P49" s="13"/>
    </row>
    <row r="50" spans="1:16" ht="8.1" customHeight="1" x14ac:dyDescent="0.3">
      <c r="A50" s="13"/>
      <c r="B50" s="13"/>
      <c r="D50" s="15"/>
      <c r="E50" s="15"/>
      <c r="F50" s="15"/>
      <c r="G50" s="15"/>
      <c r="H50" s="15"/>
      <c r="I50" s="15"/>
      <c r="J50" s="15"/>
      <c r="K50" s="15"/>
      <c r="L50" s="15"/>
      <c r="M50" s="15"/>
      <c r="N50" s="15"/>
      <c r="O50" s="13"/>
      <c r="P50" s="13"/>
    </row>
    <row r="51" spans="1:16" ht="25.2" customHeight="1" x14ac:dyDescent="0.3">
      <c r="A51" s="13"/>
      <c r="B51" s="13"/>
      <c r="C51" s="17"/>
      <c r="D51" s="388" t="s">
        <v>29</v>
      </c>
      <c r="E51" s="388"/>
      <c r="F51" s="388"/>
      <c r="G51" s="388"/>
      <c r="H51" s="388"/>
      <c r="I51" s="388"/>
      <c r="J51" s="388"/>
      <c r="K51" s="388"/>
      <c r="L51" s="388"/>
      <c r="M51" s="388"/>
      <c r="N51" s="16"/>
      <c r="O51" s="13"/>
      <c r="P51" s="13"/>
    </row>
    <row r="52" spans="1:16" ht="8.1" customHeight="1" x14ac:dyDescent="0.3">
      <c r="A52" s="13"/>
      <c r="B52" s="13"/>
      <c r="D52" s="15"/>
      <c r="E52" s="15"/>
      <c r="F52" s="15"/>
      <c r="G52" s="15"/>
      <c r="H52" s="15"/>
      <c r="I52" s="15"/>
      <c r="J52" s="15"/>
      <c r="K52" s="15"/>
      <c r="L52" s="15"/>
      <c r="M52" s="15"/>
      <c r="N52" s="15"/>
      <c r="O52" s="13"/>
      <c r="P52" s="13"/>
    </row>
    <row r="53" spans="1:16" ht="286.5" customHeight="1" x14ac:dyDescent="0.25">
      <c r="A53" s="13"/>
      <c r="B53" s="13"/>
      <c r="D53" s="385" t="s">
        <v>153</v>
      </c>
      <c r="E53" s="385"/>
      <c r="F53" s="385"/>
      <c r="G53" s="385"/>
      <c r="H53" s="385"/>
      <c r="I53" s="385"/>
      <c r="J53" s="385"/>
      <c r="K53" s="385"/>
      <c r="L53" s="385"/>
      <c r="M53" s="385"/>
      <c r="N53" s="14"/>
      <c r="O53" s="13"/>
      <c r="P53" s="13"/>
    </row>
    <row r="54" spans="1:16" ht="8.1" customHeight="1" x14ac:dyDescent="0.25">
      <c r="A54" s="13"/>
      <c r="B54" s="13"/>
      <c r="C54" s="13"/>
      <c r="D54" s="13"/>
      <c r="E54" s="13"/>
      <c r="F54" s="13"/>
      <c r="G54" s="13"/>
      <c r="H54" s="13"/>
      <c r="I54" s="13"/>
      <c r="J54" s="13"/>
      <c r="K54" s="13"/>
      <c r="L54" s="13"/>
      <c r="M54" s="13"/>
      <c r="N54" s="13"/>
      <c r="O54" s="13"/>
      <c r="P54" s="13"/>
    </row>
    <row r="56" spans="1:16" x14ac:dyDescent="0.25">
      <c r="D56" s="6"/>
    </row>
    <row r="57" spans="1:16" x14ac:dyDescent="0.25">
      <c r="D57" s="6"/>
    </row>
    <row r="58" spans="1:16" x14ac:dyDescent="0.25">
      <c r="D58" s="6"/>
    </row>
    <row r="59" spans="1:16" x14ac:dyDescent="0.25">
      <c r="D59" s="6"/>
    </row>
  </sheetData>
  <sheetProtection algorithmName="SHA-512" hashValue="VNFcKqUBR/leJ+ILQXKvAI/XO6gJ7svXPOMeOV6gkn1Ri7sNsuoNQo7+booLqZDSBJkTptkMkhk98FrPIa/0sA==" saltValue="22ZktB1Xcea+XyUGnAwTGA==" spinCount="100000" sheet="1" formatRows="0" insertHyperlinks="0"/>
  <mergeCells count="36">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 ref="M3:N3"/>
  </mergeCells>
  <hyperlinks>
    <hyperlink ref="G32" r:id="rId1" xr:uid="{87471D11-F6F7-4195-8440-65361C4D0DA4}"/>
    <hyperlink ref="G33" r:id="rId2" xr:uid="{F103155F-0ECD-42B8-BDF2-276001A1689B}"/>
    <hyperlink ref="G37:M37" r:id="rId3" display="Immunization Delivery Cost Catalogue" xr:uid="{0FC6E934-9AFB-46EB-A28E-9A236A6521A7}"/>
    <hyperlink ref="G31:M31" r:id="rId4" display="Gavi detailed product profiles" xr:uid="{D372C2BC-CCE2-45ED-ADB4-B443E7A6268C}"/>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4"/>
  <sheetViews>
    <sheetView zoomScaleNormal="100" workbookViewId="0"/>
  </sheetViews>
  <sheetFormatPr defaultColWidth="8.77734375" defaultRowHeight="13.8" outlineLevelRow="1" x14ac:dyDescent="0.3"/>
  <cols>
    <col min="1" max="1" width="1.77734375" style="48" customWidth="1"/>
    <col min="2" max="2" width="3.21875" style="48" customWidth="1"/>
    <col min="3" max="3" width="4" style="48" customWidth="1"/>
    <col min="4" max="4" width="43.44140625" style="48" customWidth="1"/>
    <col min="5" max="5" width="22.77734375" style="48" customWidth="1"/>
    <col min="6" max="6" width="1.44140625" style="48" customWidth="1"/>
    <col min="7" max="7" width="22.77734375" style="48" customWidth="1"/>
    <col min="8" max="8" width="1.44140625" style="48" customWidth="1"/>
    <col min="9" max="9" width="22.77734375" style="48" customWidth="1"/>
    <col min="10" max="10" width="2.21875" style="48" customWidth="1"/>
    <col min="11" max="11" width="22.77734375" style="48" customWidth="1"/>
    <col min="12" max="12" width="4.21875" style="48" customWidth="1"/>
    <col min="13" max="13" width="3.77734375" style="48" customWidth="1"/>
    <col min="14" max="14" width="4.77734375" style="48" customWidth="1"/>
    <col min="15" max="16384" width="8.77734375" style="48"/>
  </cols>
  <sheetData>
    <row r="1" spans="1:14" ht="8.1" customHeight="1" x14ac:dyDescent="0.3">
      <c r="B1" s="288"/>
      <c r="C1" s="288"/>
      <c r="D1" s="288"/>
      <c r="E1" s="288"/>
      <c r="F1" s="288"/>
      <c r="G1" s="288"/>
      <c r="H1" s="288"/>
      <c r="I1" s="288"/>
      <c r="J1" s="288"/>
      <c r="K1" s="288"/>
      <c r="L1" s="288"/>
      <c r="M1" s="288"/>
    </row>
    <row r="2" spans="1:14" ht="19.2" customHeight="1" x14ac:dyDescent="0.3">
      <c r="B2" s="342" t="s">
        <v>30</v>
      </c>
      <c r="C2" s="342"/>
      <c r="D2" s="342"/>
      <c r="E2" s="342"/>
      <c r="F2" s="342"/>
      <c r="G2" s="342"/>
      <c r="H2" s="342"/>
      <c r="I2" s="342"/>
      <c r="J2" s="342"/>
      <c r="K2" s="342"/>
      <c r="L2" s="342"/>
      <c r="M2" s="342"/>
    </row>
    <row r="3" spans="1:14" ht="14.7" customHeight="1" x14ac:dyDescent="0.3">
      <c r="A3" s="185"/>
      <c r="B3" s="184"/>
      <c r="C3" s="54"/>
      <c r="D3" s="54"/>
      <c r="E3" s="54"/>
      <c r="F3" s="54"/>
      <c r="G3" s="54"/>
      <c r="H3" s="54"/>
      <c r="I3" s="54"/>
      <c r="J3" s="54"/>
      <c r="K3" s="183"/>
      <c r="L3" s="183"/>
      <c r="M3" s="54"/>
      <c r="N3" s="182"/>
    </row>
    <row r="4" spans="1:14" ht="60" customHeight="1" x14ac:dyDescent="0.3">
      <c r="B4" s="54"/>
      <c r="C4" s="181"/>
      <c r="D4" s="343" t="s">
        <v>6</v>
      </c>
      <c r="E4" s="343"/>
      <c r="F4" s="343"/>
      <c r="G4" s="343"/>
      <c r="H4" s="343"/>
      <c r="I4" s="343"/>
      <c r="J4" s="343"/>
      <c r="K4" s="343"/>
      <c r="L4" s="180"/>
      <c r="M4" s="178"/>
      <c r="N4" s="177"/>
    </row>
    <row r="5" spans="1:14" ht="8.1" customHeight="1" x14ac:dyDescent="0.3">
      <c r="B5" s="54"/>
      <c r="C5" s="54"/>
      <c r="D5" s="179"/>
      <c r="E5" s="178"/>
      <c r="F5" s="178"/>
      <c r="G5" s="54"/>
      <c r="H5" s="178"/>
      <c r="I5" s="54"/>
      <c r="J5" s="54"/>
      <c r="K5" s="54"/>
      <c r="L5" s="54"/>
      <c r="M5" s="178"/>
      <c r="N5" s="177"/>
    </row>
    <row r="6" spans="1:14" ht="46.2" customHeight="1" x14ac:dyDescent="0.3">
      <c r="B6" s="54"/>
      <c r="C6" s="54"/>
      <c r="D6" s="340" t="s">
        <v>10</v>
      </c>
      <c r="E6" s="340"/>
      <c r="F6" s="340"/>
      <c r="G6" s="340"/>
      <c r="H6" s="340"/>
      <c r="I6" s="340"/>
      <c r="J6" s="340"/>
      <c r="K6" s="340"/>
      <c r="L6" s="90"/>
      <c r="M6" s="162"/>
      <c r="N6" s="174"/>
    </row>
    <row r="7" spans="1:14" ht="8.1" customHeight="1" x14ac:dyDescent="0.3">
      <c r="B7" s="54"/>
      <c r="C7" s="54"/>
      <c r="D7" s="176"/>
      <c r="E7" s="176"/>
      <c r="F7" s="176"/>
      <c r="G7" s="176"/>
      <c r="H7" s="176"/>
      <c r="I7" s="176"/>
      <c r="J7" s="175"/>
      <c r="K7" s="162"/>
      <c r="L7" s="162"/>
      <c r="M7" s="162"/>
      <c r="N7" s="174"/>
    </row>
    <row r="8" spans="1:14" ht="42" customHeight="1" x14ac:dyDescent="0.3">
      <c r="B8" s="54"/>
      <c r="C8" s="54"/>
      <c r="D8" s="155" t="s">
        <v>31</v>
      </c>
      <c r="E8" s="173">
        <v>2026</v>
      </c>
      <c r="F8" s="172"/>
      <c r="G8" s="344" t="s">
        <v>32</v>
      </c>
      <c r="H8" s="344"/>
      <c r="I8" s="344"/>
      <c r="J8" s="344"/>
      <c r="K8" s="345"/>
      <c r="L8" s="171"/>
      <c r="M8" s="162"/>
      <c r="N8" s="170"/>
    </row>
    <row r="9" spans="1:14" ht="42" customHeight="1" x14ac:dyDescent="0.3">
      <c r="B9" s="54"/>
      <c r="C9" s="54"/>
      <c r="D9" s="307" t="s">
        <v>33</v>
      </c>
      <c r="E9" s="169">
        <v>400000</v>
      </c>
      <c r="F9" s="168"/>
      <c r="G9" s="351" t="s">
        <v>34</v>
      </c>
      <c r="H9" s="351"/>
      <c r="I9" s="351"/>
      <c r="J9" s="351"/>
      <c r="K9" s="352"/>
      <c r="L9" s="163"/>
      <c r="M9" s="162"/>
      <c r="N9" s="167"/>
    </row>
    <row r="10" spans="1:14" ht="42" customHeight="1" x14ac:dyDescent="0.3">
      <c r="B10" s="54"/>
      <c r="C10" s="54"/>
      <c r="D10" s="307" t="s">
        <v>35</v>
      </c>
      <c r="E10" s="112">
        <v>0.02</v>
      </c>
      <c r="F10" s="166"/>
      <c r="G10" s="351" t="s">
        <v>36</v>
      </c>
      <c r="H10" s="351"/>
      <c r="I10" s="351"/>
      <c r="J10" s="351"/>
      <c r="K10" s="352"/>
      <c r="L10" s="163"/>
      <c r="M10" s="162"/>
      <c r="N10" s="306"/>
    </row>
    <row r="11" spans="1:14" ht="42" customHeight="1" x14ac:dyDescent="0.3">
      <c r="B11" s="54"/>
      <c r="C11" s="54"/>
      <c r="D11" s="307" t="s">
        <v>37</v>
      </c>
      <c r="E11" s="112">
        <v>0.97</v>
      </c>
      <c r="F11" s="164"/>
      <c r="G11" s="351" t="s">
        <v>38</v>
      </c>
      <c r="H11" s="351"/>
      <c r="I11" s="351"/>
      <c r="J11" s="351"/>
      <c r="K11" s="352"/>
      <c r="L11" s="163"/>
      <c r="M11" s="162"/>
      <c r="N11" s="306"/>
    </row>
    <row r="12" spans="1:14" ht="42" customHeight="1" x14ac:dyDescent="0.3">
      <c r="B12" s="54"/>
      <c r="C12" s="165"/>
      <c r="D12" s="307" t="s">
        <v>39</v>
      </c>
      <c r="E12" s="112">
        <v>0.9</v>
      </c>
      <c r="F12" s="164"/>
      <c r="G12" s="351" t="s">
        <v>38</v>
      </c>
      <c r="H12" s="351"/>
      <c r="I12" s="351"/>
      <c r="J12" s="351"/>
      <c r="K12" s="352"/>
      <c r="L12" s="163"/>
      <c r="M12" s="162"/>
      <c r="N12" s="306"/>
    </row>
    <row r="13" spans="1:14" ht="42" customHeight="1" x14ac:dyDescent="0.3">
      <c r="B13" s="54"/>
      <c r="C13" s="165"/>
      <c r="D13" s="307" t="s">
        <v>40</v>
      </c>
      <c r="E13" s="112">
        <v>0.85</v>
      </c>
      <c r="F13" s="164"/>
      <c r="G13" s="351" t="s">
        <v>38</v>
      </c>
      <c r="H13" s="351"/>
      <c r="I13" s="351"/>
      <c r="J13" s="351"/>
      <c r="K13" s="352"/>
      <c r="L13" s="163"/>
      <c r="M13" s="162"/>
      <c r="N13" s="306"/>
    </row>
    <row r="14" spans="1:14" ht="8.1" customHeight="1" x14ac:dyDescent="0.3">
      <c r="B14" s="54"/>
      <c r="C14" s="54"/>
      <c r="D14" s="158"/>
      <c r="E14" s="158"/>
      <c r="F14" s="158"/>
      <c r="G14" s="161"/>
      <c r="H14" s="158"/>
      <c r="I14" s="160"/>
      <c r="J14" s="160"/>
      <c r="K14" s="159"/>
      <c r="L14" s="159"/>
      <c r="M14" s="158"/>
      <c r="N14" s="157"/>
    </row>
    <row r="15" spans="1:14" ht="46.2" customHeight="1" x14ac:dyDescent="0.3">
      <c r="B15" s="54"/>
      <c r="C15" s="54"/>
      <c r="D15" s="340" t="s">
        <v>12</v>
      </c>
      <c r="E15" s="340"/>
      <c r="F15" s="340"/>
      <c r="G15" s="340"/>
      <c r="H15" s="340"/>
      <c r="I15" s="340"/>
      <c r="J15" s="340"/>
      <c r="K15" s="340"/>
      <c r="L15" s="159"/>
      <c r="M15" s="158"/>
      <c r="N15" s="157"/>
    </row>
    <row r="16" spans="1:14" ht="8.1" customHeight="1" x14ac:dyDescent="0.3">
      <c r="B16" s="54"/>
      <c r="C16" s="54"/>
      <c r="D16" s="158"/>
      <c r="E16" s="158"/>
      <c r="F16" s="158"/>
      <c r="G16" s="161"/>
      <c r="H16" s="158"/>
      <c r="I16" s="160"/>
      <c r="J16" s="160"/>
      <c r="K16" s="159"/>
      <c r="L16" s="159"/>
      <c r="M16" s="158"/>
      <c r="N16" s="157"/>
    </row>
    <row r="17" spans="2:14" ht="42" customHeight="1" x14ac:dyDescent="0.3">
      <c r="B17" s="54"/>
      <c r="C17" s="54"/>
      <c r="D17" s="307" t="s">
        <v>41</v>
      </c>
      <c r="E17" s="277" t="s">
        <v>42</v>
      </c>
      <c r="F17" s="186"/>
      <c r="G17" s="348" t="s">
        <v>43</v>
      </c>
      <c r="H17" s="348"/>
      <c r="I17" s="348"/>
      <c r="J17" s="348"/>
      <c r="K17" s="349"/>
      <c r="L17" s="159"/>
      <c r="M17" s="158"/>
      <c r="N17" s="157"/>
    </row>
    <row r="18" spans="2:14" ht="42" customHeight="1" x14ac:dyDescent="0.3">
      <c r="B18" s="54"/>
      <c r="C18" s="54"/>
      <c r="D18" s="307" t="s">
        <v>128</v>
      </c>
      <c r="E18" s="277" t="s">
        <v>131</v>
      </c>
      <c r="F18" s="186"/>
      <c r="G18" s="348" t="s">
        <v>133</v>
      </c>
      <c r="H18" s="348"/>
      <c r="I18" s="348"/>
      <c r="J18" s="348"/>
      <c r="K18" s="349"/>
      <c r="L18" s="159"/>
      <c r="M18" s="158"/>
      <c r="N18" s="157"/>
    </row>
    <row r="19" spans="2:14" ht="87.45" customHeight="1" x14ac:dyDescent="0.3">
      <c r="B19" s="54"/>
      <c r="C19" s="54"/>
      <c r="D19" s="316" t="s">
        <v>134</v>
      </c>
      <c r="E19" s="324">
        <v>3</v>
      </c>
      <c r="F19" s="186"/>
      <c r="G19" s="348" t="s">
        <v>148</v>
      </c>
      <c r="H19" s="348"/>
      <c r="I19" s="348"/>
      <c r="J19" s="348"/>
      <c r="K19" s="349"/>
      <c r="L19" s="159"/>
      <c r="M19" s="158"/>
      <c r="N19" s="157"/>
    </row>
    <row r="20" spans="2:14" ht="8.1" customHeight="1" x14ac:dyDescent="0.3">
      <c r="B20" s="54"/>
      <c r="C20" s="54"/>
      <c r="D20" s="158"/>
      <c r="E20" s="158" t="s">
        <v>80</v>
      </c>
      <c r="F20" s="158"/>
      <c r="G20" s="161"/>
      <c r="H20" s="158"/>
      <c r="I20" s="160"/>
      <c r="J20" s="160"/>
      <c r="K20" s="159"/>
      <c r="L20" s="159"/>
      <c r="M20" s="158"/>
      <c r="N20" s="157"/>
    </row>
    <row r="21" spans="2:14" ht="42" customHeight="1" x14ac:dyDescent="0.3">
      <c r="B21" s="54"/>
      <c r="C21" s="54"/>
      <c r="D21" s="346" t="s">
        <v>44</v>
      </c>
      <c r="E21" s="347"/>
      <c r="F21" s="159"/>
      <c r="G21" s="350" t="s">
        <v>150</v>
      </c>
      <c r="H21" s="350"/>
      <c r="I21" s="350"/>
      <c r="J21" s="350"/>
      <c r="K21" s="350"/>
      <c r="L21" s="159"/>
      <c r="M21" s="158"/>
      <c r="N21" s="157"/>
    </row>
    <row r="22" spans="2:14" ht="73.95" customHeight="1" x14ac:dyDescent="0.3">
      <c r="B22" s="54"/>
      <c r="C22" s="54"/>
      <c r="D22" s="317" t="s">
        <v>135</v>
      </c>
      <c r="E22" s="329">
        <v>0.2</v>
      </c>
      <c r="F22" s="323"/>
      <c r="G22" s="338" t="s">
        <v>147</v>
      </c>
      <c r="H22" s="338"/>
      <c r="I22" s="338"/>
      <c r="J22" s="338"/>
      <c r="K22" s="339"/>
      <c r="L22" s="159"/>
      <c r="M22" s="158"/>
      <c r="N22" s="157"/>
    </row>
    <row r="23" spans="2:14" ht="25.2" customHeight="1" x14ac:dyDescent="0.3">
      <c r="B23" s="54"/>
      <c r="C23" s="54"/>
      <c r="D23" s="278">
        <f>E8</f>
        <v>2026</v>
      </c>
      <c r="E23" s="325">
        <f>IF($E$17="Preparatory transition",MIN(0.8,E22),IF($E$17="Accelerated transition",_xlfn.XLOOKUP(D23,'Vaccine options'!$E$21:$E$25,'Vaccine options'!$F$21:$F$25),0.07))</f>
        <v>7.0000000000000007E-2</v>
      </c>
      <c r="F23" s="321"/>
      <c r="G23" s="144"/>
      <c r="H23" s="144"/>
      <c r="I23" s="144"/>
      <c r="J23" s="144"/>
      <c r="K23" s="318"/>
      <c r="L23" s="159"/>
      <c r="M23" s="158"/>
      <c r="N23" s="157"/>
    </row>
    <row r="24" spans="2:14" ht="25.2" customHeight="1" x14ac:dyDescent="0.3">
      <c r="B24" s="54"/>
      <c r="C24" s="54"/>
      <c r="D24" s="278">
        <f>$E$8+1</f>
        <v>2027</v>
      </c>
      <c r="E24" s="325">
        <f>IF($E$17="Preparatory transition",MIN(0.8,E23*1.15),IF($E$17="Accelerated transition",_xlfn.XLOOKUP(D24,'Vaccine options'!$E$21:$E$25,'Vaccine options'!$F$21:$F$25),0.07))</f>
        <v>7.0000000000000007E-2</v>
      </c>
      <c r="F24" s="321"/>
      <c r="G24" s="144"/>
      <c r="H24" s="144"/>
      <c r="I24" s="144"/>
      <c r="J24" s="144"/>
      <c r="K24" s="318"/>
      <c r="L24" s="159"/>
      <c r="M24" s="158"/>
      <c r="N24" s="157"/>
    </row>
    <row r="25" spans="2:14" ht="25.2" customHeight="1" x14ac:dyDescent="0.3">
      <c r="B25" s="54"/>
      <c r="C25" s="54"/>
      <c r="D25" s="278">
        <f>$E$8+2</f>
        <v>2028</v>
      </c>
      <c r="E25" s="325">
        <f>IF($E$17="Preparatory transition",MIN(0.8,E24*1.15),IF($E$17="Accelerated transition",_xlfn.XLOOKUP(D25,'Vaccine options'!$E$21:$E$25,'Vaccine options'!$F$21:$F$25),0.07))</f>
        <v>7.0000000000000007E-2</v>
      </c>
      <c r="F25" s="321"/>
      <c r="G25" s="144"/>
      <c r="H25" s="144"/>
      <c r="I25" s="144"/>
      <c r="J25" s="144"/>
      <c r="K25" s="318"/>
      <c r="L25" s="159"/>
      <c r="M25" s="158"/>
      <c r="N25" s="157"/>
    </row>
    <row r="26" spans="2:14" ht="25.2" customHeight="1" x14ac:dyDescent="0.3">
      <c r="B26" s="54"/>
      <c r="C26" s="54"/>
      <c r="D26" s="278">
        <f>$E$8+3</f>
        <v>2029</v>
      </c>
      <c r="E26" s="325">
        <f>IF($E$17="Preparatory transition",MIN(0.8,E25*1.15),IF($E$17="Accelerated transition",_xlfn.XLOOKUP(D26,'Vaccine options'!$E$21:$E$25,'Vaccine options'!$F$21:$F$25),0.07))</f>
        <v>7.0000000000000007E-2</v>
      </c>
      <c r="F26" s="321"/>
      <c r="G26" s="144"/>
      <c r="H26" s="144"/>
      <c r="I26" s="144"/>
      <c r="J26" s="144"/>
      <c r="K26" s="318"/>
      <c r="L26" s="159"/>
      <c r="M26" s="158"/>
      <c r="N26" s="157"/>
    </row>
    <row r="27" spans="2:14" ht="25.2" customHeight="1" x14ac:dyDescent="0.3">
      <c r="B27" s="54"/>
      <c r="C27" s="54"/>
      <c r="D27" s="278">
        <f>$E$8+4</f>
        <v>2030</v>
      </c>
      <c r="E27" s="325">
        <f>IF($E$17="Preparatory transition",MIN(0.8,E26*1.15),IF($E$17="Accelerated transition",_xlfn.XLOOKUP(D27,'Vaccine options'!$E$21:$E$25,'Vaccine options'!$F$21:$F$25),0.07))</f>
        <v>7.0000000000000007E-2</v>
      </c>
      <c r="F27" s="322"/>
      <c r="G27" s="319"/>
      <c r="H27" s="319"/>
      <c r="I27" s="319"/>
      <c r="J27" s="319"/>
      <c r="K27" s="320"/>
      <c r="L27" s="159"/>
      <c r="M27" s="158"/>
      <c r="N27" s="157"/>
    </row>
    <row r="28" spans="2:14" ht="8.1" customHeight="1" x14ac:dyDescent="0.3">
      <c r="B28" s="54"/>
      <c r="C28" s="54"/>
      <c r="D28" s="158"/>
      <c r="E28" s="158"/>
      <c r="F28" s="158"/>
      <c r="G28" s="161"/>
      <c r="H28" s="158"/>
      <c r="I28" s="160"/>
      <c r="J28" s="160"/>
      <c r="K28" s="159"/>
      <c r="L28" s="159"/>
      <c r="M28" s="158"/>
      <c r="N28" s="157"/>
    </row>
    <row r="29" spans="2:14" ht="45" customHeight="1" x14ac:dyDescent="0.3">
      <c r="B29" s="54"/>
      <c r="C29" s="54"/>
      <c r="D29" s="340" t="s">
        <v>13</v>
      </c>
      <c r="E29" s="340"/>
      <c r="F29" s="340"/>
      <c r="G29" s="340"/>
      <c r="H29" s="340"/>
      <c r="I29" s="340"/>
      <c r="J29" s="340"/>
      <c r="K29" s="340"/>
      <c r="L29" s="90"/>
      <c r="M29" s="89"/>
      <c r="N29" s="87"/>
    </row>
    <row r="30" spans="2:14" ht="8.1" customHeight="1" x14ac:dyDescent="0.3">
      <c r="B30" s="54"/>
      <c r="C30" s="54"/>
      <c r="D30" s="54"/>
      <c r="E30" s="54"/>
      <c r="F30" s="54"/>
      <c r="G30" s="54"/>
      <c r="H30" s="54"/>
      <c r="I30" s="54"/>
      <c r="J30" s="54"/>
      <c r="K30" s="54"/>
      <c r="L30" s="54"/>
      <c r="M30" s="54"/>
    </row>
    <row r="31" spans="2:14" ht="58.35" customHeight="1" x14ac:dyDescent="0.3">
      <c r="B31" s="54"/>
      <c r="C31" s="54"/>
      <c r="D31" s="156"/>
      <c r="E31" s="305" t="s">
        <v>45</v>
      </c>
      <c r="F31" s="154"/>
      <c r="G31" s="155" t="s">
        <v>46</v>
      </c>
      <c r="H31" s="154"/>
      <c r="I31" s="155" t="s">
        <v>47</v>
      </c>
      <c r="J31" s="154"/>
      <c r="K31" s="307" t="s">
        <v>48</v>
      </c>
      <c r="L31" s="149"/>
      <c r="M31" s="54"/>
    </row>
    <row r="32" spans="2:14" ht="147" customHeight="1" x14ac:dyDescent="0.3">
      <c r="B32" s="54"/>
      <c r="C32" s="54"/>
      <c r="D32" s="153" t="s">
        <v>49</v>
      </c>
      <c r="E32" s="152" t="s">
        <v>50</v>
      </c>
      <c r="F32" s="151"/>
      <c r="G32" s="152" t="s">
        <v>51</v>
      </c>
      <c r="H32" s="151"/>
      <c r="I32" s="152" t="s">
        <v>53</v>
      </c>
      <c r="J32" s="151"/>
      <c r="K32" s="152" t="s">
        <v>127</v>
      </c>
      <c r="L32" s="150"/>
      <c r="M32" s="149"/>
      <c r="N32" s="148"/>
    </row>
    <row r="33" spans="2:14" ht="84.6" customHeight="1" x14ac:dyDescent="0.3">
      <c r="B33" s="54"/>
      <c r="C33" s="54"/>
      <c r="D33" s="279" t="s">
        <v>54</v>
      </c>
      <c r="E33" s="284" t="str">
        <f>VLOOKUP(E32,'Vaccine options'!$A$3:$E$8,5,FALSE)</f>
        <v>Supply exceeds demand</v>
      </c>
      <c r="F33" s="285"/>
      <c r="G33" s="284" t="str">
        <f>VLOOKUP(G32,'Vaccine options'!$A$3:$E$8,5,FALSE)</f>
        <v>Supply exceeds demand</v>
      </c>
      <c r="H33" s="285"/>
      <c r="I33" s="284" t="str">
        <f>VLOOKUP(I32,'Vaccine options'!$A$3:$E$8,5,FALSE)</f>
        <v>Supply exceeds demand</v>
      </c>
      <c r="J33" s="285"/>
      <c r="K33" s="284" t="str">
        <f>VLOOKUP(K32,'Vaccine options'!$A$3:$E$8,5,FALSE)</f>
        <v>Needs planning</v>
      </c>
      <c r="L33" s="150"/>
      <c r="M33" s="149"/>
      <c r="N33" s="148"/>
    </row>
    <row r="34" spans="2:14" ht="8.25" customHeight="1" x14ac:dyDescent="0.3">
      <c r="B34" s="54"/>
      <c r="C34" s="54"/>
      <c r="D34" s="147"/>
      <c r="E34" s="146"/>
      <c r="F34" s="142"/>
      <c r="G34" s="146"/>
      <c r="H34" s="142"/>
      <c r="I34" s="146"/>
      <c r="J34" s="142"/>
      <c r="K34" s="146"/>
      <c r="L34" s="146"/>
      <c r="M34" s="145"/>
      <c r="N34" s="144"/>
    </row>
    <row r="35" spans="2:14" ht="39" customHeight="1" x14ac:dyDescent="0.3">
      <c r="B35" s="54"/>
      <c r="C35" s="54"/>
      <c r="D35" s="279" t="s">
        <v>55</v>
      </c>
      <c r="E35" s="151"/>
      <c r="F35" s="151"/>
      <c r="G35" s="151"/>
      <c r="H35" s="151"/>
      <c r="I35" s="151"/>
      <c r="J35" s="151"/>
      <c r="K35" s="151"/>
      <c r="L35" s="143"/>
      <c r="M35" s="142"/>
      <c r="N35" s="141"/>
    </row>
    <row r="36" spans="2:14" ht="25.2" customHeight="1" x14ac:dyDescent="0.3">
      <c r="B36" s="54"/>
      <c r="C36" s="54"/>
      <c r="D36" s="286">
        <f>D23</f>
        <v>2026</v>
      </c>
      <c r="E36" s="287" cm="1">
        <f t="array" ref="E36">INDEX('Vaccine prices'!$C$1:$C$84,MATCH(1,(E32='Vaccine prices'!$A$1:$A$84)*(D36='Vaccine prices'!$B$1:$B$84),0))</f>
        <v>2.9</v>
      </c>
      <c r="F36" s="272"/>
      <c r="G36" s="287" cm="1">
        <f t="array" ref="G36">INDEX('Vaccine prices'!$C$1:$C$84,MATCH(1,(G32='Vaccine prices'!$A$1:$A$84)*(D36='Vaccine prices'!$B$1:$B$84),0))</f>
        <v>2</v>
      </c>
      <c r="H36" s="272"/>
      <c r="I36" s="287" cm="1">
        <f t="array" ref="I36">INDEX('Vaccine prices'!$C$1:$C$84,MATCH(1,(I32='Vaccine prices'!$A$1:$A$84)*(D36='Vaccine prices'!$B$1:$B$84),0))</f>
        <v>2.75</v>
      </c>
      <c r="J36" s="272"/>
      <c r="K36" s="287" cm="1">
        <f t="array" ref="K36">INDEX('Vaccine prices'!$C$1:$C$84,MATCH(1,(K32='Vaccine prices'!$A$1:$A$84)*(D36='Vaccine prices'!$B$1:$B$84),0))</f>
        <v>2.06</v>
      </c>
      <c r="L36" s="143"/>
      <c r="M36" s="142"/>
      <c r="N36" s="141"/>
    </row>
    <row r="37" spans="2:14" ht="25.2" customHeight="1" x14ac:dyDescent="0.3">
      <c r="B37" s="54"/>
      <c r="C37" s="54"/>
      <c r="D37" s="286">
        <f>D24</f>
        <v>2027</v>
      </c>
      <c r="E37" s="287" cm="1">
        <f t="array" ref="E37">INDEX('Vaccine prices'!$C$1:$C$84,MATCH(1,(E32='Vaccine prices'!$A$1:$A$84)*(D37='Vaccine prices'!$B$1:$B$84),0))</f>
        <v>2.9</v>
      </c>
      <c r="F37" s="272"/>
      <c r="G37" s="287" cm="1">
        <f t="array" ref="G37">INDEX('Vaccine prices'!$C$1:$C$84,MATCH(1,(G32='Vaccine prices'!$A$1:$A$84)*(D37='Vaccine prices'!$B$1:$B$84),0))</f>
        <v>1.55</v>
      </c>
      <c r="H37" s="272"/>
      <c r="I37" s="287" cm="1">
        <f t="array" ref="I37">INDEX('Vaccine prices'!$C$1:$C$84,MATCH(1,(I32='Vaccine prices'!$A$1:$A$84)*(D37='Vaccine prices'!$B$1:$B$84),0))</f>
        <v>2.75</v>
      </c>
      <c r="J37" s="272"/>
      <c r="K37" s="287" cm="1">
        <f t="array" ref="K37">INDEX('Vaccine prices'!$C$1:$C$84,MATCH(1,(K32='Vaccine prices'!$A$1:$A$84)*(D37='Vaccine prices'!$B$1:$B$84),0))</f>
        <v>2.06</v>
      </c>
      <c r="L37" s="143"/>
      <c r="M37" s="142"/>
      <c r="N37" s="141"/>
    </row>
    <row r="38" spans="2:14" ht="25.2" customHeight="1" x14ac:dyDescent="0.3">
      <c r="B38" s="54"/>
      <c r="C38" s="54"/>
      <c r="D38" s="286">
        <f>D25</f>
        <v>2028</v>
      </c>
      <c r="E38" s="287" cm="1">
        <f t="array" ref="E38">INDEX('Vaccine prices'!$C$1:$C$84,MATCH(1,(E32='Vaccine prices'!$A$1:$A$84)*(D38='Vaccine prices'!$B$1:$B$84),0))</f>
        <v>2.9</v>
      </c>
      <c r="F38" s="272"/>
      <c r="G38" s="287" cm="1">
        <f t="array" ref="G38">INDEX('Vaccine prices'!$C$1:$C$84,MATCH(1,(G32='Vaccine prices'!$A$1:$A$84)*(D38='Vaccine prices'!$B$1:$B$84),0))</f>
        <v>1.55</v>
      </c>
      <c r="H38" s="272"/>
      <c r="I38" s="287" cm="1">
        <f t="array" ref="I38">INDEX('Vaccine prices'!$C$1:$C$784,MATCH(1,(I32='Vaccine prices'!$A$1:$A$84)*(D38='Vaccine prices'!$B$1:$B$84),0))</f>
        <v>2.75</v>
      </c>
      <c r="J38" s="272"/>
      <c r="K38" s="287" cm="1">
        <f t="array" ref="K38">INDEX('Vaccine prices'!$C$1:$C$84,MATCH(1,(K32='Vaccine prices'!$A$1:$A$84)*(D38='Vaccine prices'!$B$1:$B$84),0))</f>
        <v>2.06</v>
      </c>
      <c r="L38" s="143"/>
      <c r="M38" s="142"/>
      <c r="N38" s="141"/>
    </row>
    <row r="39" spans="2:14" ht="25.2" customHeight="1" x14ac:dyDescent="0.3">
      <c r="B39" s="54"/>
      <c r="C39" s="54"/>
      <c r="D39" s="286">
        <f>D26</f>
        <v>2029</v>
      </c>
      <c r="E39" s="287" cm="1">
        <f t="array" ref="E39">INDEX('Vaccine prices'!$C$1:$C$84,MATCH(1,(E32='Vaccine prices'!$A$1:$A$84)*(D39='Vaccine prices'!$B$1:$B$84),0))</f>
        <v>2.9</v>
      </c>
      <c r="F39" s="272"/>
      <c r="G39" s="287" cm="1">
        <f t="array" ref="G39">INDEX('Vaccine prices'!$C$1:$C$84,MATCH(1,(G32='Vaccine prices'!$A$1:$A$84)*(D39='Vaccine prices'!$B$1:$B$84),0))</f>
        <v>1.55</v>
      </c>
      <c r="H39" s="272"/>
      <c r="I39" s="287" cm="1">
        <f t="array" ref="I39">INDEX('Vaccine prices'!$C$1:$C$84,MATCH(1,(I32='Vaccine prices'!$A$1:$A$84)*(D39='Vaccine prices'!$B$1:$B$84),0))</f>
        <v>2.75</v>
      </c>
      <c r="J39" s="272"/>
      <c r="K39" s="287" cm="1">
        <f t="array" ref="K39">INDEX('Vaccine prices'!$C$1:$C$84,MATCH(1,(K32='Vaccine prices'!$A$1:$A$84)*(D39='Vaccine prices'!$B$1:$B$84),0))</f>
        <v>2.06</v>
      </c>
      <c r="L39" s="143"/>
      <c r="M39" s="142"/>
      <c r="N39" s="141"/>
    </row>
    <row r="40" spans="2:14" ht="25.2" customHeight="1" x14ac:dyDescent="0.3">
      <c r="B40" s="54"/>
      <c r="C40" s="54"/>
      <c r="D40" s="286">
        <f>D27</f>
        <v>2030</v>
      </c>
      <c r="E40" s="287" cm="1">
        <f t="array" ref="E40">INDEX('Vaccine prices'!$C$1:$C$84,MATCH(1,(E32='Vaccine prices'!$A$1:$A$84)*(D40='Vaccine prices'!$B$1:$B$84),0))</f>
        <v>2.9</v>
      </c>
      <c r="F40" s="272"/>
      <c r="G40" s="287" cm="1">
        <f t="array" ref="G40">INDEX('Vaccine prices'!$C$1:$C$84,MATCH(1,(G32='Vaccine prices'!$A$1:$A$84)*(D40='Vaccine prices'!$B$1:$B$84),0))</f>
        <v>1.55</v>
      </c>
      <c r="H40" s="272"/>
      <c r="I40" s="287" cm="1">
        <f t="array" ref="I40">INDEX('Vaccine prices'!$C$1:$C$84,MATCH(1,(I32='Vaccine prices'!$A$1:$A$84)*(D40='Vaccine prices'!$B$1:$B$84),0))</f>
        <v>2.75</v>
      </c>
      <c r="J40" s="272"/>
      <c r="K40" s="287" cm="1">
        <f t="array" ref="K40">INDEX('Vaccine prices'!$C$1:$C$84,MATCH(1,(K32='Vaccine prices'!$A$1:$A$84)*(D40='Vaccine prices'!$B$1:$B$84),0))</f>
        <v>2.06</v>
      </c>
      <c r="L40" s="143"/>
      <c r="M40" s="142"/>
      <c r="N40" s="141"/>
    </row>
    <row r="41" spans="2:14" ht="8.25" customHeight="1" x14ac:dyDescent="0.3">
      <c r="B41" s="54"/>
      <c r="C41" s="54"/>
      <c r="D41" s="149"/>
      <c r="E41" s="149"/>
      <c r="F41" s="149"/>
      <c r="G41" s="149"/>
      <c r="H41" s="149"/>
      <c r="I41" s="149"/>
      <c r="J41" s="149"/>
      <c r="K41" s="149"/>
      <c r="L41" s="143"/>
      <c r="M41" s="142"/>
      <c r="N41" s="141"/>
    </row>
    <row r="42" spans="2:14" ht="42" customHeight="1" x14ac:dyDescent="0.3">
      <c r="B42" s="54"/>
      <c r="C42" s="54"/>
      <c r="D42" s="279" t="s">
        <v>56</v>
      </c>
      <c r="E42" s="151"/>
      <c r="F42" s="151"/>
      <c r="G42" s="151"/>
      <c r="H42" s="151"/>
      <c r="I42" s="151"/>
      <c r="J42" s="151"/>
      <c r="K42" s="151"/>
      <c r="L42" s="143"/>
      <c r="M42" s="142"/>
      <c r="N42" s="141"/>
    </row>
    <row r="43" spans="2:14" ht="25.2" customHeight="1" x14ac:dyDescent="0.3">
      <c r="B43" s="54"/>
      <c r="C43" s="54"/>
      <c r="D43" s="286">
        <f>D23</f>
        <v>2026</v>
      </c>
      <c r="E43" s="287">
        <f>E36*E23</f>
        <v>0.20300000000000001</v>
      </c>
      <c r="F43" s="272"/>
      <c r="G43" s="287">
        <f>G36*E23</f>
        <v>0.14000000000000001</v>
      </c>
      <c r="H43" s="272"/>
      <c r="I43" s="287">
        <f>I36*E23</f>
        <v>0.1925</v>
      </c>
      <c r="J43" s="272"/>
      <c r="K43" s="287">
        <f>K36*E23</f>
        <v>0.14420000000000002</v>
      </c>
      <c r="L43" s="143"/>
      <c r="M43" s="142"/>
      <c r="N43" s="141"/>
    </row>
    <row r="44" spans="2:14" ht="25.2" customHeight="1" x14ac:dyDescent="0.3">
      <c r="B44" s="54"/>
      <c r="C44" s="54"/>
      <c r="D44" s="286">
        <f>D24</f>
        <v>2027</v>
      </c>
      <c r="E44" s="287">
        <f>E37*E24</f>
        <v>0.20300000000000001</v>
      </c>
      <c r="F44" s="272"/>
      <c r="G44" s="287">
        <f t="shared" ref="G44:G47" si="0">G37*E24</f>
        <v>0.10850000000000001</v>
      </c>
      <c r="H44" s="272"/>
      <c r="I44" s="287">
        <f t="shared" ref="I44:I47" si="1">I37*E24</f>
        <v>0.1925</v>
      </c>
      <c r="J44" s="272"/>
      <c r="K44" s="287">
        <f t="shared" ref="K44:K47" si="2">K37*E24</f>
        <v>0.14420000000000002</v>
      </c>
      <c r="L44" s="143"/>
      <c r="M44" s="142"/>
      <c r="N44" s="141"/>
    </row>
    <row r="45" spans="2:14" ht="25.2" customHeight="1" x14ac:dyDescent="0.3">
      <c r="B45" s="54"/>
      <c r="C45" s="54"/>
      <c r="D45" s="286">
        <f>D25</f>
        <v>2028</v>
      </c>
      <c r="E45" s="287">
        <f>E38*E25</f>
        <v>0.20300000000000001</v>
      </c>
      <c r="F45" s="272"/>
      <c r="G45" s="287">
        <f t="shared" si="0"/>
        <v>0.10850000000000001</v>
      </c>
      <c r="H45" s="272"/>
      <c r="I45" s="287">
        <f t="shared" si="1"/>
        <v>0.1925</v>
      </c>
      <c r="J45" s="272"/>
      <c r="K45" s="287">
        <f t="shared" si="2"/>
        <v>0.14420000000000002</v>
      </c>
      <c r="L45" s="143"/>
      <c r="M45" s="142"/>
      <c r="N45" s="141"/>
    </row>
    <row r="46" spans="2:14" ht="25.2" customHeight="1" x14ac:dyDescent="0.3">
      <c r="B46" s="54"/>
      <c r="C46" s="54"/>
      <c r="D46" s="286">
        <f>D26</f>
        <v>2029</v>
      </c>
      <c r="E46" s="287">
        <f>E39*E26</f>
        <v>0.20300000000000001</v>
      </c>
      <c r="F46" s="272"/>
      <c r="G46" s="287">
        <f t="shared" si="0"/>
        <v>0.10850000000000001</v>
      </c>
      <c r="H46" s="272"/>
      <c r="I46" s="287">
        <f t="shared" si="1"/>
        <v>0.1925</v>
      </c>
      <c r="J46" s="272"/>
      <c r="K46" s="287">
        <f t="shared" si="2"/>
        <v>0.14420000000000002</v>
      </c>
      <c r="L46" s="143"/>
      <c r="M46" s="142"/>
      <c r="N46" s="141"/>
    </row>
    <row r="47" spans="2:14" ht="25.2" customHeight="1" x14ac:dyDescent="0.3">
      <c r="B47" s="54"/>
      <c r="C47" s="54"/>
      <c r="D47" s="286">
        <f>D27</f>
        <v>2030</v>
      </c>
      <c r="E47" s="287">
        <f>E40*E27</f>
        <v>0.20300000000000001</v>
      </c>
      <c r="F47" s="272"/>
      <c r="G47" s="287">
        <f t="shared" si="0"/>
        <v>0.10850000000000001</v>
      </c>
      <c r="H47" s="272"/>
      <c r="I47" s="287">
        <f t="shared" si="1"/>
        <v>0.1925</v>
      </c>
      <c r="J47" s="272"/>
      <c r="K47" s="287">
        <f t="shared" si="2"/>
        <v>0.14420000000000002</v>
      </c>
      <c r="L47" s="143"/>
      <c r="M47" s="142"/>
      <c r="N47" s="141"/>
    </row>
    <row r="48" spans="2:14" ht="8.25" customHeight="1" x14ac:dyDescent="0.3">
      <c r="B48" s="54"/>
      <c r="C48" s="54"/>
      <c r="D48" s="147"/>
      <c r="E48" s="147"/>
      <c r="F48" s="147"/>
      <c r="G48" s="147"/>
      <c r="H48" s="147"/>
      <c r="I48" s="147"/>
      <c r="J48" s="147"/>
      <c r="K48" s="147"/>
      <c r="L48" s="143"/>
      <c r="M48" s="142"/>
      <c r="N48" s="141"/>
    </row>
    <row r="49" spans="2:15" ht="39" customHeight="1" x14ac:dyDescent="0.3">
      <c r="B49" s="54"/>
      <c r="C49" s="54"/>
      <c r="D49" s="308" t="s">
        <v>57</v>
      </c>
      <c r="E49" s="313">
        <v>3</v>
      </c>
      <c r="F49" s="140"/>
      <c r="G49" s="313">
        <v>3</v>
      </c>
      <c r="H49" s="140"/>
      <c r="I49" s="313">
        <v>3</v>
      </c>
      <c r="J49" s="140"/>
      <c r="K49" s="315">
        <v>3</v>
      </c>
      <c r="L49" s="94"/>
      <c r="M49" s="93"/>
      <c r="N49" s="92"/>
    </row>
    <row r="50" spans="2:15" ht="25.05" customHeight="1" x14ac:dyDescent="0.3">
      <c r="B50" s="54"/>
      <c r="C50" s="54"/>
      <c r="D50" s="131" t="s">
        <v>58</v>
      </c>
      <c r="E50" s="314">
        <f>IFERROR(INDEX('Vaccine options'!$A$3:$D$8,MATCH(E32,'Vaccine options'!$A$3:$A$8,0),2),"-")</f>
        <v>3</v>
      </c>
      <c r="F50" s="140"/>
      <c r="G50" s="314">
        <f>IFERROR(INDEX('Vaccine options'!$A$3:$D$8,MATCH(G32,'Vaccine options'!$A$3:$A$8,0),2),"-")</f>
        <v>3</v>
      </c>
      <c r="H50" s="140"/>
      <c r="I50" s="139">
        <f>IFERROR(INDEX('Vaccine options'!$A$3:$D$8,MATCH(I32,'Vaccine options'!$A$3:$A$8,0),2),"-")</f>
        <v>3</v>
      </c>
      <c r="J50" s="140"/>
      <c r="K50" s="312">
        <f>IFERROR(INDEX('Vaccine options'!$A$3:$D$8,MATCH(K32,'Vaccine options'!$A$3:$A$8,0),2),"-")</f>
        <v>3</v>
      </c>
      <c r="L50" s="94"/>
      <c r="M50" s="93"/>
      <c r="N50" s="92"/>
    </row>
    <row r="51" spans="2:15" ht="39" customHeight="1" x14ac:dyDescent="0.3">
      <c r="B51" s="54"/>
      <c r="C51" s="54"/>
      <c r="D51" s="307" t="s">
        <v>59</v>
      </c>
      <c r="E51" s="139">
        <f>IFERROR(INDEX('Vaccine options'!$A$3:$D$8,MATCH(E32,'Vaccine options'!$A$3:$A$8,0),4),"-")</f>
        <v>2.4</v>
      </c>
      <c r="F51" s="138"/>
      <c r="G51" s="139">
        <f>IFERROR(INDEX('Vaccine options'!$A$3:$D$8,MATCH(G32,'Vaccine options'!$A$3:$A$8,0),4),"-")</f>
        <v>3.5150000000000001</v>
      </c>
      <c r="H51" s="138"/>
      <c r="I51" s="139">
        <f>IFERROR(INDEX('Vaccine options'!$A$3:$D$8,MATCH(I32,'Vaccine options'!$A$3:$A$8,0),4),"-")</f>
        <v>3.5</v>
      </c>
      <c r="J51" s="138"/>
      <c r="K51" s="139">
        <f>IFERROR(INDEX('Vaccine options'!$A$3:$D$8,MATCH(K32,'Vaccine options'!$A$3:$A$8,0),4),"-")</f>
        <v>2.9</v>
      </c>
      <c r="L51" s="137"/>
      <c r="M51" s="136"/>
      <c r="N51" s="135"/>
    </row>
    <row r="52" spans="2:15" ht="39" customHeight="1" x14ac:dyDescent="0.3">
      <c r="B52" s="54"/>
      <c r="C52" s="54"/>
      <c r="D52" s="308" t="s">
        <v>60</v>
      </c>
      <c r="E52" s="134">
        <v>0.08</v>
      </c>
      <c r="F52" s="110"/>
      <c r="G52" s="133">
        <v>0.08</v>
      </c>
      <c r="H52" s="110"/>
      <c r="I52" s="132">
        <v>0.05</v>
      </c>
      <c r="J52" s="110"/>
      <c r="K52" s="132">
        <v>0.08</v>
      </c>
      <c r="L52" s="108"/>
      <c r="M52" s="107"/>
      <c r="N52" s="106"/>
    </row>
    <row r="53" spans="2:15" ht="20.100000000000001" customHeight="1" x14ac:dyDescent="0.3">
      <c r="B53" s="54"/>
      <c r="C53" s="54"/>
      <c r="D53" s="131" t="s">
        <v>61</v>
      </c>
      <c r="E53" s="130">
        <f>IFERROR(INDEX('Vaccine options'!$A$3:$D$8,MATCH(E32,'Vaccine options'!$A$3:$A$8,0),3),"-")</f>
        <v>0.08</v>
      </c>
      <c r="F53" s="128"/>
      <c r="G53" s="129">
        <f>IFERROR(INDEX('Vaccine options'!$A$3:$D$8,MATCH(G32,'Vaccine options'!$A$3:$A$8,0),3),"-")</f>
        <v>0.08</v>
      </c>
      <c r="H53" s="128"/>
      <c r="I53" s="127">
        <f>IFERROR(INDEX('Vaccine options'!$A$3:$D$8,MATCH(I32,'Vaccine options'!$A$3:$A$8,0),3),"-")</f>
        <v>0.08</v>
      </c>
      <c r="J53" s="128"/>
      <c r="K53" s="127">
        <f>IFERROR(INDEX('Vaccine options'!$A$3:$D$8,MATCH(E32,'Vaccine options'!$A$3:$A$8,0),3),"-")</f>
        <v>0.08</v>
      </c>
      <c r="L53" s="126"/>
      <c r="M53" s="107"/>
      <c r="N53" s="106"/>
      <c r="O53" s="125"/>
    </row>
    <row r="54" spans="2:15" ht="39" customHeight="1" x14ac:dyDescent="0.3">
      <c r="B54" s="54"/>
      <c r="C54" s="54"/>
      <c r="D54" s="307" t="s">
        <v>62</v>
      </c>
      <c r="E54" s="123">
        <f>(1/(1-E52))</f>
        <v>1.0869565217391304</v>
      </c>
      <c r="F54" s="124"/>
      <c r="G54" s="123">
        <f>(1/(1-G52))</f>
        <v>1.0869565217391304</v>
      </c>
      <c r="H54" s="124"/>
      <c r="I54" s="123">
        <f>(1/(1-I52))</f>
        <v>1.0526315789473684</v>
      </c>
      <c r="J54" s="124"/>
      <c r="K54" s="123">
        <f>(1/(1-K52))</f>
        <v>1.0869565217391304</v>
      </c>
      <c r="L54" s="122"/>
      <c r="M54" s="121"/>
      <c r="N54" s="120"/>
    </row>
    <row r="55" spans="2:15" ht="39" customHeight="1" x14ac:dyDescent="0.3">
      <c r="B55" s="54"/>
      <c r="C55" s="54"/>
      <c r="D55" s="307" t="s">
        <v>63</v>
      </c>
      <c r="E55" s="119">
        <v>0.05</v>
      </c>
      <c r="F55" s="117"/>
      <c r="G55" s="118">
        <v>0.05</v>
      </c>
      <c r="H55" s="117"/>
      <c r="I55" s="116">
        <v>0.05</v>
      </c>
      <c r="J55" s="117"/>
      <c r="K55" s="116">
        <v>0.05</v>
      </c>
      <c r="L55" s="115"/>
      <c r="M55" s="114"/>
      <c r="N55" s="113"/>
    </row>
    <row r="56" spans="2:15" ht="39" customHeight="1" x14ac:dyDescent="0.3">
      <c r="B56" s="54"/>
      <c r="C56" s="54"/>
      <c r="D56" s="307" t="s">
        <v>64</v>
      </c>
      <c r="E56" s="112">
        <v>7.0000000000000007E-2</v>
      </c>
      <c r="F56" s="110"/>
      <c r="G56" s="111">
        <v>7.0000000000000007E-2</v>
      </c>
      <c r="H56" s="110"/>
      <c r="I56" s="109">
        <v>7.0000000000000007E-2</v>
      </c>
      <c r="J56" s="110"/>
      <c r="K56" s="109">
        <v>7.0000000000000007E-2</v>
      </c>
      <c r="L56" s="108"/>
      <c r="M56" s="107"/>
      <c r="N56" s="106"/>
    </row>
    <row r="57" spans="2:15" ht="39" customHeight="1" x14ac:dyDescent="0.3">
      <c r="B57" s="54"/>
      <c r="C57" s="54"/>
      <c r="D57" s="307" t="s">
        <v>65</v>
      </c>
      <c r="E57" s="112">
        <v>0.25</v>
      </c>
      <c r="F57" s="110"/>
      <c r="G57" s="111">
        <v>0.25</v>
      </c>
      <c r="H57" s="110"/>
      <c r="I57" s="109">
        <v>0.25</v>
      </c>
      <c r="J57" s="110"/>
      <c r="K57" s="109">
        <v>0.25</v>
      </c>
      <c r="L57" s="108"/>
      <c r="M57" s="107"/>
      <c r="N57" s="106"/>
    </row>
    <row r="58" spans="2:15" ht="39" customHeight="1" x14ac:dyDescent="0.3">
      <c r="B58" s="54"/>
      <c r="C58" s="54"/>
      <c r="D58" s="307" t="s">
        <v>66</v>
      </c>
      <c r="E58" s="105">
        <v>0.8</v>
      </c>
      <c r="F58" s="103"/>
      <c r="G58" s="104">
        <v>0.8</v>
      </c>
      <c r="H58" s="103"/>
      <c r="I58" s="102">
        <v>0.8</v>
      </c>
      <c r="J58" s="103"/>
      <c r="K58" s="102">
        <v>0.8</v>
      </c>
      <c r="L58" s="101"/>
      <c r="M58" s="100"/>
      <c r="N58" s="99"/>
    </row>
    <row r="59" spans="2:15" ht="39" customHeight="1" x14ac:dyDescent="0.3">
      <c r="B59" s="54"/>
      <c r="C59" s="54"/>
      <c r="D59" s="307" t="s">
        <v>67</v>
      </c>
      <c r="E59" s="98">
        <v>100</v>
      </c>
      <c r="F59" s="96"/>
      <c r="G59" s="97">
        <v>100</v>
      </c>
      <c r="H59" s="96"/>
      <c r="I59" s="95">
        <v>100</v>
      </c>
      <c r="J59" s="96"/>
      <c r="K59" s="95">
        <v>100</v>
      </c>
      <c r="L59" s="94"/>
      <c r="M59" s="93"/>
      <c r="N59" s="92"/>
    </row>
    <row r="60" spans="2:15" ht="39" customHeight="1" x14ac:dyDescent="0.3">
      <c r="B60" s="54"/>
      <c r="C60" s="54"/>
      <c r="D60" s="307" t="s">
        <v>68</v>
      </c>
      <c r="E60" s="276">
        <v>0.04</v>
      </c>
      <c r="F60" s="274"/>
      <c r="G60" s="276">
        <v>0.04</v>
      </c>
      <c r="H60" s="274"/>
      <c r="I60" s="276">
        <v>0.04</v>
      </c>
      <c r="J60" s="274"/>
      <c r="K60" s="276">
        <v>0.04</v>
      </c>
      <c r="L60" s="275"/>
      <c r="M60" s="93"/>
      <c r="N60" s="92"/>
    </row>
    <row r="61" spans="2:15" ht="8.1" customHeight="1" x14ac:dyDescent="0.3">
      <c r="B61" s="54"/>
      <c r="C61" s="54"/>
      <c r="D61" s="91"/>
      <c r="E61" s="54"/>
      <c r="F61" s="54"/>
      <c r="G61" s="54"/>
      <c r="H61" s="54"/>
      <c r="I61" s="54"/>
      <c r="J61" s="54"/>
      <c r="K61" s="91"/>
      <c r="L61" s="91"/>
      <c r="M61" s="54"/>
    </row>
    <row r="62" spans="2:15" ht="45" customHeight="1" x14ac:dyDescent="0.3">
      <c r="B62" s="54"/>
      <c r="C62" s="54"/>
      <c r="D62" s="340" t="s">
        <v>69</v>
      </c>
      <c r="E62" s="340"/>
      <c r="F62" s="340"/>
      <c r="G62" s="340"/>
      <c r="H62" s="340"/>
      <c r="I62" s="340"/>
      <c r="J62" s="340"/>
      <c r="K62" s="340"/>
      <c r="L62" s="90"/>
      <c r="M62" s="89"/>
      <c r="N62" s="87"/>
    </row>
    <row r="63" spans="2:15" ht="8.1" customHeight="1" x14ac:dyDescent="0.3">
      <c r="B63" s="54"/>
      <c r="C63" s="54"/>
      <c r="D63" s="88"/>
      <c r="E63" s="88"/>
      <c r="F63" s="88"/>
      <c r="G63" s="88"/>
      <c r="H63" s="88"/>
      <c r="I63" s="54"/>
      <c r="J63" s="54"/>
      <c r="K63" s="88"/>
      <c r="L63" s="88"/>
      <c r="M63" s="88"/>
      <c r="N63" s="87"/>
    </row>
    <row r="64" spans="2:15" ht="39" customHeight="1" x14ac:dyDescent="0.3">
      <c r="B64" s="54"/>
      <c r="C64" s="54"/>
      <c r="D64" s="307" t="s">
        <v>70</v>
      </c>
      <c r="E64" s="86">
        <v>0</v>
      </c>
      <c r="F64" s="85"/>
      <c r="G64" s="84">
        <v>0</v>
      </c>
      <c r="H64" s="85"/>
      <c r="I64" s="86">
        <v>0</v>
      </c>
      <c r="J64" s="85"/>
      <c r="K64" s="84">
        <v>0</v>
      </c>
      <c r="L64" s="83"/>
      <c r="M64" s="82"/>
      <c r="N64" s="81"/>
    </row>
    <row r="65" spans="2:14" ht="25.2" customHeight="1" x14ac:dyDescent="0.3">
      <c r="B65" s="54"/>
      <c r="C65" s="54"/>
      <c r="D65" s="308" t="s">
        <v>22</v>
      </c>
      <c r="E65" s="336">
        <v>1</v>
      </c>
      <c r="F65" s="79"/>
      <c r="G65" s="336">
        <v>1</v>
      </c>
      <c r="H65" s="79"/>
      <c r="I65" s="336">
        <v>1</v>
      </c>
      <c r="J65" s="79"/>
      <c r="K65" s="336">
        <v>1</v>
      </c>
      <c r="L65" s="78"/>
      <c r="M65" s="77"/>
      <c r="N65" s="76"/>
    </row>
    <row r="66" spans="2:14" ht="20.25" customHeight="1" x14ac:dyDescent="0.3">
      <c r="B66" s="54"/>
      <c r="C66" s="54"/>
      <c r="D66" s="80" t="s">
        <v>71</v>
      </c>
      <c r="E66" s="337"/>
      <c r="F66" s="79"/>
      <c r="G66" s="337"/>
      <c r="H66" s="79"/>
      <c r="I66" s="337"/>
      <c r="J66" s="79"/>
      <c r="K66" s="337"/>
      <c r="L66" s="78"/>
      <c r="M66" s="77"/>
      <c r="N66" s="76"/>
    </row>
    <row r="67" spans="2:14" ht="63" customHeight="1" x14ac:dyDescent="0.3">
      <c r="B67" s="54"/>
      <c r="C67" s="54"/>
      <c r="D67" s="54"/>
      <c r="E67" s="296" t="str">
        <f>IF(OR(E65&gt;1.38,E65&lt;0.48),"! CONFIRM VALUE !
 Per IDCC, this cost is between $0.48 and $1.38","")</f>
        <v/>
      </c>
      <c r="F67" s="297"/>
      <c r="G67" s="296" t="str">
        <f>IF(OR(G65&gt;1.38,G65&lt;0.48),"! CONFIRM VALUE !
 Per IDCC, this cost is between $0.48 and $1.38","")</f>
        <v/>
      </c>
      <c r="H67" s="297"/>
      <c r="I67" s="296" t="str">
        <f>IF(OR(I65&gt;1.38,I65&lt;0.48),"! CONFIRM VALUE !
 Per IDCC, this cost is between $0.48 and $1.38","")</f>
        <v/>
      </c>
      <c r="J67" s="297"/>
      <c r="K67" s="296" t="str">
        <f>IF(OR(K65&gt;1.38,K65&lt;0.48),"! CONFIRM VALUE !
 Per IDCC, this cost is between $0.48 and $1.38","")</f>
        <v/>
      </c>
      <c r="L67" s="54"/>
      <c r="M67" s="73"/>
      <c r="N67" s="69"/>
    </row>
    <row r="68" spans="2:14" ht="60" customHeight="1" x14ac:dyDescent="0.3">
      <c r="B68" s="54"/>
      <c r="C68" s="75"/>
      <c r="D68" s="335" t="s">
        <v>24</v>
      </c>
      <c r="E68" s="335"/>
      <c r="F68" s="335"/>
      <c r="G68" s="335"/>
      <c r="H68" s="335"/>
      <c r="I68" s="335"/>
      <c r="J68" s="335"/>
      <c r="K68" s="335"/>
      <c r="L68" s="74"/>
      <c r="M68" s="73"/>
      <c r="N68" s="69"/>
    </row>
    <row r="69" spans="2:14" ht="32.1" customHeight="1" x14ac:dyDescent="0.4">
      <c r="B69" s="54"/>
      <c r="C69" s="72"/>
      <c r="D69" s="341" t="s">
        <v>72</v>
      </c>
      <c r="E69" s="341"/>
      <c r="F69" s="341"/>
      <c r="G69" s="341"/>
      <c r="H69" s="341"/>
      <c r="I69" s="341"/>
      <c r="J69" s="341"/>
      <c r="K69" s="341"/>
      <c r="L69" s="71"/>
      <c r="M69" s="70"/>
      <c r="N69" s="69"/>
    </row>
    <row r="70" spans="2:14" ht="8.1" hidden="1" customHeight="1" outlineLevel="1" x14ac:dyDescent="0.3">
      <c r="B70" s="54"/>
      <c r="C70" s="54"/>
      <c r="D70" s="67"/>
      <c r="E70" s="66"/>
      <c r="F70" s="66"/>
      <c r="G70" s="68"/>
      <c r="H70" s="66"/>
      <c r="I70" s="54"/>
      <c r="J70" s="54"/>
      <c r="K70" s="67"/>
      <c r="L70" s="67"/>
      <c r="M70" s="66"/>
      <c r="N70" s="65"/>
    </row>
    <row r="71" spans="2:14" ht="24" hidden="1" customHeight="1" outlineLevel="1" x14ac:dyDescent="0.3">
      <c r="B71" s="54"/>
      <c r="C71" s="54"/>
      <c r="D71" s="332" t="s">
        <v>73</v>
      </c>
      <c r="E71" s="333"/>
      <c r="F71" s="333"/>
      <c r="G71" s="333"/>
      <c r="H71" s="333"/>
      <c r="I71" s="333"/>
      <c r="J71" s="333"/>
      <c r="K71" s="334"/>
      <c r="L71" s="64"/>
      <c r="M71" s="66"/>
      <c r="N71" s="65"/>
    </row>
    <row r="72" spans="2:14" ht="8.1" hidden="1" customHeight="1" outlineLevel="1" x14ac:dyDescent="0.3">
      <c r="B72" s="54"/>
      <c r="C72" s="54"/>
      <c r="D72" s="67"/>
      <c r="E72" s="66"/>
      <c r="F72" s="66"/>
      <c r="G72" s="68"/>
      <c r="H72" s="66"/>
      <c r="I72" s="54"/>
      <c r="J72" s="54"/>
      <c r="K72" s="67"/>
      <c r="L72" s="67"/>
      <c r="M72" s="66"/>
      <c r="N72" s="65"/>
    </row>
    <row r="73" spans="2:14" ht="50.7" hidden="1" customHeight="1" outlineLevel="1" x14ac:dyDescent="0.3">
      <c r="B73" s="54"/>
      <c r="C73" s="54"/>
      <c r="D73" s="307" t="s">
        <v>74</v>
      </c>
      <c r="E73" s="59">
        <v>0.2</v>
      </c>
      <c r="F73" s="58"/>
      <c r="G73" s="57">
        <v>0.3</v>
      </c>
      <c r="H73" s="58"/>
      <c r="I73" s="57">
        <v>0.25</v>
      </c>
      <c r="J73" s="58"/>
      <c r="K73" s="57">
        <v>0.25</v>
      </c>
      <c r="L73" s="56"/>
      <c r="M73" s="54"/>
    </row>
    <row r="74" spans="2:14" ht="8.1" hidden="1" customHeight="1" outlineLevel="1" x14ac:dyDescent="0.3">
      <c r="B74" s="54"/>
      <c r="C74" s="54"/>
      <c r="D74" s="54"/>
      <c r="E74" s="54"/>
      <c r="F74" s="54"/>
      <c r="G74" s="54"/>
      <c r="H74" s="54"/>
      <c r="I74" s="54"/>
      <c r="J74" s="54"/>
      <c r="K74" s="54"/>
      <c r="L74" s="54"/>
      <c r="M74" s="54"/>
    </row>
    <row r="75" spans="2:14" ht="24" hidden="1" customHeight="1" outlineLevel="1" x14ac:dyDescent="0.3">
      <c r="B75" s="54"/>
      <c r="C75" s="54"/>
      <c r="D75" s="332" t="s">
        <v>75</v>
      </c>
      <c r="E75" s="333"/>
      <c r="F75" s="333"/>
      <c r="G75" s="333"/>
      <c r="H75" s="333"/>
      <c r="I75" s="333"/>
      <c r="J75" s="333"/>
      <c r="K75" s="334"/>
      <c r="L75" s="64"/>
      <c r="M75" s="54"/>
    </row>
    <row r="76" spans="2:14" ht="8.1" hidden="1" customHeight="1" outlineLevel="1" x14ac:dyDescent="0.3">
      <c r="B76" s="54"/>
      <c r="C76" s="54"/>
      <c r="D76" s="54"/>
      <c r="E76" s="54"/>
      <c r="F76" s="54"/>
      <c r="G76" s="54"/>
      <c r="H76" s="54"/>
      <c r="I76" s="54"/>
      <c r="J76" s="54"/>
      <c r="K76" s="54"/>
      <c r="L76" s="54"/>
      <c r="M76" s="54"/>
    </row>
    <row r="77" spans="2:14" ht="50.7" hidden="1" customHeight="1" outlineLevel="1" x14ac:dyDescent="0.3">
      <c r="B77" s="54"/>
      <c r="C77" s="54"/>
      <c r="D77" s="307" t="s">
        <v>74</v>
      </c>
      <c r="E77" s="59">
        <v>0.2</v>
      </c>
      <c r="F77" s="58"/>
      <c r="G77" s="57">
        <v>0.3</v>
      </c>
      <c r="H77" s="58"/>
      <c r="I77" s="57">
        <v>0.5</v>
      </c>
      <c r="J77" s="58"/>
      <c r="K77" s="57">
        <v>0</v>
      </c>
      <c r="L77" s="56"/>
      <c r="M77" s="54"/>
    </row>
    <row r="78" spans="2:14" ht="8.1" hidden="1" customHeight="1" outlineLevel="1" x14ac:dyDescent="0.3">
      <c r="B78" s="54"/>
      <c r="C78" s="54"/>
      <c r="D78" s="63"/>
      <c r="E78" s="62"/>
      <c r="F78" s="61"/>
      <c r="G78" s="60"/>
      <c r="H78" s="61"/>
      <c r="I78" s="60"/>
      <c r="J78" s="61"/>
      <c r="K78" s="60"/>
      <c r="L78" s="60"/>
      <c r="M78" s="54"/>
    </row>
    <row r="79" spans="2:14" ht="24" hidden="1" customHeight="1" outlineLevel="1" x14ac:dyDescent="0.3">
      <c r="B79" s="54"/>
      <c r="C79" s="54"/>
      <c r="D79" s="332" t="s">
        <v>76</v>
      </c>
      <c r="E79" s="333"/>
      <c r="F79" s="333"/>
      <c r="G79" s="333"/>
      <c r="H79" s="333"/>
      <c r="I79" s="333"/>
      <c r="J79" s="333"/>
      <c r="K79" s="334"/>
      <c r="L79" s="64"/>
      <c r="M79" s="54"/>
    </row>
    <row r="80" spans="2:14" ht="8.1" hidden="1" customHeight="1" outlineLevel="1" x14ac:dyDescent="0.3">
      <c r="B80" s="54"/>
      <c r="C80" s="54"/>
      <c r="D80" s="63"/>
      <c r="E80" s="62"/>
      <c r="F80" s="61"/>
      <c r="G80" s="60"/>
      <c r="H80" s="61"/>
      <c r="I80" s="60"/>
      <c r="J80" s="61"/>
      <c r="K80" s="60"/>
      <c r="L80" s="60"/>
      <c r="M80" s="54"/>
    </row>
    <row r="81" spans="2:13" ht="50.7" hidden="1" customHeight="1" outlineLevel="1" x14ac:dyDescent="0.3">
      <c r="B81" s="54"/>
      <c r="C81" s="54"/>
      <c r="D81" s="307" t="s">
        <v>74</v>
      </c>
      <c r="E81" s="59">
        <v>0.5</v>
      </c>
      <c r="F81" s="58"/>
      <c r="G81" s="57">
        <v>0</v>
      </c>
      <c r="H81" s="58"/>
      <c r="I81" s="57">
        <v>0.5</v>
      </c>
      <c r="J81" s="58"/>
      <c r="K81" s="57">
        <v>0</v>
      </c>
      <c r="L81" s="56"/>
      <c r="M81" s="54"/>
    </row>
    <row r="82" spans="2:13" ht="28.35" hidden="1" customHeight="1" outlineLevel="1" x14ac:dyDescent="0.3">
      <c r="B82" s="54"/>
      <c r="C82" s="54"/>
      <c r="D82" s="331" t="s">
        <v>77</v>
      </c>
      <c r="E82" s="331"/>
      <c r="F82" s="331"/>
      <c r="G82" s="331"/>
      <c r="H82" s="331"/>
      <c r="I82" s="331"/>
      <c r="J82" s="331"/>
      <c r="K82" s="331"/>
      <c r="L82" s="55"/>
      <c r="M82" s="54"/>
    </row>
    <row r="83" spans="2:13" ht="14.7" customHeight="1" collapsed="1" x14ac:dyDescent="0.3">
      <c r="D83" s="53"/>
      <c r="E83" s="52"/>
      <c r="F83" s="51"/>
      <c r="G83" s="50"/>
      <c r="H83" s="51"/>
      <c r="I83" s="50"/>
      <c r="J83" s="51"/>
      <c r="K83" s="50"/>
      <c r="L83" s="50"/>
    </row>
    <row r="84" spans="2:13" ht="20.100000000000001" customHeight="1" x14ac:dyDescent="0.3"/>
    <row r="85" spans="2:13" ht="20.100000000000001" customHeight="1" x14ac:dyDescent="0.3"/>
    <row r="86" spans="2:13" ht="20.100000000000001" customHeight="1" x14ac:dyDescent="0.3"/>
    <row r="87" spans="2:13" ht="20.100000000000001" customHeight="1" x14ac:dyDescent="0.3">
      <c r="K87" s="49"/>
    </row>
    <row r="88" spans="2:13" ht="20.100000000000001" customHeight="1" x14ac:dyDescent="0.3"/>
    <row r="89" spans="2:13" ht="20.100000000000001" customHeight="1" x14ac:dyDescent="0.3"/>
    <row r="90" spans="2:13" ht="20.100000000000001" customHeight="1" x14ac:dyDescent="0.3"/>
    <row r="91" spans="2:13" ht="20.100000000000001" customHeight="1" x14ac:dyDescent="0.3"/>
    <row r="92" spans="2:13" ht="20.100000000000001" customHeight="1" x14ac:dyDescent="0.3"/>
    <row r="93" spans="2:13" ht="20.100000000000001" customHeight="1" x14ac:dyDescent="0.3"/>
    <row r="94" spans="2:13" ht="29.1" customHeight="1" x14ac:dyDescent="0.3"/>
    <row r="95" spans="2:13" ht="20.100000000000001" customHeight="1" x14ac:dyDescent="0.3"/>
    <row r="96" spans="2:13"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18" customHeight="1" x14ac:dyDescent="0.3"/>
    <row r="106" ht="25.35" customHeight="1" x14ac:dyDescent="0.3"/>
    <row r="107" ht="18"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1" ht="25.35" customHeight="1" x14ac:dyDescent="0.3"/>
    <row r="133" ht="36"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sheetData>
  <sheetProtection algorithmName="SHA-512" hashValue="uwre61VP0TzfkpChMEv1twFcJ+ZDG8c9eI5mfn8VaUbtE+IT5QkC8zCOm1g6hLPVZAfVLgTp0ISlnhOm43LblQ==" saltValue="hK5UV91Qbq76v7/edkjs8g==" spinCount="100000" sheet="1" formatRows="0"/>
  <mergeCells count="28">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G18:K18"/>
    <mergeCell ref="G19:K19"/>
    <mergeCell ref="G22:K22"/>
    <mergeCell ref="D71:K71"/>
    <mergeCell ref="D75:K75"/>
    <mergeCell ref="D62:K62"/>
    <mergeCell ref="D69:K69"/>
    <mergeCell ref="D82:K82"/>
    <mergeCell ref="D79:K79"/>
    <mergeCell ref="D68:K68"/>
    <mergeCell ref="E65:E66"/>
    <mergeCell ref="G65:G66"/>
    <mergeCell ref="I65:I66"/>
    <mergeCell ref="K65:K66"/>
  </mergeCells>
  <hyperlinks>
    <hyperlink ref="D66" r:id="rId1" xr:uid="{ADAC4FE8-4F70-426A-99A6-F84A3D8EAE52}"/>
  </hyperlinks>
  <printOptions horizontalCentered="1" verticalCentered="1"/>
  <pageMargins left="0.25" right="0.25" top="0.75" bottom="0.75" header="0.3" footer="0.3"/>
  <pageSetup scale="70" orientation="landscape" r:id="rId2"/>
  <rowBreaks count="4" manualBreakCount="4">
    <brk id="27" min="2" max="12" man="1"/>
    <brk id="48" min="2" max="12" man="1"/>
    <brk id="66" min="2" max="11" man="1"/>
    <brk id="13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options'!$A$10:$A$12</xm:f>
          </x14:formula1>
          <xm:sqref>E17</xm:sqref>
        </x14:dataValidation>
        <x14:dataValidation type="list" allowBlank="1" showInputMessage="1" showErrorMessage="1" xr:uid="{51D3A0CC-BFB7-4EF3-8967-6C16139CEA34}">
          <x14:formula1>
            <xm:f>'Vaccine options'!$A$3:$A$8</xm:f>
          </x14:formula1>
          <xm:sqref>K32 E32 G32 I32</xm:sqref>
        </x14:dataValidation>
        <x14:dataValidation type="list" allowBlank="1" showInputMessage="1" showErrorMessage="1" xr:uid="{AC6AB85C-DE0E-4E96-A382-15160659D437}">
          <x14:formula1>
            <xm:f>'Vaccine options'!$B$13:$B$33</xm:f>
          </x14:formula1>
          <xm:sqref>E73 K81 I81 G81 E81 K77 I77 G77 E77 K73 I73 G73</xm:sqref>
        </x14:dataValidation>
        <x14:dataValidation type="list" allowBlank="1" showInputMessage="1" showErrorMessage="1" xr:uid="{40B1E67E-CB16-4535-8E9F-7D4950921AFD}">
          <x14:formula1>
            <xm:f>'Vaccine options'!$B$9:$B$10</xm:f>
          </x14:formula1>
          <xm:sqref>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77734375" defaultRowHeight="13.8" outlineLevelRow="1" x14ac:dyDescent="0.25"/>
  <cols>
    <col min="1" max="1" width="1.77734375" style="187" customWidth="1"/>
    <col min="2" max="2" width="5.21875" style="187" customWidth="1"/>
    <col min="3" max="3" width="18.77734375" style="187" customWidth="1"/>
    <col min="4" max="4" width="12.77734375" style="187" customWidth="1"/>
    <col min="5" max="5" width="2.44140625" style="187" customWidth="1"/>
    <col min="6" max="6" width="20.44140625" style="187" customWidth="1"/>
    <col min="7" max="7" width="7" style="187" customWidth="1"/>
    <col min="8" max="8" width="20.44140625" style="187" customWidth="1"/>
    <col min="9" max="9" width="6.77734375" style="187" customWidth="1"/>
    <col min="10" max="10" width="20.44140625" style="187" customWidth="1"/>
    <col min="11" max="11" width="6.77734375" style="187" customWidth="1"/>
    <col min="12" max="12" width="20.44140625" style="187" customWidth="1"/>
    <col min="13" max="13" width="8.77734375" style="187" bestFit="1" customWidth="1"/>
    <col min="14" max="16384" width="8.77734375" style="187"/>
  </cols>
  <sheetData>
    <row r="1" spans="2:15" ht="8.1" customHeight="1" x14ac:dyDescent="0.25">
      <c r="B1" s="289"/>
      <c r="C1" s="289"/>
      <c r="D1" s="289"/>
      <c r="E1" s="289"/>
      <c r="F1" s="289"/>
      <c r="G1" s="289"/>
      <c r="H1" s="289"/>
      <c r="I1" s="289"/>
      <c r="J1" s="289"/>
      <c r="K1" s="289"/>
      <c r="L1" s="289"/>
      <c r="M1" s="289"/>
    </row>
    <row r="2" spans="2:15" ht="19.2" customHeight="1" x14ac:dyDescent="0.25">
      <c r="B2" s="342" t="s">
        <v>78</v>
      </c>
      <c r="C2" s="342"/>
      <c r="D2" s="342"/>
      <c r="E2" s="342"/>
      <c r="F2" s="342"/>
      <c r="G2" s="342"/>
      <c r="H2" s="342"/>
      <c r="I2" s="342"/>
      <c r="J2" s="342"/>
      <c r="K2" s="342"/>
      <c r="L2" s="342"/>
      <c r="M2" s="342"/>
    </row>
    <row r="3" spans="2:15" ht="8.1" customHeight="1" x14ac:dyDescent="0.25">
      <c r="B3" s="237"/>
      <c r="C3" s="400"/>
      <c r="D3" s="400"/>
      <c r="E3" s="400"/>
      <c r="F3" s="400"/>
      <c r="G3" s="400"/>
      <c r="H3" s="400"/>
      <c r="I3" s="400"/>
      <c r="J3" s="400"/>
      <c r="K3" s="400"/>
      <c r="L3" s="400"/>
      <c r="M3" s="400"/>
    </row>
    <row r="4" spans="2:15" ht="60" customHeight="1" x14ac:dyDescent="0.25">
      <c r="B4" s="237"/>
      <c r="C4" s="404" t="s">
        <v>79</v>
      </c>
      <c r="D4" s="404"/>
      <c r="E4" s="404"/>
      <c r="F4" s="404"/>
      <c r="G4" s="404"/>
      <c r="H4" s="404"/>
      <c r="I4" s="404"/>
      <c r="J4" s="404"/>
      <c r="K4" s="404"/>
      <c r="L4" s="404"/>
      <c r="M4" s="239"/>
    </row>
    <row r="5" spans="2:15" ht="8.1" customHeight="1" x14ac:dyDescent="0.25">
      <c r="B5" s="238"/>
      <c r="C5" s="238"/>
      <c r="D5" s="238"/>
      <c r="E5" s="238"/>
      <c r="F5" s="237"/>
      <c r="G5" s="237"/>
      <c r="H5" s="237"/>
      <c r="I5" s="237"/>
      <c r="J5" s="237"/>
      <c r="K5" s="237"/>
      <c r="L5" s="237"/>
      <c r="M5" s="236"/>
    </row>
    <row r="6" spans="2:15" ht="46.2" customHeight="1" x14ac:dyDescent="0.25">
      <c r="B6" s="399"/>
      <c r="C6" s="199"/>
      <c r="D6" s="199"/>
      <c r="E6" s="194"/>
      <c r="F6" s="294" t="s">
        <v>45</v>
      </c>
      <c r="G6" s="235"/>
      <c r="H6" s="292" t="s">
        <v>46</v>
      </c>
      <c r="I6" s="234"/>
      <c r="J6" s="292" t="s">
        <v>47</v>
      </c>
      <c r="K6" s="234"/>
      <c r="L6" s="294" t="s">
        <v>48</v>
      </c>
      <c r="M6" s="231"/>
    </row>
    <row r="7" spans="2:15" ht="8.1" customHeight="1" x14ac:dyDescent="0.25">
      <c r="B7" s="399"/>
      <c r="C7" s="199"/>
      <c r="D7" s="199"/>
      <c r="E7" s="194"/>
      <c r="F7" s="232"/>
      <c r="G7" s="232"/>
      <c r="H7" s="233"/>
      <c r="I7" s="233"/>
      <c r="J7" s="233"/>
      <c r="K7" s="233"/>
      <c r="L7" s="232"/>
      <c r="M7" s="231"/>
    </row>
    <row r="8" spans="2:15" ht="110.1" customHeight="1" x14ac:dyDescent="0.25">
      <c r="B8" s="399"/>
      <c r="C8" s="230"/>
      <c r="D8" s="199"/>
      <c r="E8" s="194"/>
      <c r="F8" s="293" t="str">
        <f>Results!F6</f>
        <v>SYNFLORIX 
10 valent, 4 doses/vial, liquid</v>
      </c>
      <c r="G8" s="229"/>
      <c r="H8" s="293" t="str">
        <f>Results!H6</f>
        <v>PNEUMOSIL 
10 valent, 5 doses/vial, liquid</v>
      </c>
      <c r="I8" s="229"/>
      <c r="J8" s="293" t="str">
        <f>Results!J6</f>
        <v>PREVENAR 13 
13 valent, 4 doses/vial, liquid</v>
      </c>
      <c r="K8" s="229"/>
      <c r="L8" s="293" t="str">
        <f>Results!L6</f>
        <v>PNEUBEVAX 14 
14 valent, 5 dose/vial, liquid</v>
      </c>
      <c r="M8" s="228"/>
    </row>
    <row r="9" spans="2:15" ht="8.1" customHeight="1" x14ac:dyDescent="0.25">
      <c r="B9" s="188"/>
      <c r="C9" s="226"/>
      <c r="D9" s="226"/>
      <c r="E9" s="226"/>
      <c r="F9" s="227" t="s">
        <v>80</v>
      </c>
      <c r="G9" s="226"/>
      <c r="H9" s="225" t="s">
        <v>80</v>
      </c>
      <c r="I9" s="226"/>
      <c r="J9" s="225" t="s">
        <v>80</v>
      </c>
      <c r="K9" s="226"/>
      <c r="L9" s="225" t="s">
        <v>80</v>
      </c>
      <c r="M9" s="224"/>
      <c r="O9" s="223"/>
    </row>
    <row r="10" spans="2:15" s="218" customFormat="1" ht="40.200000000000003" customHeight="1" x14ac:dyDescent="0.25">
      <c r="B10" s="188"/>
      <c r="C10" s="402" t="s">
        <v>81</v>
      </c>
      <c r="D10" s="195" t="s">
        <v>82</v>
      </c>
      <c r="E10" s="212"/>
      <c r="F10" s="290">
        <f>Results!F19/1000000</f>
        <v>6.4487646932591298</v>
      </c>
      <c r="G10" s="221"/>
      <c r="H10" s="290">
        <f>Results!H19/1000000</f>
        <v>6.4487646932591298</v>
      </c>
      <c r="I10" s="221"/>
      <c r="J10" s="290">
        <f>Results!J19/1000000</f>
        <v>6.2544170149726313</v>
      </c>
      <c r="K10" s="221"/>
      <c r="L10" s="290">
        <f>IF(Dashboard!L8&lt;&gt;0, Results!L19/1000000," " )</f>
        <v>6.4487646932591298</v>
      </c>
      <c r="M10" s="219"/>
    </row>
    <row r="11" spans="2:15" s="218" customFormat="1" ht="40.200000000000003" customHeight="1" x14ac:dyDescent="0.25">
      <c r="B11" s="188"/>
      <c r="C11" s="403"/>
      <c r="D11" s="195" t="s">
        <v>83</v>
      </c>
      <c r="E11" s="212"/>
      <c r="F11" s="291">
        <f>F10/5</f>
        <v>1.2897529386518261</v>
      </c>
      <c r="G11" s="222"/>
      <c r="H11" s="291">
        <f>H10/5</f>
        <v>1.2897529386518261</v>
      </c>
      <c r="I11" s="221"/>
      <c r="J11" s="291">
        <f>J10/5</f>
        <v>1.2508834029945262</v>
      </c>
      <c r="K11" s="221"/>
      <c r="L11" s="291">
        <f>IF(Dashboard!L8&lt;&gt;0,L10/5, " ")</f>
        <v>1.2897529386518261</v>
      </c>
      <c r="M11" s="219"/>
    </row>
    <row r="12" spans="2:15" s="218" customFormat="1" ht="8.1" customHeight="1" x14ac:dyDescent="0.25">
      <c r="B12" s="188"/>
      <c r="C12" s="194"/>
      <c r="D12" s="197"/>
      <c r="E12" s="212"/>
      <c r="F12" s="220"/>
      <c r="G12" s="222"/>
      <c r="H12" s="220"/>
      <c r="I12" s="221"/>
      <c r="J12" s="220"/>
      <c r="K12" s="221"/>
      <c r="L12" s="220"/>
      <c r="M12" s="219"/>
    </row>
    <row r="13" spans="2:15" ht="72" customHeight="1" x14ac:dyDescent="0.25">
      <c r="B13" s="188"/>
      <c r="C13" s="307" t="s">
        <v>84</v>
      </c>
      <c r="D13" s="195" t="s">
        <v>83</v>
      </c>
      <c r="E13" s="212"/>
      <c r="F13" s="295">
        <f>AVERAGE(Results!F28:F32)/1000000</f>
        <v>3.0954070527643816</v>
      </c>
      <c r="G13" s="211"/>
      <c r="H13" s="295">
        <f>AVERAGE(Results!H28:H32)/1000000</f>
        <v>4.5334815793611689</v>
      </c>
      <c r="I13" s="210">
        <f>(H13-F13)/F13</f>
        <v>0.4645833333333339</v>
      </c>
      <c r="J13" s="295">
        <f>AVERAGE(Results!J28:J32)/1000000</f>
        <v>4.3780919104808422</v>
      </c>
      <c r="K13" s="210">
        <f>(J13-F13)/F13</f>
        <v>0.41438325746881893</v>
      </c>
      <c r="L13" s="295">
        <f>IF(Dashboard!L8&lt;&gt;0,AVERAGE(Results!L28:L32)/1000000," ")</f>
        <v>3.7402835220902957</v>
      </c>
      <c r="M13" s="209">
        <f>(L13-F13)/F13</f>
        <v>0.20833333333333376</v>
      </c>
    </row>
    <row r="14" spans="2:15" ht="8.1" customHeight="1" x14ac:dyDescent="0.25">
      <c r="B14" s="188"/>
      <c r="C14" s="199"/>
      <c r="D14" s="197"/>
      <c r="E14" s="212"/>
      <c r="F14" s="214"/>
      <c r="G14" s="211"/>
      <c r="H14" s="214"/>
      <c r="I14" s="216"/>
      <c r="J14" s="214"/>
      <c r="K14" s="215"/>
      <c r="L14" s="214"/>
      <c r="M14" s="213"/>
    </row>
    <row r="15" spans="2:15" ht="40.200000000000003" customHeight="1" x14ac:dyDescent="0.25">
      <c r="B15" s="188"/>
      <c r="C15" s="402" t="s">
        <v>85</v>
      </c>
      <c r="D15" s="195" t="s">
        <v>82</v>
      </c>
      <c r="E15" s="212"/>
      <c r="F15" s="295">
        <f>Results!F38/1000000</f>
        <v>1.7379669339752357</v>
      </c>
      <c r="G15" s="217"/>
      <c r="H15" s="295">
        <f>Results!H38/1000000</f>
        <v>1.1067482736232983</v>
      </c>
      <c r="I15" s="210">
        <f>(H15-F15)/F15</f>
        <v>-0.36319371100355563</v>
      </c>
      <c r="J15" s="295">
        <f>Results!J38/1000000</f>
        <v>1.6202281017439393</v>
      </c>
      <c r="K15" s="210">
        <f>(J15-F15)/F15</f>
        <v>-6.774515091722344E-2</v>
      </c>
      <c r="L15" s="295">
        <f>IF(Dashboard!L8&lt;&gt;0,Results!L38/1000000," ")</f>
        <v>1.3132770863359624</v>
      </c>
      <c r="M15" s="209">
        <f>(L15-F15)/F15</f>
        <v>-0.24436014249585528</v>
      </c>
    </row>
    <row r="16" spans="2:15" ht="40.200000000000003" customHeight="1" x14ac:dyDescent="0.25">
      <c r="B16" s="188"/>
      <c r="C16" s="403"/>
      <c r="D16" s="195" t="s">
        <v>83</v>
      </c>
      <c r="E16" s="212"/>
      <c r="F16" s="295">
        <f>F15/5</f>
        <v>0.34759338679504714</v>
      </c>
      <c r="G16" s="211"/>
      <c r="H16" s="295">
        <f>H15/5</f>
        <v>0.22134965472465967</v>
      </c>
      <c r="I16" s="210">
        <f>(H16-F16)/F16</f>
        <v>-0.36319371100355557</v>
      </c>
      <c r="J16" s="295">
        <f>J15/5</f>
        <v>0.32404562034878787</v>
      </c>
      <c r="K16" s="210">
        <f>(J16-F16)/F16</f>
        <v>-6.7745150917223398E-2</v>
      </c>
      <c r="L16" s="295">
        <f>IF(Dashboard!L8&lt;&gt;0,L15/5," ")</f>
        <v>0.26265541726719249</v>
      </c>
      <c r="M16" s="209">
        <f>(L16-F16)/F16</f>
        <v>-0.24436014249585525</v>
      </c>
    </row>
    <row r="17" spans="2:13" ht="8.1" customHeight="1" x14ac:dyDescent="0.25">
      <c r="B17" s="188"/>
      <c r="C17" s="194"/>
      <c r="D17" s="197"/>
      <c r="E17" s="212"/>
      <c r="F17" s="214"/>
      <c r="G17" s="211"/>
      <c r="H17" s="214"/>
      <c r="I17" s="216"/>
      <c r="J17" s="214"/>
      <c r="K17" s="215"/>
      <c r="L17" s="214"/>
      <c r="M17" s="213"/>
    </row>
    <row r="18" spans="2:13" ht="40.200000000000003" customHeight="1" x14ac:dyDescent="0.25">
      <c r="B18" s="188"/>
      <c r="C18" s="402" t="s">
        <v>86</v>
      </c>
      <c r="D18" s="195" t="s">
        <v>82</v>
      </c>
      <c r="E18" s="212"/>
      <c r="F18" s="295">
        <f>Results!F47/1000000</f>
        <v>7.3999626280552357</v>
      </c>
      <c r="G18" s="211"/>
      <c r="H18" s="295">
        <f>Results!H47/1000000</f>
        <v>6.7687439677032977</v>
      </c>
      <c r="I18" s="210">
        <f>(H18-F18)/F18</f>
        <v>-8.5300249755156793E-2</v>
      </c>
      <c r="J18" s="295">
        <f>Results!J47/1000000</f>
        <v>7.2822237958239393</v>
      </c>
      <c r="K18" s="210">
        <f>(J18-F18)/F18</f>
        <v>-1.591073335761414E-2</v>
      </c>
      <c r="L18" s="295">
        <f>IF(Dashboard!L8&lt;&gt;0,Results!L47/1000000," ")</f>
        <v>6.9752727804159624</v>
      </c>
      <c r="M18" s="209">
        <f>(L18-F18)/F18</f>
        <v>-5.7390809789925237E-2</v>
      </c>
    </row>
    <row r="19" spans="2:13" ht="40.200000000000003" customHeight="1" x14ac:dyDescent="0.25">
      <c r="B19" s="188"/>
      <c r="C19" s="403"/>
      <c r="D19" s="195" t="s">
        <v>83</v>
      </c>
      <c r="E19" s="212"/>
      <c r="F19" s="295">
        <f>F18/5</f>
        <v>1.4799925256110471</v>
      </c>
      <c r="G19" s="211"/>
      <c r="H19" s="295">
        <f>H18/5</f>
        <v>1.3537487935406596</v>
      </c>
      <c r="I19" s="210">
        <f>(H19-F19)/F19</f>
        <v>-8.5300249755156737E-2</v>
      </c>
      <c r="J19" s="295">
        <f>J18/5</f>
        <v>1.4564447591647878</v>
      </c>
      <c r="K19" s="210">
        <f>(J19-F19)/F19</f>
        <v>-1.5910733357614171E-2</v>
      </c>
      <c r="L19" s="295">
        <f>IF(Dashboard!L8&lt;&gt;0,L18/5," ")</f>
        <v>1.3950545560831924</v>
      </c>
      <c r="M19" s="209">
        <f>(L19-F19)/F19</f>
        <v>-5.7390809789925272E-2</v>
      </c>
    </row>
    <row r="20" spans="2:13" ht="21" customHeight="1" x14ac:dyDescent="0.25">
      <c r="B20" s="188"/>
      <c r="C20" s="401" t="s">
        <v>87</v>
      </c>
      <c r="D20" s="401"/>
      <c r="E20" s="401"/>
      <c r="F20" s="401"/>
      <c r="G20" s="401"/>
      <c r="H20" s="401"/>
      <c r="I20" s="401"/>
      <c r="J20" s="401"/>
      <c r="K20" s="401"/>
      <c r="L20" s="401"/>
      <c r="M20" s="401"/>
    </row>
    <row r="21" spans="2:13" ht="17.399999999999999" x14ac:dyDescent="0.25">
      <c r="C21" s="208"/>
      <c r="D21" s="208"/>
      <c r="E21" s="208"/>
      <c r="F21" s="208"/>
      <c r="G21" s="208"/>
      <c r="H21" s="208"/>
      <c r="I21" s="208"/>
      <c r="J21" s="125"/>
      <c r="K21" s="125"/>
      <c r="L21" s="208"/>
      <c r="M21" s="208"/>
    </row>
    <row r="22" spans="2:13" ht="15.6" x14ac:dyDescent="0.25">
      <c r="B22" s="188"/>
      <c r="C22" s="207"/>
      <c r="D22" s="207"/>
      <c r="E22" s="207"/>
      <c r="F22" s="206"/>
      <c r="G22" s="206"/>
      <c r="H22" s="206"/>
      <c r="I22" s="206"/>
      <c r="J22" s="206"/>
      <c r="K22" s="206"/>
      <c r="L22" s="206"/>
      <c r="M22" s="206"/>
    </row>
    <row r="23" spans="2:13" ht="32.1" customHeight="1" x14ac:dyDescent="0.25">
      <c r="B23" s="188"/>
      <c r="C23" s="405" t="s">
        <v>88</v>
      </c>
      <c r="D23" s="405"/>
      <c r="E23" s="405"/>
      <c r="F23" s="405"/>
      <c r="G23" s="405"/>
      <c r="H23" s="405"/>
      <c r="I23" s="405"/>
      <c r="J23" s="405"/>
      <c r="K23" s="405"/>
      <c r="L23" s="405"/>
      <c r="M23" s="190"/>
    </row>
    <row r="24" spans="2:13" ht="27" customHeight="1" x14ac:dyDescent="0.25">
      <c r="B24" s="188"/>
      <c r="C24" s="398" t="s">
        <v>89</v>
      </c>
      <c r="D24" s="398"/>
      <c r="E24" s="398"/>
      <c r="F24" s="398"/>
      <c r="G24" s="398"/>
      <c r="H24" s="398"/>
      <c r="I24" s="398"/>
      <c r="J24" s="398"/>
      <c r="K24" s="190"/>
      <c r="L24" s="189"/>
      <c r="M24" s="189"/>
    </row>
    <row r="25" spans="2:13" ht="34.200000000000003" hidden="1" customHeight="1" outlineLevel="1" x14ac:dyDescent="0.25">
      <c r="B25" s="188"/>
      <c r="C25" s="194"/>
      <c r="D25" s="194"/>
      <c r="E25" s="194"/>
      <c r="F25" s="202" t="s">
        <v>73</v>
      </c>
      <c r="G25" s="205"/>
      <c r="H25" s="204" t="s">
        <v>75</v>
      </c>
      <c r="I25" s="203"/>
      <c r="J25" s="202" t="s">
        <v>76</v>
      </c>
      <c r="K25" s="190"/>
      <c r="L25" s="189"/>
      <c r="M25" s="189"/>
    </row>
    <row r="26" spans="2:13" ht="8.1" hidden="1" customHeight="1" outlineLevel="1" x14ac:dyDescent="0.25">
      <c r="B26" s="188"/>
      <c r="C26" s="194"/>
      <c r="D26" s="194"/>
      <c r="E26" s="194"/>
      <c r="F26" s="190"/>
      <c r="G26" s="190"/>
      <c r="H26" s="189"/>
      <c r="I26" s="189"/>
      <c r="J26" s="190"/>
      <c r="K26" s="190"/>
      <c r="L26" s="189"/>
      <c r="M26" s="189"/>
    </row>
    <row r="27" spans="2:13" ht="40.200000000000003" hidden="1" customHeight="1" outlineLevel="1" x14ac:dyDescent="0.25">
      <c r="B27" s="188"/>
      <c r="C27" s="397" t="s">
        <v>81</v>
      </c>
      <c r="D27" s="195" t="s">
        <v>82</v>
      </c>
      <c r="E27" s="194"/>
      <c r="F27" s="201">
        <f>(Inputs!$E73*Results!$F19+Inputs!$G73*Results!$H19+Inputs!$I73*Results!$J19+Inputs!$K73*Results!$L19)/1000000</f>
        <v>6.4001777736875054</v>
      </c>
      <c r="G27" s="193"/>
      <c r="H27" s="201">
        <f>(Inputs!$E77*Results!$F19+Inputs!$G77*Results!$H19+Inputs!$I77*Results!$J19+Inputs!$K77*Results!$L19)/1000000</f>
        <v>6.351590854115881</v>
      </c>
      <c r="I27" s="192"/>
      <c r="J27" s="201">
        <f>(Inputs!$E81*Results!$F19+Inputs!$G81*Results!$H19+Inputs!$I81*Results!$J19+Inputs!$K81*Results!$L19)/1000000</f>
        <v>6.351590854115881</v>
      </c>
      <c r="K27" s="190"/>
      <c r="L27" s="189"/>
      <c r="M27" s="189"/>
    </row>
    <row r="28" spans="2:13" ht="40.200000000000003" hidden="1" customHeight="1" outlineLevel="1" x14ac:dyDescent="0.25">
      <c r="B28" s="188"/>
      <c r="C28" s="397"/>
      <c r="D28" s="195" t="s">
        <v>83</v>
      </c>
      <c r="E28" s="194"/>
      <c r="F28" s="200">
        <f>F27/5</f>
        <v>1.2800355547375011</v>
      </c>
      <c r="G28" s="193"/>
      <c r="H28" s="200">
        <f>H27/5</f>
        <v>1.2703181708231761</v>
      </c>
      <c r="I28" s="192"/>
      <c r="J28" s="200">
        <f>J27/5</f>
        <v>1.2703181708231761</v>
      </c>
      <c r="K28" s="190"/>
      <c r="L28" s="189"/>
      <c r="M28" s="189"/>
    </row>
    <row r="29" spans="2:13" ht="8.1" hidden="1" customHeight="1" outlineLevel="1" x14ac:dyDescent="0.25">
      <c r="B29" s="188"/>
      <c r="C29" s="194"/>
      <c r="D29" s="197"/>
      <c r="E29" s="194"/>
      <c r="F29" s="198"/>
      <c r="G29" s="193"/>
      <c r="H29" s="198"/>
      <c r="I29" s="192"/>
      <c r="J29" s="198"/>
      <c r="K29" s="190"/>
      <c r="L29" s="189"/>
      <c r="M29" s="189"/>
    </row>
    <row r="30" spans="2:13" ht="72" hidden="1" customHeight="1" outlineLevel="1" x14ac:dyDescent="0.25">
      <c r="B30" s="188"/>
      <c r="C30" s="307" t="s">
        <v>84</v>
      </c>
      <c r="D30" s="195" t="s">
        <v>83</v>
      </c>
      <c r="E30" s="194"/>
      <c r="F30" s="200">
        <f>(Inputs!$E73*SUM(Results!$F28:$F32)/5+Inputs!$G73*SUM(Results!$H28:$H32)/5+Inputs!$I73*SUM(Results!$J28:$J32)/5+Inputs!$K73*SUM(Results!$L28:$L32)/5)/1000000</f>
        <v>4.0087197425040113</v>
      </c>
      <c r="G30" s="193"/>
      <c r="H30" s="200">
        <f>(Inputs!$E77*SUM(Results!$F28:$F32)/5+Inputs!$G77*SUM(Results!$H28:$H32)/5+Inputs!$I77*SUM(Results!$J28:$J32)/5+Inputs!$K77*SUM(Results!$L28:$L32)/5)/1000000</f>
        <v>4.1681718396016478</v>
      </c>
      <c r="I30" s="192"/>
      <c r="J30" s="200">
        <f>(Inputs!$E81*SUM(Results!$F28:$F32)/5+Inputs!$G81*SUM(Results!$H28:$H32)/5+Inputs!$I81*SUM(Results!$J28:$J32)/5+Inputs!$K81*SUM(Results!$L28:$L32)/5)/1000000</f>
        <v>3.7367494816226121</v>
      </c>
      <c r="K30" s="190"/>
      <c r="L30" s="189"/>
      <c r="M30" s="189"/>
    </row>
    <row r="31" spans="2:13" ht="8.1" hidden="1" customHeight="1" outlineLevel="1" x14ac:dyDescent="0.25">
      <c r="B31" s="188"/>
      <c r="C31" s="199"/>
      <c r="D31" s="197"/>
      <c r="E31" s="194"/>
      <c r="F31" s="198"/>
      <c r="G31" s="193"/>
      <c r="H31" s="198"/>
      <c r="I31" s="192"/>
      <c r="J31" s="198"/>
      <c r="K31" s="190"/>
      <c r="L31" s="189"/>
      <c r="M31" s="189"/>
    </row>
    <row r="32" spans="2:13" ht="40.200000000000003" hidden="1" customHeight="1" outlineLevel="1" x14ac:dyDescent="0.25">
      <c r="B32" s="188"/>
      <c r="C32" s="397" t="s">
        <v>90</v>
      </c>
      <c r="D32" s="195" t="s">
        <v>82</v>
      </c>
      <c r="E32" s="194"/>
      <c r="F32" s="191">
        <f>(Inputs!$E73*Results!$F38+Inputs!$G73*Results!$H38+Inputs!$I73*Results!$J38+Inputs!$K73*Results!$L38)/1000000</f>
        <v>1.4129941659020122</v>
      </c>
      <c r="G32" s="193"/>
      <c r="H32" s="191">
        <f>(Inputs!$E77*Results!$F38+Inputs!$G77*Results!$H38+Inputs!$I77*Results!$J38+Inputs!$K77*Results!$L38)/1000000</f>
        <v>1.4897319197540064</v>
      </c>
      <c r="I32" s="192"/>
      <c r="J32" s="191">
        <f>(Inputs!$E81*Results!$F38+Inputs!$G81*Results!$H38+Inputs!$I81*Results!$J38+Inputs!$K81*Results!$L38)/1000000</f>
        <v>1.6790975178595875</v>
      </c>
      <c r="K32" s="190"/>
      <c r="L32" s="189"/>
      <c r="M32" s="189"/>
    </row>
    <row r="33" spans="2:13" ht="40.200000000000003" hidden="1" customHeight="1" outlineLevel="1" x14ac:dyDescent="0.25">
      <c r="B33" s="188"/>
      <c r="C33" s="397"/>
      <c r="D33" s="195" t="s">
        <v>83</v>
      </c>
      <c r="E33" s="194"/>
      <c r="F33" s="191">
        <f>F32/5</f>
        <v>0.28259883318040246</v>
      </c>
      <c r="G33" s="193"/>
      <c r="H33" s="191">
        <f>H32/5</f>
        <v>0.29794638395080131</v>
      </c>
      <c r="I33" s="192"/>
      <c r="J33" s="191">
        <f>J32/5</f>
        <v>0.33581950357191748</v>
      </c>
      <c r="K33" s="190"/>
      <c r="L33" s="189"/>
      <c r="M33" s="189"/>
    </row>
    <row r="34" spans="2:13" ht="8.1" hidden="1" customHeight="1" outlineLevel="1" x14ac:dyDescent="0.25">
      <c r="B34" s="188"/>
      <c r="C34" s="194"/>
      <c r="D34" s="197"/>
      <c r="E34" s="194"/>
      <c r="F34" s="193"/>
      <c r="G34" s="193"/>
      <c r="H34" s="193"/>
      <c r="I34" s="192"/>
      <c r="J34" s="193"/>
      <c r="K34" s="190"/>
      <c r="L34" s="189"/>
      <c r="M34" s="189"/>
    </row>
    <row r="35" spans="2:13" ht="40.200000000000003" hidden="1" customHeight="1" outlineLevel="1" x14ac:dyDescent="0.25">
      <c r="B35" s="188"/>
      <c r="C35" s="397" t="s">
        <v>86</v>
      </c>
      <c r="D35" s="195" t="s">
        <v>82</v>
      </c>
      <c r="E35" s="194"/>
      <c r="F35" s="196">
        <f>(Inputs!$E73*Results!$F47+Inputs!$G73*Results!$H47+Inputs!$I73*Results!$J47+Inputs!K$73*Results!$L47)/1000000</f>
        <v>7.0749898599820122</v>
      </c>
      <c r="G35" s="193"/>
      <c r="H35" s="196">
        <f>(Inputs!$E77*Results!$F47+Inputs!$G77*Results!$H47+Inputs!$I77*Results!$J47+Inputs!$K77*Results!$L47)/1000000</f>
        <v>7.151727613834006</v>
      </c>
      <c r="I35" s="192"/>
      <c r="J35" s="196">
        <f>(Inputs!$E81*Results!$F47+Inputs!$G81*Results!$H47+Inputs!$I81*Results!$J47+Inputs!$K81*Results!$L47)/1000000</f>
        <v>7.3410932119395875</v>
      </c>
      <c r="K35" s="190"/>
      <c r="L35" s="189"/>
      <c r="M35" s="189"/>
    </row>
    <row r="36" spans="2:13" ht="40.200000000000003" hidden="1" customHeight="1" outlineLevel="1" x14ac:dyDescent="0.25">
      <c r="B36" s="188"/>
      <c r="C36" s="397"/>
      <c r="D36" s="195" t="s">
        <v>83</v>
      </c>
      <c r="E36" s="194"/>
      <c r="F36" s="191">
        <f>F35/5</f>
        <v>1.4149979719964025</v>
      </c>
      <c r="G36" s="193"/>
      <c r="H36" s="191">
        <f>H35/5</f>
        <v>1.4303455227668012</v>
      </c>
      <c r="I36" s="192"/>
      <c r="J36" s="191">
        <f>J35/5</f>
        <v>1.4682186423879175</v>
      </c>
      <c r="K36" s="190"/>
      <c r="L36" s="189"/>
      <c r="M36" s="189"/>
    </row>
    <row r="37" spans="2:13" hidden="1" outlineLevel="1" x14ac:dyDescent="0.25">
      <c r="B37" s="188"/>
      <c r="C37" s="188"/>
      <c r="D37" s="188"/>
      <c r="E37" s="188"/>
      <c r="F37" s="188"/>
      <c r="G37" s="188"/>
      <c r="H37" s="188"/>
      <c r="I37" s="188"/>
      <c r="J37" s="188"/>
      <c r="K37" s="188"/>
      <c r="L37" s="188"/>
      <c r="M37" s="188"/>
    </row>
    <row r="38" spans="2:13" collapsed="1" x14ac:dyDescent="0.25"/>
  </sheetData>
  <sheetProtection algorithmName="SHA-512" hashValue="1elTnukJO2sYsPAX1Mgjy+KC9BeImWmrKAgjujDlovv9CndG5TdXhmj0dgb/sJCzot8YWHrN520Mu8x/hldlEg==" saltValue="hwD6RLt1R6a/b2Ek5+T/kQ=="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13 H13 J13 L13">
    <cfRule type="colorScale" priority="6">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 F30 J30">
    <cfRule type="colorScale" priority="3">
      <colorScale>
        <cfvo type="min"/>
        <cfvo type="percentile" val="50"/>
        <cfvo type="max"/>
        <color rgb="FF00BB6B"/>
        <color rgb="FFE2E278"/>
        <color theme="3"/>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77734375" defaultRowHeight="13.8" x14ac:dyDescent="0.25"/>
  <cols>
    <col min="1" max="1" width="2.44140625" style="240" customWidth="1"/>
    <col min="2" max="3" width="5.77734375" style="240" customWidth="1"/>
    <col min="4" max="4" width="20.44140625" style="240" customWidth="1"/>
    <col min="5" max="5" width="1.44140625" style="240" customWidth="1"/>
    <col min="6" max="6" width="22.44140625" style="240" customWidth="1"/>
    <col min="7" max="7" width="1.44140625" style="240" customWidth="1"/>
    <col min="8" max="8" width="22.44140625" style="240" customWidth="1"/>
    <col min="9" max="9" width="1.44140625" style="240" customWidth="1"/>
    <col min="10" max="10" width="22.44140625" style="240" customWidth="1"/>
    <col min="11" max="11" width="1.44140625" style="240" customWidth="1"/>
    <col min="12" max="12" width="22.44140625" style="240" customWidth="1"/>
    <col min="13" max="14" width="5.77734375" style="240" customWidth="1"/>
    <col min="15" max="17" width="10.5546875" style="240" bestFit="1" customWidth="1"/>
    <col min="18" max="16384" width="8.77734375" style="240"/>
  </cols>
  <sheetData>
    <row r="1" spans="1:15" ht="8.1" customHeight="1" x14ac:dyDescent="0.25">
      <c r="B1" s="407"/>
      <c r="C1" s="407"/>
      <c r="D1" s="407"/>
      <c r="E1" s="407"/>
      <c r="F1" s="407"/>
      <c r="G1" s="407"/>
      <c r="H1" s="407"/>
      <c r="I1" s="407"/>
      <c r="J1" s="407"/>
      <c r="K1" s="407"/>
      <c r="L1" s="407"/>
      <c r="M1" s="407"/>
      <c r="N1" s="309"/>
    </row>
    <row r="2" spans="1:15" ht="19.2" customHeight="1" x14ac:dyDescent="0.25">
      <c r="A2" s="342" t="s">
        <v>91</v>
      </c>
      <c r="B2" s="342"/>
      <c r="C2" s="342"/>
      <c r="D2" s="342"/>
      <c r="E2" s="342"/>
      <c r="F2" s="342"/>
      <c r="G2" s="342"/>
      <c r="H2" s="342"/>
      <c r="I2" s="342"/>
      <c r="J2" s="342"/>
      <c r="K2" s="342"/>
      <c r="L2" s="342"/>
      <c r="M2" s="342"/>
      <c r="N2" s="342"/>
      <c r="O2" s="304"/>
    </row>
    <row r="3" spans="1:15" ht="14.7" customHeight="1" x14ac:dyDescent="0.25">
      <c r="B3" s="246"/>
      <c r="C3" s="246"/>
      <c r="D3" s="410"/>
      <c r="E3" s="410"/>
      <c r="F3" s="410"/>
      <c r="G3" s="410"/>
      <c r="H3" s="410"/>
      <c r="I3" s="410"/>
      <c r="J3" s="410"/>
      <c r="K3" s="410"/>
      <c r="L3" s="410"/>
      <c r="M3" s="311"/>
      <c r="N3" s="311"/>
    </row>
    <row r="4" spans="1:15" ht="60" customHeight="1" x14ac:dyDescent="0.25">
      <c r="B4" s="246"/>
      <c r="C4" s="281"/>
      <c r="D4" s="412" t="s">
        <v>92</v>
      </c>
      <c r="E4" s="412"/>
      <c r="F4" s="412"/>
      <c r="G4" s="412"/>
      <c r="H4" s="412"/>
      <c r="I4" s="412"/>
      <c r="J4" s="412"/>
      <c r="K4" s="412"/>
      <c r="L4" s="412"/>
      <c r="M4" s="282"/>
      <c r="N4" s="311"/>
    </row>
    <row r="5" spans="1:15" ht="14.7" customHeight="1" x14ac:dyDescent="0.25">
      <c r="B5" s="246"/>
      <c r="C5" s="246"/>
      <c r="D5" s="311"/>
      <c r="E5" s="311"/>
      <c r="F5" s="311"/>
      <c r="G5" s="311"/>
      <c r="H5" s="311"/>
      <c r="I5" s="311"/>
      <c r="J5" s="311"/>
      <c r="K5" s="311"/>
      <c r="L5" s="241"/>
      <c r="M5" s="241"/>
      <c r="N5" s="241"/>
    </row>
    <row r="6" spans="1:15" s="268" customFormat="1" ht="121.2" customHeight="1" x14ac:dyDescent="0.25">
      <c r="B6" s="271"/>
      <c r="C6" s="271"/>
      <c r="D6" s="270"/>
      <c r="E6" s="270"/>
      <c r="F6" s="307" t="str">
        <f>Inputs!E32</f>
        <v>SYNFLORIX 
10 valent, 4 doses/vial, liquid</v>
      </c>
      <c r="G6" s="251"/>
      <c r="H6" s="307" t="str">
        <f>Inputs!G32</f>
        <v>PNEUMOSIL 
10 valent, 5 doses/vial, liquid</v>
      </c>
      <c r="I6" s="251"/>
      <c r="J6" s="307" t="str">
        <f>Inputs!I32</f>
        <v>PREVENAR 13 
13 valent, 4 doses/vial, liquid</v>
      </c>
      <c r="K6" s="251"/>
      <c r="L6" s="307" t="str">
        <f>Inputs!K32</f>
        <v>PNEUBEVAX 14 
14 valent, 5 dose/vial, liquid</v>
      </c>
      <c r="M6" s="269"/>
      <c r="N6" s="269"/>
    </row>
    <row r="7" spans="1:15" ht="15" customHeight="1" x14ac:dyDescent="0.25">
      <c r="B7" s="246"/>
      <c r="C7" s="246"/>
      <c r="D7" s="310"/>
      <c r="E7" s="310"/>
      <c r="F7" s="310"/>
      <c r="G7" s="310"/>
      <c r="H7" s="310"/>
      <c r="I7" s="310"/>
      <c r="J7" s="310"/>
      <c r="K7" s="310"/>
      <c r="L7" s="310"/>
      <c r="M7" s="241"/>
      <c r="N7" s="241"/>
    </row>
    <row r="8" spans="1:15" ht="41.1" customHeight="1" x14ac:dyDescent="0.25">
      <c r="B8" s="246"/>
      <c r="C8" s="246"/>
      <c r="D8" s="411" t="s">
        <v>93</v>
      </c>
      <c r="E8" s="411"/>
      <c r="F8" s="411"/>
      <c r="G8" s="411"/>
      <c r="H8" s="411"/>
      <c r="I8" s="411"/>
      <c r="J8" s="411"/>
      <c r="K8" s="411"/>
      <c r="L8" s="411"/>
      <c r="M8" s="241"/>
      <c r="N8" s="241"/>
    </row>
    <row r="9" spans="1:15" ht="8.1" customHeight="1" x14ac:dyDescent="0.25">
      <c r="B9" s="246"/>
      <c r="C9" s="246"/>
      <c r="D9" s="267"/>
      <c r="E9" s="267"/>
      <c r="F9" s="267"/>
      <c r="G9" s="267"/>
      <c r="H9" s="267"/>
      <c r="I9" s="267"/>
      <c r="J9" s="267"/>
      <c r="K9" s="267"/>
      <c r="L9" s="267"/>
      <c r="M9" s="241"/>
      <c r="N9" s="241"/>
    </row>
    <row r="10" spans="1:15" ht="35.1" customHeight="1" x14ac:dyDescent="0.25">
      <c r="B10" s="246"/>
      <c r="C10" s="246"/>
      <c r="D10" s="266" t="s">
        <v>94</v>
      </c>
      <c r="E10" s="265"/>
      <c r="F10" s="263">
        <f>SUM(F11:F15)</f>
        <v>5661995.6940800007</v>
      </c>
      <c r="G10" s="264"/>
      <c r="H10" s="263">
        <f>SUM(H11:H15)</f>
        <v>5661995.6940800007</v>
      </c>
      <c r="I10" s="264"/>
      <c r="J10" s="263">
        <f>SUM(J11:J15)</f>
        <v>5661995.6940800007</v>
      </c>
      <c r="K10" s="264"/>
      <c r="L10" s="263">
        <f>SUM(L11:L15)</f>
        <v>5661995.6940800007</v>
      </c>
      <c r="M10" s="241"/>
      <c r="N10" s="241"/>
    </row>
    <row r="11" spans="1:15" ht="15.6" x14ac:dyDescent="0.25">
      <c r="B11" s="246"/>
      <c r="C11" s="246"/>
      <c r="D11" s="245">
        <f>Inputs!$E$8</f>
        <v>2026</v>
      </c>
      <c r="E11" s="244"/>
      <c r="F11" s="255">
        <f>IF(Inputs!E$49=3,((Inputs!$E$9*(1+Inputs!$E$10)^(D11-Inputs!$E$8))*Inputs!$E$11+(Inputs!$E$9*(1+Inputs!$E$10)^(D11-Inputs!$E$8))*Inputs!$E$12+(Inputs!$E$9*(1+Inputs!$E$10)^(D11-Inputs!$E$8))*Inputs!$E$13),(Inputs!$E$9*(1+Inputs!$E$10)^(D11-Inputs!$E$8))*Inputs!$E$11+(Inputs!$E$9*(1+Inputs!$E$10)^(D11-Inputs!$E$8))*Inputs!$E$12)</f>
        <v>1088000</v>
      </c>
      <c r="G11" s="256"/>
      <c r="H11" s="255">
        <f>IF(Inputs!G$49=3,((Inputs!$E$9*(1+Inputs!$E$10)^(D11-Inputs!$E$8))*Inputs!$E$11+(Inputs!$E$9*(1+Inputs!$E$10)^(D11-Inputs!$E$8))*Inputs!$E$12+(Inputs!$E$9*(1+Inputs!$E$10)^(D11-Inputs!$E$8))*Inputs!$E$13),(Inputs!$E$9*(1+Inputs!$E$10)^(D11-Inputs!$E$8))*Inputs!$E$11+(Inputs!$E$9*(1+Inputs!$E$10)^(D11-Inputs!$E$8))*Inputs!$E$12)</f>
        <v>1088000</v>
      </c>
      <c r="I11" s="256"/>
      <c r="J11" s="255">
        <f>IF(Inputs!I$49=3,((Inputs!$E$9*(1+Inputs!$E$10)^(D11-Inputs!$E$8))*Inputs!$E$11+(Inputs!$E$9*(1+Inputs!$E$10)^(D11-Inputs!$E$8))*Inputs!$E$12+(Inputs!$E$9*(1+Inputs!$E$10)^(D11-Inputs!$E$8))*Inputs!$E$13),(Inputs!$E$9*(1+Inputs!$E$10)^(D11-Inputs!$E$8))*Inputs!$E$11+(Inputs!$E$9*(1+Inputs!$E$10)^(D11-Inputs!$E$8))*Inputs!$E$12)</f>
        <v>1088000</v>
      </c>
      <c r="K11" s="256"/>
      <c r="L11" s="255">
        <f>IF(Inputs!K$49=3,((Inputs!$E$9*(1+Inputs!$E$10)^(D11-Inputs!$E$8))*Inputs!$E$11+(Inputs!$E$9*(1+Inputs!$E$10)^(D11-Inputs!$E$8))*Inputs!$E$12+(Inputs!$E$9*(1+Inputs!$E$10)^(D11-Inputs!$E$8))*Inputs!$E$13),(Inputs!$E$9*(1+Inputs!$E$10)^(D11-Inputs!$E$8))*Inputs!$E$11+(Inputs!$E$9*(1+Inputs!$E$10)^(D11-Inputs!$E$8))*Inputs!$E$12)</f>
        <v>1088000</v>
      </c>
      <c r="M11" s="241"/>
      <c r="N11" s="241"/>
    </row>
    <row r="12" spans="1:15" ht="15.6" x14ac:dyDescent="0.25">
      <c r="B12" s="246"/>
      <c r="C12" s="246"/>
      <c r="D12" s="245">
        <f>Inputs!$E$8+1</f>
        <v>2027</v>
      </c>
      <c r="E12" s="244"/>
      <c r="F12" s="255">
        <f>IF(Inputs!E$49=3,((Inputs!$E$9*(1+Inputs!$E$10)^(D12-Inputs!$E$8))*Inputs!$E$11+(Inputs!$E$9*(1+Inputs!$E$10)^(D12-Inputs!$E$8))*Inputs!$E$12+(Inputs!$E$9*(1+Inputs!$E$10)^(D12-Inputs!$E$8))*Inputs!$E$13),(Inputs!$E$9*(1+Inputs!$E$10)^(D12-Inputs!$E$8))*Inputs!$E$11+(Inputs!$E$9*(1+Inputs!$E$10)^(D12-Inputs!$E$8))*Inputs!$E$12)</f>
        <v>1109760</v>
      </c>
      <c r="G12" s="256"/>
      <c r="H12" s="255">
        <f>IF(Inputs!G$49=3,((Inputs!$E$9*(1+Inputs!$E$10)^(D12-Inputs!$E$8))*Inputs!$E$11+(Inputs!$E$9*(1+Inputs!$E$10)^(D12-Inputs!$E$8))*Inputs!$E$12+(Inputs!$E$9*(1+Inputs!$E$10)^(D12-Inputs!$E$8))*Inputs!$E$13),(Inputs!$E$9*(1+Inputs!$E$10)^(D12-Inputs!$E$8))*Inputs!$E$11+(Inputs!$E$9*(1+Inputs!$E$10)^(D12-Inputs!$E$8))*Inputs!$E$12)</f>
        <v>1109760</v>
      </c>
      <c r="I12" s="256"/>
      <c r="J12" s="255">
        <f>IF(Inputs!I$49=3,((Inputs!$E$9*(1+Inputs!$E$10)^(D12-Inputs!$E$8))*Inputs!$E$11+(Inputs!$E$9*(1+Inputs!$E$10)^(D12-Inputs!$E$8))*Inputs!$E$12+(Inputs!$E$9*(1+Inputs!$E$10)^(D12-Inputs!$E$8))*Inputs!$E$13),(Inputs!$E$9*(1+Inputs!$E$10)^(D12-Inputs!$E$8))*Inputs!$E$11+(Inputs!$E$9*(1+Inputs!$E$10)^(D12-Inputs!$E$8))*Inputs!$E$12)</f>
        <v>1109760</v>
      </c>
      <c r="K12" s="256"/>
      <c r="L12" s="255">
        <f>IF(Inputs!K$49=3,((Inputs!$E$9*(1+Inputs!$E$10)^(D12-Inputs!$E$8))*Inputs!$E$11+(Inputs!$E$9*(1+Inputs!$E$10)^(D12-Inputs!$E$8))*Inputs!$E$12+(Inputs!$E$9*(1+Inputs!$E$10)^(D12-Inputs!$E$8))*Inputs!$E$13),(Inputs!$E$9*(1+Inputs!$E$10)^(D12-Inputs!$E$8))*Inputs!$E$11+(Inputs!$E$9*(1+Inputs!$E$10)^(D12-Inputs!$E$8))*Inputs!$E$12)</f>
        <v>1109760</v>
      </c>
      <c r="M12" s="241"/>
      <c r="N12" s="241"/>
    </row>
    <row r="13" spans="1:15" ht="15.6" x14ac:dyDescent="0.25">
      <c r="B13" s="246"/>
      <c r="C13" s="246"/>
      <c r="D13" s="245">
        <f>Inputs!$E$8+2</f>
        <v>2028</v>
      </c>
      <c r="E13" s="244"/>
      <c r="F13" s="255">
        <f>IF(Inputs!E$49=3,((Inputs!$E$9*(1+Inputs!$E$10)^(D13-Inputs!$E$8))*Inputs!$E$11+(Inputs!$E$9*(1+Inputs!$E$10)^(D13-Inputs!$E$8))*Inputs!$E$12+(Inputs!$E$9*(1+Inputs!$E$10)^(D13-Inputs!$E$8))*Inputs!$E$13),(Inputs!$E$9*(1+Inputs!$E$10)^(D13-Inputs!$E$8))*Inputs!$E$11+(Inputs!$E$9*(1+Inputs!$E$10)^(D13-Inputs!$E$8))*Inputs!$E$12)</f>
        <v>1131955.2</v>
      </c>
      <c r="G13" s="256"/>
      <c r="H13" s="255">
        <f>IF(Inputs!G$49=3,((Inputs!$E$9*(1+Inputs!$E$10)^(D13-Inputs!$E$8))*Inputs!$E$11+(Inputs!$E$9*(1+Inputs!$E$10)^(D13-Inputs!$E$8))*Inputs!$E$12+(Inputs!$E$9*(1+Inputs!$E$10)^(D13-Inputs!$E$8))*Inputs!$E$13),(Inputs!$E$9*(1+Inputs!$E$10)^(D13-Inputs!$E$8))*Inputs!$E$11+(Inputs!$E$9*(1+Inputs!$E$10)^(D13-Inputs!$E$8))*Inputs!$E$12)</f>
        <v>1131955.2</v>
      </c>
      <c r="I13" s="256"/>
      <c r="J13" s="255">
        <f>IF(Inputs!I$49=3,((Inputs!$E$9*(1+Inputs!$E$10)^(D13-Inputs!$E$8))*Inputs!$E$11+(Inputs!$E$9*(1+Inputs!$E$10)^(D13-Inputs!$E$8))*Inputs!$E$12+(Inputs!$E$9*(1+Inputs!$E$10)^(D13-Inputs!$E$8))*Inputs!$E$13),(Inputs!$E$9*(1+Inputs!$E$10)^(D13-Inputs!$E$8))*Inputs!$E$11+(Inputs!$E$9*(1+Inputs!$E$10)^(D13-Inputs!$E$8))*Inputs!$E$12)</f>
        <v>1131955.2</v>
      </c>
      <c r="K13" s="256"/>
      <c r="L13" s="255">
        <f>IF(Inputs!K$49=3,((Inputs!$E$9*(1+Inputs!$E$10)^(D13-Inputs!$E$8))*Inputs!$E$11+(Inputs!$E$9*(1+Inputs!$E$10)^(D13-Inputs!$E$8))*Inputs!$E$12+(Inputs!$E$9*(1+Inputs!$E$10)^(D13-Inputs!$E$8))*Inputs!$E$13),(Inputs!$E$9*(1+Inputs!$E$10)^(D13-Inputs!$E$8))*Inputs!$E$11+(Inputs!$E$9*(1+Inputs!$E$10)^(D13-Inputs!$E$8))*Inputs!$E$12)</f>
        <v>1131955.2</v>
      </c>
      <c r="M13" s="241"/>
      <c r="N13" s="241"/>
    </row>
    <row r="14" spans="1:15" ht="15.6" x14ac:dyDescent="0.25">
      <c r="B14" s="246"/>
      <c r="C14" s="246"/>
      <c r="D14" s="245">
        <f>Inputs!$E$8+3</f>
        <v>2029</v>
      </c>
      <c r="E14" s="244"/>
      <c r="F14" s="255">
        <f>IF(Inputs!E$49=3,((Inputs!$E$9*(1+Inputs!$E$10)^(D14-Inputs!$E$8))*Inputs!$E$11+(Inputs!$E$9*(1+Inputs!$E$10)^(D14-Inputs!$E$8))*Inputs!$E$12+(Inputs!$E$9*(1+Inputs!$E$10)^(D14-Inputs!$E$8))*Inputs!$E$13),(Inputs!$E$9*(1+Inputs!$E$10)^(D14-Inputs!$E$8))*Inputs!$E$11+(Inputs!$E$9*(1+Inputs!$E$10)^(D14-Inputs!$E$8))*Inputs!$E$12)</f>
        <v>1154594.304</v>
      </c>
      <c r="G14" s="256"/>
      <c r="H14" s="255">
        <f>IF(Inputs!G$49=3,((Inputs!$E$9*(1+Inputs!$E$10)^(D14-Inputs!$E$8))*Inputs!$E$11+(Inputs!$E$9*(1+Inputs!$E$10)^(D14-Inputs!$E$8))*Inputs!$E$12+(Inputs!$E$9*(1+Inputs!$E$10)^(D14-Inputs!$E$8))*Inputs!$E$13),(Inputs!$E$9*(1+Inputs!$E$10)^(D14-Inputs!$E$8))*Inputs!$E$11+(Inputs!$E$9*(1+Inputs!$E$10)^(D14-Inputs!$E$8))*Inputs!$E$12)</f>
        <v>1154594.304</v>
      </c>
      <c r="I14" s="256"/>
      <c r="J14" s="255">
        <f>IF(Inputs!I$49=3,((Inputs!$E$9*(1+Inputs!$E$10)^(D14-Inputs!$E$8))*Inputs!$E$11+(Inputs!$E$9*(1+Inputs!$E$10)^(D14-Inputs!$E$8))*Inputs!$E$12+(Inputs!$E$9*(1+Inputs!$E$10)^(D14-Inputs!$E$8))*Inputs!$E$13),(Inputs!$E$9*(1+Inputs!$E$10)^(D14-Inputs!$E$8))*Inputs!$E$11+(Inputs!$E$9*(1+Inputs!$E$10)^(D14-Inputs!$E$8))*Inputs!$E$12)</f>
        <v>1154594.304</v>
      </c>
      <c r="K14" s="256"/>
      <c r="L14" s="255">
        <f>IF(Inputs!K$49=3,((Inputs!$E$9*(1+Inputs!$E$10)^(D14-Inputs!$E$8))*Inputs!$E$11+(Inputs!$E$9*(1+Inputs!$E$10)^(D14-Inputs!$E$8))*Inputs!$E$12+(Inputs!$E$9*(1+Inputs!$E$10)^(D14-Inputs!$E$8))*Inputs!$E$13),(Inputs!$E$9*(1+Inputs!$E$10)^(D14-Inputs!$E$8))*Inputs!$E$11+(Inputs!$E$9*(1+Inputs!$E$10)^(D14-Inputs!$E$8))*Inputs!$E$12)</f>
        <v>1154594.304</v>
      </c>
      <c r="M14" s="241"/>
      <c r="N14" s="241"/>
    </row>
    <row r="15" spans="1:15" ht="15.75" customHeight="1" x14ac:dyDescent="0.25">
      <c r="B15" s="246"/>
      <c r="C15" s="246"/>
      <c r="D15" s="245">
        <f>Inputs!$E$8+4</f>
        <v>2030</v>
      </c>
      <c r="E15" s="244"/>
      <c r="F15" s="255">
        <f>IF(Inputs!E$49=3,((Inputs!$E$9*(1+Inputs!$E$10)^(D15-Inputs!$E$8))*Inputs!$E$11+(Inputs!$E$9*(1+Inputs!$E$10)^(D15-Inputs!$E$8))*Inputs!$E$12+(Inputs!$E$9*(1+Inputs!$E$10)^(D15-Inputs!$E$8))*Inputs!$E$13),(Inputs!$E$9*(1+Inputs!$E$10)^(D15-Inputs!$E$8))*Inputs!$E$11+(Inputs!$E$9*(1+Inputs!$E$10)^(D15-Inputs!$E$8))*Inputs!$E$12)</f>
        <v>1177686.1900799999</v>
      </c>
      <c r="G15" s="256"/>
      <c r="H15" s="255">
        <f>IF(Inputs!G$49=3,((Inputs!$E$9*(1+Inputs!$E$10)^(D15-Inputs!$E$8))*Inputs!$E$11+(Inputs!$E$9*(1+Inputs!$E$10)^(D15-Inputs!$E$8))*Inputs!$E$12+(Inputs!$E$9*(1+Inputs!$E$10)^(D15-Inputs!$E$8))*Inputs!$E$13),(Inputs!$E$9*(1+Inputs!$E$10)^(D15-Inputs!$E$8))*Inputs!$E$11+(Inputs!$E$9*(1+Inputs!$E$10)^(D15-Inputs!$E$8))*Inputs!$E$12)</f>
        <v>1177686.1900799999</v>
      </c>
      <c r="I15" s="256"/>
      <c r="J15" s="255">
        <f>IF(Inputs!I$49=3,((Inputs!$E$9*(1+Inputs!$E$10)^(D15-Inputs!$E$8))*Inputs!$E$11+(Inputs!$E$9*(1+Inputs!$E$10)^(D15-Inputs!$E$8))*Inputs!$E$12+(Inputs!$E$9*(1+Inputs!$E$10)^(D15-Inputs!$E$8))*Inputs!$E$13),(Inputs!$E$9*(1+Inputs!$E$10)^(D15-Inputs!$E$8))*Inputs!$E$11+(Inputs!$E$9*(1+Inputs!$E$10)^(D15-Inputs!$E$8))*Inputs!$E$12)</f>
        <v>1177686.1900799999</v>
      </c>
      <c r="K15" s="256"/>
      <c r="L15" s="255">
        <f>IF(Inputs!K$49=3,((Inputs!$E$9*(1+Inputs!$E$10)^(D15-Inputs!$E$8))*Inputs!$E$11+(Inputs!$E$9*(1+Inputs!$E$10)^(D15-Inputs!$E$8))*Inputs!$E$12+(Inputs!$E$9*(1+Inputs!$E$10)^(D15-Inputs!$E$8))*Inputs!$E$13),(Inputs!$E$9*(1+Inputs!$E$10)^(D15-Inputs!$E$8))*Inputs!$E$11+(Inputs!$E$9*(1+Inputs!$E$10)^(D15-Inputs!$E$8))*Inputs!$E$12)</f>
        <v>1177686.1900799999</v>
      </c>
      <c r="M15" s="241"/>
      <c r="N15" s="241"/>
    </row>
    <row r="16" spans="1:15" ht="15" customHeight="1" x14ac:dyDescent="0.25">
      <c r="B16" s="246"/>
      <c r="C16" s="246"/>
      <c r="D16" s="254"/>
      <c r="E16" s="244"/>
      <c r="F16" s="262"/>
      <c r="G16" s="256"/>
      <c r="H16" s="262"/>
      <c r="I16" s="256"/>
      <c r="J16" s="262"/>
      <c r="K16" s="256"/>
      <c r="L16" s="262"/>
      <c r="M16" s="241"/>
      <c r="N16" s="241"/>
    </row>
    <row r="17" spans="2:14" ht="42" customHeight="1" x14ac:dyDescent="0.25">
      <c r="B17" s="246"/>
      <c r="C17" s="246"/>
      <c r="D17" s="409" t="s">
        <v>95</v>
      </c>
      <c r="E17" s="409"/>
      <c r="F17" s="409"/>
      <c r="G17" s="409"/>
      <c r="H17" s="409"/>
      <c r="I17" s="409"/>
      <c r="J17" s="409"/>
      <c r="K17" s="409"/>
      <c r="L17" s="409"/>
      <c r="M17" s="241"/>
      <c r="N17" s="241"/>
    </row>
    <row r="18" spans="2:14" ht="8.1" customHeight="1" x14ac:dyDescent="0.25">
      <c r="B18" s="246"/>
      <c r="C18" s="246"/>
      <c r="D18" s="251"/>
      <c r="E18" s="251"/>
      <c r="F18" s="251"/>
      <c r="G18" s="251"/>
      <c r="H18" s="251"/>
      <c r="I18" s="251"/>
      <c r="J18" s="251"/>
      <c r="K18" s="251"/>
      <c r="L18" s="251"/>
      <c r="M18" s="241"/>
      <c r="N18" s="241"/>
    </row>
    <row r="19" spans="2:14" ht="35.1" customHeight="1" x14ac:dyDescent="0.25">
      <c r="B19" s="246"/>
      <c r="C19" s="246"/>
      <c r="D19" s="266" t="s">
        <v>94</v>
      </c>
      <c r="E19" s="265"/>
      <c r="F19" s="263">
        <f>SUM(F20:F24)</f>
        <v>6448764.6932591302</v>
      </c>
      <c r="G19" s="264"/>
      <c r="H19" s="263">
        <f>SUM(H20:H24)</f>
        <v>6448764.6932591302</v>
      </c>
      <c r="I19" s="264"/>
      <c r="J19" s="263">
        <f>SUM(J20:J24)</f>
        <v>6254417.0149726309</v>
      </c>
      <c r="K19" s="264"/>
      <c r="L19" s="263">
        <f>SUM(L20:L24)</f>
        <v>6448764.6932591302</v>
      </c>
      <c r="M19" s="241"/>
      <c r="N19" s="241"/>
    </row>
    <row r="20" spans="2:14" ht="15.6" x14ac:dyDescent="0.25">
      <c r="B20" s="246"/>
      <c r="C20" s="246"/>
      <c r="D20" s="245">
        <f>Inputs!$E$8</f>
        <v>2026</v>
      </c>
      <c r="E20" s="244"/>
      <c r="F20" s="255">
        <f>F11*Inputs!E$54+F11*Inputs!E$57</f>
        <v>1454608.6956521738</v>
      </c>
      <c r="G20" s="256"/>
      <c r="H20" s="255">
        <f>H11*Inputs!G$54+H11*Inputs!G$57</f>
        <v>1454608.6956521738</v>
      </c>
      <c r="I20" s="256"/>
      <c r="J20" s="255">
        <f>J11*Inputs!I$54+J11*Inputs!I$57</f>
        <v>1417263.1578947369</v>
      </c>
      <c r="K20" s="256"/>
      <c r="L20" s="255">
        <f>L11*Inputs!K$54+L11*Inputs!K$57</f>
        <v>1454608.6956521738</v>
      </c>
      <c r="M20" s="241"/>
      <c r="N20" s="241"/>
    </row>
    <row r="21" spans="2:14" ht="15.6" x14ac:dyDescent="0.25">
      <c r="B21" s="246"/>
      <c r="C21" s="246"/>
      <c r="D21" s="245">
        <f>Inputs!$E$8+1</f>
        <v>2027</v>
      </c>
      <c r="E21" s="244"/>
      <c r="F21" s="255">
        <f>F12*Inputs!E$54+(F12*Inputs!E$57-Results!F11*Inputs!E$57)</f>
        <v>1211700.8695652173</v>
      </c>
      <c r="G21" s="256"/>
      <c r="H21" s="255">
        <f>H12*Inputs!G$54+(H12*Inputs!G$57-Results!H11*Inputs!G$57)</f>
        <v>1211700.8695652173</v>
      </c>
      <c r="I21" s="256"/>
      <c r="J21" s="255">
        <f>J12*Inputs!I$54+(J12*Inputs!I$57-Results!J11*Inputs!I$57)</f>
        <v>1173608.4210526315</v>
      </c>
      <c r="K21" s="256"/>
      <c r="L21" s="255">
        <f>L12*Inputs!K$54+(L12*Inputs!K$57-Results!L11*Inputs!K$57)</f>
        <v>1211700.8695652173</v>
      </c>
      <c r="M21" s="241"/>
      <c r="N21" s="241"/>
    </row>
    <row r="22" spans="2:14" ht="15.6" x14ac:dyDescent="0.25">
      <c r="B22" s="246"/>
      <c r="C22" s="246"/>
      <c r="D22" s="245">
        <f>Inputs!$E$8+2</f>
        <v>2028</v>
      </c>
      <c r="E22" s="244"/>
      <c r="F22" s="255">
        <f>F13*Inputs!E$54+(F13*Inputs!E$57-Results!F12*Inputs!E$57)</f>
        <v>1235934.8869565218</v>
      </c>
      <c r="G22" s="256"/>
      <c r="H22" s="255">
        <f>H13*Inputs!G$54+(H13*Inputs!G$57-Results!H12*Inputs!G$57)</f>
        <v>1235934.8869565218</v>
      </c>
      <c r="I22" s="256"/>
      <c r="J22" s="255">
        <f>J13*Inputs!I$54+(J13*Inputs!I$57-Results!J12*Inputs!I$57)</f>
        <v>1197080.5894736841</v>
      </c>
      <c r="K22" s="256"/>
      <c r="L22" s="255">
        <f>L13*Inputs!K$54+(L13*Inputs!K$57-Results!L12*Inputs!K$57)</f>
        <v>1235934.8869565218</v>
      </c>
      <c r="M22" s="241"/>
      <c r="N22" s="241"/>
    </row>
    <row r="23" spans="2:14" ht="15.6" x14ac:dyDescent="0.25">
      <c r="B23" s="246"/>
      <c r="C23" s="246"/>
      <c r="D23" s="245">
        <f>Inputs!$E$8+3</f>
        <v>2029</v>
      </c>
      <c r="E23" s="244"/>
      <c r="F23" s="255">
        <f>F14*Inputs!E$54+(F14*Inputs!E$57-Results!F13*Inputs!E$57)</f>
        <v>1260653.5846956521</v>
      </c>
      <c r="G23" s="256"/>
      <c r="H23" s="255">
        <f>H14*Inputs!G$54+(H14*Inputs!G$57-Results!H13*Inputs!G$57)</f>
        <v>1260653.5846956521</v>
      </c>
      <c r="I23" s="256"/>
      <c r="J23" s="255">
        <f>J14*Inputs!I$54+(J14*Inputs!I$57-Results!J13*Inputs!I$57)</f>
        <v>1221022.2012631579</v>
      </c>
      <c r="K23" s="256"/>
      <c r="L23" s="255">
        <f>L14*Inputs!K$54+(L14*Inputs!K$57-Results!L13*Inputs!K$57)</f>
        <v>1260653.5846956521</v>
      </c>
      <c r="M23" s="241"/>
      <c r="N23" s="241"/>
    </row>
    <row r="24" spans="2:14" ht="15.75" customHeight="1" x14ac:dyDescent="0.25">
      <c r="B24" s="246"/>
      <c r="C24" s="246"/>
      <c r="D24" s="245">
        <f>Inputs!$E$8+4</f>
        <v>2030</v>
      </c>
      <c r="E24" s="244"/>
      <c r="F24" s="255">
        <f>F15*Inputs!E$54+(F15*Inputs!E$57-Results!F14*Inputs!E$57)</f>
        <v>1285866.656389565</v>
      </c>
      <c r="G24" s="256"/>
      <c r="H24" s="255">
        <f>H15*Inputs!G$54+(H15*Inputs!G$57-Results!H14*Inputs!G$57)</f>
        <v>1285866.656389565</v>
      </c>
      <c r="I24" s="256"/>
      <c r="J24" s="255">
        <f>J15*Inputs!I$54+(J15*Inputs!I$57-Results!J14*Inputs!I$57)</f>
        <v>1245442.6452884208</v>
      </c>
      <c r="K24" s="256"/>
      <c r="L24" s="255">
        <f>L15*Inputs!K$54+(L15*Inputs!K$57-Results!L14*Inputs!K$57)</f>
        <v>1285866.656389565</v>
      </c>
      <c r="M24" s="241"/>
      <c r="N24" s="241"/>
    </row>
    <row r="25" spans="2:14" ht="15" customHeight="1" x14ac:dyDescent="0.25">
      <c r="B25" s="246"/>
      <c r="C25" s="246"/>
      <c r="D25" s="254"/>
      <c r="E25" s="244"/>
      <c r="F25" s="262"/>
      <c r="G25" s="256"/>
      <c r="H25" s="262"/>
      <c r="I25" s="256"/>
      <c r="J25" s="262"/>
      <c r="K25" s="256"/>
      <c r="L25" s="262"/>
      <c r="M25" s="241"/>
      <c r="N25" s="241"/>
    </row>
    <row r="26" spans="2:14" s="259" customFormat="1" ht="42" customHeight="1" x14ac:dyDescent="0.25">
      <c r="B26" s="261"/>
      <c r="C26" s="261"/>
      <c r="D26" s="409" t="s">
        <v>96</v>
      </c>
      <c r="E26" s="409"/>
      <c r="F26" s="409"/>
      <c r="G26" s="409"/>
      <c r="H26" s="409"/>
      <c r="I26" s="409"/>
      <c r="J26" s="409"/>
      <c r="K26" s="409"/>
      <c r="L26" s="409"/>
      <c r="M26" s="260"/>
      <c r="N26" s="260"/>
    </row>
    <row r="27" spans="2:14" ht="8.1" customHeight="1" x14ac:dyDescent="0.25">
      <c r="B27" s="246"/>
      <c r="C27" s="246"/>
      <c r="D27" s="258"/>
      <c r="E27" s="251"/>
      <c r="F27" s="258"/>
      <c r="G27" s="251"/>
      <c r="H27" s="258"/>
      <c r="I27" s="251"/>
      <c r="J27" s="258"/>
      <c r="K27" s="251"/>
      <c r="L27" s="258"/>
      <c r="M27" s="257"/>
      <c r="N27" s="257"/>
    </row>
    <row r="28" spans="2:14" ht="15.6" x14ac:dyDescent="0.25">
      <c r="B28" s="246"/>
      <c r="C28" s="246"/>
      <c r="D28" s="245">
        <f>Inputs!$E$8</f>
        <v>2026</v>
      </c>
      <c r="E28" s="244"/>
      <c r="F28" s="255">
        <f>F20*Inputs!E$51</f>
        <v>3491060.8695652173</v>
      </c>
      <c r="G28" s="256"/>
      <c r="H28" s="255">
        <f>H20*Inputs!G$51</f>
        <v>5112949.5652173916</v>
      </c>
      <c r="I28" s="256"/>
      <c r="J28" s="255">
        <f>J20*Inputs!I$51</f>
        <v>4960421.0526315793</v>
      </c>
      <c r="K28" s="256"/>
      <c r="L28" s="255">
        <f>L20*Inputs!K$51</f>
        <v>4218365.2173913037</v>
      </c>
      <c r="M28" s="241"/>
      <c r="N28" s="241"/>
    </row>
    <row r="29" spans="2:14" ht="15.6" x14ac:dyDescent="0.25">
      <c r="B29" s="246"/>
      <c r="C29" s="246"/>
      <c r="D29" s="245">
        <f>Inputs!$E$8+1</f>
        <v>2027</v>
      </c>
      <c r="E29" s="244"/>
      <c r="F29" s="255">
        <f>F21*Inputs!E$51</f>
        <v>2908082.0869565215</v>
      </c>
      <c r="G29" s="256"/>
      <c r="H29" s="255">
        <f>H21*Inputs!G$51</f>
        <v>4259128.5565217389</v>
      </c>
      <c r="I29" s="256"/>
      <c r="J29" s="255">
        <f>J21*Inputs!I$51</f>
        <v>4107629.4736842103</v>
      </c>
      <c r="K29" s="256"/>
      <c r="L29" s="255">
        <f>L21*Inputs!K$51</f>
        <v>3513932.5217391299</v>
      </c>
      <c r="M29" s="241"/>
      <c r="N29" s="241"/>
    </row>
    <row r="30" spans="2:14" ht="15.6" x14ac:dyDescent="0.25">
      <c r="B30" s="246"/>
      <c r="C30" s="246"/>
      <c r="D30" s="245">
        <f>Inputs!$E$8+2</f>
        <v>2028</v>
      </c>
      <c r="E30" s="244"/>
      <c r="F30" s="255">
        <f>F22*Inputs!E$51</f>
        <v>2966243.728695652</v>
      </c>
      <c r="G30" s="256"/>
      <c r="H30" s="255">
        <f>H22*Inputs!G$51</f>
        <v>4344311.1276521739</v>
      </c>
      <c r="I30" s="256"/>
      <c r="J30" s="255">
        <f>J22*Inputs!I$51</f>
        <v>4189782.0631578942</v>
      </c>
      <c r="K30" s="256"/>
      <c r="L30" s="255">
        <f>L22*Inputs!K$51</f>
        <v>3584211.1721739131</v>
      </c>
      <c r="M30" s="241"/>
      <c r="N30" s="241"/>
    </row>
    <row r="31" spans="2:14" ht="15.6" x14ac:dyDescent="0.25">
      <c r="B31" s="246"/>
      <c r="C31" s="246"/>
      <c r="D31" s="245">
        <f>Inputs!$E$8+3</f>
        <v>2029</v>
      </c>
      <c r="E31" s="244"/>
      <c r="F31" s="255">
        <f>F23*Inputs!E$51</f>
        <v>3025568.6032695649</v>
      </c>
      <c r="G31" s="256"/>
      <c r="H31" s="255">
        <f>H23*Inputs!G$51</f>
        <v>4431197.3502052175</v>
      </c>
      <c r="I31" s="256"/>
      <c r="J31" s="255">
        <f>J23*Inputs!I$51</f>
        <v>4273577.7044210527</v>
      </c>
      <c r="K31" s="256"/>
      <c r="L31" s="255">
        <f>L23*Inputs!K$51</f>
        <v>3655895.395617391</v>
      </c>
      <c r="M31" s="241"/>
      <c r="N31" s="241"/>
    </row>
    <row r="32" spans="2:14" ht="15.6" x14ac:dyDescent="0.25">
      <c r="B32" s="246"/>
      <c r="C32" s="246"/>
      <c r="D32" s="245">
        <f>Inputs!$E$8+4</f>
        <v>2030</v>
      </c>
      <c r="E32" s="244"/>
      <c r="F32" s="255">
        <f>F24*Inputs!E$51</f>
        <v>3086079.9753349558</v>
      </c>
      <c r="G32" s="256"/>
      <c r="H32" s="255">
        <f>H24*Inputs!G$51</f>
        <v>4519821.2972093206</v>
      </c>
      <c r="I32" s="256"/>
      <c r="J32" s="255">
        <f>J24*Inputs!I$51</f>
        <v>4359049.2585094729</v>
      </c>
      <c r="K32" s="256"/>
      <c r="L32" s="255">
        <f>L24*Inputs!K$51</f>
        <v>3729013.3035297384</v>
      </c>
      <c r="M32" s="241"/>
      <c r="N32" s="241"/>
    </row>
    <row r="33" spans="2:17" ht="15" customHeight="1" x14ac:dyDescent="0.25">
      <c r="B33" s="246"/>
      <c r="C33" s="246"/>
      <c r="D33" s="408"/>
      <c r="E33" s="408"/>
      <c r="F33" s="408"/>
      <c r="G33" s="408"/>
      <c r="H33" s="408"/>
      <c r="I33" s="408"/>
      <c r="J33" s="408"/>
      <c r="K33" s="408"/>
      <c r="L33" s="408"/>
      <c r="M33" s="310"/>
      <c r="N33" s="310"/>
    </row>
    <row r="34" spans="2:17" ht="40.200000000000003" customHeight="1" x14ac:dyDescent="0.25">
      <c r="B34" s="246"/>
      <c r="C34" s="414" t="s">
        <v>97</v>
      </c>
      <c r="D34" s="414"/>
      <c r="E34" s="414"/>
      <c r="F34" s="414"/>
      <c r="G34" s="414"/>
      <c r="H34" s="414"/>
      <c r="I34" s="414"/>
      <c r="J34" s="414"/>
      <c r="K34" s="414"/>
      <c r="L34" s="414"/>
      <c r="M34" s="414"/>
      <c r="N34" s="310"/>
    </row>
    <row r="35" spans="2:17" ht="15" customHeight="1" x14ac:dyDescent="0.25">
      <c r="B35" s="246"/>
      <c r="C35" s="246"/>
      <c r="D35" s="310"/>
      <c r="E35" s="310"/>
      <c r="F35" s="310"/>
      <c r="G35" s="310"/>
      <c r="H35" s="310"/>
      <c r="I35" s="310"/>
      <c r="J35" s="310"/>
      <c r="K35" s="310"/>
      <c r="L35" s="310"/>
      <c r="M35" s="310"/>
      <c r="N35" s="310"/>
    </row>
    <row r="36" spans="2:17" ht="41.1" customHeight="1" x14ac:dyDescent="0.25">
      <c r="B36" s="246"/>
      <c r="C36" s="246"/>
      <c r="D36" s="409" t="s">
        <v>98</v>
      </c>
      <c r="E36" s="409"/>
      <c r="F36" s="409"/>
      <c r="G36" s="409"/>
      <c r="H36" s="409"/>
      <c r="I36" s="409"/>
      <c r="J36" s="409"/>
      <c r="K36" s="409"/>
      <c r="L36" s="409"/>
      <c r="M36" s="241"/>
      <c r="N36" s="241"/>
    </row>
    <row r="37" spans="2:17" ht="8.1" customHeight="1" x14ac:dyDescent="0.25">
      <c r="B37" s="246"/>
      <c r="C37" s="246"/>
      <c r="D37" s="251"/>
      <c r="E37" s="251"/>
      <c r="F37" s="251"/>
      <c r="G37" s="251"/>
      <c r="H37" s="251"/>
      <c r="I37" s="251"/>
      <c r="J37" s="251"/>
      <c r="K37" s="251"/>
      <c r="L37" s="251"/>
      <c r="M37" s="241"/>
      <c r="N37" s="241"/>
    </row>
    <row r="38" spans="2:17" ht="35.1" customHeight="1" x14ac:dyDescent="0.25">
      <c r="B38" s="246"/>
      <c r="C38" s="246"/>
      <c r="D38" s="250" t="s">
        <v>94</v>
      </c>
      <c r="E38" s="249"/>
      <c r="F38" s="247">
        <f>SUM(F39:F43)</f>
        <v>1737966.9339752358</v>
      </c>
      <c r="G38" s="248"/>
      <c r="H38" s="247">
        <f>SUM(H39:H43)</f>
        <v>1106748.2736232984</v>
      </c>
      <c r="I38" s="248"/>
      <c r="J38" s="247">
        <f>SUM(J39:J43)</f>
        <v>1620228.1017439393</v>
      </c>
      <c r="K38" s="248"/>
      <c r="L38" s="247">
        <f>SUM(L39:L43)</f>
        <v>1313277.0863359624</v>
      </c>
      <c r="M38" s="241"/>
      <c r="N38" s="241"/>
    </row>
    <row r="39" spans="2:17" ht="15.6" x14ac:dyDescent="0.25">
      <c r="B39" s="246"/>
      <c r="C39" s="246"/>
      <c r="D39" s="245">
        <f>Inputs!$E$8</f>
        <v>2026</v>
      </c>
      <c r="E39" s="244"/>
      <c r="F39" s="242">
        <f>F20*(Inputs!E43+Inputs!E43*Inputs!E$55+Inputs!E43*Inputs!E$56)+(F11/Inputs!E$59*Inputs!E$58)+(F11*Inputs!$E$60)</f>
        <v>382943.83304347825</v>
      </c>
      <c r="G39" s="243"/>
      <c r="H39" s="242">
        <f>H20*(Inputs!G43+Inputs!G43*Inputs!G$55+Inputs!G43*Inputs!G$56)+(H11/Inputs!G$59*Inputs!G$58)+(H11*Inputs!$G$60)</f>
        <v>280306.6434782609</v>
      </c>
      <c r="I39" s="243"/>
      <c r="J39" s="242">
        <f>J20*(Inputs!I43+Inputs!I43*Inputs!I$55+Inputs!I43*Inputs!I$56)+(J11/Inputs!I$59*Inputs!I$58)+(J11*Inputs!$I$60)</f>
        <v>357785.93684210529</v>
      </c>
      <c r="K39" s="243"/>
      <c r="L39" s="242">
        <f>L20*(Inputs!K43+Inputs!K43*Inputs!K$55+Inputs!K43*Inputs!K$56)+(L11/Inputs!K$59*Inputs!K$58)+(L11*Inputs!$K$60)</f>
        <v>287149.12278260873</v>
      </c>
      <c r="M39" s="241"/>
      <c r="N39" s="241"/>
    </row>
    <row r="40" spans="2:17" ht="15.6" x14ac:dyDescent="0.25">
      <c r="B40" s="246"/>
      <c r="C40" s="246"/>
      <c r="D40" s="245">
        <f>Inputs!$E$8+1</f>
        <v>2027</v>
      </c>
      <c r="E40" s="244"/>
      <c r="F40" s="242">
        <f>F21*(Inputs!E44+Inputs!E44*Inputs!E$55+Inputs!E44*Inputs!E$56)+(F12/Inputs!E$59*Inputs!E$58)+(F12*Inputs!$E$60)</f>
        <v>328760.78970434784</v>
      </c>
      <c r="G40" s="243"/>
      <c r="H40" s="242">
        <f>H21*(Inputs!G44+Inputs!G44*Inputs!G$55+Inputs!G44*Inputs!G$56)+(H12/Inputs!G$59*Inputs!G$58)+(H12*Inputs!$G$60)</f>
        <v>200514.3696695652</v>
      </c>
      <c r="I40" s="243"/>
      <c r="J40" s="242">
        <f>J21*(Inputs!I44+Inputs!I44*Inputs!I$55+Inputs!I44*Inputs!I$56)+(J12/Inputs!I$59*Inputs!I$58)+(J12*Inputs!$I$60)</f>
        <v>306298.45557894738</v>
      </c>
      <c r="K40" s="243"/>
      <c r="L40" s="242">
        <f>L21*(Inputs!K44+Inputs!K44*Inputs!K$55+Inputs!K44*Inputs!K$56)+(L12/Inputs!K$59*Inputs!K$58)+(L12*Inputs!$K$60)</f>
        <v>248963.01723826086</v>
      </c>
      <c r="M40" s="241"/>
      <c r="N40" s="241"/>
    </row>
    <row r="41" spans="2:17" ht="15.6" x14ac:dyDescent="0.25">
      <c r="B41" s="246"/>
      <c r="C41" s="246"/>
      <c r="D41" s="245">
        <f>Inputs!$E$8+2</f>
        <v>2028</v>
      </c>
      <c r="E41" s="244"/>
      <c r="F41" s="242">
        <f>F22*(Inputs!E45+Inputs!E45*Inputs!E$55+Inputs!E45*Inputs!E$56)+(F13/Inputs!E$59*Inputs!E$58)+(F13*Inputs!$E$60)</f>
        <v>335336.00549843477</v>
      </c>
      <c r="G41" s="243"/>
      <c r="H41" s="242">
        <f>H22*(Inputs!G45+Inputs!G45*Inputs!G$55+Inputs!G45*Inputs!G$56)+(H13/Inputs!G$59*Inputs!G$58)+(H13*Inputs!$G$60)</f>
        <v>204524.65706295654</v>
      </c>
      <c r="I41" s="243"/>
      <c r="J41" s="242">
        <f>J22*(Inputs!I45+Inputs!I45*Inputs!I$55+Inputs!I45*Inputs!I$56)+(J13/Inputs!I$59*Inputs!I$58)+(J13*Inputs!$I$60)</f>
        <v>312424.42469052627</v>
      </c>
      <c r="K41" s="243"/>
      <c r="L41" s="242">
        <f>L22*(Inputs!K45+Inputs!K45*Inputs!K$55+Inputs!K45*Inputs!K$56)+(L13/Inputs!K$59*Inputs!K$58)+(L13*Inputs!$K$60)</f>
        <v>253942.27758302609</v>
      </c>
      <c r="M41" s="241"/>
      <c r="N41" s="241"/>
    </row>
    <row r="42" spans="2:17" ht="15.6" x14ac:dyDescent="0.25">
      <c r="B42" s="246"/>
      <c r="C42" s="246"/>
      <c r="D42" s="245">
        <f>Inputs!$E$8+3</f>
        <v>2029</v>
      </c>
      <c r="E42" s="244"/>
      <c r="F42" s="242">
        <f>F23*(Inputs!E46+Inputs!E46*Inputs!E$55+Inputs!E46*Inputs!E$56)+(F14/Inputs!E$59*Inputs!E$58)+(F14*Inputs!$E$60)</f>
        <v>342042.72560840345</v>
      </c>
      <c r="G42" s="243"/>
      <c r="H42" s="242">
        <f>H23*(Inputs!G46+Inputs!G46*Inputs!G$55+Inputs!G46*Inputs!G$56)+(H14/Inputs!G$59*Inputs!G$58)+(H14*Inputs!$G$60)</f>
        <v>208615.15020421564</v>
      </c>
      <c r="I42" s="243"/>
      <c r="J42" s="242">
        <f>J23*(Inputs!I46+Inputs!I46*Inputs!I$55+Inputs!I46*Inputs!I$56)+(J14/Inputs!I$59*Inputs!I$58)+(J14*Inputs!$I$60)</f>
        <v>318672.91318433685</v>
      </c>
      <c r="K42" s="243"/>
      <c r="L42" s="242">
        <f>L23*(Inputs!K46+Inputs!K46*Inputs!K$55+Inputs!K46*Inputs!K$56)+(L14/Inputs!K$59*Inputs!K$58)+(L14*Inputs!$K$60)</f>
        <v>259021.12313468658</v>
      </c>
      <c r="M42" s="241"/>
      <c r="N42" s="241"/>
    </row>
    <row r="43" spans="2:17" ht="15.75" customHeight="1" x14ac:dyDescent="0.25">
      <c r="B43" s="246"/>
      <c r="C43" s="246"/>
      <c r="D43" s="245">
        <f>Inputs!$E$8+4</f>
        <v>2030</v>
      </c>
      <c r="E43" s="244"/>
      <c r="F43" s="242">
        <f>F24*(Inputs!E47+Inputs!E47*Inputs!E$55+Inputs!E47*Inputs!E$56)+(F15/Inputs!E$59*Inputs!E$58)+(F15*Inputs!$E$60)</f>
        <v>348883.58012057148</v>
      </c>
      <c r="G43" s="243"/>
      <c r="H43" s="242">
        <f>H24*(Inputs!G47+Inputs!G47*Inputs!G$55+Inputs!G47*Inputs!G$56)+(H15/Inputs!G$59*Inputs!G$58)+(H15*Inputs!$G$60)</f>
        <v>212787.45320829994</v>
      </c>
      <c r="I43" s="243"/>
      <c r="J43" s="242">
        <f>J24*(Inputs!I47+Inputs!I47*Inputs!I$55+Inputs!I47*Inputs!I$56)+(J15/Inputs!I$59*Inputs!I$58)+(J15*Inputs!$I$60)</f>
        <v>325046.37144802354</v>
      </c>
      <c r="K43" s="243"/>
      <c r="L43" s="242">
        <f>L24*(Inputs!K47+Inputs!K47*Inputs!K$55+Inputs!K47*Inputs!K$56)+(L15/Inputs!K$59*Inputs!K$58)+(L15*Inputs!$K$60)</f>
        <v>264201.54559738032</v>
      </c>
      <c r="M43" s="241"/>
      <c r="N43" s="241"/>
    </row>
    <row r="44" spans="2:17" ht="15" customHeight="1" x14ac:dyDescent="0.25">
      <c r="B44" s="246"/>
      <c r="C44" s="246"/>
      <c r="D44" s="254"/>
      <c r="E44" s="244"/>
      <c r="F44" s="252"/>
      <c r="G44" s="253"/>
      <c r="H44" s="252"/>
      <c r="I44" s="253"/>
      <c r="J44" s="252"/>
      <c r="K44" s="253"/>
      <c r="L44" s="252"/>
      <c r="M44" s="241"/>
      <c r="N44" s="241"/>
    </row>
    <row r="45" spans="2:17" ht="42" customHeight="1" x14ac:dyDescent="0.25">
      <c r="B45" s="246"/>
      <c r="C45" s="246"/>
      <c r="D45" s="409" t="s">
        <v>99</v>
      </c>
      <c r="E45" s="409"/>
      <c r="F45" s="409"/>
      <c r="G45" s="409"/>
      <c r="H45" s="409"/>
      <c r="I45" s="409"/>
      <c r="J45" s="409"/>
      <c r="K45" s="409"/>
      <c r="L45" s="409"/>
      <c r="M45" s="241"/>
      <c r="N45" s="241"/>
    </row>
    <row r="46" spans="2:17" ht="8.1" customHeight="1" x14ac:dyDescent="0.25">
      <c r="B46" s="246"/>
      <c r="C46" s="246"/>
      <c r="D46" s="251"/>
      <c r="E46" s="251"/>
      <c r="F46" s="251"/>
      <c r="G46" s="251"/>
      <c r="H46" s="251"/>
      <c r="I46" s="251"/>
      <c r="J46" s="251"/>
      <c r="K46" s="251"/>
      <c r="L46" s="251"/>
      <c r="M46" s="241"/>
      <c r="N46" s="241"/>
    </row>
    <row r="47" spans="2:17" ht="35.1" customHeight="1" x14ac:dyDescent="0.25">
      <c r="B47" s="246"/>
      <c r="C47" s="246"/>
      <c r="D47" s="250" t="s">
        <v>94</v>
      </c>
      <c r="E47" s="249"/>
      <c r="F47" s="247">
        <f>SUM(F48:F52)</f>
        <v>7399962.6280552354</v>
      </c>
      <c r="G47" s="248"/>
      <c r="H47" s="247">
        <f>SUM(H48:H52)</f>
        <v>6768743.9677032977</v>
      </c>
      <c r="I47" s="248"/>
      <c r="J47" s="247">
        <f>SUM(J48:J52)</f>
        <v>7282223.7958239391</v>
      </c>
      <c r="K47" s="248"/>
      <c r="L47" s="247">
        <f>SUM(L48:L52)</f>
        <v>6975272.7804159625</v>
      </c>
      <c r="M47" s="241"/>
      <c r="N47" s="241"/>
    </row>
    <row r="48" spans="2:17" ht="15.6" x14ac:dyDescent="0.25">
      <c r="B48" s="246"/>
      <c r="C48" s="246"/>
      <c r="D48" s="245">
        <f>Inputs!$E$8</f>
        <v>2026</v>
      </c>
      <c r="E48" s="244"/>
      <c r="F48" s="242">
        <f>F39+(F11*Inputs!E$65)+Inputs!E64</f>
        <v>1470943.8330434782</v>
      </c>
      <c r="G48" s="243"/>
      <c r="H48" s="242">
        <f>H39+(H11*Inputs!G$65)+Inputs!G64</f>
        <v>1368306.6434782608</v>
      </c>
      <c r="I48" s="243"/>
      <c r="J48" s="242">
        <f>J39+(J11*Inputs!I$65)+Inputs!I64</f>
        <v>1445785.9368421054</v>
      </c>
      <c r="K48" s="243"/>
      <c r="L48" s="242">
        <f>L39+(L11*Inputs!K$65)+Inputs!K64</f>
        <v>1375149.1227826087</v>
      </c>
      <c r="M48" s="241"/>
      <c r="N48" s="241"/>
      <c r="O48" s="273"/>
      <c r="P48" s="273"/>
      <c r="Q48" s="273"/>
    </row>
    <row r="49" spans="2:14" ht="15.6" x14ac:dyDescent="0.25">
      <c r="B49" s="246"/>
      <c r="C49" s="246"/>
      <c r="D49" s="245">
        <f>Inputs!$E$8+1</f>
        <v>2027</v>
      </c>
      <c r="E49" s="244"/>
      <c r="F49" s="242">
        <f>F40+F12*Inputs!E$65</f>
        <v>1438520.789704348</v>
      </c>
      <c r="G49" s="243"/>
      <c r="H49" s="242">
        <f>H40+H12*Inputs!G$65</f>
        <v>1310274.3696695652</v>
      </c>
      <c r="I49" s="243"/>
      <c r="J49" s="242">
        <f>J40+J12*Inputs!I$65</f>
        <v>1416058.4555789474</v>
      </c>
      <c r="K49" s="243"/>
      <c r="L49" s="242">
        <f>L40+L12*Inputs!K65</f>
        <v>1358723.0172382609</v>
      </c>
      <c r="M49" s="241"/>
      <c r="N49" s="241"/>
    </row>
    <row r="50" spans="2:14" ht="15.6" x14ac:dyDescent="0.25">
      <c r="B50" s="246"/>
      <c r="C50" s="246"/>
      <c r="D50" s="245">
        <f>Inputs!$E$8+2</f>
        <v>2028</v>
      </c>
      <c r="E50" s="244"/>
      <c r="F50" s="242">
        <f>F41+F13*Inputs!E$65</f>
        <v>1467291.2054984346</v>
      </c>
      <c r="G50" s="243"/>
      <c r="H50" s="242">
        <f>H41+H13*Inputs!G$65</f>
        <v>1336479.8570629566</v>
      </c>
      <c r="I50" s="243"/>
      <c r="J50" s="242">
        <f>J41+J13*Inputs!I$65</f>
        <v>1444379.6246905262</v>
      </c>
      <c r="K50" s="243"/>
      <c r="L50" s="242">
        <f>L41+L13*Inputs!K65</f>
        <v>1385897.477583026</v>
      </c>
      <c r="M50" s="241"/>
      <c r="N50" s="241"/>
    </row>
    <row r="51" spans="2:14" ht="15.6" x14ac:dyDescent="0.25">
      <c r="B51" s="246"/>
      <c r="C51" s="246"/>
      <c r="D51" s="245">
        <f>Inputs!$E$8+3</f>
        <v>2029</v>
      </c>
      <c r="E51" s="244"/>
      <c r="F51" s="242">
        <f>F42+F14*Inputs!E$65</f>
        <v>1496637.0296084033</v>
      </c>
      <c r="G51" s="243"/>
      <c r="H51" s="242">
        <f>H42+H14*Inputs!G$65</f>
        <v>1363209.4542042157</v>
      </c>
      <c r="I51" s="243"/>
      <c r="J51" s="242">
        <f>J42+J14*Inputs!I$65</f>
        <v>1473267.2171843369</v>
      </c>
      <c r="K51" s="243"/>
      <c r="L51" s="242">
        <f>L42+L14*Inputs!K65</f>
        <v>1413615.4271346866</v>
      </c>
      <c r="M51" s="241"/>
      <c r="N51" s="241"/>
    </row>
    <row r="52" spans="2:14" ht="15.6" x14ac:dyDescent="0.25">
      <c r="B52" s="246"/>
      <c r="C52" s="246"/>
      <c r="D52" s="245">
        <f>Inputs!$E$8+4</f>
        <v>2030</v>
      </c>
      <c r="E52" s="244"/>
      <c r="F52" s="242">
        <f>F43+F15*Inputs!E$65</f>
        <v>1526569.7702005713</v>
      </c>
      <c r="G52" s="243"/>
      <c r="H52" s="242">
        <f>H43+H15*Inputs!G$65</f>
        <v>1390473.6432882999</v>
      </c>
      <c r="I52" s="243"/>
      <c r="J52" s="242">
        <f>J43+J15*Inputs!I$65</f>
        <v>1502732.5615280233</v>
      </c>
      <c r="K52" s="243"/>
      <c r="L52" s="242">
        <f>L43+L15*Inputs!K65</f>
        <v>1441887.7356773801</v>
      </c>
      <c r="M52" s="241"/>
      <c r="N52" s="241"/>
    </row>
    <row r="53" spans="2:14" ht="15" customHeight="1" x14ac:dyDescent="0.25">
      <c r="B53" s="241"/>
      <c r="C53" s="241"/>
      <c r="D53" s="241"/>
      <c r="E53" s="241"/>
      <c r="F53" s="241"/>
      <c r="G53" s="241"/>
      <c r="H53" s="241"/>
      <c r="I53" s="241"/>
      <c r="J53" s="241"/>
      <c r="K53" s="241"/>
      <c r="L53" s="241"/>
      <c r="M53" s="241"/>
      <c r="N53" s="241"/>
    </row>
    <row r="54" spans="2:14" ht="40.200000000000003" customHeight="1" x14ac:dyDescent="0.25">
      <c r="B54" s="241"/>
      <c r="C54" s="413" t="s">
        <v>100</v>
      </c>
      <c r="D54" s="413"/>
      <c r="E54" s="413"/>
      <c r="F54" s="413"/>
      <c r="G54" s="413"/>
      <c r="H54" s="413"/>
      <c r="I54" s="413"/>
      <c r="J54" s="413"/>
      <c r="K54" s="413"/>
      <c r="L54" s="413"/>
      <c r="M54" s="413"/>
      <c r="N54" s="241"/>
    </row>
    <row r="55" spans="2:14" ht="15" customHeight="1" x14ac:dyDescent="0.25">
      <c r="B55" s="241"/>
      <c r="C55" s="241"/>
      <c r="D55" s="241"/>
      <c r="E55" s="241"/>
      <c r="F55" s="241"/>
      <c r="G55" s="241"/>
      <c r="H55" s="241"/>
      <c r="I55" s="241"/>
      <c r="J55" s="241"/>
      <c r="K55" s="241"/>
      <c r="L55" s="241"/>
      <c r="M55" s="241"/>
      <c r="N55" s="241"/>
    </row>
    <row r="56" spans="2:14" ht="42" customHeight="1" x14ac:dyDescent="0.25">
      <c r="B56" s="246"/>
      <c r="C56" s="246"/>
      <c r="D56" s="406" t="s">
        <v>101</v>
      </c>
      <c r="E56" s="406"/>
      <c r="F56" s="406"/>
      <c r="G56" s="406"/>
      <c r="H56" s="406"/>
      <c r="I56" s="406"/>
      <c r="J56" s="406"/>
      <c r="K56" s="406"/>
      <c r="L56" s="406"/>
      <c r="M56" s="241"/>
      <c r="N56" s="241"/>
    </row>
    <row r="57" spans="2:14" ht="15.6" x14ac:dyDescent="0.25">
      <c r="B57" s="246"/>
      <c r="C57" s="246"/>
      <c r="D57" s="251"/>
      <c r="E57" s="251"/>
      <c r="F57" s="251"/>
      <c r="G57" s="251"/>
      <c r="H57" s="251"/>
      <c r="I57" s="251"/>
      <c r="J57" s="251"/>
      <c r="K57" s="251"/>
      <c r="L57" s="251"/>
      <c r="M57" s="241"/>
      <c r="N57" s="241"/>
    </row>
    <row r="58" spans="2:14" ht="31.2" x14ac:dyDescent="0.25">
      <c r="B58" s="246"/>
      <c r="C58" s="246"/>
      <c r="D58" s="250" t="s">
        <v>94</v>
      </c>
      <c r="E58" s="249"/>
      <c r="F58" s="247">
        <f>SUM(F59:F63)</f>
        <v>21217363.517021492</v>
      </c>
      <c r="G58" s="248"/>
      <c r="H58" s="247">
        <f>SUM(H59:H63)</f>
        <v>12199954.083422387</v>
      </c>
      <c r="I58" s="248"/>
      <c r="J58" s="247">
        <f>SUM(J59:J63)</f>
        <v>19535380.199431546</v>
      </c>
      <c r="K58" s="248"/>
      <c r="L58" s="247">
        <f>SUM(L59:L63)</f>
        <v>15150365.693603309</v>
      </c>
      <c r="M58" s="241"/>
      <c r="N58" s="241"/>
    </row>
    <row r="59" spans="2:14" ht="15.6" x14ac:dyDescent="0.25">
      <c r="B59" s="246"/>
      <c r="C59" s="246"/>
      <c r="D59" s="245">
        <f>Inputs!$E$8</f>
        <v>2026</v>
      </c>
      <c r="E59" s="244"/>
      <c r="F59" s="242">
        <f>F20*(Inputs!E36+Inputs!E36*Inputs!E$55+Inputs!E36*Inputs!E$56)+(F11/Inputs!E$59*Inputs!E$58)+(F11*Inputs!$E$60)</f>
        <v>4776793.0434782598</v>
      </c>
      <c r="G59" s="243"/>
      <c r="H59" s="242">
        <f>H20*(Inputs!G36+Inputs!G36*Inputs!G$55+Inputs!G36*Inputs!G$56)+(H11/Inputs!G$59*Inputs!G$58)+(H11*Inputs!$G$60)</f>
        <v>3310547.4782608696</v>
      </c>
      <c r="I59" s="243"/>
      <c r="J59" s="242">
        <f>J20*(Inputs!I36+Inputs!I36*Inputs!I$55+Inputs!I36*Inputs!I$56)+(J11/Inputs!I$59*Inputs!I$58)+(J11*Inputs!$I$60)</f>
        <v>4417394.5263157897</v>
      </c>
      <c r="K59" s="243"/>
      <c r="L59" s="242">
        <f>L20*(Inputs!K36+Inputs!K36*Inputs!K$55+Inputs!K36*Inputs!K$56)+(L11/Inputs!K$59*Inputs!K$58)+(L11*Inputs!$K$60)</f>
        <v>3408297.1826086962</v>
      </c>
      <c r="M59" s="241"/>
      <c r="N59" s="241"/>
    </row>
    <row r="60" spans="2:14" ht="15.6" x14ac:dyDescent="0.25">
      <c r="B60" s="246"/>
      <c r="C60" s="246"/>
      <c r="D60" s="245">
        <f>Inputs!$E$8+1</f>
        <v>2027</v>
      </c>
      <c r="E60" s="244"/>
      <c r="F60" s="242">
        <f>F21*(Inputs!E37+Inputs!E37*Inputs!E$55+Inputs!E37*Inputs!E$56)+(F12/Inputs!E$59*Inputs!E$58)+(F12*Inputs!$E$60)</f>
        <v>3988872.9043478253</v>
      </c>
      <c r="G60" s="243"/>
      <c r="H60" s="242">
        <f>H21*(Inputs!G37+Inputs!G37*Inputs!G$55+Inputs!G37*Inputs!G$56)+(H12/Inputs!G$59*Inputs!G$58)+(H12*Inputs!$G$60)</f>
        <v>2156781.1895652171</v>
      </c>
      <c r="I60" s="243"/>
      <c r="J60" s="242">
        <f>J21*(Inputs!I37+Inputs!I37*Inputs!I$55+Inputs!I37*Inputs!I$56)+(J12/Inputs!I$59*Inputs!I$58)+(J12*Inputs!$I$60)</f>
        <v>3667982.4168421049</v>
      </c>
      <c r="K60" s="243"/>
      <c r="L60" s="242">
        <f>L21*(Inputs!K37+Inputs!K37*Inputs!K$55+Inputs!K37*Inputs!K$56)+(L12/Inputs!K$59*Inputs!K$58)+(L12*Inputs!$K$60)</f>
        <v>2848904.7262608698</v>
      </c>
      <c r="M60" s="241"/>
      <c r="N60" s="241"/>
    </row>
    <row r="61" spans="2:14" ht="15.6" x14ac:dyDescent="0.25">
      <c r="B61" s="246"/>
      <c r="C61" s="246"/>
      <c r="D61" s="245">
        <f>Inputs!$E$8+2</f>
        <v>2028</v>
      </c>
      <c r="E61" s="244"/>
      <c r="F61" s="242">
        <f>F22*(Inputs!E38+Inputs!E38*Inputs!E$55+Inputs!E38*Inputs!E$56)+(F13/Inputs!E$59*Inputs!E$58)+(F13*Inputs!$E$60)</f>
        <v>4068650.3624347826</v>
      </c>
      <c r="G61" s="243"/>
      <c r="H61" s="242">
        <f>H22*(Inputs!G38+Inputs!G38*Inputs!G$55+Inputs!G38*Inputs!G$56)+(H13/Inputs!G$59*Inputs!G$58)+(H13*Inputs!$G$60)</f>
        <v>2199916.813356522</v>
      </c>
      <c r="I61" s="243"/>
      <c r="J61" s="242">
        <f>J22*(Inputs!I38+Inputs!I38*Inputs!I$55+Inputs!I38*Inputs!I$56)+(J13/Inputs!I$59*Inputs!I$58)+(J13*Inputs!$I$60)</f>
        <v>3741342.0651789475</v>
      </c>
      <c r="K61" s="243"/>
      <c r="L61" s="242">
        <f>L22*(Inputs!K38+Inputs!K38*Inputs!K$55+Inputs!K38*Inputs!K$56)+(L13/Inputs!K$59*Inputs!K$58)+(L13*Inputs!$K$60)</f>
        <v>2905882.8207860878</v>
      </c>
      <c r="M61" s="241"/>
      <c r="N61" s="241"/>
    </row>
    <row r="62" spans="2:14" ht="15.6" x14ac:dyDescent="0.25">
      <c r="B62" s="246"/>
      <c r="C62" s="246"/>
      <c r="D62" s="245">
        <f>Inputs!$E$8+3</f>
        <v>2029</v>
      </c>
      <c r="E62" s="244"/>
      <c r="F62" s="242">
        <f>F23*(Inputs!E39+Inputs!E39*Inputs!E$55+Inputs!E39*Inputs!E$56)+(F14/Inputs!E$59*Inputs!E$58)+(F14*Inputs!$E$60)</f>
        <v>4150023.369683478</v>
      </c>
      <c r="G62" s="243"/>
      <c r="H62" s="242">
        <f>H23*(Inputs!G39+Inputs!G39*Inputs!G$55+Inputs!G39*Inputs!G$56)+(H14/Inputs!G$59*Inputs!G$58)+(H14*Inputs!$G$60)</f>
        <v>2243915.1496236525</v>
      </c>
      <c r="I62" s="243"/>
      <c r="J62" s="242">
        <f>J23*(Inputs!I39+Inputs!I39*Inputs!I$55+Inputs!I39*Inputs!I$56)+(J14/Inputs!I$59*Inputs!I$58)+(J14*Inputs!$I$60)</f>
        <v>3816168.9064825266</v>
      </c>
      <c r="K62" s="243"/>
      <c r="L62" s="242">
        <f>L23*(Inputs!K39+Inputs!K39*Inputs!K$55+Inputs!K39*Inputs!K$56)+(L14/Inputs!K$59*Inputs!K$58)+(L14*Inputs!$K$60)</f>
        <v>2964000.4772018096</v>
      </c>
      <c r="M62" s="241"/>
      <c r="N62" s="241"/>
    </row>
    <row r="63" spans="2:14" ht="15.6" x14ac:dyDescent="0.25">
      <c r="B63" s="246"/>
      <c r="C63" s="246"/>
      <c r="D63" s="245">
        <f>Inputs!$E$8+4</f>
        <v>2030</v>
      </c>
      <c r="E63" s="244"/>
      <c r="F63" s="242">
        <f>F24*(Inputs!E40+Inputs!E40*Inputs!E$55+Inputs!E40*Inputs!E$56)+(F15/Inputs!E$59*Inputs!E$58)+(F15*Inputs!$E$60)</f>
        <v>4233023.8370771464</v>
      </c>
      <c r="G63" s="243"/>
      <c r="H63" s="242">
        <f>H24*(Inputs!G40+Inputs!G40*Inputs!G$55+Inputs!G40*Inputs!G$56)+(H15/Inputs!G$59*Inputs!G$58)+(H15*Inputs!$G$60)</f>
        <v>2288793.4526161249</v>
      </c>
      <c r="I63" s="243"/>
      <c r="J63" s="242">
        <f>J24*(Inputs!I40+Inputs!I40*Inputs!I$55+Inputs!I40*Inputs!I$56)+(J15/Inputs!I$59*Inputs!I$58)+(J15*Inputs!$I$60)</f>
        <v>3892492.2846121765</v>
      </c>
      <c r="K63" s="243"/>
      <c r="L63" s="242">
        <f>L24*(Inputs!K40+Inputs!K40*Inputs!K$55+Inputs!K40*Inputs!K$56)+(L15/Inputs!K$59*Inputs!K$58)+(L15*Inputs!$K$60)</f>
        <v>3023280.4867458451</v>
      </c>
      <c r="M63" s="241"/>
      <c r="N63" s="241"/>
    </row>
    <row r="64" spans="2:14" ht="15.6" x14ac:dyDescent="0.25">
      <c r="B64" s="246"/>
      <c r="C64" s="246"/>
      <c r="D64" s="254"/>
      <c r="E64" s="244"/>
      <c r="F64" s="252"/>
      <c r="G64" s="253"/>
      <c r="H64" s="252"/>
      <c r="I64" s="253"/>
      <c r="J64" s="252"/>
      <c r="K64" s="253"/>
      <c r="L64" s="252"/>
      <c r="M64" s="241"/>
      <c r="N64" s="241"/>
    </row>
    <row r="65" spans="2:14" ht="42" customHeight="1" x14ac:dyDescent="0.25">
      <c r="B65" s="246"/>
      <c r="C65" s="246"/>
      <c r="D65" s="406" t="s">
        <v>102</v>
      </c>
      <c r="E65" s="406"/>
      <c r="F65" s="406"/>
      <c r="G65" s="406"/>
      <c r="H65" s="406"/>
      <c r="I65" s="406"/>
      <c r="J65" s="406"/>
      <c r="K65" s="406"/>
      <c r="L65" s="406"/>
      <c r="M65" s="241"/>
      <c r="N65" s="241"/>
    </row>
    <row r="66" spans="2:14" ht="15.6" x14ac:dyDescent="0.25">
      <c r="B66" s="246"/>
      <c r="C66" s="246"/>
      <c r="D66" s="251"/>
      <c r="E66" s="251"/>
      <c r="F66" s="251"/>
      <c r="G66" s="251"/>
      <c r="H66" s="251"/>
      <c r="I66" s="251"/>
      <c r="J66" s="251"/>
      <c r="K66" s="251"/>
      <c r="L66" s="251"/>
      <c r="M66" s="241"/>
      <c r="N66" s="241"/>
    </row>
    <row r="67" spans="2:14" ht="31.2" x14ac:dyDescent="0.25">
      <c r="B67" s="246"/>
      <c r="C67" s="246"/>
      <c r="D67" s="250" t="s">
        <v>94</v>
      </c>
      <c r="E67" s="249"/>
      <c r="F67" s="247">
        <f>SUM(F68:F72)</f>
        <v>36694398.780843407</v>
      </c>
      <c r="G67" s="248"/>
      <c r="H67" s="247">
        <f>SUM(H68:H72)</f>
        <v>35721182.988923885</v>
      </c>
      <c r="I67" s="248"/>
      <c r="J67" s="247">
        <f>SUM(J68:J72)</f>
        <v>41425839.751835749</v>
      </c>
      <c r="K67" s="248"/>
      <c r="L67" s="247">
        <f>SUM(L68:L72)</f>
        <v>33851783.304054782</v>
      </c>
      <c r="M67" s="241"/>
      <c r="N67" s="241"/>
    </row>
    <row r="68" spans="2:14" ht="15.6" x14ac:dyDescent="0.25">
      <c r="B68" s="246"/>
      <c r="C68" s="246"/>
      <c r="D68" s="245">
        <f>Inputs!$E$8</f>
        <v>2026</v>
      </c>
      <c r="E68" s="244"/>
      <c r="F68" s="242">
        <f>F59+(F28*Inputs!E$65)+Inputs!E64</f>
        <v>8267853.9130434766</v>
      </c>
      <c r="G68" s="243"/>
      <c r="H68" s="242">
        <f>H59+(H28*Inputs!G$65)+Inputs!G64</f>
        <v>8423497.0434782617</v>
      </c>
      <c r="I68" s="243"/>
      <c r="J68" s="242">
        <f>J59+(J28*Inputs!I$65)+Inputs!I64</f>
        <v>9377815.578947369</v>
      </c>
      <c r="K68" s="243"/>
      <c r="L68" s="242">
        <f>L59+(L28*Inputs!K$65)+Inputs!K64</f>
        <v>7626662.4000000004</v>
      </c>
      <c r="M68" s="241"/>
      <c r="N68" s="241"/>
    </row>
    <row r="69" spans="2:14" ht="15.6" x14ac:dyDescent="0.25">
      <c r="B69" s="246"/>
      <c r="C69" s="246"/>
      <c r="D69" s="245">
        <f>Inputs!$E$8+1</f>
        <v>2027</v>
      </c>
      <c r="E69" s="244"/>
      <c r="F69" s="242">
        <f>F60+F29*Inputs!E$65</f>
        <v>6896954.9913043473</v>
      </c>
      <c r="G69" s="243"/>
      <c r="H69" s="242">
        <f>H60+H28*Inputs!G$65</f>
        <v>7269730.7547826087</v>
      </c>
      <c r="I69" s="243"/>
      <c r="J69" s="242">
        <f>J60+J29*Inputs!I$65</f>
        <v>7775611.8905263152</v>
      </c>
      <c r="K69" s="243"/>
      <c r="L69" s="242">
        <f>L60+L29*Inputs!K$65</f>
        <v>6362837.2479999997</v>
      </c>
      <c r="M69" s="241"/>
      <c r="N69" s="241"/>
    </row>
    <row r="70" spans="2:14" ht="15.6" x14ac:dyDescent="0.25">
      <c r="B70" s="246"/>
      <c r="C70" s="246"/>
      <c r="D70" s="245">
        <f>Inputs!$E$8+2</f>
        <v>2028</v>
      </c>
      <c r="E70" s="244"/>
      <c r="F70" s="242">
        <f>F61+F30*Inputs!E$65</f>
        <v>7034894.0911304345</v>
      </c>
      <c r="G70" s="243"/>
      <c r="H70" s="242">
        <f>H61+H30*Inputs!G$65</f>
        <v>6544227.9410086963</v>
      </c>
      <c r="I70" s="243"/>
      <c r="J70" s="242">
        <f>J61+J30*Inputs!I$65</f>
        <v>7931124.1283368412</v>
      </c>
      <c r="K70" s="243"/>
      <c r="L70" s="242">
        <f>L61+L30*Inputs!K$65</f>
        <v>6490093.9929600004</v>
      </c>
      <c r="M70" s="241"/>
      <c r="N70" s="241"/>
    </row>
    <row r="71" spans="2:14" ht="15.6" x14ac:dyDescent="0.25">
      <c r="B71" s="246"/>
      <c r="C71" s="246"/>
      <c r="D71" s="245">
        <f>Inputs!$E$8+3</f>
        <v>2029</v>
      </c>
      <c r="E71" s="244"/>
      <c r="F71" s="242">
        <f>F62+F31*Inputs!E$65</f>
        <v>7175591.9729530429</v>
      </c>
      <c r="G71" s="243"/>
      <c r="H71" s="242">
        <f>H62+H31*Inputs!G$65</f>
        <v>6675112.4998288695</v>
      </c>
      <c r="I71" s="243"/>
      <c r="J71" s="242">
        <f>J62+J31*Inputs!I$65</f>
        <v>8089746.6109035797</v>
      </c>
      <c r="K71" s="243"/>
      <c r="L71" s="242">
        <f>L62+L31*Inputs!K$65</f>
        <v>6619895.8728192002</v>
      </c>
      <c r="M71" s="241"/>
      <c r="N71" s="241"/>
    </row>
    <row r="72" spans="2:14" ht="15.6" x14ac:dyDescent="0.25">
      <c r="B72" s="246"/>
      <c r="C72" s="246"/>
      <c r="D72" s="245">
        <f>Inputs!$E$8+4</f>
        <v>2030</v>
      </c>
      <c r="E72" s="244"/>
      <c r="F72" s="242">
        <f>F63+F32*Inputs!E$65</f>
        <v>7319103.8124121018</v>
      </c>
      <c r="G72" s="243"/>
      <c r="H72" s="242">
        <f>H63+H32*Inputs!G$65</f>
        <v>6808614.7498254459</v>
      </c>
      <c r="I72" s="243"/>
      <c r="J72" s="242">
        <f>J63+J32*Inputs!I$65</f>
        <v>8251541.543121649</v>
      </c>
      <c r="K72" s="243"/>
      <c r="L72" s="242">
        <f>L63+L32*Inputs!K$65</f>
        <v>6752293.790275583</v>
      </c>
      <c r="M72" s="241"/>
      <c r="N72" s="241"/>
    </row>
    <row r="73" spans="2:14" x14ac:dyDescent="0.25">
      <c r="B73" s="241"/>
      <c r="C73" s="241"/>
      <c r="D73" s="241"/>
      <c r="E73" s="241"/>
      <c r="F73" s="241"/>
      <c r="G73" s="241"/>
      <c r="H73" s="241"/>
      <c r="I73" s="241"/>
      <c r="J73" s="241"/>
      <c r="K73" s="241"/>
      <c r="L73" s="241"/>
      <c r="M73" s="241"/>
      <c r="N73" s="241"/>
    </row>
  </sheetData>
  <sheetProtection algorithmName="SHA-512" hashValue="XBw/6FKOlPjlu7gtihKw5ApfHewAsMg4ge8I5YQff0G51/jk1MZMIn8fjv7roIFz11D7flDefbnpYfbeg1rJQg==" saltValue="+1PInX7S65bTy6rRoBlpmg=="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38 H38 J38 L38">
    <cfRule type="colorScale" priority="13">
      <colorScale>
        <cfvo type="min"/>
        <cfvo type="percentile" val="50"/>
        <cfvo type="max"/>
        <color theme="6"/>
        <color rgb="FFDFE382"/>
        <color theme="3"/>
      </colorScale>
    </cfRule>
  </conditionalFormatting>
  <conditionalFormatting sqref="F38 H38 J38">
    <cfRule type="colorScale" priority="14">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47 F47 J47 L47">
    <cfRule type="colorScale" priority="12">
      <colorScale>
        <cfvo type="min"/>
        <cfvo type="percentile" val="50"/>
        <cfvo type="max"/>
        <color theme="6"/>
        <color rgb="FFDFE382"/>
        <color theme="3"/>
      </colorScale>
    </cfRule>
  </conditionalFormatting>
  <conditionalFormatting sqref="H58 F58 J58 L58">
    <cfRule type="colorScale" priority="2">
      <colorScale>
        <cfvo type="min"/>
        <cfvo type="percentile" val="50"/>
        <cfvo type="max"/>
        <color theme="6"/>
        <color rgb="FFDFE382"/>
        <color theme="3"/>
      </colorScale>
    </cfRule>
  </conditionalFormatting>
  <conditionalFormatting sqref="H58 F58 J58">
    <cfRule type="colorScale" priority="3">
      <colorScale>
        <cfvo type="min"/>
        <cfvo type="percentile" val="50"/>
        <cfvo type="max"/>
        <color theme="6"/>
        <color rgb="FFDFE382"/>
        <color theme="3"/>
      </colorScale>
    </cfRule>
  </conditionalFormatting>
  <conditionalFormatting sqref="H67 F67 J67 L67">
    <cfRule type="colorScale" priority="1">
      <colorScale>
        <cfvo type="min"/>
        <cfvo type="percentile" val="50"/>
        <cfvo type="max"/>
        <color theme="6"/>
        <color rgb="FFDFE382"/>
        <color theme="3"/>
      </colorScale>
    </cfRule>
  </conditionalFormatting>
  <conditionalFormatting sqref="J38 L38 H38 F38">
    <cfRule type="colorScale" priority="15">
      <colorScale>
        <cfvo type="min"/>
        <cfvo type="max"/>
        <color theme="6"/>
        <color rgb="FFDFE382"/>
      </colorScale>
    </cfRule>
  </conditionalFormatting>
  <conditionalFormatting sqref="J58 L58 H58 F58">
    <cfRule type="colorScale" priority="4">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6"/>
  <sheetViews>
    <sheetView workbookViewId="0">
      <selection activeCell="F24" sqref="F24"/>
    </sheetView>
  </sheetViews>
  <sheetFormatPr defaultColWidth="8.77734375" defaultRowHeight="14.4" x14ac:dyDescent="0.3"/>
  <cols>
    <col min="1" max="1" width="52" customWidth="1"/>
    <col min="2" max="27" width="20.5546875" customWidth="1"/>
  </cols>
  <sheetData>
    <row r="1" spans="1:6" x14ac:dyDescent="0.3">
      <c r="A1" s="4" t="s">
        <v>103</v>
      </c>
      <c r="B1" s="4" t="s">
        <v>104</v>
      </c>
      <c r="C1" s="4" t="s">
        <v>105</v>
      </c>
      <c r="D1" s="4" t="s">
        <v>106</v>
      </c>
      <c r="E1" s="4" t="s">
        <v>107</v>
      </c>
    </row>
    <row r="2" spans="1:6" x14ac:dyDescent="0.3">
      <c r="A2" s="4"/>
      <c r="B2" s="4"/>
      <c r="C2" s="4"/>
      <c r="D2" s="4"/>
      <c r="E2" s="4"/>
    </row>
    <row r="3" spans="1:6" ht="28.8" x14ac:dyDescent="0.3">
      <c r="A3" s="8" t="s">
        <v>50</v>
      </c>
      <c r="B3" s="5">
        <v>3</v>
      </c>
      <c r="C3" s="3">
        <v>0.08</v>
      </c>
      <c r="D3" s="1">
        <v>2.4</v>
      </c>
      <c r="E3" s="9" t="s">
        <v>108</v>
      </c>
    </row>
    <row r="4" spans="1:6" ht="28.8" x14ac:dyDescent="0.3">
      <c r="A4" s="8" t="s">
        <v>109</v>
      </c>
      <c r="B4" s="5">
        <v>3</v>
      </c>
      <c r="C4" s="3">
        <v>0.05</v>
      </c>
      <c r="D4" s="1">
        <v>14.06</v>
      </c>
      <c r="E4" s="9" t="s">
        <v>108</v>
      </c>
    </row>
    <row r="5" spans="1:6" ht="28.8" x14ac:dyDescent="0.3">
      <c r="A5" s="8" t="s">
        <v>51</v>
      </c>
      <c r="B5" s="5">
        <v>3</v>
      </c>
      <c r="C5" s="3">
        <v>0.08</v>
      </c>
      <c r="D5" s="1">
        <v>3.5150000000000001</v>
      </c>
      <c r="E5" s="9" t="s">
        <v>108</v>
      </c>
    </row>
    <row r="6" spans="1:6" ht="28.8" x14ac:dyDescent="0.3">
      <c r="A6" s="8" t="s">
        <v>52</v>
      </c>
      <c r="B6" s="5">
        <v>3</v>
      </c>
      <c r="C6" s="3">
        <v>0.05</v>
      </c>
      <c r="D6" s="1">
        <v>12</v>
      </c>
      <c r="E6" s="9" t="s">
        <v>108</v>
      </c>
    </row>
    <row r="7" spans="1:6" ht="28.8" x14ac:dyDescent="0.3">
      <c r="A7" s="8" t="s">
        <v>53</v>
      </c>
      <c r="B7" s="5">
        <v>3</v>
      </c>
      <c r="C7" s="3">
        <v>0.08</v>
      </c>
      <c r="D7" s="1">
        <v>3.5</v>
      </c>
      <c r="E7" s="9" t="s">
        <v>108</v>
      </c>
    </row>
    <row r="8" spans="1:6" ht="28.8" x14ac:dyDescent="0.3">
      <c r="A8" s="8" t="s">
        <v>127</v>
      </c>
      <c r="B8" s="5">
        <v>3</v>
      </c>
      <c r="C8" s="3">
        <v>0.08</v>
      </c>
      <c r="D8" s="1">
        <v>2.9</v>
      </c>
      <c r="E8" s="9" t="s">
        <v>126</v>
      </c>
    </row>
    <row r="9" spans="1:6" x14ac:dyDescent="0.3">
      <c r="A9" s="4" t="s">
        <v>41</v>
      </c>
      <c r="B9" t="s">
        <v>131</v>
      </c>
    </row>
    <row r="10" spans="1:6" x14ac:dyDescent="0.3">
      <c r="A10" t="s">
        <v>42</v>
      </c>
      <c r="B10" t="s">
        <v>132</v>
      </c>
    </row>
    <row r="11" spans="1:6" x14ac:dyDescent="0.3">
      <c r="A11" t="s">
        <v>129</v>
      </c>
    </row>
    <row r="12" spans="1:6" x14ac:dyDescent="0.3">
      <c r="A12" t="s">
        <v>130</v>
      </c>
      <c r="D12" s="8"/>
      <c r="F12" t="s">
        <v>130</v>
      </c>
    </row>
    <row r="13" spans="1:6" x14ac:dyDescent="0.3">
      <c r="A13" s="7"/>
      <c r="B13" s="280">
        <v>0</v>
      </c>
      <c r="D13" s="326"/>
      <c r="E13" s="327">
        <v>1</v>
      </c>
      <c r="F13" s="326">
        <f>Inputs!E22</f>
        <v>0.2</v>
      </c>
    </row>
    <row r="14" spans="1:6" x14ac:dyDescent="0.3">
      <c r="B14" s="280">
        <v>0.05</v>
      </c>
      <c r="D14" s="326"/>
      <c r="E14" s="327">
        <v>2</v>
      </c>
      <c r="F14" s="326">
        <v>0.4</v>
      </c>
    </row>
    <row r="15" spans="1:6" x14ac:dyDescent="0.3">
      <c r="B15" s="280">
        <v>0.1</v>
      </c>
      <c r="D15" s="326"/>
      <c r="E15" s="327">
        <v>3</v>
      </c>
      <c r="F15" s="326">
        <v>0.5</v>
      </c>
    </row>
    <row r="16" spans="1:6" x14ac:dyDescent="0.3">
      <c r="B16" s="280">
        <v>0.15</v>
      </c>
      <c r="D16" s="326"/>
      <c r="E16" s="327">
        <v>4</v>
      </c>
      <c r="F16" s="326">
        <v>0.6</v>
      </c>
    </row>
    <row r="17" spans="2:7" x14ac:dyDescent="0.3">
      <c r="B17" s="280">
        <v>0.2</v>
      </c>
      <c r="D17" s="326"/>
      <c r="E17" s="327">
        <v>5</v>
      </c>
      <c r="F17" s="326">
        <v>0.7</v>
      </c>
    </row>
    <row r="18" spans="2:7" x14ac:dyDescent="0.3">
      <c r="B18" s="280">
        <v>0.25</v>
      </c>
      <c r="D18" s="326"/>
      <c r="E18" s="327">
        <v>6</v>
      </c>
      <c r="F18" s="326">
        <v>0.8</v>
      </c>
    </row>
    <row r="19" spans="2:7" x14ac:dyDescent="0.3">
      <c r="B19" s="280">
        <v>0.3</v>
      </c>
      <c r="D19" s="326"/>
      <c r="E19" s="327">
        <v>7</v>
      </c>
      <c r="F19" s="326">
        <v>0.9</v>
      </c>
    </row>
    <row r="20" spans="2:7" x14ac:dyDescent="0.3">
      <c r="B20" s="280">
        <v>0.35</v>
      </c>
      <c r="D20" s="326"/>
      <c r="E20" s="327">
        <v>8</v>
      </c>
      <c r="F20" s="326">
        <v>0.9</v>
      </c>
    </row>
    <row r="21" spans="2:7" x14ac:dyDescent="0.3">
      <c r="B21" s="280">
        <v>0.4</v>
      </c>
      <c r="D21" s="326"/>
      <c r="E21" s="327">
        <f>Inputs!D23</f>
        <v>2026</v>
      </c>
      <c r="F21" s="326" cm="1">
        <f t="array" ref="F21">IF(Inputs!$E$18=B9,INDEX('Vaccine options'!$F$13:$F$20,MATCH(Inputs!$E$19,'Vaccine options'!$E$13:$E$20),0),Inputs!$E$22)</f>
        <v>0.5</v>
      </c>
      <c r="G21" t="s">
        <v>136</v>
      </c>
    </row>
    <row r="22" spans="2:7" x14ac:dyDescent="0.3">
      <c r="B22" s="280">
        <v>0.45</v>
      </c>
      <c r="D22" s="326"/>
      <c r="E22" s="327">
        <f>Inputs!D24</f>
        <v>2027</v>
      </c>
      <c r="F22" s="326">
        <f>MIN(1,F21+(1-$F$21)/(9-Inputs!$E$19))</f>
        <v>0.58333333333333337</v>
      </c>
      <c r="G22" s="328" t="s">
        <v>137</v>
      </c>
    </row>
    <row r="23" spans="2:7" x14ac:dyDescent="0.3">
      <c r="B23" s="280">
        <v>0.5</v>
      </c>
      <c r="D23" s="326"/>
      <c r="E23" s="327">
        <f>Inputs!D25</f>
        <v>2028</v>
      </c>
      <c r="F23" s="326">
        <f>MIN(1,F22+(1-$F$21)/(9-Inputs!$E$19))</f>
        <v>0.66666666666666674</v>
      </c>
      <c r="G23" t="s">
        <v>138</v>
      </c>
    </row>
    <row r="24" spans="2:7" x14ac:dyDescent="0.3">
      <c r="B24" s="280">
        <v>0.55000000000000004</v>
      </c>
      <c r="D24" s="326"/>
      <c r="E24" s="327">
        <f>Inputs!D26</f>
        <v>2029</v>
      </c>
      <c r="F24" s="326">
        <f>MIN(1,F23+(1-$F$21)/(9-Inputs!$E$19))</f>
        <v>0.75000000000000011</v>
      </c>
      <c r="G24" s="328" t="s">
        <v>139</v>
      </c>
    </row>
    <row r="25" spans="2:7" x14ac:dyDescent="0.3">
      <c r="B25" s="280">
        <v>0.6</v>
      </c>
      <c r="D25" s="326"/>
      <c r="E25" s="327">
        <f>Inputs!D27</f>
        <v>2030</v>
      </c>
      <c r="F25" s="326">
        <f>MIN(1,F24+(1-$F$21)/(9-Inputs!$E$19))</f>
        <v>0.83333333333333348</v>
      </c>
      <c r="G25" t="s">
        <v>140</v>
      </c>
    </row>
    <row r="26" spans="2:7" x14ac:dyDescent="0.3">
      <c r="B26" s="280">
        <v>0.65</v>
      </c>
      <c r="D26" s="326"/>
      <c r="E26" s="327"/>
      <c r="F26" s="326">
        <f>MIN(1,F25+(1-$F$21)/(9-Inputs!$E$19))</f>
        <v>0.91666666666666685</v>
      </c>
      <c r="G26" s="328" t="s">
        <v>141</v>
      </c>
    </row>
    <row r="27" spans="2:7" x14ac:dyDescent="0.3">
      <c r="B27" s="280">
        <v>0.7</v>
      </c>
      <c r="D27" s="326"/>
      <c r="E27" s="327"/>
      <c r="F27" s="326">
        <f>MIN(1,F26+(1-$F$21)/(9-Inputs!$E$19))</f>
        <v>1</v>
      </c>
      <c r="G27" t="s">
        <v>142</v>
      </c>
    </row>
    <row r="28" spans="2:7" x14ac:dyDescent="0.3">
      <c r="B28" s="280">
        <v>0.75</v>
      </c>
      <c r="D28" s="326"/>
      <c r="E28" s="327"/>
      <c r="F28" s="326">
        <f>MIN(1,F27+(1-$F$21)/(9-Inputs!$E$19))</f>
        <v>1</v>
      </c>
      <c r="G28" s="328" t="s">
        <v>143</v>
      </c>
    </row>
    <row r="29" spans="2:7" x14ac:dyDescent="0.3">
      <c r="B29" s="280">
        <v>0.8</v>
      </c>
      <c r="D29" s="326"/>
      <c r="E29" s="327"/>
      <c r="F29" s="326">
        <f>MIN(1,F28+(1-$F$21)/(9-Inputs!$E$19))</f>
        <v>1</v>
      </c>
      <c r="G29" t="s">
        <v>144</v>
      </c>
    </row>
    <row r="30" spans="2:7" x14ac:dyDescent="0.3">
      <c r="B30" s="280">
        <v>0.85</v>
      </c>
      <c r="D30" s="326"/>
      <c r="E30" s="326"/>
      <c r="F30" s="326"/>
    </row>
    <row r="31" spans="2:7" x14ac:dyDescent="0.3">
      <c r="B31" s="280">
        <v>0.9</v>
      </c>
      <c r="D31" s="326"/>
      <c r="E31" s="326"/>
      <c r="F31" s="326"/>
    </row>
    <row r="32" spans="2:7" x14ac:dyDescent="0.3">
      <c r="B32" s="280">
        <v>0.95</v>
      </c>
      <c r="D32" s="326"/>
      <c r="E32" s="326"/>
      <c r="F32" s="326"/>
    </row>
    <row r="33" spans="2:5" x14ac:dyDescent="0.3">
      <c r="B33" s="280">
        <v>1</v>
      </c>
      <c r="D33" s="326"/>
      <c r="E33" s="326"/>
    </row>
    <row r="34" spans="2:5" x14ac:dyDescent="0.3">
      <c r="D34" s="326"/>
    </row>
    <row r="35" spans="2:5" x14ac:dyDescent="0.3">
      <c r="D35" s="326"/>
    </row>
    <row r="36" spans="2:5" x14ac:dyDescent="0.3">
      <c r="D36" s="326"/>
    </row>
  </sheetData>
  <pageMargins left="0.7" right="0.7" top="0.75" bottom="0.75" header="0.3" footer="0.3"/>
  <pageSetup paperSize="9" orientation="portrait" r:id="rId1"/>
  <headerFooter>
    <oddHeader>&amp;L&amp;"Calibri"&amp;10&amp;K000000Classified as 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84"/>
  <sheetViews>
    <sheetView topLeftCell="A72" workbookViewId="0">
      <selection activeCell="C75" sqref="C75:C84"/>
    </sheetView>
  </sheetViews>
  <sheetFormatPr defaultColWidth="8.77734375" defaultRowHeight="14.4" x14ac:dyDescent="0.3"/>
  <cols>
    <col min="1" max="1" width="59.44140625" customWidth="1"/>
    <col min="2" max="3" width="8.77734375" style="1"/>
  </cols>
  <sheetData>
    <row r="1" spans="1:3" ht="28.8" x14ac:dyDescent="0.3">
      <c r="A1" s="8" t="s">
        <v>50</v>
      </c>
      <c r="B1" s="1">
        <v>2022</v>
      </c>
      <c r="C1" s="10">
        <v>2.9</v>
      </c>
    </row>
    <row r="2" spans="1:3" ht="28.8" x14ac:dyDescent="0.3">
      <c r="A2" s="8" t="s">
        <v>50</v>
      </c>
      <c r="B2" s="1">
        <v>2023</v>
      </c>
      <c r="C2" s="10">
        <v>2.9</v>
      </c>
    </row>
    <row r="3" spans="1:3" ht="28.8" x14ac:dyDescent="0.3">
      <c r="A3" s="8" t="s">
        <v>50</v>
      </c>
      <c r="B3" s="1">
        <v>2024</v>
      </c>
      <c r="C3" s="10">
        <v>2.9</v>
      </c>
    </row>
    <row r="4" spans="1:3" ht="28.8" x14ac:dyDescent="0.3">
      <c r="A4" s="8" t="s">
        <v>50</v>
      </c>
      <c r="B4" s="1">
        <v>2025</v>
      </c>
      <c r="C4" s="10">
        <v>2.9</v>
      </c>
    </row>
    <row r="5" spans="1:3" ht="28.8" x14ac:dyDescent="0.3">
      <c r="A5" s="8" t="s">
        <v>50</v>
      </c>
      <c r="B5" s="1">
        <v>2026</v>
      </c>
      <c r="C5" s="10">
        <v>2.9</v>
      </c>
    </row>
    <row r="6" spans="1:3" ht="28.8" x14ac:dyDescent="0.3">
      <c r="A6" s="8" t="s">
        <v>50</v>
      </c>
      <c r="B6" s="1">
        <v>2027</v>
      </c>
      <c r="C6" s="10">
        <v>2.9</v>
      </c>
    </row>
    <row r="7" spans="1:3" ht="28.8" x14ac:dyDescent="0.3">
      <c r="A7" s="8" t="s">
        <v>50</v>
      </c>
      <c r="B7" s="1">
        <v>2028</v>
      </c>
      <c r="C7" s="10">
        <v>2.9</v>
      </c>
    </row>
    <row r="8" spans="1:3" ht="28.8" x14ac:dyDescent="0.3">
      <c r="A8" s="8" t="s">
        <v>50</v>
      </c>
      <c r="B8" s="1">
        <v>2029</v>
      </c>
      <c r="C8" s="10">
        <v>2.9</v>
      </c>
    </row>
    <row r="9" spans="1:3" ht="28.8" x14ac:dyDescent="0.3">
      <c r="A9" s="8" t="s">
        <v>50</v>
      </c>
      <c r="B9" s="1">
        <v>2030</v>
      </c>
      <c r="C9" s="10">
        <v>2.9</v>
      </c>
    </row>
    <row r="10" spans="1:3" ht="28.8" x14ac:dyDescent="0.3">
      <c r="A10" s="8" t="s">
        <v>50</v>
      </c>
      <c r="B10" s="1">
        <v>2031</v>
      </c>
      <c r="C10" s="10">
        <v>2.9</v>
      </c>
    </row>
    <row r="11" spans="1:3" ht="28.8" x14ac:dyDescent="0.3">
      <c r="A11" s="8" t="s">
        <v>50</v>
      </c>
      <c r="B11" s="1">
        <v>2032</v>
      </c>
      <c r="C11" s="10">
        <v>2.9</v>
      </c>
    </row>
    <row r="12" spans="1:3" ht="28.8" x14ac:dyDescent="0.3">
      <c r="A12" s="8" t="s">
        <v>50</v>
      </c>
      <c r="B12" s="1">
        <v>2033</v>
      </c>
      <c r="C12" s="10">
        <v>2.9</v>
      </c>
    </row>
    <row r="13" spans="1:3" ht="28.8" x14ac:dyDescent="0.3">
      <c r="A13" s="8" t="s">
        <v>50</v>
      </c>
      <c r="B13" s="1">
        <v>2034</v>
      </c>
      <c r="C13" s="10">
        <v>2.9</v>
      </c>
    </row>
    <row r="14" spans="1:3" ht="28.8" x14ac:dyDescent="0.3">
      <c r="A14" s="8" t="s">
        <v>50</v>
      </c>
      <c r="B14" s="1">
        <v>2035</v>
      </c>
      <c r="C14" s="10">
        <v>2.9</v>
      </c>
    </row>
    <row r="15" spans="1:3" ht="28.8" x14ac:dyDescent="0.3">
      <c r="A15" s="8" t="s">
        <v>109</v>
      </c>
      <c r="B15" s="1">
        <v>2022</v>
      </c>
      <c r="C15" s="2">
        <v>2.9</v>
      </c>
    </row>
    <row r="16" spans="1:3" ht="28.8" x14ac:dyDescent="0.3">
      <c r="A16" s="8" t="s">
        <v>109</v>
      </c>
      <c r="B16" s="1">
        <v>2023</v>
      </c>
      <c r="C16" s="2">
        <v>2.9</v>
      </c>
    </row>
    <row r="17" spans="1:3" ht="28.8" x14ac:dyDescent="0.3">
      <c r="A17" s="8" t="s">
        <v>109</v>
      </c>
      <c r="B17" s="1">
        <v>2024</v>
      </c>
      <c r="C17" s="2">
        <v>2.9</v>
      </c>
    </row>
    <row r="18" spans="1:3" ht="28.8" x14ac:dyDescent="0.3">
      <c r="A18" s="8" t="s">
        <v>109</v>
      </c>
      <c r="B18" s="1">
        <v>2025</v>
      </c>
      <c r="C18" s="2">
        <v>2.9</v>
      </c>
    </row>
    <row r="19" spans="1:3" ht="28.8" x14ac:dyDescent="0.3">
      <c r="A19" s="8" t="s">
        <v>109</v>
      </c>
      <c r="B19" s="1">
        <v>2026</v>
      </c>
      <c r="C19" s="2">
        <v>2.9</v>
      </c>
    </row>
    <row r="20" spans="1:3" ht="28.8" x14ac:dyDescent="0.3">
      <c r="A20" s="8" t="s">
        <v>109</v>
      </c>
      <c r="B20" s="1">
        <v>2027</v>
      </c>
      <c r="C20" s="2">
        <v>2.9</v>
      </c>
    </row>
    <row r="21" spans="1:3" ht="28.8" x14ac:dyDescent="0.3">
      <c r="A21" s="8" t="s">
        <v>109</v>
      </c>
      <c r="B21" s="1">
        <v>2028</v>
      </c>
      <c r="C21" s="2">
        <v>2.9</v>
      </c>
    </row>
    <row r="22" spans="1:3" ht="28.8" x14ac:dyDescent="0.3">
      <c r="A22" s="8" t="s">
        <v>109</v>
      </c>
      <c r="B22" s="1">
        <v>2029</v>
      </c>
      <c r="C22" s="2">
        <v>2.9</v>
      </c>
    </row>
    <row r="23" spans="1:3" ht="28.8" x14ac:dyDescent="0.3">
      <c r="A23" s="8" t="s">
        <v>109</v>
      </c>
      <c r="B23" s="1">
        <v>2030</v>
      </c>
      <c r="C23" s="2">
        <v>2.9</v>
      </c>
    </row>
    <row r="24" spans="1:3" ht="28.8" x14ac:dyDescent="0.3">
      <c r="A24" s="8" t="s">
        <v>109</v>
      </c>
      <c r="B24" s="1">
        <v>2031</v>
      </c>
      <c r="C24" s="2">
        <v>2.9</v>
      </c>
    </row>
    <row r="25" spans="1:3" ht="28.8" x14ac:dyDescent="0.3">
      <c r="A25" s="8" t="s">
        <v>109</v>
      </c>
      <c r="B25" s="1">
        <v>2032</v>
      </c>
      <c r="C25" s="2">
        <v>2.9</v>
      </c>
    </row>
    <row r="26" spans="1:3" ht="28.8" x14ac:dyDescent="0.3">
      <c r="A26" s="8" t="s">
        <v>109</v>
      </c>
      <c r="B26" s="1">
        <v>2033</v>
      </c>
      <c r="C26" s="2">
        <v>2.9</v>
      </c>
    </row>
    <row r="27" spans="1:3" ht="28.8" x14ac:dyDescent="0.3">
      <c r="A27" s="8" t="s">
        <v>109</v>
      </c>
      <c r="B27" s="1">
        <v>2034</v>
      </c>
      <c r="C27" s="2">
        <v>2.9</v>
      </c>
    </row>
    <row r="28" spans="1:3" ht="28.8" x14ac:dyDescent="0.3">
      <c r="A28" s="8" t="s">
        <v>109</v>
      </c>
      <c r="B28" s="1">
        <v>2035</v>
      </c>
      <c r="C28" s="2">
        <v>2.9</v>
      </c>
    </row>
    <row r="29" spans="1:3" ht="28.8" x14ac:dyDescent="0.3">
      <c r="A29" s="8" t="s">
        <v>51</v>
      </c>
      <c r="B29" s="1">
        <v>2022</v>
      </c>
      <c r="C29" s="2">
        <v>2</v>
      </c>
    </row>
    <row r="30" spans="1:3" ht="28.8" x14ac:dyDescent="0.3">
      <c r="A30" s="8" t="s">
        <v>51</v>
      </c>
      <c r="B30" s="1">
        <v>2023</v>
      </c>
      <c r="C30" s="2">
        <v>2</v>
      </c>
    </row>
    <row r="31" spans="1:3" ht="28.8" x14ac:dyDescent="0.3">
      <c r="A31" s="8" t="s">
        <v>51</v>
      </c>
      <c r="B31" s="1">
        <v>2024</v>
      </c>
      <c r="C31" s="2">
        <v>2</v>
      </c>
    </row>
    <row r="32" spans="1:3" ht="28.8" x14ac:dyDescent="0.3">
      <c r="A32" s="8" t="s">
        <v>51</v>
      </c>
      <c r="B32" s="1">
        <v>2025</v>
      </c>
      <c r="C32" s="2">
        <v>2</v>
      </c>
    </row>
    <row r="33" spans="1:3" ht="28.8" x14ac:dyDescent="0.3">
      <c r="A33" s="8" t="s">
        <v>51</v>
      </c>
      <c r="B33" s="1">
        <v>2026</v>
      </c>
      <c r="C33" s="2">
        <v>2</v>
      </c>
    </row>
    <row r="34" spans="1:3" ht="28.8" x14ac:dyDescent="0.3">
      <c r="A34" s="8" t="s">
        <v>51</v>
      </c>
      <c r="B34" s="1">
        <v>2027</v>
      </c>
      <c r="C34" s="2">
        <v>1.55</v>
      </c>
    </row>
    <row r="35" spans="1:3" ht="28.8" x14ac:dyDescent="0.3">
      <c r="A35" s="8" t="s">
        <v>51</v>
      </c>
      <c r="B35" s="1">
        <v>2028</v>
      </c>
      <c r="C35" s="2">
        <v>1.55</v>
      </c>
    </row>
    <row r="36" spans="1:3" ht="28.8" x14ac:dyDescent="0.3">
      <c r="A36" s="8" t="s">
        <v>51</v>
      </c>
      <c r="B36" s="1">
        <v>2029</v>
      </c>
      <c r="C36" s="2">
        <v>1.55</v>
      </c>
    </row>
    <row r="37" spans="1:3" ht="28.8" x14ac:dyDescent="0.3">
      <c r="A37" s="8" t="s">
        <v>51</v>
      </c>
      <c r="B37" s="1">
        <v>2030</v>
      </c>
      <c r="C37" s="2">
        <v>1.55</v>
      </c>
    </row>
    <row r="38" spans="1:3" ht="28.8" x14ac:dyDescent="0.3">
      <c r="A38" s="8" t="s">
        <v>51</v>
      </c>
      <c r="B38" s="1">
        <v>2031</v>
      </c>
      <c r="C38" s="2">
        <v>1.55</v>
      </c>
    </row>
    <row r="39" spans="1:3" ht="28.8" x14ac:dyDescent="0.3">
      <c r="A39" s="8" t="s">
        <v>51</v>
      </c>
      <c r="B39" s="1">
        <v>2032</v>
      </c>
      <c r="C39" s="2">
        <v>1.55</v>
      </c>
    </row>
    <row r="40" spans="1:3" ht="28.8" x14ac:dyDescent="0.3">
      <c r="A40" s="8" t="s">
        <v>51</v>
      </c>
      <c r="B40" s="1">
        <v>2033</v>
      </c>
      <c r="C40" s="2">
        <v>1.55</v>
      </c>
    </row>
    <row r="41" spans="1:3" ht="28.8" x14ac:dyDescent="0.3">
      <c r="A41" s="8" t="s">
        <v>51</v>
      </c>
      <c r="B41" s="1">
        <v>2034</v>
      </c>
      <c r="C41" s="2">
        <v>1.55</v>
      </c>
    </row>
    <row r="42" spans="1:3" ht="28.8" x14ac:dyDescent="0.3">
      <c r="A42" s="8" t="s">
        <v>51</v>
      </c>
      <c r="B42" s="1">
        <v>2035</v>
      </c>
      <c r="C42" s="2">
        <v>1.55</v>
      </c>
    </row>
    <row r="43" spans="1:3" ht="28.8" x14ac:dyDescent="0.3">
      <c r="A43" s="8" t="s">
        <v>52</v>
      </c>
      <c r="B43" s="1">
        <v>2022</v>
      </c>
      <c r="C43" s="2">
        <v>3.3</v>
      </c>
    </row>
    <row r="44" spans="1:3" ht="28.8" x14ac:dyDescent="0.3">
      <c r="A44" s="8" t="s">
        <v>52</v>
      </c>
      <c r="B44" s="1">
        <v>2023</v>
      </c>
      <c r="C44" s="2">
        <v>3.3</v>
      </c>
    </row>
    <row r="45" spans="1:3" ht="28.8" x14ac:dyDescent="0.3">
      <c r="A45" s="8" t="s">
        <v>52</v>
      </c>
      <c r="B45" s="1">
        <v>2024</v>
      </c>
      <c r="C45" s="2">
        <v>3.3</v>
      </c>
    </row>
    <row r="46" spans="1:3" ht="28.8" x14ac:dyDescent="0.3">
      <c r="A46" s="8" t="s">
        <v>52</v>
      </c>
      <c r="B46" s="1">
        <v>2025</v>
      </c>
      <c r="C46" s="2">
        <v>3.3</v>
      </c>
    </row>
    <row r="47" spans="1:3" ht="28.8" x14ac:dyDescent="0.3">
      <c r="A47" s="8" t="s">
        <v>52</v>
      </c>
      <c r="B47" s="1">
        <v>2026</v>
      </c>
      <c r="C47" s="2">
        <v>3.3</v>
      </c>
    </row>
    <row r="48" spans="1:3" ht="28.8" x14ac:dyDescent="0.3">
      <c r="A48" s="8" t="s">
        <v>52</v>
      </c>
      <c r="B48" s="1">
        <v>2027</v>
      </c>
      <c r="C48" s="2">
        <v>3.3</v>
      </c>
    </row>
    <row r="49" spans="1:3" ht="28.8" x14ac:dyDescent="0.3">
      <c r="A49" s="8" t="s">
        <v>52</v>
      </c>
      <c r="B49" s="1">
        <v>2028</v>
      </c>
      <c r="C49" s="2">
        <v>3.3</v>
      </c>
    </row>
    <row r="50" spans="1:3" ht="28.8" x14ac:dyDescent="0.3">
      <c r="A50" s="8" t="s">
        <v>52</v>
      </c>
      <c r="B50" s="1">
        <v>2029</v>
      </c>
      <c r="C50" s="2">
        <v>3.3</v>
      </c>
    </row>
    <row r="51" spans="1:3" ht="28.8" x14ac:dyDescent="0.3">
      <c r="A51" s="8" t="s">
        <v>52</v>
      </c>
      <c r="B51" s="1">
        <v>2030</v>
      </c>
      <c r="C51" s="2">
        <v>3.3</v>
      </c>
    </row>
    <row r="52" spans="1:3" ht="28.8" x14ac:dyDescent="0.3">
      <c r="A52" s="8" t="s">
        <v>52</v>
      </c>
      <c r="B52" s="1">
        <v>2031</v>
      </c>
      <c r="C52" s="2">
        <v>3.3</v>
      </c>
    </row>
    <row r="53" spans="1:3" ht="28.8" x14ac:dyDescent="0.3">
      <c r="A53" s="8" t="s">
        <v>52</v>
      </c>
      <c r="B53" s="1">
        <v>2032</v>
      </c>
      <c r="C53" s="2">
        <v>3.3</v>
      </c>
    </row>
    <row r="54" spans="1:3" ht="28.8" x14ac:dyDescent="0.3">
      <c r="A54" s="8" t="s">
        <v>52</v>
      </c>
      <c r="B54" s="1">
        <v>2033</v>
      </c>
      <c r="C54" s="2">
        <v>3.3</v>
      </c>
    </row>
    <row r="55" spans="1:3" ht="28.8" x14ac:dyDescent="0.3">
      <c r="A55" s="8" t="s">
        <v>52</v>
      </c>
      <c r="B55" s="1">
        <v>2034</v>
      </c>
      <c r="C55" s="2">
        <v>3.3</v>
      </c>
    </row>
    <row r="56" spans="1:3" ht="28.8" x14ac:dyDescent="0.3">
      <c r="A56" s="8" t="s">
        <v>52</v>
      </c>
      <c r="B56" s="1">
        <v>2035</v>
      </c>
      <c r="C56" s="2">
        <v>3.3</v>
      </c>
    </row>
    <row r="57" spans="1:3" ht="28.8" x14ac:dyDescent="0.3">
      <c r="A57" s="8" t="s">
        <v>53</v>
      </c>
      <c r="B57" s="1">
        <v>2022</v>
      </c>
      <c r="C57" s="10">
        <v>2.75</v>
      </c>
    </row>
    <row r="58" spans="1:3" ht="28.8" x14ac:dyDescent="0.3">
      <c r="A58" s="8" t="s">
        <v>53</v>
      </c>
      <c r="B58" s="1">
        <v>2023</v>
      </c>
      <c r="C58" s="10">
        <v>2.75</v>
      </c>
    </row>
    <row r="59" spans="1:3" ht="28.8" x14ac:dyDescent="0.3">
      <c r="A59" s="8" t="s">
        <v>53</v>
      </c>
      <c r="B59" s="1">
        <v>2024</v>
      </c>
      <c r="C59" s="10">
        <v>2.75</v>
      </c>
    </row>
    <row r="60" spans="1:3" ht="28.8" x14ac:dyDescent="0.3">
      <c r="A60" s="8" t="s">
        <v>53</v>
      </c>
      <c r="B60" s="1">
        <v>2025</v>
      </c>
      <c r="C60" s="10">
        <v>2.75</v>
      </c>
    </row>
    <row r="61" spans="1:3" ht="28.8" x14ac:dyDescent="0.3">
      <c r="A61" s="8" t="s">
        <v>53</v>
      </c>
      <c r="B61" s="1">
        <v>2026</v>
      </c>
      <c r="C61" s="10">
        <v>2.75</v>
      </c>
    </row>
    <row r="62" spans="1:3" ht="28.8" x14ac:dyDescent="0.3">
      <c r="A62" s="8" t="s">
        <v>53</v>
      </c>
      <c r="B62" s="1">
        <v>2027</v>
      </c>
      <c r="C62" s="10">
        <v>2.75</v>
      </c>
    </row>
    <row r="63" spans="1:3" ht="28.8" x14ac:dyDescent="0.3">
      <c r="A63" s="8" t="s">
        <v>53</v>
      </c>
      <c r="B63" s="1">
        <v>2028</v>
      </c>
      <c r="C63" s="10">
        <v>2.75</v>
      </c>
    </row>
    <row r="64" spans="1:3" ht="28.8" x14ac:dyDescent="0.3">
      <c r="A64" s="8" t="s">
        <v>53</v>
      </c>
      <c r="B64" s="1">
        <v>2029</v>
      </c>
      <c r="C64" s="10">
        <v>2.75</v>
      </c>
    </row>
    <row r="65" spans="1:3" ht="28.8" x14ac:dyDescent="0.3">
      <c r="A65" s="8" t="s">
        <v>53</v>
      </c>
      <c r="B65" s="1">
        <v>2030</v>
      </c>
      <c r="C65" s="10">
        <v>2.75</v>
      </c>
    </row>
    <row r="66" spans="1:3" ht="28.8" x14ac:dyDescent="0.3">
      <c r="A66" s="8" t="s">
        <v>53</v>
      </c>
      <c r="B66" s="1">
        <v>2031</v>
      </c>
      <c r="C66" s="10">
        <v>2.75</v>
      </c>
    </row>
    <row r="67" spans="1:3" ht="28.8" x14ac:dyDescent="0.3">
      <c r="A67" s="8" t="s">
        <v>53</v>
      </c>
      <c r="B67" s="1">
        <v>2032</v>
      </c>
      <c r="C67" s="10">
        <v>2.75</v>
      </c>
    </row>
    <row r="68" spans="1:3" ht="28.8" x14ac:dyDescent="0.3">
      <c r="A68" s="8" t="s">
        <v>53</v>
      </c>
      <c r="B68" s="1">
        <v>2033</v>
      </c>
      <c r="C68" s="10">
        <v>2.75</v>
      </c>
    </row>
    <row r="69" spans="1:3" ht="28.8" x14ac:dyDescent="0.3">
      <c r="A69" s="8" t="s">
        <v>53</v>
      </c>
      <c r="B69" s="1">
        <v>2034</v>
      </c>
      <c r="C69" s="10">
        <v>2.75</v>
      </c>
    </row>
    <row r="70" spans="1:3" ht="28.8" x14ac:dyDescent="0.3">
      <c r="A70" s="8" t="s">
        <v>53</v>
      </c>
      <c r="B70" s="1">
        <v>2035</v>
      </c>
      <c r="C70" s="10">
        <v>2.75</v>
      </c>
    </row>
    <row r="71" spans="1:3" ht="28.8" x14ac:dyDescent="0.3">
      <c r="A71" s="8" t="s">
        <v>127</v>
      </c>
      <c r="B71" s="1">
        <v>2022</v>
      </c>
      <c r="C71" s="10"/>
    </row>
    <row r="72" spans="1:3" ht="28.8" x14ac:dyDescent="0.3">
      <c r="A72" s="8" t="s">
        <v>127</v>
      </c>
      <c r="B72" s="1">
        <v>2023</v>
      </c>
      <c r="C72" s="10"/>
    </row>
    <row r="73" spans="1:3" ht="28.8" x14ac:dyDescent="0.3">
      <c r="A73" s="8" t="s">
        <v>127</v>
      </c>
      <c r="B73" s="1">
        <v>2024</v>
      </c>
      <c r="C73" s="10"/>
    </row>
    <row r="74" spans="1:3" ht="28.8" x14ac:dyDescent="0.3">
      <c r="A74" s="8" t="s">
        <v>127</v>
      </c>
      <c r="B74" s="1">
        <v>2025</v>
      </c>
      <c r="C74" s="10"/>
    </row>
    <row r="75" spans="1:3" ht="28.8" x14ac:dyDescent="0.3">
      <c r="A75" s="8" t="s">
        <v>127</v>
      </c>
      <c r="B75" s="1">
        <v>2026</v>
      </c>
      <c r="C75" s="10">
        <v>2.06</v>
      </c>
    </row>
    <row r="76" spans="1:3" ht="28.8" x14ac:dyDescent="0.3">
      <c r="A76" s="8" t="s">
        <v>127</v>
      </c>
      <c r="B76" s="1">
        <v>2027</v>
      </c>
      <c r="C76" s="10">
        <v>2.06</v>
      </c>
    </row>
    <row r="77" spans="1:3" ht="28.8" x14ac:dyDescent="0.3">
      <c r="A77" s="8" t="s">
        <v>127</v>
      </c>
      <c r="B77" s="1">
        <v>2028</v>
      </c>
      <c r="C77" s="10">
        <v>2.06</v>
      </c>
    </row>
    <row r="78" spans="1:3" ht="28.8" x14ac:dyDescent="0.3">
      <c r="A78" s="8" t="s">
        <v>127</v>
      </c>
      <c r="B78" s="1">
        <v>2029</v>
      </c>
      <c r="C78" s="10">
        <v>2.06</v>
      </c>
    </row>
    <row r="79" spans="1:3" ht="28.8" x14ac:dyDescent="0.3">
      <c r="A79" s="8" t="s">
        <v>127</v>
      </c>
      <c r="B79" s="1">
        <v>2030</v>
      </c>
      <c r="C79" s="10">
        <v>2.06</v>
      </c>
    </row>
    <row r="80" spans="1:3" ht="28.8" x14ac:dyDescent="0.3">
      <c r="A80" s="8" t="s">
        <v>127</v>
      </c>
      <c r="B80" s="1">
        <v>2031</v>
      </c>
      <c r="C80" s="10">
        <v>2.06</v>
      </c>
    </row>
    <row r="81" spans="1:3" ht="28.8" x14ac:dyDescent="0.3">
      <c r="A81" s="8" t="s">
        <v>127</v>
      </c>
      <c r="B81" s="1">
        <v>2032</v>
      </c>
      <c r="C81" s="10">
        <v>2.06</v>
      </c>
    </row>
    <row r="82" spans="1:3" ht="28.8" x14ac:dyDescent="0.3">
      <c r="A82" s="8" t="s">
        <v>127</v>
      </c>
      <c r="B82" s="1">
        <v>2033</v>
      </c>
      <c r="C82" s="10">
        <v>2.06</v>
      </c>
    </row>
    <row r="83" spans="1:3" ht="28.8" x14ac:dyDescent="0.3">
      <c r="A83" s="8" t="s">
        <v>127</v>
      </c>
      <c r="B83" s="1">
        <v>2034</v>
      </c>
      <c r="C83" s="10">
        <v>2.06</v>
      </c>
    </row>
    <row r="84" spans="1:3" ht="28.8" x14ac:dyDescent="0.3">
      <c r="A84" s="8" t="s">
        <v>127</v>
      </c>
      <c r="B84" s="1">
        <v>2035</v>
      </c>
      <c r="C84" s="10">
        <v>2.06</v>
      </c>
    </row>
  </sheetData>
  <phoneticPr fontId="87" type="noConversion"/>
  <pageMargins left="0.7" right="0.7" top="0.75" bottom="0.75" header="0.3" footer="0.3"/>
  <pageSetup orientation="portrait" r:id="rId1"/>
  <headerFooter>
    <oddHeader>&amp;L&amp;"Calibri"&amp;10&amp;K000000Classified as 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C12"/>
  <sheetViews>
    <sheetView workbookViewId="0">
      <selection activeCell="C13" sqref="C13"/>
    </sheetView>
  </sheetViews>
  <sheetFormatPr defaultColWidth="8.77734375" defaultRowHeight="14.4" x14ac:dyDescent="0.3"/>
  <sheetData>
    <row r="1" spans="1:3" x14ac:dyDescent="0.3">
      <c r="A1" t="s">
        <v>110</v>
      </c>
      <c r="B1" t="s">
        <v>111</v>
      </c>
      <c r="C1" t="s">
        <v>112</v>
      </c>
    </row>
    <row r="2" spans="1:3" x14ac:dyDescent="0.3">
      <c r="A2">
        <v>2.2000000000000002</v>
      </c>
      <c r="B2" s="11" t="s">
        <v>113</v>
      </c>
      <c r="C2" t="s">
        <v>114</v>
      </c>
    </row>
    <row r="3" spans="1:3" x14ac:dyDescent="0.3">
      <c r="A3">
        <v>2.2999999999999998</v>
      </c>
      <c r="B3" t="s">
        <v>115</v>
      </c>
      <c r="C3" t="s">
        <v>116</v>
      </c>
    </row>
    <row r="4" spans="1:3" x14ac:dyDescent="0.3">
      <c r="A4">
        <v>2.2999999999999998</v>
      </c>
      <c r="B4" t="s">
        <v>117</v>
      </c>
      <c r="C4" t="s">
        <v>118</v>
      </c>
    </row>
    <row r="5" spans="1:3" x14ac:dyDescent="0.3">
      <c r="A5">
        <v>3.1</v>
      </c>
      <c r="B5" t="s">
        <v>119</v>
      </c>
      <c r="C5" t="s">
        <v>120</v>
      </c>
    </row>
    <row r="6" spans="1:3" x14ac:dyDescent="0.3">
      <c r="C6" t="s">
        <v>121</v>
      </c>
    </row>
    <row r="7" spans="1:3" x14ac:dyDescent="0.3">
      <c r="C7" t="s">
        <v>124</v>
      </c>
    </row>
    <row r="8" spans="1:3" x14ac:dyDescent="0.3">
      <c r="C8" t="s">
        <v>125</v>
      </c>
    </row>
    <row r="9" spans="1:3" x14ac:dyDescent="0.3">
      <c r="C9" t="s">
        <v>145</v>
      </c>
    </row>
    <row r="10" spans="1:3" x14ac:dyDescent="0.3">
      <c r="C10" t="s">
        <v>146</v>
      </c>
    </row>
    <row r="11" spans="1:3" x14ac:dyDescent="0.3">
      <c r="C11" t="s">
        <v>151</v>
      </c>
    </row>
    <row r="12" spans="1:3" x14ac:dyDescent="0.3">
      <c r="A12">
        <v>3.2</v>
      </c>
      <c r="B12" s="330">
        <v>46174</v>
      </c>
      <c r="C12" t="s">
        <v>155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READ ME FIRST</vt:lpstr>
      <vt:lpstr>Inputs</vt:lpstr>
      <vt:lpstr>Dashboard</vt:lpstr>
      <vt:lpstr>Results</vt:lpstr>
      <vt:lpstr>Vaccine options</vt:lpstr>
      <vt:lpstr>Vaccine prices</vt:lpstr>
      <vt:lpstr>Version</vt:lpstr>
      <vt:lpstr>Dashboard!Print_Area</vt:lpstr>
      <vt:lpstr>Inputs!Print_Area</vt:lpstr>
      <vt:lpstr>Results!Print_Area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Allison Clifford</cp:lastModifiedBy>
  <cp:revision/>
  <dcterms:created xsi:type="dcterms:W3CDTF">2018-05-24T13:25:57Z</dcterms:created>
  <dcterms:modified xsi:type="dcterms:W3CDTF">2026-06-08T18:07:53Z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