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mc:AlternateContent xmlns:mc="http://schemas.openxmlformats.org/markup-compatibility/2006">
    <mc:Choice Requires="x15">
      <x15ac:absPath xmlns:x15ac="http://schemas.microsoft.com/office/spreadsheetml/2010/11/ac" url="https://api.box.com/wopi/files/2055313479866/WOPIServiceId_TP_BOX_2/WOPIUserId_-/"/>
    </mc:Choice>
  </mc:AlternateContent>
  <xr:revisionPtr revIDLastSave="263" documentId="13_ncr:1_{0C01728D-1755-4C4E-B59D-A140C1F6FBBA}" xr6:coauthVersionLast="47" xr6:coauthVersionMax="47" xr10:uidLastSave="{8F22CE27-0E4B-478E-BF0E-0AF5519D142B}"/>
  <workbookProtection workbookAlgorithmName="SHA-512" workbookHashValue="n0haHjp5YGRywzXvdfWvpGanQ6sloh0Z86zXV+92VBIHlC2vFHFq3WuCEg6CfBoQ2fK2Vc8LM9j931vF1vU4Ig==" workbookSaltValue="uIHDCHg0AoybXnv9WCbBlg==" workbookSpinCount="100000" lockStructure="1"/>
  <bookViews>
    <workbookView xWindow="28680" yWindow="-4290" windowWidth="29040" windowHeight="15720" xr2:uid="{00000000-000D-0000-FFFF-FFFF00000000}"/>
  </bookViews>
  <sheets>
    <sheet name="READ ME FIRST" sheetId="15" r:id="rId1"/>
    <sheet name="Inputs" sheetId="16" r:id="rId2"/>
    <sheet name="Dashboard" sheetId="17" r:id="rId3"/>
    <sheet name="Results" sheetId="18" r:id="rId4"/>
    <sheet name="Vaccine options" sheetId="3" state="hidden" r:id="rId5"/>
    <sheet name="Vaccine prices" sheetId="13" state="hidden" r:id="rId6"/>
    <sheet name="Version" sheetId="14" state="hidden" r:id="rId7"/>
  </sheets>
  <definedNames>
    <definedName name="_xlnm.Print_Area" localSheetId="2">Dashboard!$B$3:$M$37</definedName>
    <definedName name="_xlnm.Print_Area" localSheetId="1">Inputs!$C$3:$M$80</definedName>
    <definedName name="_xlnm.Print_Area" localSheetId="0">'READ ME FIRST'!$A$1:$P$59</definedName>
    <definedName name="_xlnm.Print_Area" localSheetId="3">Results!$C$3:$M$74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23" i="3" l="1" a="1"/>
  <c r="F23" i="3" s="1"/>
  <c r="E23" i="16"/>
  <c r="G36" i="16" l="1" a="1"/>
  <c r="G36" i="16" s="1"/>
  <c r="G37" i="16" a="1"/>
  <c r="G37" i="16" s="1"/>
  <c r="G38" i="16" a="1"/>
  <c r="G38" i="16" s="1"/>
  <c r="G39" i="16" a="1"/>
  <c r="G39" i="16" s="1"/>
  <c r="G40" i="16" a="1"/>
  <c r="G40" i="16" s="1"/>
  <c r="F24" i="3"/>
  <c r="F25" i="3" s="1"/>
  <c r="F26" i="3" s="1"/>
  <c r="F27" i="3" s="1"/>
  <c r="F28" i="3" s="1"/>
  <c r="F29" i="3" s="1"/>
  <c r="F30" i="3" s="1"/>
  <c r="F31" i="3" s="1"/>
  <c r="F15" i="3"/>
  <c r="E27" i="3"/>
  <c r="E25" i="3"/>
  <c r="E24" i="3"/>
  <c r="K65" i="16"/>
  <c r="I65" i="16"/>
  <c r="G65" i="16"/>
  <c r="E65" i="16"/>
  <c r="E33" i="16"/>
  <c r="D72" i="18"/>
  <c r="D71" i="18"/>
  <c r="D70" i="18"/>
  <c r="D69" i="18"/>
  <c r="D68" i="18"/>
  <c r="D63" i="18"/>
  <c r="D62" i="18"/>
  <c r="D61" i="18"/>
  <c r="D60" i="18"/>
  <c r="D59" i="18"/>
  <c r="I53" i="16"/>
  <c r="G53" i="16"/>
  <c r="I52" i="16"/>
  <c r="G52" i="16"/>
  <c r="K52" i="16"/>
  <c r="E52" i="16"/>
  <c r="G50" i="16"/>
  <c r="K50" i="16"/>
  <c r="I50" i="16"/>
  <c r="E50" i="16"/>
  <c r="K49" i="16"/>
  <c r="I49" i="16"/>
  <c r="G49" i="16"/>
  <c r="E49" i="16"/>
  <c r="K33" i="16"/>
  <c r="I33" i="16"/>
  <c r="G33" i="16"/>
  <c r="F6" i="18"/>
  <c r="F8" i="17" s="1"/>
  <c r="H6" i="18"/>
  <c r="H8" i="17" s="1"/>
  <c r="J6" i="18"/>
  <c r="J8" i="17" s="1"/>
  <c r="L6" i="18"/>
  <c r="L8" i="17" s="1"/>
  <c r="D11" i="18"/>
  <c r="D12" i="18"/>
  <c r="D13" i="18"/>
  <c r="D14" i="18"/>
  <c r="D15" i="18"/>
  <c r="D20" i="18"/>
  <c r="D21" i="18"/>
  <c r="D22" i="18"/>
  <c r="D23" i="18"/>
  <c r="D24" i="18"/>
  <c r="D28" i="18"/>
  <c r="D29" i="18"/>
  <c r="D30" i="18"/>
  <c r="D31" i="18"/>
  <c r="D32" i="18"/>
  <c r="D39" i="18"/>
  <c r="D40" i="18"/>
  <c r="D41" i="18"/>
  <c r="D42" i="18"/>
  <c r="D43" i="18"/>
  <c r="D48" i="18"/>
  <c r="D49" i="18"/>
  <c r="D50" i="18"/>
  <c r="D51" i="18"/>
  <c r="D52" i="18"/>
  <c r="D27" i="16"/>
  <c r="D40" i="16" s="1"/>
  <c r="K40" i="16" s="1" a="1"/>
  <c r="K40" i="16" s="1"/>
  <c r="D26" i="16"/>
  <c r="D39" i="16" s="1"/>
  <c r="D25" i="16"/>
  <c r="D38" i="16" s="1"/>
  <c r="K38" i="16" s="1" a="1"/>
  <c r="K38" i="16" s="1"/>
  <c r="D24" i="16"/>
  <c r="D37" i="16" s="1"/>
  <c r="I37" i="16" s="1" a="1"/>
  <c r="I37" i="16" s="1"/>
  <c r="D23" i="16"/>
  <c r="D36" i="16" s="1"/>
  <c r="E36" i="16" s="1" a="1"/>
  <c r="E36" i="16" s="1"/>
  <c r="E53" i="16"/>
  <c r="K53" i="16"/>
  <c r="E43" i="16" l="1"/>
  <c r="E23" i="3"/>
  <c r="E26" i="3"/>
  <c r="I39" i="16" a="1"/>
  <c r="I39" i="16" s="1"/>
  <c r="I40" i="16" a="1"/>
  <c r="I40" i="16" s="1"/>
  <c r="E37" i="16" a="1"/>
  <c r="E37" i="16" s="1"/>
  <c r="E38" i="16" a="1"/>
  <c r="E38" i="16" s="1"/>
  <c r="E39" i="16" a="1"/>
  <c r="E39" i="16" s="1"/>
  <c r="E40" i="16" a="1"/>
  <c r="E40" i="16" s="1"/>
  <c r="I38" i="16" a="1"/>
  <c r="I38" i="16" s="1"/>
  <c r="K37" i="16" a="1"/>
  <c r="K37" i="16" s="1"/>
  <c r="F11" i="18"/>
  <c r="F20" i="18" s="1"/>
  <c r="F59" i="18" s="1"/>
  <c r="K36" i="16" a="1"/>
  <c r="K36" i="16" s="1"/>
  <c r="K39" i="16" a="1"/>
  <c r="K39" i="16" s="1"/>
  <c r="I36" i="16" a="1"/>
  <c r="I36" i="16" s="1"/>
  <c r="L11" i="18"/>
  <c r="L15" i="18"/>
  <c r="L13" i="18"/>
  <c r="D46" i="16"/>
  <c r="D43" i="16"/>
  <c r="D44" i="16"/>
  <c r="D45" i="16"/>
  <c r="D47" i="16"/>
  <c r="J13" i="18"/>
  <c r="H13" i="18"/>
  <c r="F12" i="18"/>
  <c r="J11" i="18"/>
  <c r="J20" i="18" s="1"/>
  <c r="J15" i="18"/>
  <c r="J14" i="18"/>
  <c r="J12" i="18"/>
  <c r="H12" i="18"/>
  <c r="H11" i="18"/>
  <c r="H20" i="18" s="1"/>
  <c r="H15" i="18"/>
  <c r="F14" i="18"/>
  <c r="F15" i="18"/>
  <c r="F13" i="18"/>
  <c r="L12" i="18"/>
  <c r="L14" i="18"/>
  <c r="H14" i="18"/>
  <c r="G43" i="16" l="1"/>
  <c r="H39" i="18" s="1"/>
  <c r="H48" i="18" s="1"/>
  <c r="K43" i="16"/>
  <c r="I43" i="16"/>
  <c r="J39" i="18" s="1"/>
  <c r="J48" i="18" s="1"/>
  <c r="F28" i="18"/>
  <c r="F68" i="18" s="1"/>
  <c r="F39" i="18"/>
  <c r="F48" i="18" s="1"/>
  <c r="L21" i="18"/>
  <c r="L60" i="18" s="1"/>
  <c r="L22" i="18"/>
  <c r="L61" i="18" s="1"/>
  <c r="L24" i="18"/>
  <c r="L63" i="18" s="1"/>
  <c r="L20" i="18"/>
  <c r="L59" i="18" s="1"/>
  <c r="L10" i="18"/>
  <c r="L23" i="18"/>
  <c r="L62" i="18" s="1"/>
  <c r="H59" i="18"/>
  <c r="J59" i="18"/>
  <c r="J10" i="18"/>
  <c r="J21" i="18"/>
  <c r="H23" i="18"/>
  <c r="J24" i="18"/>
  <c r="J23" i="18"/>
  <c r="F24" i="18"/>
  <c r="J22" i="18"/>
  <c r="F23" i="18"/>
  <c r="J28" i="18"/>
  <c r="F10" i="18"/>
  <c r="H28" i="18"/>
  <c r="H21" i="18"/>
  <c r="H60" i="18" s="1"/>
  <c r="H22" i="18"/>
  <c r="F22" i="18"/>
  <c r="F61" i="18" s="1"/>
  <c r="F21" i="18"/>
  <c r="H10" i="18"/>
  <c r="H24" i="18"/>
  <c r="H63" i="18" s="1"/>
  <c r="L39" i="18" l="1"/>
  <c r="L48" i="18" s="1"/>
  <c r="H68" i="18"/>
  <c r="H69" i="18"/>
  <c r="F29" i="18"/>
  <c r="F60" i="18"/>
  <c r="J30" i="18"/>
  <c r="J61" i="18"/>
  <c r="J29" i="18"/>
  <c r="J60" i="18"/>
  <c r="H61" i="18"/>
  <c r="F63" i="18"/>
  <c r="J31" i="18"/>
  <c r="J62" i="18"/>
  <c r="F62" i="18"/>
  <c r="J68" i="18"/>
  <c r="L19" i="18"/>
  <c r="L10" i="17" s="1"/>
  <c r="L11" i="17" s="1"/>
  <c r="J32" i="18"/>
  <c r="J63" i="18"/>
  <c r="L28" i="18"/>
  <c r="L68" i="18" s="1"/>
  <c r="H62" i="18"/>
  <c r="L58" i="18"/>
  <c r="L29" i="18"/>
  <c r="L69" i="18" s="1"/>
  <c r="J19" i="18"/>
  <c r="J10" i="17" s="1"/>
  <c r="J11" i="17" s="1"/>
  <c r="F19" i="18"/>
  <c r="F10" i="17" s="1"/>
  <c r="F11" i="17" s="1"/>
  <c r="F31" i="18"/>
  <c r="H31" i="18"/>
  <c r="F32" i="18"/>
  <c r="H30" i="18"/>
  <c r="H29" i="18"/>
  <c r="F30" i="18"/>
  <c r="F70" i="18" s="1"/>
  <c r="L31" i="18"/>
  <c r="L71" i="18" s="1"/>
  <c r="H32" i="18"/>
  <c r="H72" i="18" s="1"/>
  <c r="L32" i="18"/>
  <c r="L72" i="18" s="1"/>
  <c r="H19" i="18"/>
  <c r="H10" i="17" s="1"/>
  <c r="H11" i="17" s="1"/>
  <c r="L30" i="18"/>
  <c r="L70" i="18" s="1"/>
  <c r="J13" i="17" l="1"/>
  <c r="J71" i="18"/>
  <c r="F69" i="18"/>
  <c r="J72" i="18"/>
  <c r="J69" i="18"/>
  <c r="F72" i="18"/>
  <c r="J70" i="18"/>
  <c r="H71" i="18"/>
  <c r="F71" i="18"/>
  <c r="H70" i="18"/>
  <c r="L67" i="18"/>
  <c r="F13" i="17"/>
  <c r="H13" i="17"/>
  <c r="L13" i="17"/>
  <c r="J27" i="17"/>
  <c r="J28" i="17" s="1"/>
  <c r="H27" i="17"/>
  <c r="H28" i="17" s="1"/>
  <c r="H30" i="17"/>
  <c r="J30" i="17"/>
  <c r="F30" i="17"/>
  <c r="F27" i="17"/>
  <c r="F28" i="17" s="1"/>
  <c r="K13" i="17" l="1"/>
  <c r="I13" i="17"/>
  <c r="M13" i="17"/>
  <c r="J58" i="18"/>
  <c r="J67" i="18"/>
  <c r="H58" i="18"/>
  <c r="H67" i="18"/>
  <c r="F58" i="18"/>
  <c r="F67" i="18"/>
  <c r="E24" i="16" l="1"/>
  <c r="G44" i="16" l="1"/>
  <c r="H40" i="18" s="1"/>
  <c r="K44" i="16"/>
  <c r="L40" i="18" s="1"/>
  <c r="E44" i="16"/>
  <c r="F40" i="18" s="1"/>
  <c r="F49" i="18" s="1"/>
  <c r="I44" i="16"/>
  <c r="J40" i="18" s="1"/>
  <c r="E25" i="16"/>
  <c r="E26" i="16" s="1"/>
  <c r="K46" i="16" l="1"/>
  <c r="L42" i="18" s="1"/>
  <c r="L51" i="18" s="1"/>
  <c r="E46" i="16"/>
  <c r="F42" i="18" s="1"/>
  <c r="F51" i="18" s="1"/>
  <c r="I46" i="16"/>
  <c r="J42" i="18" s="1"/>
  <c r="J51" i="18" s="1"/>
  <c r="G46" i="16"/>
  <c r="H42" i="18" s="1"/>
  <c r="H51" i="18" s="1"/>
  <c r="G45" i="16"/>
  <c r="H41" i="18" s="1"/>
  <c r="H50" i="18" s="1"/>
  <c r="K45" i="16"/>
  <c r="L41" i="18" s="1"/>
  <c r="L50" i="18" s="1"/>
  <c r="I45" i="16"/>
  <c r="J41" i="18" s="1"/>
  <c r="J50" i="18" s="1"/>
  <c r="E45" i="16"/>
  <c r="F41" i="18" s="1"/>
  <c r="F50" i="18" s="1"/>
  <c r="J49" i="18"/>
  <c r="L49" i="18"/>
  <c r="H49" i="18"/>
  <c r="E27" i="16"/>
  <c r="K47" i="16" l="1"/>
  <c r="L43" i="18" s="1"/>
  <c r="L52" i="18" s="1"/>
  <c r="L47" i="18" s="1"/>
  <c r="L18" i="17" s="1"/>
  <c r="L19" i="17" s="1"/>
  <c r="I47" i="16"/>
  <c r="J43" i="18" s="1"/>
  <c r="J52" i="18" s="1"/>
  <c r="J47" i="18" s="1"/>
  <c r="J18" i="17" s="1"/>
  <c r="J19" i="17" s="1"/>
  <c r="E47" i="16"/>
  <c r="F43" i="18" s="1"/>
  <c r="G47" i="16"/>
  <c r="H43" i="18" s="1"/>
  <c r="H52" i="18" s="1"/>
  <c r="H47" i="18" s="1"/>
  <c r="H18" i="17" s="1"/>
  <c r="H19" i="17" s="1"/>
  <c r="F52" i="18" l="1"/>
  <c r="F47" i="18" s="1"/>
  <c r="F38" i="18"/>
  <c r="H38" i="18"/>
  <c r="H15" i="17" s="1"/>
  <c r="H16" i="17" s="1"/>
  <c r="L38" i="18"/>
  <c r="L15" i="17" s="1"/>
  <c r="L16" i="17" s="1"/>
  <c r="J38" i="18"/>
  <c r="J15" i="17" s="1"/>
  <c r="J16" i="17" s="1"/>
  <c r="H32" i="17" l="1"/>
  <c r="H33" i="17" s="1"/>
  <c r="J32" i="17"/>
  <c r="J33" i="17" s="1"/>
  <c r="F15" i="17"/>
  <c r="M15" i="17" s="1"/>
  <c r="F32" i="17"/>
  <c r="F33" i="17" s="1"/>
  <c r="F35" i="17"/>
  <c r="F36" i="17" s="1"/>
  <c r="H35" i="17"/>
  <c r="H36" i="17" s="1"/>
  <c r="J35" i="17"/>
  <c r="J36" i="17" s="1"/>
  <c r="F18" i="17"/>
  <c r="K15" i="17" l="1"/>
  <c r="F16" i="17"/>
  <c r="K16" i="17" s="1"/>
  <c r="I15" i="17"/>
  <c r="I18" i="17"/>
  <c r="M18" i="17"/>
  <c r="F19" i="17"/>
  <c r="K18" i="17"/>
  <c r="I16" i="17" l="1"/>
  <c r="M16" i="17"/>
  <c r="I19" i="17"/>
  <c r="M19" i="17"/>
  <c r="K19" i="1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<sst xmlns="http://schemas.openxmlformats.org/spreadsheetml/2006/main" count="412" uniqueCount="170">
  <si>
    <t>Target population</t>
  </si>
  <si>
    <t>Wastage rate</t>
  </si>
  <si>
    <t>Price per dose</t>
  </si>
  <si>
    <t>Wastage</t>
  </si>
  <si>
    <t>%</t>
  </si>
  <si>
    <t>Start year</t>
  </si>
  <si>
    <t>Vaccine and presentation</t>
  </si>
  <si>
    <t>children per year</t>
  </si>
  <si>
    <t>Annual population growth rate</t>
  </si>
  <si>
    <t>Doses in schedule</t>
  </si>
  <si>
    <t>Number of doses delivered</t>
  </si>
  <si>
    <t>Wastage factor</t>
  </si>
  <si>
    <t>n/a</t>
  </si>
  <si>
    <t>Gavi transition phase</t>
  </si>
  <si>
    <t>Safety box/bag price</t>
  </si>
  <si>
    <t>Safety box/bag volume</t>
  </si>
  <si>
    <t>OPTION 2</t>
  </si>
  <si>
    <t>OPTION 3</t>
  </si>
  <si>
    <t>Incremental cost of delivery per dose</t>
  </si>
  <si>
    <t>Initial self-financing phase</t>
  </si>
  <si>
    <t>Cold chain volume (cm3) per dose</t>
  </si>
  <si>
    <t>OPTION 4</t>
  </si>
  <si>
    <t>annual coverage</t>
  </si>
  <si>
    <t>Number of doses in schedule</t>
  </si>
  <si>
    <t>Expected coverage dose 1</t>
  </si>
  <si>
    <t>Expected coverage dose 2</t>
  </si>
  <si>
    <t>Expected coverage dose 3</t>
  </si>
  <si>
    <t>User guide</t>
  </si>
  <si>
    <t>Gavi detailed product profiles</t>
  </si>
  <si>
    <t>UNICEF website - handling fees</t>
  </si>
  <si>
    <t>UNICEF website - pricing data</t>
  </si>
  <si>
    <t>Vaccination program costs</t>
  </si>
  <si>
    <t>Total
for 5 years</t>
  </si>
  <si>
    <t>IDCC</t>
  </si>
  <si>
    <t>Million doses required</t>
  </si>
  <si>
    <t>CURRENT or PREFERRED OPTION</t>
  </si>
  <si>
    <t>Disclaimer</t>
  </si>
  <si>
    <t>ROTAVAC 
10 doses/vial, frozen</t>
  </si>
  <si>
    <t>White cells include information that is fixed and cannot be changed by the user.</t>
  </si>
  <si>
    <t>Changed formula in Model inputs row 31 to 35 to account for ISF Co financing = 0.4/3 for 3 dose vaccines</t>
  </si>
  <si>
    <t>Version</t>
  </si>
  <si>
    <t xml:space="preserve">Date </t>
  </si>
  <si>
    <t>Comment</t>
  </si>
  <si>
    <t>Aug 17 2022</t>
  </si>
  <si>
    <t>Feb 2 2022</t>
  </si>
  <si>
    <t>Made changes in wastage rates and disclaimers based on updated Gavi RVV DPP slidedeck</t>
  </si>
  <si>
    <t>Feb 2 2023</t>
  </si>
  <si>
    <t>Adjustments made to ROTARIX price and wastage rate update for option 2</t>
  </si>
  <si>
    <t>Calculation formulas*</t>
  </si>
  <si>
    <t>Results</t>
  </si>
  <si>
    <t>Dashboard</t>
  </si>
  <si>
    <t>This option allows for analyzing the cost of programs involving multiple products used at once in the country by adjusting the proportion for a number of options. For countries using or anticipating using more than one product, the calculator offers the possibility to define three scenarios (A, B, and C) with different combinations of proportion of vaccine use. Each scenario should involve a combination of two or more products with a total proportion that equals 100%.</t>
  </si>
  <si>
    <t>Optional scenario analysis for multi-vaccine use</t>
  </si>
  <si>
    <t>Immunization Delivery Cost Catalogue</t>
  </si>
  <si>
    <t>Resources</t>
  </si>
  <si>
    <t>Vaccination program costs include vaccine costs and cost of delivery. Cost of delivery should capture additional expenditures required to administer vaccines, other than the direct cost of vaccine procurement and commodities. This encompasses expenditures such as per diem, travel allowances, cold chain equipment, vehicles, transport, and fuel, etc. Any cost already incurred by the immunization system (shared costs) can be excluded. For example, the cost of transporting rotavirus vaccine should not be included if this is part of the same transport used to deliver other vaccines. You can separately enter introduction or switch costs (lump sum in the first year) and/or a cost per dose delivered (applied every year).</t>
  </si>
  <si>
    <t>Vaccine program costs</t>
  </si>
  <si>
    <t>Supplies cost</t>
  </si>
  <si>
    <t>Handling fees</t>
  </si>
  <si>
    <t>Rotavirus vaccine options and cost</t>
  </si>
  <si>
    <t>Enter data related to your immunization program: annual target population, annual population growth rate, and expected coverage for each dose in the vaccine schedule.</t>
  </si>
  <si>
    <t>Immunization program</t>
  </si>
  <si>
    <t>Green boxes require user inputs. Example data are included in the model, but this information should be revised to reflect the local immunization program and inputs.</t>
  </si>
  <si>
    <t>Purple boxes indicate a dropdown menu from which the user can select a pre-specified choice. Click on the box and a dropdown arrow will appear. Clicking on the arrow will allow the user to select from a menu of options.</t>
  </si>
  <si>
    <t>Inputs</t>
  </si>
  <si>
    <t>Overview</t>
  </si>
  <si>
    <r>
      <t xml:space="preserve">For questions or support, contact PATH's Health Economics &amp; Outcomes Research team: </t>
    </r>
    <r>
      <rPr>
        <u/>
        <sz val="12"/>
        <color rgb="FF000000"/>
        <rFont val="Arial"/>
        <family val="2"/>
      </rPr>
      <t>HEOR@path.org</t>
    </r>
  </si>
  <si>
    <t>Co-financing</t>
  </si>
  <si>
    <t>* Reminder: Each scenario must involve a combination of two or more products with a total proportion that equals 100%.</t>
  </si>
  <si>
    <t>Proportion of vaccine option in use in the program (%)*</t>
  </si>
  <si>
    <t>SCENARIO C</t>
  </si>
  <si>
    <t>SCENARIO B</t>
  </si>
  <si>
    <t>SCENARIO A</t>
  </si>
  <si>
    <t>Click on the + symbol to the left to display</t>
  </si>
  <si>
    <t>One-time introduction or switch costs
(lump sum or budget in first year)</t>
  </si>
  <si>
    <t>Buffer rate</t>
  </si>
  <si>
    <t>International transportation
(% of vaccine price)</t>
  </si>
  <si>
    <t>International handling
(% of vaccine price)</t>
  </si>
  <si>
    <t>Indicative wastage rate</t>
  </si>
  <si>
    <r>
      <t>Cold chain volume per dose
(in cm</t>
    </r>
    <r>
      <rPr>
        <b/>
        <vertAlign val="superscript"/>
        <sz val="12"/>
        <color theme="1"/>
        <rFont val="Arial"/>
        <family val="2"/>
      </rPr>
      <t>3</t>
    </r>
    <r>
      <rPr>
        <b/>
        <sz val="12"/>
        <color theme="1"/>
        <rFont val="Arial"/>
        <family val="2"/>
      </rPr>
      <t>)</t>
    </r>
  </si>
  <si>
    <t>Select vaccine / presentation &gt;&gt;&gt;</t>
  </si>
  <si>
    <t>annual coverage  
(will only be used for vaccines with a three-dose schedule)</t>
  </si>
  <si>
    <t>Expected introduction or switch year</t>
  </si>
  <si>
    <t>Average per year</t>
  </si>
  <si>
    <t>5 years</t>
  </si>
  <si>
    <t>Total vaccine cost
(in million US$)</t>
  </si>
  <si>
    <t xml:space="preserve">Click on the + symbol to the left to display </t>
  </si>
  <si>
    <t>Dashboard - Optional scenario analysis</t>
  </si>
  <si>
    <t>Percentages indicate the increase or decrease in cold chain volume or cost compared to the current or preferred option.</t>
  </si>
  <si>
    <r>
      <t>Cold chain volume
(in million cm</t>
    </r>
    <r>
      <rPr>
        <b/>
        <vertAlign val="superscript"/>
        <sz val="12"/>
        <color theme="1"/>
        <rFont val="Arial"/>
        <family val="2"/>
      </rPr>
      <t>3</t>
    </r>
    <r>
      <rPr>
        <b/>
        <sz val="12"/>
        <color theme="1"/>
        <rFont val="Arial"/>
        <family val="2"/>
      </rPr>
      <t>)</t>
    </r>
  </si>
  <si>
    <t>Dashboard - Main analysis</t>
  </si>
  <si>
    <r>
      <rPr>
        <b/>
        <sz val="20"/>
        <color theme="0"/>
        <rFont val="Arial"/>
        <family val="2"/>
      </rPr>
      <t>Cold chain volume required</t>
    </r>
    <r>
      <rPr>
        <b/>
        <sz val="12"/>
        <color theme="0"/>
        <rFont val="Arial"/>
        <family val="2"/>
      </rPr>
      <t xml:space="preserve">
</t>
    </r>
    <r>
      <rPr>
        <i/>
        <sz val="10"/>
        <color theme="0"/>
        <rFont val="Arial"/>
        <family val="2"/>
      </rPr>
      <t>in cm</t>
    </r>
    <r>
      <rPr>
        <i/>
        <vertAlign val="superscript"/>
        <sz val="10"/>
        <color theme="0"/>
        <rFont val="Arial"/>
        <family val="2"/>
      </rPr>
      <t>3</t>
    </r>
  </si>
  <si>
    <r>
      <rPr>
        <b/>
        <sz val="20"/>
        <color theme="0"/>
        <rFont val="Arial"/>
        <family val="2"/>
      </rPr>
      <t>Number of doses required</t>
    </r>
    <r>
      <rPr>
        <b/>
        <sz val="12"/>
        <color theme="0"/>
        <rFont val="Arial"/>
        <family val="2"/>
      </rPr>
      <t xml:space="preserve">
</t>
    </r>
    <r>
      <rPr>
        <i/>
        <sz val="10"/>
        <color theme="0"/>
        <rFont val="Arial"/>
        <family val="2"/>
      </rPr>
      <t>includes buffer doses and doses wasted</t>
    </r>
    <r>
      <rPr>
        <b/>
        <sz val="12"/>
        <color theme="0"/>
        <rFont val="Arial"/>
        <family val="2"/>
      </rPr>
      <t xml:space="preserve"> </t>
    </r>
  </si>
  <si>
    <t>Results - Main analysis</t>
  </si>
  <si>
    <t>Co-financing per dose</t>
  </si>
  <si>
    <t>Total vaccine cost to country
(in million US$)</t>
  </si>
  <si>
    <t>Total vaccination program cost to country
(in million US$)</t>
  </si>
  <si>
    <r>
      <rPr>
        <b/>
        <sz val="20"/>
        <color theme="0"/>
        <rFont val="Arial"/>
        <family val="2"/>
      </rPr>
      <t>Vaccine cost to country</t>
    </r>
    <r>
      <rPr>
        <b/>
        <sz val="12"/>
        <color theme="0"/>
        <rFont val="Arial"/>
        <family val="2"/>
      </rPr>
      <t xml:space="preserve">
</t>
    </r>
    <r>
      <rPr>
        <i/>
        <sz val="10"/>
        <color theme="0"/>
        <rFont val="Arial"/>
        <family val="2"/>
      </rPr>
      <t>Cost of vaccines and supplies procurement</t>
    </r>
  </si>
  <si>
    <r>
      <rPr>
        <b/>
        <sz val="20"/>
        <color theme="0"/>
        <rFont val="Arial"/>
        <family val="2"/>
      </rPr>
      <t>Vaccination program cost to country</t>
    </r>
    <r>
      <rPr>
        <b/>
        <sz val="12"/>
        <color theme="0"/>
        <rFont val="Arial"/>
        <family val="2"/>
      </rPr>
      <t xml:space="preserve">
</t>
    </r>
    <r>
      <rPr>
        <i/>
        <sz val="10"/>
        <color theme="0"/>
        <rFont val="Arial"/>
        <family val="2"/>
      </rPr>
      <t>Vaccine cost + cost of delivery</t>
    </r>
  </si>
  <si>
    <r>
      <rPr>
        <b/>
        <sz val="20"/>
        <color theme="0"/>
        <rFont val="Arial"/>
        <family val="2"/>
      </rPr>
      <t>Vaccine cost to country + Gavi</t>
    </r>
    <r>
      <rPr>
        <b/>
        <sz val="12"/>
        <color theme="0"/>
        <rFont val="Arial"/>
        <family val="2"/>
      </rPr>
      <t xml:space="preserve">
</t>
    </r>
    <r>
      <rPr>
        <i/>
        <sz val="10"/>
        <color theme="0"/>
        <rFont val="Arial"/>
        <family val="2"/>
      </rPr>
      <t>Cost of vaccines and supplies procurement</t>
    </r>
  </si>
  <si>
    <r>
      <rPr>
        <b/>
        <sz val="20"/>
        <color theme="0"/>
        <rFont val="Arial"/>
        <family val="2"/>
      </rPr>
      <t>Vaccination program cost to country + Gavi</t>
    </r>
    <r>
      <rPr>
        <b/>
        <sz val="12"/>
        <color theme="0"/>
        <rFont val="Arial"/>
        <family val="2"/>
      </rPr>
      <t xml:space="preserve">
</t>
    </r>
    <r>
      <rPr>
        <i/>
        <sz val="10"/>
        <color theme="0"/>
        <rFont val="Arial"/>
        <family val="2"/>
      </rPr>
      <t>Vaccine cost + cost of delivery</t>
    </r>
  </si>
  <si>
    <t>ROTAVAC 
5 doses/vial, frozen</t>
  </si>
  <si>
    <t>ROTAVAC 5D 
1 dose/vial, liquid</t>
  </si>
  <si>
    <t>ROTAVAC 5D 
5 doses/vial, liquid</t>
  </si>
  <si>
    <t>ROTASIIL-Liquid 
1 dose/plastic tube, liquid (strip of 5 tubes)</t>
  </si>
  <si>
    <t>ROTASIIL-Liquid 
2 doses/vial, liquid</t>
  </si>
  <si>
    <t>ROTARIX 
1 dose/plastic tube, liquid</t>
  </si>
  <si>
    <r>
      <t xml:space="preserve">ROTARIX 
1 dose/plastic tube, liquid
</t>
    </r>
    <r>
      <rPr>
        <sz val="8"/>
        <color theme="1"/>
        <rFont val="Calibri"/>
        <family val="2"/>
        <scheme val="minor"/>
      </rPr>
      <t>(multi-monodose of 5 single tubes connected by a bar)</t>
    </r>
  </si>
  <si>
    <t xml:space="preserve"> </t>
  </si>
  <si>
    <t>For Gavi-eligible countries</t>
  </si>
  <si>
    <t>► Select your vaccines of interest from the dropdown menu (option 1 to 4) 
► All default vaccine characteristics are from the Gavi's detailed product profiles, including price per dose, number of doses in the schedule, and indicative wastage rate.
► Annual co-financing amount per dose cannot be changed as these are the results of calculations based on the vaccine price and co-financing share provided earlier.
► Enter the expected wastage rate for each presentation and, where applicable, the expected cost of handling, international transportation, and supplies.
► Enter a buffer rate if applicable.</t>
  </si>
  <si>
    <t>If you selected "Other transition phase," please complete the country co-financing shares below.*</t>
  </si>
  <si>
    <r>
      <t>Country co-financing share</t>
    </r>
    <r>
      <rPr>
        <b/>
        <sz val="14"/>
        <color theme="1"/>
        <rFont val="Calibri"/>
        <family val="2"/>
        <scheme val="minor"/>
      </rPr>
      <t xml:space="preserve"> </t>
    </r>
  </si>
  <si>
    <t>ROTASIIL 
1 dose/vial, lyophilized</t>
  </si>
  <si>
    <t>ROTASIIL 
2 doses/vial, lyophilized</t>
  </si>
  <si>
    <t>ROTASIIL Thermo 
1 dose/vial, lyophilized (VVM + 250)</t>
  </si>
  <si>
    <t>ROTASIIL Thermo 
2 dose/vial, lyophilized (VVM + 250)</t>
  </si>
  <si>
    <t>Supply status</t>
  </si>
  <si>
    <r>
      <rPr>
        <b/>
        <sz val="11"/>
        <color theme="5"/>
        <rFont val="Arial"/>
        <family val="2"/>
      </rPr>
      <t>Rotavirus vaccine</t>
    </r>
    <r>
      <rPr>
        <sz val="11"/>
        <color theme="1"/>
        <rFont val="Arial"/>
        <family val="2"/>
      </rPr>
      <t xml:space="preserve"> cost calculator</t>
    </r>
    <r>
      <rPr>
        <sz val="11"/>
        <color rgb="FFAD0012"/>
        <rFont val="Arial"/>
        <family val="2"/>
      </rPr>
      <t xml:space="preserve"> </t>
    </r>
    <r>
      <rPr>
        <sz val="11"/>
        <color theme="5"/>
        <rFont val="Arial"/>
        <family val="2"/>
      </rPr>
      <t>for Gavi-eligible countries</t>
    </r>
  </si>
  <si>
    <r>
      <rPr>
        <b/>
        <sz val="36"/>
        <color theme="5"/>
        <rFont val="Arial"/>
        <family val="2"/>
      </rPr>
      <t>Rotavirus vaccine</t>
    </r>
    <r>
      <rPr>
        <b/>
        <sz val="36"/>
        <color rgb="FFAD0012"/>
        <rFont val="Arial"/>
        <family val="2"/>
      </rPr>
      <t xml:space="preserve"> </t>
    </r>
    <r>
      <rPr>
        <b/>
        <sz val="36"/>
        <color theme="5"/>
        <rFont val="Arial"/>
        <family val="2"/>
      </rPr>
      <t xml:space="preserve">
</t>
    </r>
    <r>
      <rPr>
        <sz val="26"/>
        <color rgb="FF000000"/>
        <rFont val="Arial"/>
        <family val="2"/>
      </rPr>
      <t>Cost calculator</t>
    </r>
  </si>
  <si>
    <r>
      <rPr>
        <b/>
        <sz val="11"/>
        <color theme="5"/>
        <rFont val="Arial"/>
        <family val="2"/>
      </rPr>
      <t>Rotavirus vaccine</t>
    </r>
    <r>
      <rPr>
        <sz val="11"/>
        <color theme="1"/>
        <rFont val="Arial"/>
        <family val="2"/>
      </rPr>
      <t xml:space="preserve"> cost calculator </t>
    </r>
    <r>
      <rPr>
        <sz val="11"/>
        <color theme="5"/>
        <rFont val="Arial"/>
        <family val="2"/>
      </rPr>
      <t>for Gavi-eligible countries</t>
    </r>
  </si>
  <si>
    <r>
      <rPr>
        <b/>
        <i/>
        <u/>
        <sz val="12"/>
        <color theme="1" tint="-0.499984740745262"/>
        <rFont val="Arial"/>
        <family val="2"/>
      </rPr>
      <t>Disclaimer:</t>
    </r>
    <r>
      <rPr>
        <b/>
        <i/>
        <sz val="12"/>
        <color theme="1" tint="-0.499984740745262"/>
        <rFont val="Arial"/>
        <family val="2"/>
      </rPr>
      <t xml:space="preserve"> </t>
    </r>
    <r>
      <rPr>
        <i/>
        <sz val="12"/>
        <color theme="1" tint="-0.499984740745262"/>
        <rFont val="Arial"/>
        <family val="2"/>
      </rPr>
      <t xml:space="preserve">The </t>
    </r>
    <r>
      <rPr>
        <b/>
        <i/>
        <sz val="12"/>
        <color theme="1" tint="-0.499984740745262"/>
        <rFont val="Arial"/>
        <family val="2"/>
      </rPr>
      <t>Rotavirus vaccine cost calculator for Gavi-eligible countries</t>
    </r>
    <r>
      <rPr>
        <i/>
        <sz val="12"/>
        <color theme="1" tint="-0.499984740745262"/>
        <rFont val="Arial"/>
        <family val="2"/>
      </rPr>
      <t xml:space="preserve"> is a tool that aims to inform vaccine introduction or switch decision-making and product selection. It is important to note that cost is only one consideration, and users involved in decision-making around new vaccine introduction/switch or product selection should always consider other dimensions as well. This model is meant to provide insights into the </t>
    </r>
    <r>
      <rPr>
        <b/>
        <i/>
        <sz val="12"/>
        <color theme="1" tint="-0.499984740745262"/>
        <rFont val="Arial"/>
        <family val="2"/>
      </rPr>
      <t>potential</t>
    </r>
    <r>
      <rPr>
        <i/>
        <sz val="12"/>
        <color theme="1" tint="-0.499984740745262"/>
        <rFont val="Arial"/>
        <family val="2"/>
      </rPr>
      <t xml:space="preserve"> costs of alternative product choices and should not replace detailed budget planning once a product has been selected.</t>
    </r>
  </si>
  <si>
    <t>The dashboard provides summary results for the country perspective and for scenarios A, B, and C if the optional scenario analysis for multi-vaccine use is populated. Conditional formatting is used to highlight potential savings (green color) and potential losses (red color). Summary results are provided seperately for vaccine cost to the country (i.e., vaccine and supplies procurement and international shipping, without Gavi contribution), for vaccination program costs to the country (i.e., vaccine cost and cost of delivery without Gavi contribution), and for cold chain volume requirements.</t>
  </si>
  <si>
    <t>Cost to country</t>
  </si>
  <si>
    <t>Cost to country + Gavi</t>
  </si>
  <si>
    <t>Overall upgrade and data update</t>
  </si>
  <si>
    <t xml:space="preserve">Changes to </t>
  </si>
  <si>
    <t>Version nb and date</t>
  </si>
  <si>
    <t>Scenario tab to show 100% in Scenario A</t>
  </si>
  <si>
    <t>Update to ROTARIX prices</t>
  </si>
  <si>
    <t>Not available in 2025</t>
  </si>
  <si>
    <t>Update to avaialbility of</t>
  </si>
  <si>
    <t>ROTAVAC 5D single dose (Not available in 2025)</t>
  </si>
  <si>
    <t>ROTAVAC 5D 5 dose (Available with planning)</t>
  </si>
  <si>
    <t>ROTARIX 
1 dose/plastic tube, liquid
(multi-monodose of 5 single tubes connected by a bar)</t>
  </si>
  <si>
    <t>Adjustments made to ROTARIX price</t>
  </si>
  <si>
    <t>Version 3.3 / December 2025</t>
  </si>
  <si>
    <t>December</t>
  </si>
  <si>
    <t>Adjustments to read me first language (vaccination program cost definition)</t>
  </si>
  <si>
    <t>The results worksheet presents cost information annually, as well as a total over five years, for each vaccine option indicated in the inputs worksheet, and for both perspectives. Results are provided seperately for cold chain volume requirements, for vaccine cost (i.e., vaccine and supplies procurement and international shipping), and for vaccination program costs (i.e., vaccine cost plus cost of delivery). Estimates are provided seperately for country cost and for country + Gavi cost.</t>
  </si>
  <si>
    <t>Removed Serum products no longer available (lyo and thermo)</t>
  </si>
  <si>
    <t>Needs planning</t>
  </si>
  <si>
    <t>Not available before 2026</t>
  </si>
  <si>
    <t>Updated supply status</t>
  </si>
  <si>
    <t>New introduction</t>
  </si>
  <si>
    <t>Product switch</t>
  </si>
  <si>
    <t>Preparatory transition</t>
  </si>
  <si>
    <t>Accelerated transition</t>
  </si>
  <si>
    <t>Y1</t>
  </si>
  <si>
    <t>Y2</t>
  </si>
  <si>
    <t>Y3</t>
  </si>
  <si>
    <t>Y4</t>
  </si>
  <si>
    <t>Y5</t>
  </si>
  <si>
    <t>Y6</t>
  </si>
  <si>
    <t>Y7</t>
  </si>
  <si>
    <t>Y8</t>
  </si>
  <si>
    <t>Y9</t>
  </si>
  <si>
    <t xml:space="preserve">Indicate if your country is currently in the Gavi initial self-financing phase, preparatory transition phase, or accelerated transition phase.
► If your country is in the Gavi initial self-financing phase, calculations of co-financing will be automatic, displaying co-financing per dose as per Gavi's ELTRACO policy which starts in 2026 (i.e., $0.20 per dose for two-dose vaccines and $0.13 per dose for three-dose vaccines).
► If your country is in the preparatory transition or accelerated transition phase, enter your country’s co-financing share applied to other vaccines of the portfolio in the introduction or switch year. If you are not aware of your country co-financing share, please contact your Senior Country Manager at Gavi for this information.
► If your country is in the accelerated transition phase, indicate whether your country is planning for a new vaccine introduction or product switch for an existing vaccination program. Then, enter the year your country will be in the accelerated transition phase when starting the new vaccination program or switching products. </t>
  </si>
  <si>
    <t>Are you planning a new vaccine introduction or a product switch</t>
  </si>
  <si>
    <t>Introduction/Switch year in accelerated transition phase</t>
  </si>
  <si>
    <t>Indicate whether you are planning a new vaccine introduction or a product switch in an existing vaccination program.</t>
  </si>
  <si>
    <r>
      <t xml:space="preserve">If you selected "Accelerated transition," indicate which year your country will be in this phase when starting the vaccination program or switching products. This value should be from 1 to 8. 
</t>
    </r>
    <r>
      <rPr>
        <b/>
        <sz val="12"/>
        <color theme="1"/>
        <rFont val="Arial"/>
        <family val="2"/>
      </rPr>
      <t>NOTE: This field is not used in results calculations if you selected "Initial self-financing" above.</t>
    </r>
  </si>
  <si>
    <t>Price fraction applied to other vaccines in the portfolio in the introduction/switch year</t>
  </si>
  <si>
    <t>Insert % of vaccine price per dose or "price fraction" that applied to other vaccines in the portfolio in the introduction/switch year.
If you do not know your country co-financing share, contact your Senior Country Manager at Gavi.</t>
  </si>
  <si>
    <t>Updated co financing functionality and calculations to align with recent HPV tool</t>
  </si>
  <si>
    <t>Updated co financing text on Read me first</t>
  </si>
  <si>
    <t>*If your country is scheduled to move from one transition phase to another during the five-year period, contact HEOR@path.org to discuss how to set up the model.</t>
  </si>
  <si>
    <t>Updated disclaimer in inputs G21</t>
  </si>
  <si>
    <r>
      <t>The</t>
    </r>
    <r>
      <rPr>
        <b/>
        <sz val="14"/>
        <color theme="1" tint="-0.499984740745262"/>
        <rFont val="Arial"/>
        <family val="2"/>
      </rPr>
      <t xml:space="preserve"> Rotavirus vaccine cost calculator for Gavi-eligible countries</t>
    </r>
    <r>
      <rPr>
        <sz val="14"/>
        <color theme="1" tint="-0.499984740745262"/>
        <rFont val="Arial"/>
        <family val="2"/>
      </rPr>
      <t xml:space="preserve"> is a simple tool for assessing and comparing financial costs of rotavirus vaccination programs with each rotavirus vaccine product supported by Gavi, the Vaccine Alliance. It aims to help national-level policy-makers in countries eligible for Gavi support to compare products and estimate vaccination program costs for different rotavirus vaccines, exploring up to four different vaccine options at a time. 
The tool calculates cold chain volume and costs annually and for a total period of five years. Cost estimates are composed of vaccine cost (i.e., vaccine and supplies procurement and international shipping) and vaccination program costs (i.e., vaccine cost and cost of delivery). Cost estimates are provided separately for two perspectives: (1) the country perspective and (2) the combined country and Gavi perspective. The country perspective accounts only for what is paid from the country budget, while the country and Gavi perspective also accounts for Gavi co-financing of vaccines. Cold chain volume estimates are calculated from total doses required and World Health Organization prequalification information on cold chain volume per dose, which account for buffer and wastage but not necessarily "dead" space or space needed at different levels.</t>
    </r>
  </si>
  <si>
    <r>
      <rPr>
        <b/>
        <sz val="12"/>
        <color theme="1"/>
        <rFont val="Arial"/>
        <family val="2"/>
      </rPr>
      <t xml:space="preserve">Number of doses delivered </t>
    </r>
    <r>
      <rPr>
        <sz val="12"/>
        <color theme="1"/>
        <rFont val="Arial"/>
        <family val="2"/>
      </rPr>
      <t xml:space="preserve">= Target population x coverage D1 + target population x coverage D2 + target population x coverage D3 (if applicable)
</t>
    </r>
    <r>
      <rPr>
        <b/>
        <sz val="12"/>
        <color theme="1"/>
        <rFont val="Arial"/>
        <family val="2"/>
      </rPr>
      <t>Total doses required</t>
    </r>
    <r>
      <rPr>
        <sz val="12"/>
        <color theme="1"/>
        <rFont val="Arial"/>
        <family val="2"/>
      </rPr>
      <t xml:space="preserve"> = Number of doses delivered x wastage factor + optional buffer doses
</t>
    </r>
    <r>
      <rPr>
        <b/>
        <sz val="12"/>
        <color theme="1"/>
        <rFont val="Arial"/>
        <family val="2"/>
      </rPr>
      <t>Total cold chain volume required</t>
    </r>
    <r>
      <rPr>
        <sz val="12"/>
        <color theme="1"/>
        <rFont val="Arial"/>
        <family val="2"/>
      </rPr>
      <t xml:space="preserve"> = Cold chain volume per dose in cm3 x total doses required
</t>
    </r>
    <r>
      <rPr>
        <b/>
        <sz val="12"/>
        <color theme="1"/>
        <rFont val="Arial"/>
        <family val="2"/>
      </rPr>
      <t>Wastage factor</t>
    </r>
    <r>
      <rPr>
        <sz val="12"/>
        <color theme="1"/>
        <rFont val="Arial"/>
        <family val="2"/>
      </rPr>
      <t xml:space="preserve"> = (1 / (1 - wastage rate))
</t>
    </r>
    <r>
      <rPr>
        <b/>
        <sz val="12"/>
        <color theme="1"/>
        <rFont val="Arial"/>
        <family val="2"/>
      </rPr>
      <t>Vaccine cost (country cost)</t>
    </r>
    <r>
      <rPr>
        <sz val="12"/>
        <color theme="1"/>
        <rFont val="Arial"/>
        <family val="2"/>
      </rPr>
      <t xml:space="preserve"> = Total doses required x (co-financing amount per dose + co-financing amount per dose x international handling + co-financing amount per dose x international transportation) + (number of doses delivered / volume of safety box/bag x price of safety box/bag)
</t>
    </r>
    <r>
      <rPr>
        <b/>
        <sz val="12"/>
        <color theme="1"/>
        <rFont val="Arial"/>
        <family val="2"/>
      </rPr>
      <t>Vaccine cost (country + Gavi cost)</t>
    </r>
    <r>
      <rPr>
        <sz val="12"/>
        <color theme="1"/>
        <rFont val="Arial"/>
        <family val="2"/>
      </rPr>
      <t xml:space="preserve"> = Total doses required x (price per dose + price per dose x international handling + price per dose x international transportation) + (number of doses delivered / volume of safety box/bag x price of safety box/bag)
</t>
    </r>
    <r>
      <rPr>
        <b/>
        <sz val="12"/>
        <color theme="1"/>
        <rFont val="Arial"/>
        <family val="2"/>
      </rPr>
      <t>Vaccination program cost (country cost)</t>
    </r>
    <r>
      <rPr>
        <sz val="12"/>
        <color theme="1"/>
        <rFont val="Arial"/>
        <family val="2"/>
      </rPr>
      <t xml:space="preserve"> = Vaccine cost + number of doses delivered x incremental cost of delivery per dose + introduction or switching costs (only in Year 1)
</t>
    </r>
    <r>
      <rPr>
        <b/>
        <sz val="12"/>
        <color theme="1"/>
        <rFont val="Arial"/>
        <family val="2"/>
      </rPr>
      <t>Vaccination program cost</t>
    </r>
    <r>
      <rPr>
        <sz val="12"/>
        <color theme="1"/>
        <rFont val="Arial"/>
        <family val="2"/>
      </rPr>
      <t xml:space="preserve"> </t>
    </r>
    <r>
      <rPr>
        <b/>
        <sz val="12"/>
        <color theme="1"/>
        <rFont val="Arial"/>
        <family val="2"/>
      </rPr>
      <t xml:space="preserve"> (country + Gavi cost)</t>
    </r>
    <r>
      <rPr>
        <sz val="12"/>
        <color theme="1"/>
        <rFont val="Arial"/>
        <family val="2"/>
      </rPr>
      <t xml:space="preserve"> = Number of doses delivered x incremental cost of delivery per dose + introduction or switching costs (only in Year 1)
* x = multiply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</si>
</sst>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7" formatCode="&quot;$&quot;#,##0.00_);\(&quot;$&quot;#,##0.00\)"/>
    <numFmt numFmtId="8" formatCode="&quot;$&quot;#,##0.00_);[Red]\(&quot;$&quot;#,##0.00\)"/>
    <numFmt numFmtId="44" formatCode="_(&quot;$&quot;* #,##0.00_);_(&quot;$&quot;* \(#,##0.00\);_(&quot;$&quot;* &quot;-&quot;??_);_(@_)"/>
    <numFmt numFmtId="164" formatCode="&quot;$&quot;#,##0.00"/>
    <numFmt numFmtId="165" formatCode="&quot;$&quot;#,##0"/>
    <numFmt numFmtId="166" formatCode="0.0%"/>
    <numFmt numFmtId="167" formatCode="0.0"/>
  </numFmts>
  <fonts count="89" x14ac:knownFonts="1">
    <font>
      <sz val="11"/>
      <color theme="1"/>
      <name val="Calibri"/>
      <family val="2"/>
      <scheme val="minor"/>
    </font>
    <font>
      <b/>
      <sz val="11"/>
      <color theme="1"/>
      <name val="Calibri"/>
      <family val="2"/>
      <scheme val="minor"/>
    </font>
    <font>
      <sz val="11"/>
      <color theme="1"/>
      <name val="Calibri"/>
      <family val="2"/>
      <scheme val="minor"/>
    </font>
    <font>
      <u/>
      <sz val="11"/>
      <color rgb="FF0000FF"/>
      <name val="Calibri"/>
      <family val="2"/>
      <scheme val="minor"/>
    </font>
    <font>
      <u/>
      <sz val="11"/>
      <color theme="1"/>
      <name val="Calibri"/>
      <family val="2"/>
      <scheme val="minor"/>
    </font>
    <font>
      <b/>
      <sz val="11"/>
      <color rgb="FFFF0000"/>
      <name val="Calibri"/>
      <family val="2"/>
      <scheme val="minor"/>
    </font>
    <font>
      <sz val="8"/>
      <color theme="1"/>
      <name val="Calibri"/>
      <family val="2"/>
      <scheme val="minor"/>
    </font>
    <font>
      <sz val="12"/>
      <color theme="1"/>
      <name val="Arial"/>
      <family val="2"/>
    </font>
    <font>
      <b/>
      <sz val="12"/>
      <color theme="1"/>
      <name val="Arial"/>
      <family val="2"/>
    </font>
    <font>
      <b/>
      <sz val="14"/>
      <color theme="1"/>
      <name val="Arial"/>
      <family val="2"/>
    </font>
    <font>
      <b/>
      <sz val="14"/>
      <color theme="0"/>
      <name val="Arial"/>
      <family val="2"/>
    </font>
    <font>
      <b/>
      <sz val="18"/>
      <color theme="0"/>
      <name val="Arial"/>
      <family val="2"/>
    </font>
    <font>
      <u/>
      <sz val="12"/>
      <color rgb="FF0000FF"/>
      <name val="Arial"/>
      <family val="2"/>
    </font>
    <font>
      <u/>
      <sz val="12"/>
      <color theme="1"/>
      <name val="Arial"/>
      <family val="2"/>
    </font>
    <font>
      <b/>
      <sz val="12"/>
      <color theme="4"/>
      <name val="Arial"/>
      <family val="2"/>
    </font>
    <font>
      <sz val="12"/>
      <color theme="0"/>
      <name val="Arial"/>
      <family val="2"/>
    </font>
    <font>
      <b/>
      <sz val="22"/>
      <color theme="0"/>
      <name val="Arial"/>
      <family val="2"/>
    </font>
    <font>
      <b/>
      <sz val="12"/>
      <color rgb="FFFF0000"/>
      <name val="Arial"/>
      <family val="2"/>
    </font>
    <font>
      <b/>
      <sz val="12"/>
      <color theme="1" tint="-0.499984740745262"/>
      <name val="Arial"/>
      <family val="2"/>
    </font>
    <font>
      <b/>
      <i/>
      <sz val="12"/>
      <color theme="1" tint="-0.499984740745262"/>
      <name val="Arial"/>
      <family val="2"/>
    </font>
    <font>
      <b/>
      <i/>
      <u/>
      <sz val="12"/>
      <color theme="1" tint="-0.499984740745262"/>
      <name val="Arial"/>
      <family val="2"/>
    </font>
    <font>
      <i/>
      <sz val="12"/>
      <color theme="1" tint="-0.499984740745262"/>
      <name val="Arial"/>
      <family val="2"/>
    </font>
    <font>
      <sz val="12"/>
      <color rgb="FF000000"/>
      <name val="Arial"/>
      <family val="2"/>
    </font>
    <font>
      <sz val="14"/>
      <color rgb="FF000000"/>
      <name val="Arial"/>
      <family val="2"/>
    </font>
    <font>
      <sz val="14"/>
      <color theme="1" tint="-0.499984740745262"/>
      <name val="Arial"/>
      <family val="2"/>
    </font>
    <font>
      <b/>
      <sz val="14"/>
      <color theme="1" tint="-0.499984740745262"/>
      <name val="Arial"/>
      <family val="2"/>
    </font>
    <font>
      <sz val="18"/>
      <color theme="0"/>
      <name val="Arial"/>
      <family val="2"/>
    </font>
    <font>
      <u/>
      <sz val="12"/>
      <color rgb="FF000000"/>
      <name val="Arial"/>
      <family val="2"/>
    </font>
    <font>
      <b/>
      <sz val="11"/>
      <color rgb="FF000000"/>
      <name val="Arial"/>
      <family val="2"/>
    </font>
    <font>
      <b/>
      <sz val="18"/>
      <color rgb="FFAD0012"/>
      <name val="Arial"/>
      <family val="2"/>
    </font>
    <font>
      <b/>
      <sz val="20"/>
      <color rgb="FF000000"/>
      <name val="Arial"/>
      <family val="2"/>
    </font>
    <font>
      <b/>
      <sz val="26"/>
      <color rgb="FF000000"/>
      <name val="Arial"/>
      <family val="2"/>
    </font>
    <font>
      <b/>
      <sz val="36"/>
      <color rgb="FFAD0012"/>
      <name val="Arial"/>
      <family val="2"/>
    </font>
    <font>
      <b/>
      <sz val="36"/>
      <color theme="5"/>
      <name val="Arial"/>
      <family val="2"/>
    </font>
    <font>
      <sz val="26"/>
      <color rgb="FF000000"/>
      <name val="Arial"/>
      <family val="2"/>
    </font>
    <font>
      <sz val="11"/>
      <color theme="1"/>
      <name val="Arial"/>
      <family val="2"/>
    </font>
    <font>
      <sz val="16"/>
      <color theme="1"/>
      <name val="Arial"/>
      <family val="2"/>
    </font>
    <font>
      <b/>
      <sz val="16"/>
      <name val="Arial"/>
      <family val="2"/>
    </font>
    <font>
      <b/>
      <sz val="14"/>
      <name val="Arial"/>
      <family val="2"/>
    </font>
    <font>
      <b/>
      <sz val="10"/>
      <color theme="1"/>
      <name val="Arial"/>
      <family val="2"/>
    </font>
    <font>
      <sz val="14"/>
      <color theme="1"/>
      <name val="Arial"/>
      <family val="2"/>
    </font>
    <font>
      <b/>
      <sz val="14"/>
      <color rgb="FFFF0000"/>
      <name val="Arial"/>
      <family val="2"/>
    </font>
    <font>
      <b/>
      <sz val="11"/>
      <color theme="1"/>
      <name val="Arial"/>
      <family val="2"/>
    </font>
    <font>
      <i/>
      <sz val="10"/>
      <color theme="1"/>
      <name val="Arial"/>
      <family val="2"/>
    </font>
    <font>
      <b/>
      <sz val="18"/>
      <color theme="1"/>
      <name val="Arial"/>
      <family val="2"/>
    </font>
    <font>
      <b/>
      <sz val="20"/>
      <color theme="0"/>
      <name val="Arial"/>
      <family val="2"/>
    </font>
    <font>
      <b/>
      <sz val="16"/>
      <color theme="1"/>
      <name val="Arial"/>
      <family val="2"/>
    </font>
    <font>
      <b/>
      <sz val="28"/>
      <color theme="8"/>
      <name val="Arial"/>
      <family val="2"/>
    </font>
    <font>
      <i/>
      <sz val="16"/>
      <color theme="1"/>
      <name val="Arial"/>
      <family val="2"/>
    </font>
    <font>
      <i/>
      <sz val="14"/>
      <color theme="1"/>
      <name val="Arial"/>
      <family val="2"/>
    </font>
    <font>
      <b/>
      <i/>
      <sz val="12"/>
      <color theme="1"/>
      <name val="Arial"/>
      <family val="2"/>
    </font>
    <font>
      <b/>
      <vertAlign val="superscript"/>
      <sz val="12"/>
      <color theme="1"/>
      <name val="Arial"/>
      <family val="2"/>
    </font>
    <font>
      <b/>
      <sz val="10"/>
      <color rgb="FFFF0000"/>
      <name val="Arial"/>
      <family val="2"/>
    </font>
    <font>
      <i/>
      <sz val="10"/>
      <name val="Arial"/>
      <family val="2"/>
    </font>
    <font>
      <sz val="11"/>
      <name val="Arial"/>
      <family val="2"/>
    </font>
    <font>
      <b/>
      <sz val="11"/>
      <name val="Arial"/>
      <family val="2"/>
    </font>
    <font>
      <sz val="16"/>
      <name val="Arial"/>
      <family val="2"/>
    </font>
    <font>
      <b/>
      <sz val="36"/>
      <color theme="0"/>
      <name val="Arial"/>
      <family val="2"/>
    </font>
    <font>
      <b/>
      <sz val="24"/>
      <color theme="0"/>
      <name val="Arial"/>
      <family val="2"/>
    </font>
    <font>
      <sz val="10"/>
      <color theme="1"/>
      <name val="Arial"/>
      <family val="2"/>
    </font>
    <font>
      <b/>
      <sz val="20"/>
      <color theme="1"/>
      <name val="Arial"/>
      <family val="2"/>
    </font>
    <font>
      <sz val="11"/>
      <color rgb="FFAD0012"/>
      <name val="Arial"/>
      <family val="2"/>
    </font>
    <font>
      <i/>
      <sz val="9"/>
      <name val="Arial"/>
      <family val="2"/>
    </font>
    <font>
      <i/>
      <sz val="12"/>
      <color theme="1"/>
      <name val="Arial"/>
      <family val="2"/>
    </font>
    <font>
      <b/>
      <sz val="12"/>
      <name val="Arial"/>
      <family val="2"/>
    </font>
    <font>
      <i/>
      <sz val="11"/>
      <name val="Arial"/>
      <family val="2"/>
    </font>
    <font>
      <b/>
      <sz val="10"/>
      <color theme="1" tint="-0.499984740745262"/>
      <name val="Arial"/>
      <family val="2"/>
    </font>
    <font>
      <b/>
      <sz val="10"/>
      <name val="Arial"/>
      <family val="2"/>
    </font>
    <font>
      <sz val="12"/>
      <color theme="9" tint="0.79998168889431442"/>
      <name val="Arial"/>
      <family val="2"/>
    </font>
    <font>
      <b/>
      <sz val="12"/>
      <color theme="9" tint="0.79998168889431442"/>
      <name val="Arial"/>
      <family val="2"/>
    </font>
    <font>
      <b/>
      <u/>
      <sz val="12"/>
      <color theme="1"/>
      <name val="Arial"/>
      <family val="2"/>
    </font>
    <font>
      <b/>
      <sz val="14"/>
      <color theme="9" tint="0.79998168889431442"/>
      <name val="Arial"/>
      <family val="2"/>
    </font>
    <font>
      <b/>
      <sz val="15"/>
      <color theme="9" tint="0.79998168889431442"/>
      <name val="Arial"/>
      <family val="2"/>
    </font>
    <font>
      <b/>
      <sz val="15"/>
      <color theme="1"/>
      <name val="Arial"/>
      <family val="2"/>
    </font>
    <font>
      <b/>
      <sz val="20"/>
      <color theme="9" tint="0.79998168889431442"/>
      <name val="Arial"/>
      <family val="2"/>
    </font>
    <font>
      <b/>
      <sz val="12"/>
      <color theme="0"/>
      <name val="Arial"/>
      <family val="2"/>
    </font>
    <font>
      <i/>
      <sz val="10"/>
      <color theme="0"/>
      <name val="Arial"/>
      <family val="2"/>
    </font>
    <font>
      <sz val="12"/>
      <name val="Arial"/>
      <family val="2"/>
    </font>
    <font>
      <sz val="11"/>
      <color theme="9"/>
      <name val="Arial"/>
      <family val="2"/>
    </font>
    <font>
      <b/>
      <sz val="12"/>
      <color theme="9"/>
      <name val="Arial"/>
      <family val="2"/>
    </font>
    <font>
      <i/>
      <vertAlign val="superscript"/>
      <sz val="10"/>
      <color theme="0"/>
      <name val="Arial"/>
      <family val="2"/>
    </font>
    <font>
      <b/>
      <sz val="14"/>
      <color theme="9"/>
      <name val="Arial"/>
      <family val="2"/>
    </font>
    <font>
      <b/>
      <i/>
      <sz val="12"/>
      <color theme="9"/>
      <name val="Arial"/>
      <family val="2"/>
    </font>
    <font>
      <b/>
      <sz val="14"/>
      <color theme="1"/>
      <name val="Calibri"/>
      <family val="2"/>
      <scheme val="minor"/>
    </font>
    <font>
      <sz val="11"/>
      <color theme="5"/>
      <name val="Arial"/>
      <family val="2"/>
    </font>
    <font>
      <b/>
      <sz val="11"/>
      <color theme="5"/>
      <name val="Arial"/>
      <family val="2"/>
    </font>
    <font>
      <b/>
      <sz val="18"/>
      <color theme="5"/>
      <name val="Arial"/>
      <family val="2"/>
    </font>
    <font>
      <i/>
      <sz val="12"/>
      <color theme="4"/>
      <name val="Arial"/>
      <family val="2"/>
    </font>
    <font>
      <sz val="11"/>
      <color theme="0"/>
      <name val="Arial"/>
      <family val="2"/>
    </font>
  </fonts>
  <fills count="22">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2"/>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9"/>
        <bgColor indexed="64"/>
      </patternFill>
    </fill>
    <fill>
      <patternFill patternType="solid">
        <fgColor rgb="FFE8EBEB"/>
        <bgColor indexed="64"/>
      </patternFill>
    </fill>
    <fill>
      <patternFill patternType="solid">
        <fgColor theme="1"/>
        <bgColor indexed="64"/>
      </patternFill>
    </fill>
    <fill>
      <patternFill patternType="solid">
        <fgColor rgb="FFD7EDEF"/>
        <bgColor indexed="64"/>
      </patternFill>
    </fill>
    <fill>
      <patternFill patternType="solid">
        <fgColor theme="4"/>
        <bgColor indexed="64"/>
      </patternFill>
    </fill>
    <fill>
      <patternFill patternType="solid">
        <fgColor rgb="FF66BAC3"/>
        <bgColor indexed="64"/>
      </patternFill>
    </fill>
    <fill>
      <patternFill patternType="solid">
        <fgColor rgb="FFD2EFDF"/>
        <bgColor indexed="64"/>
      </patternFill>
    </fill>
    <fill>
      <patternFill patternType="solid">
        <fgColor theme="4" tint="-0.249977111117893"/>
        <bgColor indexed="64"/>
      </patternFill>
    </fill>
    <fill>
      <patternFill patternType="solid">
        <fgColor theme="3"/>
        <bgColor indexed="64"/>
      </patternFill>
    </fill>
    <fill>
      <patternFill patternType="solid">
        <fgColor theme="1" tint="0.39997558519241921"/>
        <bgColor indexed="64"/>
      </patternFill>
    </fill>
    <fill>
      <patternFill patternType="solid">
        <fgColor theme="9" tint="0.39997558519241921"/>
        <bgColor indexed="64"/>
      </patternFill>
    </fill>
    <fill>
      <patternFill patternType="solid">
        <fgColor theme="5"/>
        <bgColor indexed="64"/>
      </patternFill>
    </fill>
    <fill>
      <patternFill patternType="solid">
        <fgColor theme="9" tint="-0.249977111117893"/>
        <bgColor indexed="64"/>
      </patternFill>
    </fill>
    <fill>
      <patternFill patternType="solid">
        <fgColor theme="8" tint="-0.249977111117893"/>
        <bgColor indexed="64"/>
      </patternFill>
    </fill>
    <fill>
      <patternFill patternType="solid">
        <fgColor theme="8" tint="0.39997558519241921"/>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4">
    <xf numFmtId="0" fontId="0" fillId="0" borderId="0"/>
    <xf numFmtId="44" fontId="2" fillId="0" borderId="0" applyFont="0" applyFill="0" applyBorder="0" applyAlignment="0" applyProtection="0"/>
    <xf numFmtId="9" fontId="2" fillId="0" borderId="0" applyFont="0" applyFill="0" applyBorder="0" applyAlignment="0" applyProtection="0"/>
    <xf numFmtId="0" fontId="3" fillId="0" borderId="0" applyNumberFormat="0" applyFill="0" applyBorder="0" applyAlignment="0" applyProtection="0"/>
  </cellStyleXfs>
  <cellXfs count="418">
    <xf numFmtId="0" fontId="0" fillId="0" borderId="0" xfId="0"/>
    <xf numFmtId="0" fontId="0" fillId="0" borderId="0" xfId="0" applyAlignment="1">
      <alignment horizontal="center" vertical="center"/>
    </xf>
    <xf numFmtId="164" fontId="0" fillId="0" borderId="0" xfId="0" applyNumberFormat="1" applyAlignment="1">
      <alignment horizontal="center" vertical="center"/>
    </xf>
    <xf numFmtId="9" fontId="0" fillId="0" borderId="0" xfId="0" applyNumberFormat="1" applyAlignment="1">
      <alignment horizontal="center" vertical="center"/>
    </xf>
    <xf numFmtId="0" fontId="1" fillId="0" borderId="0" xfId="0" applyFont="1" applyAlignment="1">
      <alignment horizontal="center" vertical="center"/>
    </xf>
    <xf numFmtId="37" fontId="0" fillId="0" borderId="0" xfId="1" applyNumberFormat="1" applyFont="1" applyAlignment="1">
      <alignment horizontal="center" vertical="center"/>
    </xf>
    <xf numFmtId="0" fontId="4" fillId="2" borderId="0" xfId="0" applyFont="1" applyFill="1" applyAlignment="1">
      <alignment vertical="center" wrapText="1"/>
    </xf>
    <xf numFmtId="0" fontId="1" fillId="0" borderId="0" xfId="0" applyFont="1" applyAlignment="1">
      <alignment horizontal="center"/>
    </xf>
    <xf numFmtId="0" fontId="0" fillId="0" borderId="0" xfId="0" applyAlignment="1">
      <alignment horizontal="left" vertical="center" wrapText="1"/>
    </xf>
    <xf numFmtId="0" fontId="5" fillId="0" borderId="0" xfId="0" applyFont="1"/>
    <xf numFmtId="0" fontId="5" fillId="0" borderId="0" xfId="0" applyFont="1" applyAlignment="1">
      <alignment wrapText="1"/>
    </xf>
    <xf numFmtId="8" fontId="0" fillId="0" borderId="0" xfId="0" applyNumberFormat="1" applyAlignment="1">
      <alignment horizontal="center" vertical="center"/>
    </xf>
    <xf numFmtId="16" fontId="0" fillId="0" borderId="0" xfId="0" applyNumberFormat="1"/>
    <xf numFmtId="0" fontId="7" fillId="2" borderId="0" xfId="0" applyFont="1" applyFill="1"/>
    <xf numFmtId="0" fontId="7" fillId="4" borderId="0" xfId="0" applyFont="1" applyFill="1"/>
    <xf numFmtId="0" fontId="7" fillId="2" borderId="0" xfId="0" applyFont="1" applyFill="1" applyAlignment="1">
      <alignment horizontal="left" wrapText="1"/>
    </xf>
    <xf numFmtId="0" fontId="9" fillId="2" borderId="0" xfId="0" applyFont="1" applyFill="1" applyAlignment="1">
      <alignment horizontal="center"/>
    </xf>
    <xf numFmtId="0" fontId="9" fillId="6" borderId="0" xfId="0" applyFont="1" applyFill="1" applyAlignment="1">
      <alignment horizontal="center"/>
    </xf>
    <xf numFmtId="0" fontId="7" fillId="6" borderId="0" xfId="0" applyFont="1" applyFill="1"/>
    <xf numFmtId="0" fontId="7" fillId="2" borderId="0" xfId="0" applyFont="1" applyFill="1" applyAlignment="1">
      <alignment horizontal="center" vertical="center" wrapText="1"/>
    </xf>
    <xf numFmtId="0" fontId="10" fillId="7" borderId="0" xfId="0" applyFont="1" applyFill="1" applyAlignment="1">
      <alignment horizontal="center"/>
    </xf>
    <xf numFmtId="0" fontId="7" fillId="7" borderId="0" xfId="0" applyFont="1" applyFill="1"/>
    <xf numFmtId="0" fontId="11" fillId="9" borderId="0" xfId="0" applyFont="1" applyFill="1" applyAlignment="1">
      <alignment horizontal="center"/>
    </xf>
    <xf numFmtId="0" fontId="7" fillId="9" borderId="0" xfId="0" applyFont="1" applyFill="1"/>
    <xf numFmtId="0" fontId="7" fillId="10" borderId="0" xfId="0" applyFont="1" applyFill="1"/>
    <xf numFmtId="0" fontId="12" fillId="2" borderId="0" xfId="3" applyFont="1" applyFill="1" applyBorder="1" applyAlignment="1">
      <alignment horizontal="left" vertical="center"/>
    </xf>
    <xf numFmtId="0" fontId="12" fillId="10" borderId="2" xfId="3" applyFont="1" applyFill="1" applyBorder="1" applyAlignment="1">
      <alignment horizontal="left" vertical="center"/>
    </xf>
    <xf numFmtId="0" fontId="13" fillId="2" borderId="0" xfId="0" applyFont="1" applyFill="1" applyAlignment="1">
      <alignment horizontal="center" vertical="center"/>
    </xf>
    <xf numFmtId="0" fontId="7" fillId="2" borderId="0" xfId="0" applyFont="1" applyFill="1" applyAlignment="1">
      <alignment horizontal="left" vertical="center" wrapText="1"/>
    </xf>
    <xf numFmtId="0" fontId="7" fillId="10" borderId="15" xfId="0" applyFont="1" applyFill="1" applyBorder="1" applyAlignment="1">
      <alignment horizontal="left" vertical="center" wrapText="1"/>
    </xf>
    <xf numFmtId="0" fontId="7" fillId="10" borderId="2" xfId="0" applyFont="1" applyFill="1" applyBorder="1" applyAlignment="1">
      <alignment horizontal="left" vertical="center" wrapText="1"/>
    </xf>
    <xf numFmtId="0" fontId="7" fillId="10" borderId="13" xfId="0" applyFont="1" applyFill="1" applyBorder="1" applyAlignment="1">
      <alignment horizontal="left" vertical="center" wrapText="1"/>
    </xf>
    <xf numFmtId="0" fontId="7" fillId="10" borderId="0" xfId="0" applyFont="1" applyFill="1" applyAlignment="1">
      <alignment horizontal="left" vertical="center" wrapText="1"/>
    </xf>
    <xf numFmtId="0" fontId="12" fillId="10" borderId="0" xfId="3" applyFont="1" applyFill="1" applyBorder="1" applyAlignment="1">
      <alignment horizontal="left" vertical="center"/>
    </xf>
    <xf numFmtId="0" fontId="12" fillId="2" borderId="0" xfId="3" applyFont="1" applyFill="1" applyBorder="1" applyAlignment="1">
      <alignment horizontal="left" vertical="center" wrapText="1"/>
    </xf>
    <xf numFmtId="0" fontId="13" fillId="2" borderId="0" xfId="0" applyFont="1" applyFill="1" applyAlignment="1">
      <alignment horizontal="center" vertical="center" wrapText="1"/>
    </xf>
    <xf numFmtId="0" fontId="7" fillId="2" borderId="1" xfId="0" applyFont="1" applyFill="1" applyBorder="1" applyAlignment="1">
      <alignment vertical="center" wrapText="1"/>
    </xf>
    <xf numFmtId="0" fontId="7" fillId="10" borderId="0" xfId="0" applyFont="1" applyFill="1" applyAlignment="1">
      <alignment vertical="center" wrapText="1"/>
    </xf>
    <xf numFmtId="0" fontId="7" fillId="13" borderId="1" xfId="0" applyFont="1" applyFill="1" applyBorder="1" applyAlignment="1">
      <alignment vertical="center" wrapText="1"/>
    </xf>
    <xf numFmtId="0" fontId="7" fillId="2" borderId="0" xfId="0" applyFont="1" applyFill="1" applyAlignment="1">
      <alignment horizontal="left" vertical="top" wrapText="1"/>
    </xf>
    <xf numFmtId="0" fontId="7" fillId="5" borderId="1" xfId="0" applyFont="1" applyFill="1" applyBorder="1" applyAlignment="1">
      <alignment vertical="center" wrapText="1"/>
    </xf>
    <xf numFmtId="0" fontId="11" fillId="14" borderId="0" xfId="0" applyFont="1" applyFill="1" applyAlignment="1">
      <alignment horizontal="center" vertical="center"/>
    </xf>
    <xf numFmtId="0" fontId="7" fillId="14" borderId="0" xfId="0" applyFont="1" applyFill="1"/>
    <xf numFmtId="0" fontId="15" fillId="15" borderId="0" xfId="0" applyFont="1" applyFill="1"/>
    <xf numFmtId="0" fontId="16" fillId="15" borderId="0" xfId="0" applyFont="1" applyFill="1" applyAlignment="1">
      <alignment horizontal="center" vertical="center"/>
    </xf>
    <xf numFmtId="0" fontId="7" fillId="15" borderId="0" xfId="0" applyFont="1" applyFill="1"/>
    <xf numFmtId="0" fontId="17" fillId="4" borderId="0" xfId="0" applyFont="1" applyFill="1" applyAlignment="1">
      <alignment horizontal="left" vertical="center" wrapText="1"/>
    </xf>
    <xf numFmtId="0" fontId="22" fillId="4" borderId="0" xfId="0" applyFont="1" applyFill="1" applyAlignment="1">
      <alignment vertical="center" wrapText="1"/>
    </xf>
    <xf numFmtId="0" fontId="23" fillId="2" borderId="0" xfId="0" applyFont="1" applyFill="1" applyAlignment="1">
      <alignment horizontal="left" vertical="center" wrapText="1"/>
    </xf>
    <xf numFmtId="0" fontId="26" fillId="15" borderId="0" xfId="0" applyFont="1" applyFill="1" applyAlignment="1">
      <alignment vertical="center"/>
    </xf>
    <xf numFmtId="0" fontId="22" fillId="4" borderId="0" xfId="0" applyFont="1" applyFill="1" applyAlignment="1">
      <alignment vertical="center"/>
    </xf>
    <xf numFmtId="0" fontId="22" fillId="4" borderId="0" xfId="0" applyFont="1" applyFill="1" applyAlignment="1">
      <alignment horizontal="left" vertical="center" wrapText="1"/>
    </xf>
    <xf numFmtId="0" fontId="29" fillId="2" borderId="0" xfId="0" applyFont="1" applyFill="1" applyAlignment="1">
      <alignment vertical="center" wrapText="1"/>
    </xf>
    <xf numFmtId="0" fontId="30" fillId="2" borderId="0" xfId="0" applyFont="1" applyFill="1" applyAlignment="1">
      <alignment horizontal="center" vertical="center" wrapText="1"/>
    </xf>
    <xf numFmtId="0" fontId="31" fillId="2" borderId="0" xfId="0" applyFont="1" applyFill="1" applyAlignment="1">
      <alignment vertical="center" wrapText="1"/>
    </xf>
    <xf numFmtId="0" fontId="35" fillId="2" borderId="0" xfId="0" applyFont="1" applyFill="1" applyAlignment="1" applyProtection="1">
      <alignment horizontal="center" vertical="center"/>
      <protection hidden="1"/>
    </xf>
    <xf numFmtId="9" fontId="36" fillId="2" borderId="0" xfId="0" applyNumberFormat="1" applyFont="1" applyFill="1" applyAlignment="1" applyProtection="1">
      <alignment horizontal="center" vertical="center"/>
      <protection hidden="1"/>
    </xf>
    <xf numFmtId="0" fontId="36" fillId="2" borderId="0" xfId="0" applyFont="1" applyFill="1" applyAlignment="1" applyProtection="1">
      <alignment horizontal="center" vertical="center"/>
      <protection hidden="1"/>
    </xf>
    <xf numFmtId="9" fontId="36" fillId="2" borderId="0" xfId="2" applyFont="1" applyFill="1" applyBorder="1" applyAlignment="1" applyProtection="1">
      <alignment horizontal="center" vertical="center"/>
      <protection hidden="1"/>
    </xf>
    <xf numFmtId="0" fontId="37" fillId="2" borderId="0" xfId="0" applyFont="1" applyFill="1" applyAlignment="1" applyProtection="1">
      <alignment horizontal="center" vertical="center" wrapText="1"/>
      <protection hidden="1"/>
    </xf>
    <xf numFmtId="0" fontId="35" fillId="10" borderId="0" xfId="0" applyFont="1" applyFill="1" applyAlignment="1" applyProtection="1">
      <alignment horizontal="center" vertical="center"/>
      <protection hidden="1"/>
    </xf>
    <xf numFmtId="0" fontId="38" fillId="10" borderId="0" xfId="0" applyFont="1" applyFill="1" applyAlignment="1" applyProtection="1">
      <alignment horizontal="left" vertical="center" wrapText="1"/>
      <protection hidden="1"/>
    </xf>
    <xf numFmtId="9" fontId="36" fillId="10" borderId="0" xfId="0" applyNumberFormat="1" applyFont="1" applyFill="1" applyAlignment="1" applyProtection="1">
      <alignment horizontal="center" vertical="center"/>
      <protection locked="0"/>
    </xf>
    <xf numFmtId="9" fontId="40" fillId="5" borderId="1" xfId="0" applyNumberFormat="1" applyFont="1" applyFill="1" applyBorder="1" applyAlignment="1" applyProtection="1">
      <alignment horizontal="center" vertical="center"/>
      <protection locked="0"/>
    </xf>
    <xf numFmtId="0" fontId="40" fillId="10" borderId="0" xfId="0" applyFont="1" applyFill="1" applyAlignment="1" applyProtection="1">
      <alignment horizontal="center" vertical="center"/>
      <protection hidden="1"/>
    </xf>
    <xf numFmtId="9" fontId="40" fillId="5" borderId="1" xfId="2" applyFont="1" applyFill="1" applyBorder="1" applyAlignment="1" applyProtection="1">
      <alignment horizontal="center" vertical="center"/>
      <protection locked="0"/>
    </xf>
    <xf numFmtId="0" fontId="8" fillId="2" borderId="1" xfId="0" applyFont="1" applyFill="1" applyBorder="1" applyAlignment="1" applyProtection="1">
      <alignment horizontal="center" vertical="center" wrapText="1"/>
      <protection hidden="1"/>
    </xf>
    <xf numFmtId="9" fontId="36" fillId="10" borderId="0" xfId="0" applyNumberFormat="1" applyFont="1" applyFill="1" applyAlignment="1" applyProtection="1">
      <alignment horizontal="center" vertical="center"/>
      <protection hidden="1"/>
    </xf>
    <xf numFmtId="0" fontId="36" fillId="10" borderId="0" xfId="0" applyFont="1" applyFill="1" applyAlignment="1" applyProtection="1">
      <alignment horizontal="center" vertical="center"/>
      <protection hidden="1"/>
    </xf>
    <xf numFmtId="9" fontId="36" fillId="10" borderId="0" xfId="2" applyFont="1" applyFill="1" applyBorder="1" applyAlignment="1" applyProtection="1">
      <alignment horizontal="center" vertical="center"/>
      <protection hidden="1"/>
    </xf>
    <xf numFmtId="0" fontId="37" fillId="10" borderId="0" xfId="0" applyFont="1" applyFill="1" applyAlignment="1" applyProtection="1">
      <alignment horizontal="center" vertical="center" wrapText="1"/>
      <protection hidden="1"/>
    </xf>
    <xf numFmtId="0" fontId="41" fillId="10" borderId="0" xfId="0" applyFont="1" applyFill="1" applyAlignment="1" applyProtection="1">
      <alignment horizontal="center" vertical="center"/>
      <protection hidden="1"/>
    </xf>
    <xf numFmtId="164" fontId="35" fillId="2" borderId="0" xfId="0" applyNumberFormat="1" applyFont="1" applyFill="1" applyAlignment="1" applyProtection="1">
      <alignment horizontal="center" vertical="center"/>
      <protection hidden="1"/>
    </xf>
    <xf numFmtId="164" fontId="35" fillId="10" borderId="0" xfId="0" applyNumberFormat="1" applyFont="1" applyFill="1" applyAlignment="1" applyProtection="1">
      <alignment horizontal="center" vertical="center"/>
      <protection hidden="1"/>
    </xf>
    <xf numFmtId="0" fontId="42" fillId="10" borderId="0" xfId="0" applyFont="1" applyFill="1" applyAlignment="1" applyProtection="1">
      <alignment horizontal="center" vertical="center"/>
      <protection hidden="1"/>
    </xf>
    <xf numFmtId="0" fontId="43" fillId="10" borderId="0" xfId="0" applyFont="1" applyFill="1" applyAlignment="1" applyProtection="1">
      <alignment horizontal="center" vertical="center" wrapText="1"/>
      <protection hidden="1"/>
    </xf>
    <xf numFmtId="164" fontId="17" fillId="2" borderId="0" xfId="0" applyNumberFormat="1" applyFont="1" applyFill="1" applyAlignment="1" applyProtection="1">
      <alignment vertical="center" wrapText="1"/>
      <protection hidden="1"/>
    </xf>
    <xf numFmtId="164" fontId="17" fillId="10" borderId="2" xfId="0" applyNumberFormat="1" applyFont="1" applyFill="1" applyBorder="1" applyAlignment="1" applyProtection="1">
      <alignment vertical="center" wrapText="1"/>
      <protection hidden="1"/>
    </xf>
    <xf numFmtId="0" fontId="44" fillId="10" borderId="2" xfId="0" applyFont="1" applyFill="1" applyBorder="1" applyAlignment="1" applyProtection="1">
      <alignment horizontal="left"/>
      <protection hidden="1"/>
    </xf>
    <xf numFmtId="0" fontId="35" fillId="10" borderId="2" xfId="0" applyFont="1" applyFill="1" applyBorder="1" applyAlignment="1" applyProtection="1">
      <alignment horizontal="center" vertical="center"/>
      <protection hidden="1"/>
    </xf>
    <xf numFmtId="164" fontId="17" fillId="10" borderId="0" xfId="0" applyNumberFormat="1" applyFont="1" applyFill="1" applyAlignment="1" applyProtection="1">
      <alignment vertical="center" wrapText="1"/>
      <protection hidden="1"/>
    </xf>
    <xf numFmtId="0" fontId="45" fillId="11" borderId="0" xfId="0" applyFont="1" applyFill="1" applyAlignment="1" applyProtection="1">
      <alignment horizontal="center" vertical="center"/>
      <protection hidden="1"/>
    </xf>
    <xf numFmtId="0" fontId="35" fillId="11" borderId="0" xfId="0" applyFont="1" applyFill="1" applyAlignment="1" applyProtection="1">
      <alignment horizontal="center" vertical="center"/>
      <protection hidden="1"/>
    </xf>
    <xf numFmtId="164" fontId="7" fillId="2" borderId="0" xfId="0" applyNumberFormat="1" applyFont="1" applyFill="1" applyAlignment="1" applyProtection="1">
      <alignment horizontal="center" vertical="center"/>
      <protection hidden="1"/>
    </xf>
    <xf numFmtId="164" fontId="7" fillId="10" borderId="0" xfId="0" applyNumberFormat="1" applyFont="1" applyFill="1" applyAlignment="1" applyProtection="1">
      <alignment horizontal="center" vertical="center"/>
      <protection hidden="1"/>
    </xf>
    <xf numFmtId="164" fontId="36" fillId="10" borderId="0" xfId="0" applyNumberFormat="1" applyFont="1" applyFill="1" applyAlignment="1" applyProtection="1">
      <alignment horizontal="center" vertical="center"/>
      <protection locked="0"/>
    </xf>
    <xf numFmtId="164" fontId="9" fillId="10" borderId="0" xfId="0" applyNumberFormat="1" applyFont="1" applyFill="1" applyAlignment="1" applyProtection="1">
      <alignment horizontal="center" vertical="center"/>
      <protection hidden="1"/>
    </xf>
    <xf numFmtId="0" fontId="12" fillId="2" borderId="8" xfId="3" applyFont="1" applyFill="1" applyBorder="1" applyAlignment="1" applyProtection="1">
      <alignment horizontal="center" vertical="center" wrapText="1"/>
      <protection hidden="1"/>
    </xf>
    <xf numFmtId="0" fontId="8" fillId="2" borderId="6" xfId="0" applyFont="1" applyFill="1" applyBorder="1" applyAlignment="1" applyProtection="1">
      <alignment horizontal="center" vertical="center" wrapText="1"/>
      <protection hidden="1"/>
    </xf>
    <xf numFmtId="165" fontId="7" fillId="2" borderId="0" xfId="0" applyNumberFormat="1" applyFont="1" applyFill="1" applyAlignment="1" applyProtection="1">
      <alignment horizontal="center" vertical="center" wrapText="1"/>
      <protection hidden="1"/>
    </xf>
    <xf numFmtId="165" fontId="7" fillId="10" borderId="0" xfId="0" applyNumberFormat="1" applyFont="1" applyFill="1" applyAlignment="1" applyProtection="1">
      <alignment horizontal="center" vertical="center" wrapText="1"/>
      <protection hidden="1"/>
    </xf>
    <xf numFmtId="165" fontId="36" fillId="10" borderId="0" xfId="0" applyNumberFormat="1" applyFont="1" applyFill="1" applyAlignment="1" applyProtection="1">
      <alignment horizontal="center" vertical="center" wrapText="1"/>
      <protection locked="0"/>
    </xf>
    <xf numFmtId="165" fontId="9" fillId="13" borderId="6" xfId="0" applyNumberFormat="1" applyFont="1" applyFill="1" applyBorder="1" applyAlignment="1" applyProtection="1">
      <alignment horizontal="center" vertical="center" wrapText="1"/>
      <protection locked="0"/>
    </xf>
    <xf numFmtId="165" fontId="9" fillId="10" borderId="0" xfId="0" applyNumberFormat="1" applyFont="1" applyFill="1" applyAlignment="1" applyProtection="1">
      <alignment horizontal="center" vertical="center" wrapText="1"/>
      <protection hidden="1"/>
    </xf>
    <xf numFmtId="165" fontId="9" fillId="13" borderId="1" xfId="0" applyNumberFormat="1" applyFont="1" applyFill="1" applyBorder="1" applyAlignment="1" applyProtection="1">
      <alignment horizontal="center" vertical="center" wrapText="1"/>
      <protection locked="0"/>
    </xf>
    <xf numFmtId="0" fontId="9" fillId="2" borderId="0" xfId="0" applyFont="1" applyFill="1" applyAlignment="1" applyProtection="1">
      <alignment horizontal="center" vertical="center"/>
      <protection hidden="1"/>
    </xf>
    <xf numFmtId="0" fontId="9" fillId="10" borderId="0" xfId="0" applyFont="1" applyFill="1" applyAlignment="1" applyProtection="1">
      <alignment horizontal="center" vertical="center"/>
      <protection hidden="1"/>
    </xf>
    <xf numFmtId="0" fontId="46" fillId="10" borderId="0" xfId="0" applyFont="1" applyFill="1" applyAlignment="1" applyProtection="1">
      <alignment vertical="center"/>
      <protection hidden="1"/>
    </xf>
    <xf numFmtId="0" fontId="47" fillId="10" borderId="0" xfId="0" applyFont="1" applyFill="1" applyAlignment="1" applyProtection="1">
      <alignment horizontal="center" vertical="center"/>
      <protection hidden="1"/>
    </xf>
    <xf numFmtId="0" fontId="35" fillId="10" borderId="0" xfId="0" applyFont="1" applyFill="1" applyAlignment="1" applyProtection="1">
      <alignment horizontal="center" vertical="center" wrapText="1"/>
      <protection hidden="1"/>
    </xf>
    <xf numFmtId="1" fontId="7" fillId="2" borderId="0" xfId="2" applyNumberFormat="1" applyFont="1" applyFill="1" applyBorder="1" applyAlignment="1" applyProtection="1">
      <alignment horizontal="center" vertical="center"/>
      <protection hidden="1"/>
    </xf>
    <xf numFmtId="1" fontId="7" fillId="10" borderId="0" xfId="2" applyNumberFormat="1" applyFont="1" applyFill="1" applyBorder="1" applyAlignment="1" applyProtection="1">
      <alignment horizontal="center" vertical="center"/>
      <protection hidden="1"/>
    </xf>
    <xf numFmtId="1" fontId="36" fillId="10" borderId="12" xfId="2" applyNumberFormat="1" applyFont="1" applyFill="1" applyBorder="1" applyAlignment="1" applyProtection="1">
      <alignment horizontal="center" vertical="center"/>
      <protection locked="0"/>
    </xf>
    <xf numFmtId="1" fontId="9" fillId="13" borderId="1" xfId="2" applyNumberFormat="1" applyFont="1" applyFill="1" applyBorder="1" applyAlignment="1" applyProtection="1">
      <alignment horizontal="center" vertical="center"/>
      <protection locked="0"/>
    </xf>
    <xf numFmtId="1" fontId="9" fillId="10" borderId="7" xfId="2" applyNumberFormat="1" applyFont="1" applyFill="1" applyBorder="1" applyAlignment="1" applyProtection="1">
      <alignment horizontal="center" vertical="center"/>
      <protection hidden="1"/>
    </xf>
    <xf numFmtId="1" fontId="9" fillId="13" borderId="4" xfId="2" applyNumberFormat="1" applyFont="1" applyFill="1" applyBorder="1" applyAlignment="1" applyProtection="1">
      <alignment horizontal="center" vertical="center"/>
      <protection locked="0"/>
    </xf>
    <xf numFmtId="1" fontId="9" fillId="13" borderId="3" xfId="2" applyNumberFormat="1" applyFont="1" applyFill="1" applyBorder="1" applyAlignment="1" applyProtection="1">
      <alignment horizontal="center" vertical="center"/>
      <protection locked="0"/>
    </xf>
    <xf numFmtId="164" fontId="7" fillId="2" borderId="0" xfId="2" applyNumberFormat="1" applyFont="1" applyFill="1" applyBorder="1" applyAlignment="1" applyProtection="1">
      <alignment horizontal="center" vertical="center"/>
      <protection hidden="1"/>
    </xf>
    <xf numFmtId="164" fontId="7" fillId="10" borderId="0" xfId="2" applyNumberFormat="1" applyFont="1" applyFill="1" applyBorder="1" applyAlignment="1" applyProtection="1">
      <alignment horizontal="center" vertical="center"/>
      <protection hidden="1"/>
    </xf>
    <xf numFmtId="164" fontId="36" fillId="10" borderId="12" xfId="2" applyNumberFormat="1" applyFont="1" applyFill="1" applyBorder="1" applyAlignment="1" applyProtection="1">
      <alignment horizontal="center" vertical="center"/>
      <protection locked="0"/>
    </xf>
    <xf numFmtId="164" fontId="9" fillId="13" borderId="1" xfId="2" applyNumberFormat="1" applyFont="1" applyFill="1" applyBorder="1" applyAlignment="1" applyProtection="1">
      <alignment horizontal="center" vertical="center"/>
      <protection locked="0"/>
    </xf>
    <xf numFmtId="164" fontId="9" fillId="10" borderId="7" xfId="2" applyNumberFormat="1" applyFont="1" applyFill="1" applyBorder="1" applyAlignment="1" applyProtection="1">
      <alignment horizontal="center" vertical="center"/>
      <protection hidden="1"/>
    </xf>
    <xf numFmtId="164" fontId="9" fillId="13" borderId="4" xfId="2" applyNumberFormat="1" applyFont="1" applyFill="1" applyBorder="1" applyAlignment="1" applyProtection="1">
      <alignment horizontal="center" vertical="center"/>
      <protection locked="0"/>
    </xf>
    <xf numFmtId="164" fontId="9" fillId="13" borderId="3" xfId="2" applyNumberFormat="1" applyFont="1" applyFill="1" applyBorder="1" applyAlignment="1" applyProtection="1">
      <alignment horizontal="center" vertical="center"/>
      <protection locked="0"/>
    </xf>
    <xf numFmtId="9" fontId="7" fillId="2" borderId="0" xfId="2" applyFont="1" applyFill="1" applyBorder="1" applyAlignment="1" applyProtection="1">
      <alignment horizontal="center" vertical="center"/>
      <protection hidden="1"/>
    </xf>
    <xf numFmtId="9" fontId="7" fillId="10" borderId="0" xfId="2" applyFont="1" applyFill="1" applyBorder="1" applyAlignment="1" applyProtection="1">
      <alignment horizontal="center" vertical="center"/>
      <protection hidden="1"/>
    </xf>
    <xf numFmtId="9" fontId="36" fillId="10" borderId="12" xfId="2" applyFont="1" applyFill="1" applyBorder="1" applyAlignment="1" applyProtection="1">
      <alignment horizontal="center" vertical="center"/>
      <protection locked="0"/>
    </xf>
    <xf numFmtId="9" fontId="9" fillId="13" borderId="1" xfId="2" applyFont="1" applyFill="1" applyBorder="1" applyAlignment="1" applyProtection="1">
      <alignment horizontal="center" vertical="center"/>
      <protection locked="0"/>
    </xf>
    <xf numFmtId="9" fontId="9" fillId="10" borderId="7" xfId="2" applyFont="1" applyFill="1" applyBorder="1" applyAlignment="1" applyProtection="1">
      <alignment horizontal="center" vertical="center"/>
      <protection hidden="1"/>
    </xf>
    <xf numFmtId="9" fontId="9" fillId="13" borderId="4" xfId="2" applyFont="1" applyFill="1" applyBorder="1" applyAlignment="1" applyProtection="1">
      <alignment horizontal="center" vertical="center"/>
      <protection locked="0"/>
    </xf>
    <xf numFmtId="9" fontId="9" fillId="13" borderId="3" xfId="2" applyFont="1" applyFill="1" applyBorder="1" applyAlignment="1" applyProtection="1">
      <alignment horizontal="center" vertical="center"/>
      <protection locked="0"/>
    </xf>
    <xf numFmtId="166" fontId="7" fillId="2" borderId="0" xfId="2" applyNumberFormat="1" applyFont="1" applyFill="1" applyBorder="1" applyAlignment="1" applyProtection="1">
      <alignment horizontal="center" vertical="center"/>
      <protection hidden="1"/>
    </xf>
    <xf numFmtId="166" fontId="7" fillId="10" borderId="0" xfId="2" applyNumberFormat="1" applyFont="1" applyFill="1" applyBorder="1" applyAlignment="1" applyProtection="1">
      <alignment horizontal="center" vertical="center"/>
      <protection hidden="1"/>
    </xf>
    <xf numFmtId="166" fontId="36" fillId="10" borderId="12" xfId="2" applyNumberFormat="1" applyFont="1" applyFill="1" applyBorder="1" applyAlignment="1" applyProtection="1">
      <alignment horizontal="center" vertical="center"/>
      <protection locked="0"/>
    </xf>
    <xf numFmtId="166" fontId="9" fillId="13" borderId="1" xfId="2" applyNumberFormat="1" applyFont="1" applyFill="1" applyBorder="1" applyAlignment="1" applyProtection="1">
      <alignment horizontal="center" vertical="center"/>
      <protection locked="0"/>
    </xf>
    <xf numFmtId="166" fontId="9" fillId="10" borderId="7" xfId="2" applyNumberFormat="1" applyFont="1" applyFill="1" applyBorder="1" applyAlignment="1" applyProtection="1">
      <alignment horizontal="center" vertical="center"/>
      <protection hidden="1"/>
    </xf>
    <xf numFmtId="166" fontId="9" fillId="13" borderId="4" xfId="2" applyNumberFormat="1" applyFont="1" applyFill="1" applyBorder="1" applyAlignment="1" applyProtection="1">
      <alignment horizontal="center" vertical="center"/>
      <protection locked="0"/>
    </xf>
    <xf numFmtId="166" fontId="9" fillId="13" borderId="3" xfId="2" applyNumberFormat="1" applyFont="1" applyFill="1" applyBorder="1" applyAlignment="1" applyProtection="1">
      <alignment horizontal="center" vertical="center"/>
      <protection locked="0"/>
    </xf>
    <xf numFmtId="0" fontId="9" fillId="2" borderId="0" xfId="0" applyFont="1" applyFill="1" applyAlignment="1" applyProtection="1">
      <alignment vertical="center"/>
      <protection hidden="1"/>
    </xf>
    <xf numFmtId="0" fontId="9" fillId="10" borderId="0" xfId="0" applyFont="1" applyFill="1" applyAlignment="1" applyProtection="1">
      <alignment vertical="center"/>
      <protection hidden="1"/>
    </xf>
    <xf numFmtId="2" fontId="36" fillId="10" borderId="0" xfId="0" applyNumberFormat="1" applyFont="1" applyFill="1" applyAlignment="1" applyProtection="1">
      <alignment horizontal="center" vertical="center"/>
      <protection hidden="1"/>
    </xf>
    <xf numFmtId="2" fontId="40" fillId="2" borderId="1" xfId="0" applyNumberFormat="1" applyFont="1" applyFill="1" applyBorder="1" applyAlignment="1" applyProtection="1">
      <alignment horizontal="center" vertical="center"/>
      <protection hidden="1"/>
    </xf>
    <xf numFmtId="2" fontId="40" fillId="10" borderId="0" xfId="0" applyNumberFormat="1" applyFont="1" applyFill="1" applyAlignment="1" applyProtection="1">
      <alignment horizontal="center" vertical="center"/>
      <protection hidden="1"/>
    </xf>
    <xf numFmtId="0" fontId="35" fillId="0" borderId="0" xfId="0" applyFont="1" applyAlignment="1" applyProtection="1">
      <alignment horizontal="center" vertical="center"/>
      <protection hidden="1"/>
    </xf>
    <xf numFmtId="9" fontId="48" fillId="10" borderId="12" xfId="2" applyFont="1" applyFill="1" applyBorder="1" applyAlignment="1" applyProtection="1">
      <alignment horizontal="center" vertical="center"/>
      <protection hidden="1"/>
    </xf>
    <xf numFmtId="9" fontId="49" fillId="0" borderId="8" xfId="2" applyFont="1" applyFill="1" applyBorder="1" applyAlignment="1" applyProtection="1">
      <alignment horizontal="center" vertical="center"/>
      <protection hidden="1"/>
    </xf>
    <xf numFmtId="9" fontId="49" fillId="10" borderId="7" xfId="2" applyFont="1" applyFill="1" applyBorder="1" applyAlignment="1" applyProtection="1">
      <alignment horizontal="center" vertical="center"/>
      <protection hidden="1"/>
    </xf>
    <xf numFmtId="9" fontId="49" fillId="0" borderId="15" xfId="2" applyFont="1" applyFill="1" applyBorder="1" applyAlignment="1" applyProtection="1">
      <alignment horizontal="center" vertical="center"/>
      <protection hidden="1"/>
    </xf>
    <xf numFmtId="9" fontId="49" fillId="0" borderId="14" xfId="2" applyFont="1" applyFill="1" applyBorder="1" applyAlignment="1" applyProtection="1">
      <alignment horizontal="center" vertical="center"/>
      <protection hidden="1"/>
    </xf>
    <xf numFmtId="0" fontId="50" fillId="2" borderId="8" xfId="0" applyFont="1" applyFill="1" applyBorder="1" applyAlignment="1" applyProtection="1">
      <alignment horizontal="center" vertical="center" wrapText="1"/>
      <protection hidden="1"/>
    </xf>
    <xf numFmtId="9" fontId="9" fillId="13" borderId="6" xfId="2" applyFont="1" applyFill="1" applyBorder="1" applyAlignment="1" applyProtection="1">
      <alignment horizontal="center" vertical="center"/>
      <protection locked="0"/>
    </xf>
    <xf numFmtId="9" fontId="9" fillId="13" borderId="11" xfId="2" applyFont="1" applyFill="1" applyBorder="1" applyAlignment="1" applyProtection="1">
      <alignment horizontal="center" vertical="center"/>
      <protection locked="0"/>
    </xf>
    <xf numFmtId="9" fontId="9" fillId="13" borderId="9" xfId="2" applyFont="1" applyFill="1" applyBorder="1" applyAlignment="1" applyProtection="1">
      <alignment horizontal="center" vertical="center"/>
      <protection locked="0"/>
    </xf>
    <xf numFmtId="2" fontId="7" fillId="2" borderId="0" xfId="2" applyNumberFormat="1" applyFont="1" applyFill="1" applyBorder="1" applyAlignment="1" applyProtection="1">
      <alignment horizontal="center" vertical="center"/>
      <protection hidden="1"/>
    </xf>
    <xf numFmtId="2" fontId="7" fillId="10" borderId="0" xfId="2" applyNumberFormat="1" applyFont="1" applyFill="1" applyBorder="1" applyAlignment="1" applyProtection="1">
      <alignment horizontal="center" vertical="center"/>
      <protection hidden="1"/>
    </xf>
    <xf numFmtId="2" fontId="36" fillId="10" borderId="12" xfId="2" applyNumberFormat="1" applyFont="1" applyFill="1" applyBorder="1" applyAlignment="1" applyProtection="1">
      <alignment horizontal="center" vertical="center"/>
      <protection locked="0"/>
    </xf>
    <xf numFmtId="2" fontId="40" fillId="10" borderId="7" xfId="2" applyNumberFormat="1" applyFont="1" applyFill="1" applyBorder="1" applyAlignment="1" applyProtection="1">
      <alignment horizontal="center" vertical="center"/>
      <protection hidden="1"/>
    </xf>
    <xf numFmtId="1" fontId="40" fillId="2" borderId="14" xfId="2" applyNumberFormat="1" applyFont="1" applyFill="1" applyBorder="1" applyAlignment="1" applyProtection="1">
      <alignment horizontal="center" vertical="center"/>
      <protection hidden="1"/>
    </xf>
    <xf numFmtId="1" fontId="40" fillId="10" borderId="7" xfId="2" applyNumberFormat="1" applyFont="1" applyFill="1" applyBorder="1" applyAlignment="1" applyProtection="1">
      <alignment horizontal="center" vertical="center"/>
      <protection hidden="1"/>
    </xf>
    <xf numFmtId="0" fontId="17" fillId="2" borderId="0" xfId="0" applyFont="1" applyFill="1" applyAlignment="1" applyProtection="1">
      <alignment vertical="center" wrapText="1"/>
      <protection hidden="1"/>
    </xf>
    <xf numFmtId="0" fontId="17" fillId="10" borderId="0" xfId="0" applyFont="1" applyFill="1" applyAlignment="1" applyProtection="1">
      <alignment vertical="center" wrapText="1"/>
      <protection hidden="1"/>
    </xf>
    <xf numFmtId="7" fontId="36" fillId="10" borderId="0" xfId="1" applyNumberFormat="1" applyFont="1" applyFill="1" applyBorder="1" applyAlignment="1" applyProtection="1">
      <alignment horizontal="center" vertical="center"/>
      <protection locked="0"/>
    </xf>
    <xf numFmtId="0" fontId="7" fillId="2" borderId="0" xfId="0" applyFont="1" applyFill="1" applyAlignment="1" applyProtection="1">
      <alignment vertical="center" wrapText="1"/>
      <protection hidden="1"/>
    </xf>
    <xf numFmtId="0" fontId="7" fillId="10" borderId="0" xfId="0" applyFont="1" applyFill="1" applyAlignment="1" applyProtection="1">
      <alignment vertical="center" wrapText="1"/>
      <protection hidden="1"/>
    </xf>
    <xf numFmtId="0" fontId="52" fillId="10" borderId="0" xfId="0" applyFont="1" applyFill="1" applyAlignment="1" applyProtection="1">
      <alignment horizontal="center" vertical="center" wrapText="1"/>
      <protection hidden="1"/>
    </xf>
    <xf numFmtId="0" fontId="46" fillId="10" borderId="0" xfId="0" applyFont="1" applyFill="1" applyAlignment="1" applyProtection="1">
      <alignment horizontal="center" vertical="center" wrapText="1"/>
      <protection hidden="1"/>
    </xf>
    <xf numFmtId="0" fontId="9" fillId="2" borderId="0" xfId="0" applyFont="1" applyFill="1" applyAlignment="1" applyProtection="1">
      <alignment horizontal="center" vertical="center" wrapText="1"/>
      <protection hidden="1"/>
    </xf>
    <xf numFmtId="0" fontId="9" fillId="10" borderId="0" xfId="0" applyFont="1" applyFill="1" applyAlignment="1" applyProtection="1">
      <alignment horizontal="center" vertical="center" wrapText="1"/>
      <protection hidden="1"/>
    </xf>
    <xf numFmtId="0" fontId="36" fillId="10" borderId="0" xfId="0" applyFont="1" applyFill="1" applyAlignment="1" applyProtection="1">
      <alignment horizontal="center" vertical="center" wrapText="1"/>
      <protection locked="0"/>
    </xf>
    <xf numFmtId="0" fontId="40" fillId="10" borderId="0" xfId="0" applyFont="1" applyFill="1" applyAlignment="1" applyProtection="1">
      <alignment vertical="center" wrapText="1"/>
      <protection hidden="1"/>
    </xf>
    <xf numFmtId="0" fontId="40" fillId="5" borderId="1" xfId="0" applyFont="1" applyFill="1" applyBorder="1" applyAlignment="1" applyProtection="1">
      <alignment horizontal="center" vertical="center" wrapText="1"/>
      <protection locked="0"/>
    </xf>
    <xf numFmtId="0" fontId="45" fillId="11" borderId="14" xfId="0" applyFont="1" applyFill="1" applyBorder="1" applyAlignment="1" applyProtection="1">
      <alignment horizontal="center" vertical="center" wrapText="1"/>
      <protection hidden="1"/>
    </xf>
    <xf numFmtId="0" fontId="8" fillId="10" borderId="0" xfId="0" applyFont="1" applyFill="1" applyAlignment="1" applyProtection="1">
      <alignment horizontal="center" vertical="center" wrapText="1"/>
      <protection hidden="1"/>
    </xf>
    <xf numFmtId="0" fontId="8" fillId="2" borderId="1" xfId="0" applyFont="1" applyFill="1" applyBorder="1" applyAlignment="1" applyProtection="1">
      <alignment horizontal="center" vertical="center"/>
      <protection hidden="1"/>
    </xf>
    <xf numFmtId="0" fontId="8" fillId="2" borderId="4" xfId="0" applyFont="1" applyFill="1" applyBorder="1" applyAlignment="1" applyProtection="1">
      <alignment horizontal="center" vertical="center" wrapText="1"/>
      <protection hidden="1"/>
    </xf>
    <xf numFmtId="0" fontId="9" fillId="10" borderId="15" xfId="0" applyFont="1" applyFill="1" applyBorder="1" applyAlignment="1" applyProtection="1">
      <alignment vertical="center"/>
      <protection hidden="1"/>
    </xf>
    <xf numFmtId="0" fontId="35" fillId="2" borderId="0" xfId="0" applyFont="1" applyFill="1" applyAlignment="1" applyProtection="1">
      <alignment vertical="center" wrapText="1"/>
      <protection hidden="1"/>
    </xf>
    <xf numFmtId="0" fontId="35" fillId="10" borderId="0" xfId="0" applyFont="1" applyFill="1" applyAlignment="1" applyProtection="1">
      <alignment vertical="center" wrapText="1"/>
      <protection hidden="1"/>
    </xf>
    <xf numFmtId="0" fontId="53" fillId="10" borderId="0" xfId="0" applyFont="1" applyFill="1" applyAlignment="1" applyProtection="1">
      <alignment horizontal="center" vertical="center" wrapText="1"/>
      <protection hidden="1"/>
    </xf>
    <xf numFmtId="9" fontId="54" fillId="10" borderId="0" xfId="2" applyFont="1" applyFill="1" applyBorder="1" applyAlignment="1" applyProtection="1">
      <alignment horizontal="center" vertical="center"/>
      <protection hidden="1"/>
    </xf>
    <xf numFmtId="0" fontId="55" fillId="10" borderId="0" xfId="0" applyFont="1" applyFill="1" applyAlignment="1" applyProtection="1">
      <alignment horizontal="center" vertical="center" wrapText="1"/>
      <protection hidden="1"/>
    </xf>
    <xf numFmtId="0" fontId="7" fillId="2" borderId="0" xfId="0" applyFont="1" applyFill="1" applyAlignment="1" applyProtection="1">
      <alignment horizontal="center" vertical="center" wrapText="1"/>
      <protection hidden="1"/>
    </xf>
    <xf numFmtId="0" fontId="7" fillId="10" borderId="0" xfId="0" applyFont="1" applyFill="1" applyAlignment="1" applyProtection="1">
      <alignment vertical="center"/>
      <protection hidden="1"/>
    </xf>
    <xf numFmtId="0" fontId="36" fillId="10" borderId="0" xfId="0" applyFont="1" applyFill="1" applyAlignment="1" applyProtection="1">
      <alignment horizontal="left" vertical="center" wrapText="1"/>
      <protection hidden="1"/>
    </xf>
    <xf numFmtId="9" fontId="56" fillId="2" borderId="3" xfId="2" applyFont="1" applyFill="1" applyBorder="1" applyAlignment="1" applyProtection="1">
      <alignment horizontal="center" vertical="center"/>
      <protection hidden="1"/>
    </xf>
    <xf numFmtId="0" fontId="35" fillId="10" borderId="0" xfId="0" applyFont="1" applyFill="1" applyAlignment="1" applyProtection="1">
      <alignment vertical="center"/>
      <protection hidden="1"/>
    </xf>
    <xf numFmtId="9" fontId="36" fillId="2" borderId="3" xfId="2" applyFont="1" applyFill="1" applyBorder="1" applyAlignment="1" applyProtection="1">
      <alignment horizontal="center" vertical="center"/>
      <protection hidden="1"/>
    </xf>
    <xf numFmtId="0" fontId="8" fillId="2" borderId="0" xfId="0" applyFont="1" applyFill="1" applyAlignment="1" applyProtection="1">
      <alignment horizontal="left" vertical="center" wrapText="1"/>
      <protection hidden="1"/>
    </xf>
    <xf numFmtId="3" fontId="36" fillId="2" borderId="9" xfId="0" applyNumberFormat="1" applyFont="1" applyFill="1" applyBorder="1" applyAlignment="1" applyProtection="1">
      <alignment horizontal="center" vertical="center"/>
      <protection hidden="1"/>
    </xf>
    <xf numFmtId="3" fontId="9" fillId="13" borderId="3" xfId="0" applyNumberFormat="1" applyFont="1" applyFill="1" applyBorder="1" applyAlignment="1" applyProtection="1">
      <alignment horizontal="center" vertical="center"/>
      <protection locked="0"/>
    </xf>
    <xf numFmtId="0" fontId="8" fillId="2" borderId="0" xfId="0" applyFont="1" applyFill="1" applyAlignment="1" applyProtection="1">
      <alignment horizontal="center" vertical="center" wrapText="1"/>
      <protection hidden="1"/>
    </xf>
    <xf numFmtId="0" fontId="36" fillId="10" borderId="0" xfId="0" applyFont="1" applyFill="1" applyAlignment="1" applyProtection="1">
      <alignment horizontal="left" vertical="center"/>
      <protection hidden="1"/>
    </xf>
    <xf numFmtId="0" fontId="36" fillId="2" borderId="3" xfId="0" applyFont="1" applyFill="1" applyBorder="1" applyAlignment="1" applyProtection="1">
      <alignment horizontal="center" vertical="center"/>
      <protection hidden="1"/>
    </xf>
    <xf numFmtId="0" fontId="9" fillId="13" borderId="1" xfId="0" applyFont="1" applyFill="1" applyBorder="1" applyAlignment="1" applyProtection="1">
      <alignment horizontal="center" vertical="center"/>
      <protection locked="0"/>
    </xf>
    <xf numFmtId="0" fontId="46" fillId="2" borderId="0" xfId="0" applyFont="1" applyFill="1" applyAlignment="1" applyProtection="1">
      <alignment horizontal="center" vertical="center"/>
      <protection hidden="1"/>
    </xf>
    <xf numFmtId="0" fontId="46" fillId="10" borderId="0" xfId="0" applyFont="1" applyFill="1" applyAlignment="1" applyProtection="1">
      <alignment horizontal="center" vertical="center"/>
      <protection hidden="1"/>
    </xf>
    <xf numFmtId="0" fontId="46" fillId="10" borderId="0" xfId="0" applyFont="1" applyFill="1" applyAlignment="1" applyProtection="1">
      <alignment horizontal="left" vertical="center"/>
      <protection hidden="1"/>
    </xf>
    <xf numFmtId="0" fontId="41" fillId="2" borderId="0" xfId="0" applyFont="1" applyFill="1" applyAlignment="1" applyProtection="1">
      <alignment horizontal="right" vertical="center"/>
      <protection hidden="1"/>
    </xf>
    <xf numFmtId="0" fontId="41" fillId="10" borderId="0" xfId="0" applyFont="1" applyFill="1" applyAlignment="1" applyProtection="1">
      <alignment horizontal="right" vertical="center"/>
      <protection hidden="1"/>
    </xf>
    <xf numFmtId="0" fontId="41" fillId="10" borderId="0" xfId="0" applyFont="1" applyFill="1" applyAlignment="1" applyProtection="1">
      <alignment vertical="center"/>
      <protection hidden="1"/>
    </xf>
    <xf numFmtId="0" fontId="57" fillId="14" borderId="0" xfId="0" applyFont="1" applyFill="1" applyAlignment="1" applyProtection="1">
      <alignment horizontal="center" vertical="center"/>
      <protection hidden="1"/>
    </xf>
    <xf numFmtId="0" fontId="35" fillId="14" borderId="0" xfId="0" applyFont="1" applyFill="1" applyAlignment="1" applyProtection="1">
      <alignment horizontal="center" vertical="center"/>
      <protection hidden="1"/>
    </xf>
    <xf numFmtId="0" fontId="59" fillId="2" borderId="0" xfId="0" applyFont="1" applyFill="1" applyAlignment="1" applyProtection="1">
      <alignment horizontal="left" vertical="center" wrapText="1"/>
      <protection hidden="1"/>
    </xf>
    <xf numFmtId="0" fontId="60" fillId="10" borderId="0" xfId="0" applyFont="1" applyFill="1" applyAlignment="1" applyProtection="1">
      <alignment vertical="center"/>
      <protection hidden="1"/>
    </xf>
    <xf numFmtId="0" fontId="49" fillId="10" borderId="0" xfId="0" applyFont="1" applyFill="1" applyAlignment="1" applyProtection="1">
      <alignment horizontal="left" vertical="center"/>
      <protection hidden="1"/>
    </xf>
    <xf numFmtId="0" fontId="49" fillId="2" borderId="0" xfId="0" applyFont="1" applyFill="1" applyAlignment="1" applyProtection="1">
      <alignment horizontal="left" vertical="center"/>
      <protection hidden="1"/>
    </xf>
    <xf numFmtId="0" fontId="35" fillId="2" borderId="3" xfId="0" applyFont="1" applyFill="1" applyBorder="1" applyAlignment="1" applyProtection="1">
      <alignment horizontal="center" vertical="center"/>
      <protection hidden="1"/>
    </xf>
    <xf numFmtId="0" fontId="35" fillId="0" borderId="0" xfId="0" applyFont="1"/>
    <xf numFmtId="0" fontId="35" fillId="8" borderId="0" xfId="0" applyFont="1" applyFill="1"/>
    <xf numFmtId="164" fontId="7" fillId="8" borderId="0" xfId="0" applyNumberFormat="1" applyFont="1" applyFill="1" applyAlignment="1" applyProtection="1">
      <alignment horizontal="center" vertical="center"/>
      <protection hidden="1"/>
    </xf>
    <xf numFmtId="164" fontId="7" fillId="8" borderId="0" xfId="0" applyNumberFormat="1" applyFont="1" applyFill="1" applyAlignment="1" applyProtection="1">
      <alignment horizontal="center" vertical="center"/>
      <protection locked="0"/>
    </xf>
    <xf numFmtId="164" fontId="25" fillId="2" borderId="0" xfId="0" applyNumberFormat="1" applyFont="1" applyFill="1" applyAlignment="1">
      <alignment horizontal="center" vertical="center"/>
    </xf>
    <xf numFmtId="164" fontId="25" fillId="8" borderId="0" xfId="0" applyNumberFormat="1" applyFont="1" applyFill="1" applyAlignment="1" applyProtection="1">
      <alignment horizontal="center" vertical="center"/>
      <protection hidden="1"/>
    </xf>
    <xf numFmtId="164" fontId="25" fillId="8" borderId="0" xfId="0" applyNumberFormat="1" applyFont="1" applyFill="1" applyAlignment="1" applyProtection="1">
      <alignment horizontal="center" vertical="center"/>
      <protection locked="0"/>
    </xf>
    <xf numFmtId="0" fontId="8" fillId="8" borderId="0" xfId="0" applyFont="1" applyFill="1" applyAlignment="1" applyProtection="1">
      <alignment horizontal="center" vertical="center" wrapText="1"/>
      <protection hidden="1"/>
    </xf>
    <xf numFmtId="0" fontId="63" fillId="2" borderId="1" xfId="0" applyFont="1" applyFill="1" applyBorder="1" applyAlignment="1" applyProtection="1">
      <alignment horizontal="center" vertical="center" wrapText="1"/>
      <protection hidden="1"/>
    </xf>
    <xf numFmtId="164" fontId="25" fillId="2" borderId="2" xfId="0" applyNumberFormat="1" applyFont="1" applyFill="1" applyBorder="1" applyAlignment="1">
      <alignment horizontal="center" vertical="center"/>
    </xf>
    <xf numFmtId="0" fontId="63" fillId="8" borderId="0" xfId="0" applyFont="1" applyFill="1" applyAlignment="1" applyProtection="1">
      <alignment horizontal="center" vertical="center" wrapText="1"/>
      <protection hidden="1"/>
    </xf>
    <xf numFmtId="4" fontId="25" fillId="8" borderId="0" xfId="0" applyNumberFormat="1" applyFont="1" applyFill="1" applyAlignment="1" applyProtection="1">
      <alignment horizontal="center" vertical="center"/>
      <protection locked="0"/>
    </xf>
    <xf numFmtId="0" fontId="8" fillId="8" borderId="0" xfId="0" applyFont="1" applyFill="1" applyAlignment="1" applyProtection="1">
      <alignment vertical="center" wrapText="1"/>
      <protection hidden="1"/>
    </xf>
    <xf numFmtId="4" fontId="25" fillId="2" borderId="0" xfId="0" applyNumberFormat="1" applyFont="1" applyFill="1" applyAlignment="1">
      <alignment horizontal="center" vertical="center"/>
    </xf>
    <xf numFmtId="4" fontId="25" fillId="2" borderId="2" xfId="0" applyNumberFormat="1" applyFont="1" applyFill="1" applyBorder="1" applyAlignment="1">
      <alignment horizontal="center" vertical="center"/>
    </xf>
    <xf numFmtId="164" fontId="42" fillId="2" borderId="0" xfId="0" applyNumberFormat="1" applyFont="1" applyFill="1" applyAlignment="1" applyProtection="1">
      <alignment horizontal="center" vertical="center"/>
      <protection locked="0"/>
    </xf>
    <xf numFmtId="164" fontId="42" fillId="8" borderId="0" xfId="0" applyNumberFormat="1" applyFont="1" applyFill="1" applyAlignment="1" applyProtection="1">
      <alignment horizontal="center" vertical="center"/>
      <protection hidden="1"/>
    </xf>
    <xf numFmtId="164" fontId="42" fillId="2" borderId="0" xfId="0" applyNumberFormat="1" applyFont="1" applyFill="1" applyAlignment="1" applyProtection="1">
      <alignment horizontal="center" vertical="center"/>
      <protection hidden="1"/>
    </xf>
    <xf numFmtId="164" fontId="42" fillId="8" borderId="0" xfId="0" applyNumberFormat="1" applyFont="1" applyFill="1" applyAlignment="1" applyProtection="1">
      <alignment horizontal="center" vertical="center"/>
      <protection locked="0"/>
    </xf>
    <xf numFmtId="165" fontId="7" fillId="8" borderId="0" xfId="0" applyNumberFormat="1" applyFont="1" applyFill="1" applyAlignment="1" applyProtection="1">
      <alignment horizontal="center" vertical="center" wrapText="1"/>
      <protection locked="0"/>
    </xf>
    <xf numFmtId="0" fontId="64" fillId="8" borderId="0" xfId="0" applyFont="1" applyFill="1" applyAlignment="1" applyProtection="1">
      <alignment horizontal="center" vertical="center" wrapText="1"/>
      <protection hidden="1"/>
    </xf>
    <xf numFmtId="0" fontId="9" fillId="0" borderId="0" xfId="0" applyFont="1" applyAlignment="1" applyProtection="1">
      <alignment horizontal="center" vertical="center"/>
      <protection hidden="1"/>
    </xf>
    <xf numFmtId="9" fontId="66" fillId="8" borderId="0" xfId="2" applyFont="1" applyFill="1" applyBorder="1" applyAlignment="1" applyProtection="1">
      <alignment horizontal="left" vertical="center"/>
      <protection hidden="1"/>
    </xf>
    <xf numFmtId="9" fontId="67" fillId="8" borderId="0" xfId="2" applyFont="1" applyFill="1" applyBorder="1" applyAlignment="1" applyProtection="1">
      <alignment horizontal="left" vertical="center"/>
      <protection hidden="1"/>
    </xf>
    <xf numFmtId="9" fontId="7" fillId="8" borderId="0" xfId="2" applyFont="1" applyFill="1" applyBorder="1" applyAlignment="1" applyProtection="1">
      <alignment horizontal="center" vertical="center"/>
      <protection locked="0"/>
    </xf>
    <xf numFmtId="0" fontId="63" fillId="8" borderId="0" xfId="0" applyFont="1" applyFill="1" applyAlignment="1" applyProtection="1">
      <alignment horizontal="right" vertical="center" wrapText="1"/>
      <protection hidden="1"/>
    </xf>
    <xf numFmtId="9" fontId="66" fillId="8" borderId="0" xfId="2" applyFont="1" applyFill="1" applyBorder="1" applyAlignment="1" applyProtection="1">
      <alignment horizontal="left" vertical="center"/>
      <protection locked="0" hidden="1"/>
    </xf>
    <xf numFmtId="2" fontId="38" fillId="8" borderId="0" xfId="2" applyNumberFormat="1" applyFont="1" applyFill="1" applyBorder="1" applyAlignment="1" applyProtection="1">
      <alignment horizontal="center" vertical="center"/>
    </xf>
    <xf numFmtId="9" fontId="67" fillId="8" borderId="0" xfId="2" applyFont="1" applyFill="1" applyBorder="1" applyAlignment="1" applyProtection="1">
      <alignment horizontal="left" vertical="center"/>
      <protection locked="0" hidden="1"/>
    </xf>
    <xf numFmtId="2" fontId="67" fillId="8" borderId="0" xfId="1" applyNumberFormat="1" applyFont="1" applyFill="1" applyBorder="1" applyAlignment="1" applyProtection="1">
      <alignment horizontal="left" vertical="center"/>
      <protection locked="0" hidden="1"/>
    </xf>
    <xf numFmtId="166" fontId="7" fillId="8" borderId="0" xfId="2" applyNumberFormat="1" applyFont="1" applyFill="1" applyBorder="1" applyAlignment="1" applyProtection="1">
      <alignment horizontal="center" vertical="center"/>
      <protection locked="0"/>
    </xf>
    <xf numFmtId="2" fontId="35" fillId="0" borderId="0" xfId="0" applyNumberFormat="1" applyFont="1"/>
    <xf numFmtId="2" fontId="68" fillId="8" borderId="0" xfId="1" applyNumberFormat="1" applyFont="1" applyFill="1" applyBorder="1" applyAlignment="1" applyProtection="1">
      <alignment horizontal="center" vertical="center"/>
      <protection locked="0" hidden="1"/>
    </xf>
    <xf numFmtId="2" fontId="38" fillId="8" borderId="0" xfId="0" applyNumberFormat="1" applyFont="1" applyFill="1" applyAlignment="1" applyProtection="1">
      <alignment horizontal="center" vertical="center"/>
      <protection hidden="1"/>
    </xf>
    <xf numFmtId="2" fontId="7" fillId="8" borderId="0" xfId="1" applyNumberFormat="1" applyFont="1" applyFill="1" applyBorder="1" applyAlignment="1" applyProtection="1">
      <alignment horizontal="center" vertical="center"/>
      <protection locked="0" hidden="1"/>
    </xf>
    <xf numFmtId="2" fontId="7" fillId="8" borderId="0" xfId="0" applyNumberFormat="1" applyFont="1" applyFill="1" applyAlignment="1" applyProtection="1">
      <alignment horizontal="center" vertical="center"/>
      <protection hidden="1"/>
    </xf>
    <xf numFmtId="0" fontId="42" fillId="0" borderId="0" xfId="0" applyFont="1"/>
    <xf numFmtId="0" fontId="69" fillId="8" borderId="0" xfId="0" applyFont="1" applyFill="1" applyAlignment="1" applyProtection="1">
      <alignment vertical="center"/>
      <protection hidden="1"/>
    </xf>
    <xf numFmtId="0" fontId="17" fillId="8" borderId="0" xfId="0" applyFont="1" applyFill="1" applyAlignment="1" applyProtection="1">
      <alignment vertical="center" wrapText="1"/>
      <protection hidden="1"/>
    </xf>
    <xf numFmtId="0" fontId="14" fillId="8" borderId="0" xfId="0" applyFont="1" applyFill="1" applyAlignment="1" applyProtection="1">
      <alignment vertical="center"/>
      <protection hidden="1"/>
    </xf>
    <xf numFmtId="0" fontId="17" fillId="8" borderId="0" xfId="0" applyFont="1" applyFill="1" applyAlignment="1" applyProtection="1">
      <alignment horizontal="center" vertical="center" wrapText="1"/>
      <protection hidden="1"/>
    </xf>
    <xf numFmtId="0" fontId="68" fillId="8" borderId="0" xfId="0" applyFont="1" applyFill="1" applyAlignment="1">
      <alignment vertical="center" wrapText="1"/>
    </xf>
    <xf numFmtId="0" fontId="7" fillId="8" borderId="0" xfId="0" applyFont="1" applyFill="1" applyAlignment="1">
      <alignment vertical="center" wrapText="1"/>
    </xf>
    <xf numFmtId="0" fontId="70" fillId="8" borderId="0" xfId="0" applyFont="1" applyFill="1" applyAlignment="1" applyProtection="1">
      <alignment horizontal="center" vertical="center" wrapText="1"/>
      <protection hidden="1"/>
    </xf>
    <xf numFmtId="0" fontId="71" fillId="8" borderId="0" xfId="0" applyFont="1" applyFill="1" applyAlignment="1" applyProtection="1">
      <alignment horizontal="center" vertical="center" wrapText="1"/>
      <protection hidden="1"/>
    </xf>
    <xf numFmtId="0" fontId="9" fillId="8" borderId="0" xfId="0" applyFont="1" applyFill="1" applyAlignment="1" applyProtection="1">
      <alignment horizontal="center" vertical="center" wrapText="1"/>
      <protection hidden="1"/>
    </xf>
    <xf numFmtId="0" fontId="9" fillId="8" borderId="0" xfId="0" applyFont="1" applyFill="1" applyAlignment="1" applyProtection="1">
      <alignment horizontal="center" vertical="center"/>
      <protection hidden="1"/>
    </xf>
    <xf numFmtId="0" fontId="42" fillId="8" borderId="0" xfId="0" applyFont="1" applyFill="1" applyAlignment="1" applyProtection="1">
      <alignment horizontal="center" vertical="center"/>
      <protection hidden="1"/>
    </xf>
    <xf numFmtId="0" fontId="42" fillId="8" borderId="0" xfId="0" applyFont="1" applyFill="1" applyAlignment="1" applyProtection="1">
      <alignment horizontal="center" vertical="center" wrapText="1"/>
      <protection hidden="1"/>
    </xf>
    <xf numFmtId="0" fontId="72" fillId="8" borderId="0" xfId="0" applyFont="1" applyFill="1" applyAlignment="1" applyProtection="1">
      <alignment vertical="center" wrapText="1"/>
      <protection hidden="1"/>
    </xf>
    <xf numFmtId="0" fontId="73" fillId="8" borderId="0" xfId="0" applyFont="1" applyFill="1" applyAlignment="1" applyProtection="1">
      <alignment vertical="center" wrapText="1"/>
      <protection hidden="1"/>
    </xf>
    <xf numFmtId="0" fontId="73" fillId="8" borderId="0" xfId="0" applyFont="1" applyFill="1" applyAlignment="1" applyProtection="1">
      <alignment horizontal="center" vertical="center" wrapText="1"/>
      <protection hidden="1"/>
    </xf>
    <xf numFmtId="0" fontId="74" fillId="8" borderId="0" xfId="0" applyFont="1" applyFill="1" applyAlignment="1" applyProtection="1">
      <alignment horizontal="left" vertical="center" wrapText="1"/>
      <protection hidden="1"/>
    </xf>
    <xf numFmtId="0" fontId="35" fillId="2" borderId="0" xfId="0" applyFont="1" applyFill="1" applyProtection="1">
      <protection hidden="1"/>
    </xf>
    <xf numFmtId="0" fontId="35" fillId="3" borderId="0" xfId="0" applyFont="1" applyFill="1" applyProtection="1">
      <protection hidden="1"/>
    </xf>
    <xf numFmtId="165" fontId="7" fillId="2" borderId="1" xfId="0" applyNumberFormat="1" applyFont="1" applyFill="1" applyBorder="1" applyAlignment="1" applyProtection="1">
      <alignment horizontal="center" vertical="center"/>
      <protection hidden="1"/>
    </xf>
    <xf numFmtId="165" fontId="7" fillId="3" borderId="0" xfId="0" applyNumberFormat="1" applyFont="1" applyFill="1" applyAlignment="1" applyProtection="1">
      <alignment horizontal="center" vertical="center"/>
      <protection hidden="1"/>
    </xf>
    <xf numFmtId="0" fontId="63" fillId="3" borderId="0" xfId="0" applyFont="1" applyFill="1" applyAlignment="1" applyProtection="1">
      <alignment horizontal="right" vertical="center" wrapText="1"/>
      <protection hidden="1"/>
    </xf>
    <xf numFmtId="0" fontId="63" fillId="2" borderId="1" xfId="0" applyFont="1" applyFill="1" applyBorder="1" applyAlignment="1" applyProtection="1">
      <alignment horizontal="right" vertical="center" wrapText="1"/>
      <protection hidden="1"/>
    </xf>
    <xf numFmtId="0" fontId="35" fillId="3" borderId="0" xfId="0" applyFont="1" applyFill="1" applyAlignment="1" applyProtection="1">
      <alignment horizontal="center" vertical="center"/>
      <protection hidden="1"/>
    </xf>
    <xf numFmtId="165" fontId="9" fillId="2" borderId="1" xfId="0" applyNumberFormat="1" applyFont="1" applyFill="1" applyBorder="1" applyAlignment="1" applyProtection="1">
      <alignment horizontal="center" vertical="center"/>
      <protection hidden="1"/>
    </xf>
    <xf numFmtId="165" fontId="9" fillId="3" borderId="0" xfId="0" applyNumberFormat="1" applyFont="1" applyFill="1" applyAlignment="1" applyProtection="1">
      <alignment horizontal="center" vertical="center"/>
      <protection hidden="1"/>
    </xf>
    <xf numFmtId="0" fontId="50" fillId="3" borderId="0" xfId="0" applyFont="1" applyFill="1" applyAlignment="1" applyProtection="1">
      <alignment horizontal="right" vertical="center" wrapText="1"/>
      <protection hidden="1"/>
    </xf>
    <xf numFmtId="0" fontId="50" fillId="2" borderId="1" xfId="0" applyFont="1" applyFill="1" applyBorder="1" applyAlignment="1" applyProtection="1">
      <alignment horizontal="right" vertical="center" wrapText="1"/>
      <protection hidden="1"/>
    </xf>
    <xf numFmtId="0" fontId="8" fillId="3" borderId="0" xfId="0" applyFont="1" applyFill="1" applyAlignment="1" applyProtection="1">
      <alignment horizontal="center" vertical="center" wrapText="1"/>
      <protection hidden="1"/>
    </xf>
    <xf numFmtId="165" fontId="77" fillId="3" borderId="10" xfId="0" applyNumberFormat="1" applyFont="1" applyFill="1" applyBorder="1" applyAlignment="1" applyProtection="1">
      <alignment horizontal="center" vertical="center"/>
      <protection hidden="1"/>
    </xf>
    <xf numFmtId="165" fontId="77" fillId="3" borderId="0" xfId="0" applyNumberFormat="1" applyFont="1" applyFill="1" applyAlignment="1" applyProtection="1">
      <alignment horizontal="center" vertical="center"/>
      <protection hidden="1"/>
    </xf>
    <xf numFmtId="0" fontId="63" fillId="3" borderId="10" xfId="0" applyFont="1" applyFill="1" applyBorder="1" applyAlignment="1" applyProtection="1">
      <alignment horizontal="right" vertical="center" wrapText="1"/>
      <protection hidden="1"/>
    </xf>
    <xf numFmtId="0" fontId="9" fillId="3" borderId="0" xfId="0" applyFont="1" applyFill="1" applyAlignment="1" applyProtection="1">
      <alignment horizontal="center" vertical="center"/>
      <protection hidden="1"/>
    </xf>
    <xf numFmtId="3" fontId="7" fillId="2" borderId="1" xfId="0" applyNumberFormat="1" applyFont="1" applyFill="1" applyBorder="1" applyAlignment="1" applyProtection="1">
      <alignment horizontal="center" vertical="center"/>
      <protection hidden="1"/>
    </xf>
    <xf numFmtId="3" fontId="7" fillId="3" borderId="0" xfId="0" applyNumberFormat="1" applyFont="1" applyFill="1" applyAlignment="1" applyProtection="1">
      <alignment horizontal="center" vertical="center"/>
      <protection hidden="1"/>
    </xf>
    <xf numFmtId="0" fontId="8" fillId="3" borderId="0" xfId="0" applyFont="1" applyFill="1" applyAlignment="1" applyProtection="1">
      <alignment vertical="center" wrapText="1"/>
      <protection hidden="1"/>
    </xf>
    <xf numFmtId="0" fontId="8" fillId="3" borderId="2" xfId="0" applyFont="1" applyFill="1" applyBorder="1" applyAlignment="1" applyProtection="1">
      <alignment horizontal="center" vertical="center" wrapText="1"/>
      <protection hidden="1"/>
    </xf>
    <xf numFmtId="0" fontId="78" fillId="2" borderId="0" xfId="0" applyFont="1" applyFill="1" applyProtection="1">
      <protection hidden="1"/>
    </xf>
    <xf numFmtId="0" fontId="79" fillId="3" borderId="0" xfId="0" applyFont="1" applyFill="1" applyAlignment="1" applyProtection="1">
      <alignment vertical="center" wrapText="1"/>
      <protection hidden="1"/>
    </xf>
    <xf numFmtId="0" fontId="78" fillId="3" borderId="0" xfId="0" applyFont="1" applyFill="1" applyAlignment="1" applyProtection="1">
      <alignment horizontal="center" vertical="center"/>
      <protection hidden="1"/>
    </xf>
    <xf numFmtId="3" fontId="7" fillId="3" borderId="10" xfId="0" applyNumberFormat="1" applyFont="1" applyFill="1" applyBorder="1" applyAlignment="1" applyProtection="1">
      <alignment horizontal="center" vertical="center"/>
      <protection hidden="1"/>
    </xf>
    <xf numFmtId="3" fontId="81" fillId="2" borderId="1" xfId="0" applyNumberFormat="1" applyFont="1" applyFill="1" applyBorder="1" applyAlignment="1" applyProtection="1">
      <alignment horizontal="center" vertical="center"/>
      <protection hidden="1"/>
    </xf>
    <xf numFmtId="3" fontId="81" fillId="3" borderId="0" xfId="0" applyNumberFormat="1" applyFont="1" applyFill="1" applyAlignment="1" applyProtection="1">
      <alignment horizontal="center" vertical="center"/>
      <protection hidden="1"/>
    </xf>
    <xf numFmtId="0" fontId="82" fillId="3" borderId="0" xfId="0" applyFont="1" applyFill="1" applyAlignment="1" applyProtection="1">
      <alignment horizontal="right" vertical="center" wrapText="1"/>
      <protection hidden="1"/>
    </xf>
    <xf numFmtId="0" fontId="82" fillId="2" borderId="1" xfId="0" applyFont="1" applyFill="1" applyBorder="1" applyAlignment="1" applyProtection="1">
      <alignment horizontal="right" vertical="center" wrapText="1"/>
      <protection hidden="1"/>
    </xf>
    <xf numFmtId="0" fontId="8" fillId="3" borderId="0" xfId="0" applyFont="1" applyFill="1" applyAlignment="1" applyProtection="1">
      <alignment horizontal="center" vertical="center"/>
      <protection hidden="1"/>
    </xf>
    <xf numFmtId="0" fontId="35" fillId="2" borderId="0" xfId="0" applyFont="1" applyFill="1" applyAlignment="1" applyProtection="1">
      <alignment wrapText="1"/>
      <protection hidden="1"/>
    </xf>
    <xf numFmtId="0" fontId="35" fillId="3" borderId="0" xfId="0" applyFont="1" applyFill="1" applyAlignment="1" applyProtection="1">
      <alignment wrapText="1"/>
      <protection hidden="1"/>
    </xf>
    <xf numFmtId="0" fontId="42" fillId="3" borderId="0" xfId="0" applyFont="1" applyFill="1" applyAlignment="1" applyProtection="1">
      <alignment vertical="center" wrapText="1"/>
      <protection hidden="1"/>
    </xf>
    <xf numFmtId="0" fontId="35" fillId="3" borderId="0" xfId="0" applyFont="1" applyFill="1" applyAlignment="1" applyProtection="1">
      <alignment horizontal="center" vertical="center" wrapText="1"/>
      <protection hidden="1"/>
    </xf>
    <xf numFmtId="0" fontId="44" fillId="3" borderId="0" xfId="0" applyFont="1" applyFill="1" applyAlignment="1" applyProtection="1">
      <alignment horizontal="center" vertical="center"/>
      <protection hidden="1"/>
    </xf>
    <xf numFmtId="0" fontId="35" fillId="2" borderId="0" xfId="0" applyFont="1" applyFill="1" applyAlignment="1" applyProtection="1">
      <alignment vertical="center"/>
      <protection hidden="1"/>
    </xf>
    <xf numFmtId="1" fontId="40" fillId="2" borderId="1" xfId="2" applyNumberFormat="1" applyFont="1" applyFill="1" applyBorder="1" applyAlignment="1" applyProtection="1">
      <alignment horizontal="center" vertical="center"/>
      <protection hidden="1"/>
    </xf>
    <xf numFmtId="7" fontId="40" fillId="10" borderId="0" xfId="1" applyNumberFormat="1" applyFont="1" applyFill="1" applyBorder="1" applyAlignment="1" applyProtection="1">
      <alignment horizontal="center" vertical="center"/>
      <protection hidden="1"/>
    </xf>
    <xf numFmtId="1" fontId="40" fillId="2" borderId="1" xfId="2" applyNumberFormat="1" applyFont="1" applyFill="1" applyBorder="1" applyAlignment="1" applyProtection="1">
      <alignment horizontal="center" vertical="center"/>
    </xf>
    <xf numFmtId="165" fontId="35" fillId="2" borderId="0" xfId="0" applyNumberFormat="1" applyFont="1" applyFill="1" applyProtection="1">
      <protection hidden="1"/>
    </xf>
    <xf numFmtId="0" fontId="7" fillId="5" borderId="1" xfId="0" applyFont="1" applyFill="1" applyBorder="1" applyAlignment="1" applyProtection="1">
      <alignment horizontal="center" vertical="center" wrapText="1"/>
      <protection locked="0" hidden="1"/>
    </xf>
    <xf numFmtId="0" fontId="40" fillId="2" borderId="3" xfId="0" applyFont="1" applyFill="1" applyBorder="1" applyAlignment="1" applyProtection="1">
      <alignment horizontal="center" vertical="center" wrapText="1"/>
      <protection hidden="1"/>
    </xf>
    <xf numFmtId="0" fontId="9" fillId="2" borderId="1" xfId="0" applyFont="1" applyFill="1" applyBorder="1" applyAlignment="1" applyProtection="1">
      <alignment horizontal="center" vertical="center" wrapText="1"/>
      <protection hidden="1"/>
    </xf>
    <xf numFmtId="9" fontId="0" fillId="0" borderId="0" xfId="0" applyNumberFormat="1"/>
    <xf numFmtId="0" fontId="84" fillId="18" borderId="0" xfId="0" applyFont="1" applyFill="1" applyAlignment="1" applyProtection="1">
      <alignment horizontal="center"/>
      <protection hidden="1"/>
    </xf>
    <xf numFmtId="0" fontId="7" fillId="18" borderId="0" xfId="0" applyFont="1" applyFill="1"/>
    <xf numFmtId="0" fontId="7" fillId="2" borderId="0" xfId="0" applyFont="1" applyFill="1" applyAlignment="1">
      <alignment vertical="top"/>
    </xf>
    <xf numFmtId="0" fontId="87" fillId="2" borderId="1" xfId="0" applyFont="1" applyFill="1" applyBorder="1" applyAlignment="1">
      <alignment horizontal="center" vertical="center" wrapText="1"/>
    </xf>
    <xf numFmtId="0" fontId="87" fillId="10" borderId="0" xfId="0" applyFont="1" applyFill="1" applyAlignment="1" applyProtection="1">
      <alignment vertical="center" wrapText="1"/>
      <protection hidden="1"/>
    </xf>
    <xf numFmtId="0" fontId="40" fillId="2" borderId="1" xfId="0" applyFont="1" applyFill="1" applyBorder="1" applyAlignment="1" applyProtection="1">
      <alignment horizontal="center" vertical="center" wrapText="1"/>
      <protection hidden="1"/>
    </xf>
    <xf numFmtId="7" fontId="40" fillId="2" borderId="1" xfId="1" applyNumberFormat="1" applyFont="1" applyFill="1" applyBorder="1" applyAlignment="1" applyProtection="1">
      <alignment horizontal="center" vertical="center"/>
    </xf>
    <xf numFmtId="0" fontId="35" fillId="18" borderId="0" xfId="0" applyFont="1" applyFill="1" applyAlignment="1" applyProtection="1">
      <alignment horizontal="center" vertical="center"/>
      <protection hidden="1"/>
    </xf>
    <xf numFmtId="0" fontId="35" fillId="7" borderId="0" xfId="0" applyFont="1" applyFill="1" applyAlignment="1" applyProtection="1">
      <alignment horizontal="center" vertical="center"/>
      <protection hidden="1"/>
    </xf>
    <xf numFmtId="0" fontId="44" fillId="7" borderId="0" xfId="0" applyFont="1" applyFill="1" applyAlignment="1" applyProtection="1">
      <alignment horizontal="center" vertical="center"/>
      <protection hidden="1"/>
    </xf>
    <xf numFmtId="0" fontId="42" fillId="2" borderId="1" xfId="0" applyFont="1" applyFill="1" applyBorder="1" applyAlignment="1" applyProtection="1">
      <alignment horizontal="center" vertical="center" wrapText="1"/>
      <protection hidden="1"/>
    </xf>
    <xf numFmtId="0" fontId="8" fillId="2" borderId="1" xfId="0" applyFont="1" applyFill="1" applyBorder="1" applyAlignment="1">
      <alignment horizontal="center" vertical="center" wrapText="1"/>
    </xf>
    <xf numFmtId="0" fontId="42" fillId="2" borderId="1" xfId="0" applyFont="1" applyFill="1" applyBorder="1" applyAlignment="1" applyProtection="1">
      <alignment horizontal="center" vertical="center"/>
      <protection hidden="1"/>
    </xf>
    <xf numFmtId="2" fontId="38" fillId="2" borderId="1" xfId="1" applyNumberFormat="1" applyFont="1" applyFill="1" applyBorder="1" applyAlignment="1" applyProtection="1">
      <alignment horizontal="center" vertical="center"/>
      <protection hidden="1"/>
    </xf>
    <xf numFmtId="2" fontId="38" fillId="2" borderId="1" xfId="0" applyNumberFormat="1" applyFont="1" applyFill="1" applyBorder="1" applyAlignment="1" applyProtection="1">
      <alignment horizontal="center" vertical="center"/>
      <protection hidden="1"/>
    </xf>
    <xf numFmtId="2" fontId="38" fillId="2" borderId="1" xfId="2" applyNumberFormat="1" applyFont="1" applyFill="1" applyBorder="1" applyAlignment="1" applyProtection="1">
      <alignment horizontal="center" vertical="center"/>
    </xf>
    <xf numFmtId="164" fontId="52" fillId="10" borderId="0" xfId="0" applyNumberFormat="1" applyFont="1" applyFill="1" applyAlignment="1" applyProtection="1">
      <alignment horizontal="center" vertical="center" wrapText="1"/>
      <protection hidden="1"/>
    </xf>
    <xf numFmtId="164" fontId="52" fillId="10" borderId="0" xfId="0" applyNumberFormat="1" applyFont="1" applyFill="1" applyAlignment="1" applyProtection="1">
      <alignment vertical="center" wrapText="1"/>
      <protection hidden="1"/>
    </xf>
    <xf numFmtId="17" fontId="0" fillId="0" borderId="0" xfId="0" applyNumberFormat="1"/>
    <xf numFmtId="0" fontId="0" fillId="0" borderId="0" xfId="0" quotePrefix="1"/>
    <xf numFmtId="167" fontId="0" fillId="0" borderId="0" xfId="0" quotePrefix="1" applyNumberFormat="1"/>
    <xf numFmtId="15" fontId="0" fillId="0" borderId="0" xfId="0" applyNumberFormat="1"/>
    <xf numFmtId="9" fontId="0" fillId="0" borderId="0" xfId="2" applyFont="1" applyAlignment="1">
      <alignment horizontal="right" vertical="center"/>
    </xf>
    <xf numFmtId="0" fontId="0" fillId="0" borderId="0" xfId="2" applyNumberFormat="1" applyFont="1" applyAlignment="1">
      <alignment horizontal="right" vertical="center"/>
    </xf>
    <xf numFmtId="9" fontId="0" fillId="0" borderId="0" xfId="2" applyFont="1"/>
    <xf numFmtId="0" fontId="7" fillId="2" borderId="1" xfId="0" applyFont="1" applyFill="1" applyBorder="1" applyAlignment="1" applyProtection="1">
      <alignment horizontal="center" vertical="center" wrapText="1"/>
      <protection hidden="1"/>
    </xf>
    <xf numFmtId="0" fontId="7" fillId="2" borderId="3" xfId="0" applyFont="1" applyFill="1" applyBorder="1" applyAlignment="1" applyProtection="1">
      <alignment horizontal="center" vertical="center" wrapText="1"/>
      <protection hidden="1"/>
    </xf>
    <xf numFmtId="0" fontId="40" fillId="13" borderId="1" xfId="0" applyFont="1" applyFill="1" applyBorder="1" applyAlignment="1" applyProtection="1">
      <alignment horizontal="center" vertical="center" wrapText="1"/>
      <protection locked="0" hidden="1"/>
    </xf>
    <xf numFmtId="9" fontId="40" fillId="13" borderId="1" xfId="0" applyNumberFormat="1" applyFont="1" applyFill="1" applyBorder="1" applyAlignment="1" applyProtection="1">
      <alignment horizontal="center" vertical="center" wrapText="1"/>
      <protection locked="0" hidden="1"/>
    </xf>
    <xf numFmtId="9" fontId="40" fillId="2" borderId="3" xfId="0" applyNumberFormat="1" applyFont="1" applyFill="1" applyBorder="1" applyAlignment="1" applyProtection="1">
      <alignment horizontal="center" vertical="center"/>
      <protection hidden="1"/>
    </xf>
    <xf numFmtId="0" fontId="22" fillId="4" borderId="0" xfId="0" applyFont="1" applyFill="1" applyAlignment="1">
      <alignment horizontal="left" vertical="center" wrapText="1"/>
    </xf>
    <xf numFmtId="0" fontId="11" fillId="14" borderId="0" xfId="0" applyFont="1" applyFill="1" applyAlignment="1">
      <alignment horizontal="center" vertical="center"/>
    </xf>
    <xf numFmtId="0" fontId="16" fillId="15" borderId="0" xfId="0" applyFont="1" applyFill="1" applyAlignment="1">
      <alignment horizontal="center" vertical="center"/>
    </xf>
    <xf numFmtId="0" fontId="31" fillId="2" borderId="0" xfId="0" applyFont="1" applyFill="1" applyAlignment="1">
      <alignment horizontal="left" vertical="center" wrapText="1"/>
    </xf>
    <xf numFmtId="0" fontId="86" fillId="2" borderId="0" xfId="0" applyFont="1" applyFill="1" applyAlignment="1">
      <alignment horizontal="left" vertical="center" wrapText="1"/>
    </xf>
    <xf numFmtId="0" fontId="29" fillId="2" borderId="0" xfId="0" applyFont="1" applyFill="1" applyAlignment="1">
      <alignment horizontal="left" vertical="center" wrapText="1"/>
    </xf>
    <xf numFmtId="0" fontId="24" fillId="2" borderId="0" xfId="0" applyFont="1" applyFill="1" applyAlignment="1">
      <alignment horizontal="left" vertical="center" wrapText="1"/>
    </xf>
    <xf numFmtId="0" fontId="19" fillId="4" borderId="0" xfId="0" applyFont="1" applyFill="1" applyAlignment="1">
      <alignment horizontal="left" vertical="center" wrapText="1"/>
    </xf>
    <xf numFmtId="0" fontId="18" fillId="4" borderId="0" xfId="0" applyFont="1" applyFill="1" applyAlignment="1">
      <alignment horizontal="left" vertical="center" wrapText="1"/>
    </xf>
    <xf numFmtId="49" fontId="28" fillId="2" borderId="0" xfId="0" applyNumberFormat="1" applyFont="1" applyFill="1" applyAlignment="1">
      <alignment horizontal="right" vertical="center" wrapText="1"/>
    </xf>
    <xf numFmtId="0" fontId="14" fillId="10" borderId="9" xfId="0" applyFont="1" applyFill="1" applyBorder="1" applyAlignment="1">
      <alignment horizontal="center" vertical="center"/>
    </xf>
    <xf numFmtId="0" fontId="14" fillId="10" borderId="10" xfId="0" applyFont="1" applyFill="1" applyBorder="1" applyAlignment="1">
      <alignment horizontal="center" vertical="center"/>
    </xf>
    <xf numFmtId="0" fontId="14" fillId="10" borderId="11" xfId="0" applyFont="1" applyFill="1" applyBorder="1" applyAlignment="1">
      <alignment horizontal="center" vertical="center"/>
    </xf>
    <xf numFmtId="0" fontId="8" fillId="12" borderId="1" xfId="0" applyFont="1" applyFill="1" applyBorder="1" applyAlignment="1">
      <alignment horizontal="center" vertical="center" wrapText="1"/>
    </xf>
    <xf numFmtId="0" fontId="7" fillId="10" borderId="1" xfId="0" applyFont="1" applyFill="1" applyBorder="1" applyAlignment="1">
      <alignment horizontal="left" vertical="center" wrapText="1"/>
    </xf>
    <xf numFmtId="0" fontId="8" fillId="12" borderId="6" xfId="0" applyFont="1" applyFill="1" applyBorder="1" applyAlignment="1">
      <alignment horizontal="center" vertical="center" wrapText="1"/>
    </xf>
    <xf numFmtId="0" fontId="7" fillId="10" borderId="3" xfId="0" applyFont="1" applyFill="1" applyBorder="1" applyAlignment="1">
      <alignment horizontal="left" vertical="center" wrapText="1"/>
    </xf>
    <xf numFmtId="0" fontId="7" fillId="10" borderId="5" xfId="0" applyFont="1" applyFill="1" applyBorder="1" applyAlignment="1">
      <alignment horizontal="left" vertical="center" wrapText="1"/>
    </xf>
    <xf numFmtId="0" fontId="7" fillId="10" borderId="4" xfId="0" applyFont="1" applyFill="1" applyBorder="1" applyAlignment="1">
      <alignment horizontal="left" vertical="center" wrapText="1"/>
    </xf>
    <xf numFmtId="0" fontId="7" fillId="10" borderId="12" xfId="0" applyFont="1" applyFill="1" applyBorder="1" applyAlignment="1">
      <alignment horizontal="right" vertical="center" wrapText="1"/>
    </xf>
    <xf numFmtId="0" fontId="7" fillId="10" borderId="0" xfId="0" applyFont="1" applyFill="1" applyAlignment="1">
      <alignment horizontal="right" vertical="center" wrapText="1"/>
    </xf>
    <xf numFmtId="0" fontId="7" fillId="10" borderId="14" xfId="0" applyFont="1" applyFill="1" applyBorder="1" applyAlignment="1">
      <alignment horizontal="right" vertical="center" wrapText="1"/>
    </xf>
    <xf numFmtId="0" fontId="7" fillId="10" borderId="2" xfId="0" applyFont="1" applyFill="1" applyBorder="1" applyAlignment="1">
      <alignment horizontal="right" vertical="center" wrapText="1"/>
    </xf>
    <xf numFmtId="0" fontId="14" fillId="10" borderId="9" xfId="0" applyFont="1" applyFill="1" applyBorder="1" applyAlignment="1">
      <alignment horizontal="center" vertical="center" wrapText="1"/>
    </xf>
    <xf numFmtId="0" fontId="14" fillId="10" borderId="10" xfId="0" applyFont="1" applyFill="1" applyBorder="1" applyAlignment="1">
      <alignment horizontal="center" vertical="center" wrapText="1"/>
    </xf>
    <xf numFmtId="0" fontId="14" fillId="10" borderId="11" xfId="0" applyFont="1" applyFill="1" applyBorder="1" applyAlignment="1">
      <alignment horizontal="center" vertical="center" wrapText="1"/>
    </xf>
    <xf numFmtId="0" fontId="12" fillId="10" borderId="0" xfId="3" applyFont="1" applyFill="1" applyBorder="1" applyAlignment="1">
      <alignment horizontal="left" vertical="center" wrapText="1"/>
    </xf>
    <xf numFmtId="0" fontId="12" fillId="10" borderId="13" xfId="3" applyFont="1" applyFill="1" applyBorder="1" applyAlignment="1">
      <alignment horizontal="left" vertical="center" wrapText="1"/>
    </xf>
    <xf numFmtId="0" fontId="7" fillId="10" borderId="12" xfId="0" applyFont="1" applyFill="1" applyBorder="1" applyAlignment="1">
      <alignment horizontal="left" vertical="center" wrapText="1"/>
    </xf>
    <xf numFmtId="0" fontId="7" fillId="10" borderId="0" xfId="0" applyFont="1" applyFill="1" applyAlignment="1">
      <alignment horizontal="left" vertical="center" wrapText="1"/>
    </xf>
    <xf numFmtId="0" fontId="7" fillId="10" borderId="0" xfId="0" applyFont="1" applyFill="1" applyAlignment="1">
      <alignment horizontal="left" vertical="top" wrapText="1"/>
    </xf>
    <xf numFmtId="0" fontId="12" fillId="10" borderId="2" xfId="3" applyFont="1" applyFill="1" applyBorder="1" applyAlignment="1">
      <alignment horizontal="left" vertical="center"/>
    </xf>
    <xf numFmtId="0" fontId="12" fillId="10" borderId="15" xfId="3" applyFont="1" applyFill="1" applyBorder="1" applyAlignment="1">
      <alignment horizontal="left" vertical="center"/>
    </xf>
    <xf numFmtId="0" fontId="7" fillId="2" borderId="0" xfId="0" applyFont="1" applyFill="1" applyAlignment="1">
      <alignment horizontal="left" vertical="top" wrapText="1"/>
    </xf>
    <xf numFmtId="0" fontId="11" fillId="9" borderId="0" xfId="0" applyFont="1" applyFill="1" applyAlignment="1">
      <alignment horizontal="center" vertical="center"/>
    </xf>
    <xf numFmtId="0" fontId="11" fillId="7" borderId="0" xfId="0" applyFont="1" applyFill="1" applyAlignment="1">
      <alignment horizontal="center" vertical="center"/>
    </xf>
    <xf numFmtId="0" fontId="9" fillId="6" borderId="0" xfId="0" applyFont="1" applyFill="1" applyAlignment="1">
      <alignment horizontal="center" vertical="center"/>
    </xf>
    <xf numFmtId="0" fontId="11" fillId="11" borderId="3" xfId="0" applyFont="1" applyFill="1" applyBorder="1" applyAlignment="1">
      <alignment horizontal="center"/>
    </xf>
    <xf numFmtId="0" fontId="11" fillId="11" borderId="5" xfId="0" applyFont="1" applyFill="1" applyBorder="1" applyAlignment="1">
      <alignment horizontal="center"/>
    </xf>
    <xf numFmtId="0" fontId="11" fillId="11" borderId="4" xfId="0" applyFont="1" applyFill="1" applyBorder="1" applyAlignment="1">
      <alignment horizontal="center"/>
    </xf>
    <xf numFmtId="0" fontId="7" fillId="10" borderId="3" xfId="0" applyFont="1" applyFill="1" applyBorder="1" applyAlignment="1">
      <alignment horizontal="center" vertical="center" wrapText="1"/>
    </xf>
    <xf numFmtId="0" fontId="7" fillId="10" borderId="5" xfId="0" applyFont="1" applyFill="1" applyBorder="1" applyAlignment="1">
      <alignment horizontal="center" vertical="center" wrapText="1"/>
    </xf>
    <xf numFmtId="0" fontId="7" fillId="10" borderId="4" xfId="0" applyFont="1" applyFill="1" applyBorder="1" applyAlignment="1">
      <alignment horizontal="center" vertical="center" wrapText="1"/>
    </xf>
    <xf numFmtId="0" fontId="7" fillId="8" borderId="0" xfId="0" applyFont="1" applyFill="1" applyAlignment="1">
      <alignment horizontal="center" vertical="center" wrapText="1"/>
    </xf>
    <xf numFmtId="0" fontId="7" fillId="3" borderId="0" xfId="0" applyFont="1" applyFill="1" applyAlignment="1">
      <alignment horizontal="center" vertical="center" wrapText="1"/>
    </xf>
    <xf numFmtId="0" fontId="39" fillId="10" borderId="0" xfId="0" applyFont="1" applyFill="1" applyAlignment="1" applyProtection="1">
      <alignment horizontal="left" vertical="center" wrapText="1"/>
      <protection hidden="1"/>
    </xf>
    <xf numFmtId="0" fontId="8" fillId="2" borderId="3" xfId="0" applyFont="1" applyFill="1" applyBorder="1" applyAlignment="1" applyProtection="1">
      <alignment horizontal="center" vertical="center"/>
      <protection hidden="1"/>
    </xf>
    <xf numFmtId="0" fontId="8" fillId="2" borderId="5" xfId="0" applyFont="1" applyFill="1" applyBorder="1" applyAlignment="1" applyProtection="1">
      <alignment horizontal="center" vertical="center"/>
      <protection hidden="1"/>
    </xf>
    <xf numFmtId="0" fontId="8" fillId="2" borderId="4" xfId="0" applyFont="1" applyFill="1" applyBorder="1" applyAlignment="1" applyProtection="1">
      <alignment horizontal="center" vertical="center"/>
      <protection hidden="1"/>
    </xf>
    <xf numFmtId="0" fontId="16" fillId="11" borderId="0" xfId="0" applyFont="1" applyFill="1" applyAlignment="1" applyProtection="1">
      <alignment horizontal="center" vertical="center"/>
      <protection hidden="1"/>
    </xf>
    <xf numFmtId="164" fontId="9" fillId="13" borderId="6" xfId="0" applyNumberFormat="1" applyFont="1" applyFill="1" applyBorder="1" applyAlignment="1" applyProtection="1">
      <alignment horizontal="center" vertical="center"/>
      <protection locked="0"/>
    </xf>
    <xf numFmtId="164" fontId="9" fillId="13" borderId="8" xfId="0" applyNumberFormat="1" applyFont="1" applyFill="1" applyBorder="1" applyAlignment="1" applyProtection="1">
      <alignment horizontal="center" vertical="center"/>
      <protection locked="0"/>
    </xf>
    <xf numFmtId="0" fontId="7" fillId="2" borderId="9" xfId="0" applyFont="1" applyFill="1" applyBorder="1" applyAlignment="1" applyProtection="1">
      <alignment horizontal="center" vertical="center" wrapText="1"/>
      <protection hidden="1"/>
    </xf>
    <xf numFmtId="0" fontId="7" fillId="2" borderId="10" xfId="0" applyFont="1" applyFill="1" applyBorder="1" applyAlignment="1" applyProtection="1">
      <alignment horizontal="center" vertical="center" wrapText="1"/>
      <protection hidden="1"/>
    </xf>
    <xf numFmtId="0" fontId="7" fillId="2" borderId="11" xfId="0" applyFont="1" applyFill="1" applyBorder="1" applyAlignment="1" applyProtection="1">
      <alignment horizontal="center" vertical="center" wrapText="1"/>
      <protection hidden="1"/>
    </xf>
    <xf numFmtId="0" fontId="7" fillId="2" borderId="12" xfId="0" applyFont="1" applyFill="1" applyBorder="1" applyAlignment="1" applyProtection="1">
      <alignment horizontal="center" vertical="center" wrapText="1"/>
      <protection hidden="1"/>
    </xf>
    <xf numFmtId="0" fontId="7" fillId="2" borderId="0" xfId="0" applyFont="1" applyFill="1" applyAlignment="1" applyProtection="1">
      <alignment horizontal="center" vertical="center" wrapText="1"/>
      <protection hidden="1"/>
    </xf>
    <xf numFmtId="0" fontId="7" fillId="2" borderId="13" xfId="0" applyFont="1" applyFill="1" applyBorder="1" applyAlignment="1" applyProtection="1">
      <alignment horizontal="center" vertical="center" wrapText="1"/>
      <protection hidden="1"/>
    </xf>
    <xf numFmtId="0" fontId="7" fillId="2" borderId="14" xfId="0" applyFont="1" applyFill="1" applyBorder="1" applyAlignment="1" applyProtection="1">
      <alignment horizontal="center" vertical="center" wrapText="1"/>
      <protection hidden="1"/>
    </xf>
    <xf numFmtId="0" fontId="7" fillId="2" borderId="2" xfId="0" applyFont="1" applyFill="1" applyBorder="1" applyAlignment="1" applyProtection="1">
      <alignment horizontal="center" vertical="center" wrapText="1"/>
      <protection hidden="1"/>
    </xf>
    <xf numFmtId="0" fontId="7" fillId="2" borderId="15" xfId="0" applyFont="1" applyFill="1" applyBorder="1" applyAlignment="1" applyProtection="1">
      <alignment horizontal="center" vertical="center" wrapText="1"/>
      <protection hidden="1"/>
    </xf>
    <xf numFmtId="0" fontId="45" fillId="12" borderId="0" xfId="0" applyFont="1" applyFill="1" applyAlignment="1" applyProtection="1">
      <alignment horizontal="center" vertical="center"/>
      <protection hidden="1"/>
    </xf>
    <xf numFmtId="0" fontId="9" fillId="10" borderId="2" xfId="0" applyFont="1" applyFill="1" applyBorder="1" applyAlignment="1" applyProtection="1">
      <alignment horizontal="left"/>
      <protection hidden="1"/>
    </xf>
    <xf numFmtId="0" fontId="35" fillId="2" borderId="0" xfId="0" applyFont="1" applyFill="1" applyAlignment="1" applyProtection="1">
      <alignment horizontal="right" vertical="center"/>
      <protection hidden="1"/>
    </xf>
    <xf numFmtId="0" fontId="58" fillId="14" borderId="0" xfId="0" applyFont="1" applyFill="1" applyAlignment="1" applyProtection="1">
      <alignment horizontal="center" vertical="center"/>
      <protection hidden="1"/>
    </xf>
    <xf numFmtId="0" fontId="7" fillId="2" borderId="5" xfId="0" applyFont="1" applyFill="1" applyBorder="1" applyAlignment="1" applyProtection="1">
      <alignment horizontal="left" vertical="center"/>
      <protection hidden="1"/>
    </xf>
    <xf numFmtId="0" fontId="7" fillId="2" borderId="4" xfId="0" applyFont="1" applyFill="1" applyBorder="1" applyAlignment="1" applyProtection="1">
      <alignment horizontal="left" vertical="center"/>
      <protection hidden="1"/>
    </xf>
    <xf numFmtId="0" fontId="9" fillId="2" borderId="3"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7" fillId="2" borderId="5" xfId="0" applyFont="1" applyFill="1" applyBorder="1" applyAlignment="1" applyProtection="1">
      <alignment horizontal="center" vertical="center" wrapText="1"/>
      <protection hidden="1"/>
    </xf>
    <xf numFmtId="0" fontId="7" fillId="2" borderId="4" xfId="0" applyFont="1" applyFill="1" applyBorder="1" applyAlignment="1" applyProtection="1">
      <alignment horizontal="center" vertical="center" wrapText="1"/>
      <protection hidden="1"/>
    </xf>
    <xf numFmtId="0" fontId="62" fillId="10" borderId="0" xfId="0" applyFont="1" applyFill="1" applyAlignment="1" applyProtection="1">
      <alignment horizontal="center" vertical="top" wrapText="1"/>
      <protection hidden="1"/>
    </xf>
    <xf numFmtId="0" fontId="7" fillId="2" borderId="5" xfId="0" applyFont="1" applyFill="1" applyBorder="1" applyAlignment="1" applyProtection="1">
      <alignment horizontal="left" vertical="center" wrapText="1"/>
      <protection hidden="1"/>
    </xf>
    <xf numFmtId="0" fontId="7" fillId="2" borderId="4" xfId="0" applyFont="1" applyFill="1" applyBorder="1" applyAlignment="1" applyProtection="1">
      <alignment horizontal="left" vertical="center" wrapText="1"/>
      <protection hidden="1"/>
    </xf>
    <xf numFmtId="0" fontId="7" fillId="2" borderId="3" xfId="0" applyFont="1" applyFill="1" applyBorder="1" applyAlignment="1" applyProtection="1">
      <alignment horizontal="center" vertical="center" wrapText="1"/>
      <protection hidden="1"/>
    </xf>
    <xf numFmtId="0" fontId="8" fillId="2" borderId="1" xfId="0" applyFont="1" applyFill="1" applyBorder="1" applyAlignment="1" applyProtection="1">
      <alignment horizontal="center" vertical="center" wrapText="1"/>
      <protection hidden="1"/>
    </xf>
    <xf numFmtId="0" fontId="9" fillId="8" borderId="0" xfId="0" applyFont="1" applyFill="1" applyAlignment="1" applyProtection="1">
      <alignment horizontal="left" vertical="center"/>
      <protection hidden="1"/>
    </xf>
    <xf numFmtId="0" fontId="35" fillId="8" borderId="0" xfId="0" applyFont="1" applyFill="1" applyAlignment="1">
      <alignment horizontal="center"/>
    </xf>
    <xf numFmtId="0" fontId="60" fillId="8" borderId="0" xfId="0" applyFont="1" applyFill="1" applyAlignment="1" applyProtection="1">
      <alignment horizontal="left" vertical="center" wrapText="1"/>
      <protection hidden="1"/>
    </xf>
    <xf numFmtId="0" fontId="65" fillId="8" borderId="0" xfId="0" applyFont="1" applyFill="1" applyAlignment="1" applyProtection="1">
      <alignment horizontal="right" vertical="center"/>
      <protection hidden="1"/>
    </xf>
    <xf numFmtId="0" fontId="8" fillId="2" borderId="6" xfId="0" applyFont="1" applyFill="1" applyBorder="1" applyAlignment="1" applyProtection="1">
      <alignment horizontal="center" vertical="center" wrapText="1"/>
      <protection hidden="1"/>
    </xf>
    <xf numFmtId="0" fontId="8" fillId="2" borderId="8" xfId="0" applyFont="1" applyFill="1" applyBorder="1" applyAlignment="1" applyProtection="1">
      <alignment horizontal="center" vertical="center" wrapText="1"/>
      <protection hidden="1"/>
    </xf>
    <xf numFmtId="0" fontId="58" fillId="9" borderId="0" xfId="0" applyFont="1" applyFill="1" applyAlignment="1" applyProtection="1">
      <alignment horizontal="center" vertical="center" wrapText="1"/>
      <protection hidden="1"/>
    </xf>
    <xf numFmtId="0" fontId="45" fillId="16" borderId="0" xfId="0" applyFont="1" applyFill="1" applyAlignment="1" applyProtection="1">
      <alignment horizontal="center" vertical="center" wrapText="1"/>
      <protection hidden="1"/>
    </xf>
    <xf numFmtId="0" fontId="75" fillId="21" borderId="0" xfId="0" applyFont="1" applyFill="1" applyAlignment="1" applyProtection="1">
      <alignment horizontal="center" vertical="center" wrapText="1"/>
      <protection hidden="1"/>
    </xf>
    <xf numFmtId="0" fontId="84" fillId="18" borderId="0" xfId="0" applyFont="1" applyFill="1" applyAlignment="1" applyProtection="1">
      <alignment horizontal="center"/>
      <protection hidden="1"/>
    </xf>
    <xf numFmtId="0" fontId="9" fillId="3" borderId="0" xfId="0" applyFont="1" applyFill="1" applyAlignment="1" applyProtection="1">
      <alignment horizontal="center" vertical="center"/>
      <protection hidden="1"/>
    </xf>
    <xf numFmtId="0" fontId="75" fillId="17" borderId="0" xfId="0" applyFont="1" applyFill="1" applyAlignment="1" applyProtection="1">
      <alignment horizontal="center" vertical="center" wrapText="1"/>
      <protection hidden="1"/>
    </xf>
    <xf numFmtId="0" fontId="44" fillId="3" borderId="0" xfId="0" applyFont="1" applyFill="1" applyAlignment="1" applyProtection="1">
      <alignment horizontal="center" vertical="center"/>
      <protection hidden="1"/>
    </xf>
    <xf numFmtId="0" fontId="45" fillId="17" borderId="0" xfId="0" applyFont="1" applyFill="1" applyAlignment="1" applyProtection="1">
      <alignment horizontal="center" vertical="center"/>
      <protection hidden="1"/>
    </xf>
    <xf numFmtId="0" fontId="58" fillId="7" borderId="0" xfId="0" applyFont="1" applyFill="1" applyAlignment="1" applyProtection="1">
      <alignment horizontal="center" vertical="center"/>
      <protection hidden="1"/>
    </xf>
    <xf numFmtId="0" fontId="58" fillId="19" borderId="0" xfId="0" applyFont="1" applyFill="1" applyAlignment="1" applyProtection="1">
      <alignment horizontal="center" vertical="center"/>
      <protection hidden="1"/>
    </xf>
    <xf numFmtId="0" fontId="88" fillId="19" borderId="0" xfId="0" applyFont="1" applyFill="1" applyAlignment="1" applyProtection="1">
      <alignment horizontal="center" vertical="center"/>
      <protection hidden="1"/>
    </xf>
    <xf numFmtId="0" fontId="58" fillId="20" borderId="0" xfId="0" applyFont="1" applyFill="1" applyAlignment="1" applyProtection="1">
      <alignment horizontal="center" vertical="center"/>
      <protection hidden="1"/>
    </xf>
    <xf numFmtId="0" fontId="88" fillId="20" borderId="0" xfId="0" applyFont="1" applyFill="1" applyAlignment="1" applyProtection="1">
      <alignment horizontal="center" vertical="center"/>
      <protection hidden="1"/>
    </xf>
  </cellXfs>
  <cellStyles count="4">
    <cellStyle name="Currency" xfId="1" builtinId="4"/>
    <cellStyle name="Hyperlink" xfId="3" builtinId="8"/>
    <cellStyle name="Normal" xfId="0" builtinId="0"/>
    <cellStyle name="Percent" xfId="2" builtinId="5"/>
  </cellStyles>
  <dxfs count="1">
    <dxf>
      <font>
        <strike val="0"/>
        <color theme="8"/>
      </font>
    </dxf>
  </dxfs>
  <tableStyles count="0" defaultTableStyle="TableStyleMedium2" defaultPivotStyle="PivotStyleLight16"/>
  <colors>
    <mruColors>
      <color rgb="FFD2EFDF"/>
      <color rgb="FFDFE382"/>
      <color rgb="FFFFD2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12</xdr:col>
      <xdr:colOff>1168400</xdr:colOff>
      <xdr:row>1</xdr:row>
      <xdr:rowOff>165100</xdr:rowOff>
    </xdr:from>
    <xdr:ext cx="1162050" cy="520700"/>
    <xdr:pic>
      <xdr:nvPicPr>
        <xdr:cNvPr id="2" name="Picture 1">
          <a:extLst>
            <a:ext uri="{FF2B5EF4-FFF2-40B4-BE49-F238E27FC236}">
              <a16:creationId xmlns:a16="http://schemas.microsoft.com/office/drawing/2014/main" id="{FA99F207-493F-4863-8521-69D82302381C}"/>
            </a:ext>
          </a:extLst>
        </xdr:cNvPr>
        <xdr:cNvPicPr>
          <a:picLocks noChangeAspect="1"/>
        </xdr:cNvPicPr>
      </xdr:nvPicPr>
      <xdr:blipFill>
        <a:blip xmlns:r="http://schemas.openxmlformats.org/officeDocument/2006/relationships" r:embed="rId1"/>
        <a:stretch>
          <a:fillRect/>
        </a:stretch>
      </xdr:blipFill>
      <xdr:spPr>
        <a:xfrm>
          <a:off x="8007350" y="349250"/>
          <a:ext cx="1162050" cy="520700"/>
        </a:xfrm>
        <a:prstGeom prst="rect">
          <a:avLst/>
        </a:prstGeom>
      </xdr:spPr>
    </xdr:pic>
    <xdr:clientData/>
  </xdr:oneCellAnchor>
  <xdr:twoCellAnchor>
    <xdr:from>
      <xdr:col>0</xdr:col>
      <xdr:colOff>50800</xdr:colOff>
      <xdr:row>1</xdr:row>
      <xdr:rowOff>546100</xdr:rowOff>
    </xdr:from>
    <xdr:to>
      <xdr:col>4</xdr:col>
      <xdr:colOff>101600</xdr:colOff>
      <xdr:row>2</xdr:row>
      <xdr:rowOff>551180</xdr:rowOff>
    </xdr:to>
    <xdr:sp macro="" textlink="">
      <xdr:nvSpPr>
        <xdr:cNvPr id="3" name="Diamond 2">
          <a:extLst>
            <a:ext uri="{FF2B5EF4-FFF2-40B4-BE49-F238E27FC236}">
              <a16:creationId xmlns:a16="http://schemas.microsoft.com/office/drawing/2014/main" id="{479FA1C4-1BD0-488A-87A9-8CA6A1D459DE}"/>
            </a:ext>
          </a:extLst>
        </xdr:cNvPr>
        <xdr:cNvSpPr/>
      </xdr:nvSpPr>
      <xdr:spPr>
        <a:xfrm>
          <a:off x="50800" y="368300"/>
          <a:ext cx="2514600" cy="182880"/>
        </a:xfrm>
        <a:prstGeom prst="diamond">
          <a:avLst/>
        </a:prstGeom>
        <a:solidFill>
          <a:schemeClr val="accent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en-US" sz="1600" b="1">
              <a:latin typeface="Arial" panose="020B0604020202020204" pitchFamily="34" charset="0"/>
              <a:cs typeface="Arial" panose="020B0604020202020204" pitchFamily="34" charset="0"/>
            </a:rPr>
            <a:t>RVV</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2</xdr:col>
      <xdr:colOff>272146</xdr:colOff>
      <xdr:row>6</xdr:row>
      <xdr:rowOff>4920</xdr:rowOff>
    </xdr:from>
    <xdr:ext cx="242116" cy="717627"/>
    <xdr:pic>
      <xdr:nvPicPr>
        <xdr:cNvPr id="2" name="Picture 1">
          <a:extLst>
            <a:ext uri="{FF2B5EF4-FFF2-40B4-BE49-F238E27FC236}">
              <a16:creationId xmlns:a16="http://schemas.microsoft.com/office/drawing/2014/main" id="{F7AF0881-61FA-44E2-89AB-9EBA59F298D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1819" b="1819"/>
        <a:stretch/>
      </xdr:blipFill>
      <xdr:spPr>
        <a:xfrm>
          <a:off x="1504046" y="1109820"/>
          <a:ext cx="242116" cy="717627"/>
        </a:xfrm>
        <a:prstGeom prst="rect">
          <a:avLst/>
        </a:prstGeom>
      </xdr:spPr>
    </xdr:pic>
    <xdr:clientData/>
  </xdr:oneCellAnchor>
  <xdr:twoCellAnchor>
    <xdr:from>
      <xdr:col>2</xdr:col>
      <xdr:colOff>532915</xdr:colOff>
      <xdr:row>5</xdr:row>
      <xdr:rowOff>542425</xdr:rowOff>
    </xdr:from>
    <xdr:to>
      <xdr:col>3</xdr:col>
      <xdr:colOff>858035</xdr:colOff>
      <xdr:row>7</xdr:row>
      <xdr:rowOff>127000</xdr:rowOff>
    </xdr:to>
    <xdr:sp macro="" textlink="">
      <xdr:nvSpPr>
        <xdr:cNvPr id="3" name="TextBox 2">
          <a:extLst>
            <a:ext uri="{FF2B5EF4-FFF2-40B4-BE49-F238E27FC236}">
              <a16:creationId xmlns:a16="http://schemas.microsoft.com/office/drawing/2014/main" id="{0A9A7159-77C5-46DE-BB02-9D86FBA23325}"/>
            </a:ext>
          </a:extLst>
        </xdr:cNvPr>
        <xdr:cNvSpPr txBox="1"/>
      </xdr:nvSpPr>
      <xdr:spPr>
        <a:xfrm>
          <a:off x="1764815" y="1107575"/>
          <a:ext cx="699770" cy="308475"/>
        </a:xfrm>
        <a:prstGeom prst="rect">
          <a:avLst/>
        </a:prstGeom>
        <a:solidFill>
          <a:srgbClr val="E8EBEB"/>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000">
              <a:latin typeface="Arial" panose="020B0604020202020204" pitchFamily="34" charset="0"/>
              <a:cs typeface="Arial" panose="020B0604020202020204" pitchFamily="34" charset="0"/>
            </a:rPr>
            <a:t>Lower volume or cost</a:t>
          </a:r>
          <a:endParaRPr lang="en-CH" sz="1000">
            <a:latin typeface="Arial" panose="020B0604020202020204" pitchFamily="34" charset="0"/>
            <a:cs typeface="Arial" panose="020B0604020202020204" pitchFamily="34" charset="0"/>
          </a:endParaRPr>
        </a:p>
      </xdr:txBody>
    </xdr:sp>
    <xdr:clientData/>
  </xdr:twoCellAnchor>
  <xdr:twoCellAnchor>
    <xdr:from>
      <xdr:col>2</xdr:col>
      <xdr:colOff>527176</xdr:colOff>
      <xdr:row>7</xdr:row>
      <xdr:rowOff>415712</xdr:rowOff>
    </xdr:from>
    <xdr:to>
      <xdr:col>3</xdr:col>
      <xdr:colOff>852296</xdr:colOff>
      <xdr:row>7</xdr:row>
      <xdr:rowOff>658071</xdr:rowOff>
    </xdr:to>
    <xdr:sp macro="" textlink="">
      <xdr:nvSpPr>
        <xdr:cNvPr id="4" name="TextBox 3">
          <a:extLst>
            <a:ext uri="{FF2B5EF4-FFF2-40B4-BE49-F238E27FC236}">
              <a16:creationId xmlns:a16="http://schemas.microsoft.com/office/drawing/2014/main" id="{2BF365DC-D1C8-49D6-A71D-46009F859A9D}"/>
            </a:ext>
          </a:extLst>
        </xdr:cNvPr>
        <xdr:cNvSpPr txBox="1"/>
      </xdr:nvSpPr>
      <xdr:spPr>
        <a:xfrm>
          <a:off x="1759076" y="1476162"/>
          <a:ext cx="706120" cy="0"/>
        </a:xfrm>
        <a:prstGeom prst="rect">
          <a:avLst/>
        </a:prstGeom>
        <a:solidFill>
          <a:srgbClr val="E8EBEB"/>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000">
              <a:latin typeface="Arial" panose="020B0604020202020204" pitchFamily="34" charset="0"/>
              <a:cs typeface="Arial" panose="020B0604020202020204" pitchFamily="34" charset="0"/>
            </a:rPr>
            <a:t>Higher volume or cost</a:t>
          </a:r>
          <a:endParaRPr lang="en-CH" sz="1000">
            <a:latin typeface="Arial" panose="020B0604020202020204" pitchFamily="34" charset="0"/>
            <a:cs typeface="Arial" panose="020B0604020202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3</xdr:col>
      <xdr:colOff>20320</xdr:colOff>
      <xdr:row>5</xdr:row>
      <xdr:rowOff>273213</xdr:rowOff>
    </xdr:from>
    <xdr:ext cx="191815" cy="684335"/>
    <xdr:pic>
      <xdr:nvPicPr>
        <xdr:cNvPr id="2" name="Picture 1">
          <a:extLst>
            <a:ext uri="{FF2B5EF4-FFF2-40B4-BE49-F238E27FC236}">
              <a16:creationId xmlns:a16="http://schemas.microsoft.com/office/drawing/2014/main" id="{B2AA5B4B-2AFE-4C0D-9FC2-A9EDCE7E8EF4}"/>
            </a:ext>
          </a:extLst>
        </xdr:cNvPr>
        <xdr:cNvPicPr>
          <a:picLocks noChangeAspect="1"/>
        </xdr:cNvPicPr>
      </xdr:nvPicPr>
      <xdr:blipFill rotWithShape="1">
        <a:blip xmlns:r="http://schemas.openxmlformats.org/officeDocument/2006/relationships" r:embed="rId1"/>
        <a:srcRect t="2241"/>
        <a:stretch/>
      </xdr:blipFill>
      <xdr:spPr>
        <a:xfrm>
          <a:off x="1252220" y="1105063"/>
          <a:ext cx="191815" cy="684335"/>
        </a:xfrm>
        <a:prstGeom prst="rect">
          <a:avLst/>
        </a:prstGeom>
      </xdr:spPr>
    </xdr:pic>
    <xdr:clientData/>
  </xdr:oneCellAnchor>
  <xdr:twoCellAnchor>
    <xdr:from>
      <xdr:col>3</xdr:col>
      <xdr:colOff>229867</xdr:colOff>
      <xdr:row>5</xdr:row>
      <xdr:rowOff>248283</xdr:rowOff>
    </xdr:from>
    <xdr:to>
      <xdr:col>4</xdr:col>
      <xdr:colOff>76200</xdr:colOff>
      <xdr:row>5</xdr:row>
      <xdr:rowOff>422274</xdr:rowOff>
    </xdr:to>
    <xdr:sp macro="" textlink="">
      <xdr:nvSpPr>
        <xdr:cNvPr id="3" name="TextBox 2">
          <a:extLst>
            <a:ext uri="{FF2B5EF4-FFF2-40B4-BE49-F238E27FC236}">
              <a16:creationId xmlns:a16="http://schemas.microsoft.com/office/drawing/2014/main" id="{0C6A1D5C-94D9-4B1E-A30E-E050201B8E19}"/>
            </a:ext>
          </a:extLst>
        </xdr:cNvPr>
        <xdr:cNvSpPr txBox="1"/>
      </xdr:nvSpPr>
      <xdr:spPr>
        <a:xfrm>
          <a:off x="1461767" y="1105533"/>
          <a:ext cx="462283" cy="2541"/>
        </a:xfrm>
        <a:prstGeom prst="rect">
          <a:avLst/>
        </a:prstGeom>
        <a:solidFill>
          <a:schemeClr val="accent6">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800">
              <a:latin typeface="Arial" panose="020B0604020202020204" pitchFamily="34" charset="0"/>
              <a:cs typeface="Arial" panose="020B0604020202020204" pitchFamily="34" charset="0"/>
            </a:rPr>
            <a:t>Lower volume or cost</a:t>
          </a:r>
          <a:endParaRPr lang="en-CH" sz="800">
            <a:latin typeface="Arial" panose="020B0604020202020204" pitchFamily="34" charset="0"/>
            <a:cs typeface="Arial" panose="020B0604020202020204" pitchFamily="34" charset="0"/>
          </a:endParaRPr>
        </a:p>
      </xdr:txBody>
    </xdr:sp>
    <xdr:clientData/>
  </xdr:twoCellAnchor>
  <xdr:twoCellAnchor>
    <xdr:from>
      <xdr:col>3</xdr:col>
      <xdr:colOff>236220</xdr:colOff>
      <xdr:row>5</xdr:row>
      <xdr:rowOff>767081</xdr:rowOff>
    </xdr:from>
    <xdr:to>
      <xdr:col>4</xdr:col>
      <xdr:colOff>53341</xdr:colOff>
      <xdr:row>5</xdr:row>
      <xdr:rowOff>965201</xdr:rowOff>
    </xdr:to>
    <xdr:sp macro="" textlink="">
      <xdr:nvSpPr>
        <xdr:cNvPr id="4" name="TextBox 3">
          <a:extLst>
            <a:ext uri="{FF2B5EF4-FFF2-40B4-BE49-F238E27FC236}">
              <a16:creationId xmlns:a16="http://schemas.microsoft.com/office/drawing/2014/main" id="{7AF58A67-C46E-43E2-8745-2D3B15728A3D}"/>
            </a:ext>
          </a:extLst>
        </xdr:cNvPr>
        <xdr:cNvSpPr txBox="1"/>
      </xdr:nvSpPr>
      <xdr:spPr>
        <a:xfrm>
          <a:off x="1468120" y="1103631"/>
          <a:ext cx="433071" cy="1270"/>
        </a:xfrm>
        <a:prstGeom prst="rect">
          <a:avLst/>
        </a:prstGeom>
        <a:solidFill>
          <a:schemeClr val="accent6">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800">
              <a:latin typeface="Arial" panose="020B0604020202020204" pitchFamily="34" charset="0"/>
              <a:cs typeface="Arial" panose="020B0604020202020204" pitchFamily="34" charset="0"/>
            </a:rPr>
            <a:t>Higher volume or cost</a:t>
          </a:r>
          <a:endParaRPr lang="en-CH" sz="800">
            <a:latin typeface="Arial" panose="020B0604020202020204" pitchFamily="34" charset="0"/>
            <a:cs typeface="Arial" panose="020B0604020202020204" pitchFamily="34" charset="0"/>
          </a:endParaRPr>
        </a:p>
      </xdr:txBody>
    </xdr:sp>
    <xdr:clientData/>
  </xdr:twoCellAnchor>
</xdr:wsDr>
</file>

<file path=xl/theme/theme1.xml><?xml version="1.0" encoding="utf-8"?>
<a:theme xmlns:a="http://schemas.openxmlformats.org/drawingml/2006/main" name="Office Theme">
  <a:themeElements>
    <a:clrScheme name="PATH - Shigella">
      <a:dk1>
        <a:srgbClr val="3F4856"/>
      </a:dk1>
      <a:lt1>
        <a:srgbClr val="FFFFFF"/>
      </a:lt1>
      <a:dk2>
        <a:srgbClr val="F65050"/>
      </a:dk2>
      <a:lt2>
        <a:srgbClr val="F5EFE9"/>
      </a:lt2>
      <a:accent1>
        <a:srgbClr val="009BA8"/>
      </a:accent1>
      <a:accent2>
        <a:srgbClr val="00602C"/>
      </a:accent2>
      <a:accent3>
        <a:srgbClr val="00AA49"/>
      </a:accent3>
      <a:accent4>
        <a:srgbClr val="FF2C3B"/>
      </a:accent4>
      <a:accent5>
        <a:srgbClr val="39339F"/>
      </a:accent5>
      <a:accent6>
        <a:srgbClr val="6863D8"/>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immunizationeconomics.org/thinkwell-idcc/" TargetMode="External"/><Relationship Id="rId2" Type="http://schemas.openxmlformats.org/officeDocument/2006/relationships/hyperlink" Target="https://www.unicef.org/supply/documents/syringe-and-safety-box-bundles-price-data" TargetMode="External"/><Relationship Id="rId1" Type="http://schemas.openxmlformats.org/officeDocument/2006/relationships/hyperlink" Target="https://www.unicef.org/supply/handling-fees"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gavi.org/our-alliance/market-shaping/product-information-vaccines-cold-chain-equipment"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immunizationeconomics.org/thinkwell-idcc/"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E41BF7-4F8A-4679-9EA8-A8562BD00245}">
  <sheetPr>
    <tabColor theme="3"/>
  </sheetPr>
  <dimension ref="A1:S59"/>
  <sheetViews>
    <sheetView tabSelected="1" zoomScaleNormal="100" zoomScaleSheetLayoutView="70" workbookViewId="0"/>
  </sheetViews>
  <sheetFormatPr defaultColWidth="8.77734375" defaultRowHeight="15" x14ac:dyDescent="0.25"/>
  <cols>
    <col min="1" max="1" width="4.21875" style="13" customWidth="1"/>
    <col min="2" max="3" width="3.21875" style="13" customWidth="1"/>
    <col min="4" max="4" width="8.77734375" style="13"/>
    <col min="5" max="6" width="7.21875" style="13" customWidth="1"/>
    <col min="7" max="11" width="8.77734375" style="13"/>
    <col min="12" max="12" width="11.44140625" style="13" customWidth="1"/>
    <col min="13" max="13" width="32.77734375" style="13" customWidth="1"/>
    <col min="14" max="15" width="3.21875" style="13" customWidth="1"/>
    <col min="16" max="16" width="4.21875" style="13" customWidth="1"/>
    <col min="17" max="16384" width="8.77734375" style="13"/>
  </cols>
  <sheetData>
    <row r="1" spans="1:19" ht="15" customHeight="1" x14ac:dyDescent="0.25">
      <c r="A1" s="14"/>
      <c r="B1" s="294"/>
      <c r="C1" s="294"/>
      <c r="D1" s="294"/>
      <c r="E1" s="294"/>
      <c r="F1" s="294"/>
      <c r="G1" s="294"/>
      <c r="H1" s="294"/>
      <c r="I1" s="294"/>
      <c r="J1" s="294"/>
      <c r="K1" s="294"/>
      <c r="L1" s="294"/>
      <c r="M1" s="294"/>
      <c r="N1" s="294"/>
      <c r="O1" s="294"/>
      <c r="P1" s="14"/>
    </row>
    <row r="2" spans="1:19" ht="122.1" customHeight="1" x14ac:dyDescent="0.25">
      <c r="A2" s="14"/>
      <c r="C2" s="54"/>
      <c r="D2" s="54"/>
      <c r="E2" s="326" t="s">
        <v>119</v>
      </c>
      <c r="F2" s="326"/>
      <c r="G2" s="326"/>
      <c r="H2" s="326"/>
      <c r="I2" s="326"/>
      <c r="J2" s="326"/>
      <c r="K2" s="326"/>
      <c r="L2" s="326"/>
      <c r="M2" s="53"/>
      <c r="N2" s="53"/>
      <c r="P2" s="14"/>
    </row>
    <row r="3" spans="1:19" ht="54" customHeight="1" x14ac:dyDescent="0.25">
      <c r="A3" s="14"/>
      <c r="C3" s="52"/>
      <c r="D3" s="52"/>
      <c r="E3" s="327" t="s">
        <v>109</v>
      </c>
      <c r="F3" s="328"/>
      <c r="G3" s="328"/>
      <c r="H3" s="328"/>
      <c r="I3" s="328"/>
      <c r="J3" s="328"/>
      <c r="K3" s="328"/>
      <c r="L3" s="328"/>
      <c r="M3" s="332" t="s">
        <v>136</v>
      </c>
      <c r="N3" s="332"/>
      <c r="P3" s="14"/>
    </row>
    <row r="4" spans="1:19" ht="34.950000000000003" customHeight="1" x14ac:dyDescent="0.25">
      <c r="A4" s="14"/>
      <c r="B4" s="14"/>
      <c r="C4" s="323" t="s">
        <v>66</v>
      </c>
      <c r="D4" s="323"/>
      <c r="E4" s="323"/>
      <c r="F4" s="323"/>
      <c r="G4" s="323"/>
      <c r="H4" s="323"/>
      <c r="I4" s="323"/>
      <c r="J4" s="323"/>
      <c r="K4" s="323"/>
      <c r="L4" s="323"/>
      <c r="M4" s="323"/>
      <c r="N4" s="51"/>
      <c r="O4" s="14"/>
      <c r="P4" s="14"/>
      <c r="S4" s="295"/>
    </row>
    <row r="5" spans="1:19" ht="8.1" customHeight="1" x14ac:dyDescent="0.25">
      <c r="A5" s="14"/>
      <c r="B5" s="14"/>
      <c r="C5" s="14"/>
      <c r="D5" s="50"/>
      <c r="E5" s="50"/>
      <c r="F5" s="50"/>
      <c r="G5" s="50"/>
      <c r="H5" s="50"/>
      <c r="I5" s="50"/>
      <c r="J5" s="50"/>
      <c r="K5" s="50"/>
      <c r="L5" s="50"/>
      <c r="M5" s="50"/>
      <c r="N5" s="50"/>
      <c r="O5" s="14"/>
      <c r="P5" s="14"/>
    </row>
    <row r="6" spans="1:19" ht="46.2" customHeight="1" x14ac:dyDescent="0.25">
      <c r="A6" s="14"/>
      <c r="B6" s="45"/>
      <c r="C6" s="49"/>
      <c r="D6" s="325" t="s">
        <v>65</v>
      </c>
      <c r="E6" s="325"/>
      <c r="F6" s="325"/>
      <c r="G6" s="325"/>
      <c r="H6" s="325"/>
      <c r="I6" s="325"/>
      <c r="J6" s="325"/>
      <c r="K6" s="325"/>
      <c r="L6" s="325"/>
      <c r="M6" s="325"/>
      <c r="N6" s="44"/>
      <c r="O6" s="49"/>
      <c r="P6" s="14"/>
    </row>
    <row r="7" spans="1:19" ht="7.95" customHeight="1" x14ac:dyDescent="0.25">
      <c r="A7" s="14"/>
      <c r="B7" s="14"/>
      <c r="C7" s="14"/>
      <c r="D7" s="14"/>
      <c r="E7" s="14"/>
      <c r="F7" s="14"/>
      <c r="G7" s="14"/>
      <c r="H7" s="14"/>
      <c r="I7" s="14"/>
      <c r="J7" s="14"/>
      <c r="K7" s="14"/>
      <c r="L7" s="14"/>
      <c r="M7" s="14"/>
      <c r="N7" s="14"/>
      <c r="O7" s="14"/>
      <c r="P7" s="14"/>
    </row>
    <row r="8" spans="1:19" ht="310.2" customHeight="1" x14ac:dyDescent="0.25">
      <c r="A8" s="14"/>
      <c r="B8" s="14"/>
      <c r="D8" s="329" t="s">
        <v>168</v>
      </c>
      <c r="E8" s="329"/>
      <c r="F8" s="329"/>
      <c r="G8" s="329"/>
      <c r="H8" s="329"/>
      <c r="I8" s="329"/>
      <c r="J8" s="329"/>
      <c r="K8" s="329"/>
      <c r="L8" s="329"/>
      <c r="M8" s="329"/>
      <c r="N8" s="48"/>
      <c r="O8" s="14"/>
      <c r="P8" s="14"/>
    </row>
    <row r="9" spans="1:19" ht="8.1" customHeight="1" x14ac:dyDescent="0.25">
      <c r="A9" s="14"/>
      <c r="B9" s="14"/>
      <c r="C9" s="14"/>
      <c r="D9" s="47"/>
      <c r="E9" s="47"/>
      <c r="F9" s="47"/>
      <c r="G9" s="47"/>
      <c r="H9" s="47"/>
      <c r="I9" s="47"/>
      <c r="J9" s="47"/>
      <c r="K9" s="47"/>
      <c r="L9" s="47"/>
      <c r="M9" s="47"/>
      <c r="N9" s="47"/>
      <c r="O9" s="14"/>
      <c r="P9" s="14"/>
    </row>
    <row r="10" spans="1:19" ht="91.35" customHeight="1" x14ac:dyDescent="0.25">
      <c r="A10" s="14"/>
      <c r="B10" s="14"/>
      <c r="C10" s="14"/>
      <c r="D10" s="330" t="s">
        <v>121</v>
      </c>
      <c r="E10" s="331"/>
      <c r="F10" s="331"/>
      <c r="G10" s="331"/>
      <c r="H10" s="331"/>
      <c r="I10" s="331"/>
      <c r="J10" s="331"/>
      <c r="K10" s="331"/>
      <c r="L10" s="331"/>
      <c r="M10" s="331"/>
      <c r="N10" s="46"/>
      <c r="O10" s="14"/>
      <c r="P10" s="14"/>
    </row>
    <row r="11" spans="1:19" ht="8.1" customHeight="1" x14ac:dyDescent="0.25">
      <c r="A11" s="14"/>
      <c r="B11" s="14"/>
      <c r="C11" s="14"/>
      <c r="D11" s="14"/>
      <c r="E11" s="14"/>
      <c r="F11" s="14"/>
      <c r="G11" s="14"/>
      <c r="H11" s="14"/>
      <c r="I11" s="14"/>
      <c r="J11" s="14"/>
      <c r="K11" s="14"/>
      <c r="L11" s="14"/>
      <c r="M11" s="14"/>
      <c r="N11" s="14"/>
      <c r="O11" s="14"/>
      <c r="P11" s="14"/>
    </row>
    <row r="12" spans="1:19" ht="49.2" customHeight="1" x14ac:dyDescent="0.25">
      <c r="A12" s="14"/>
      <c r="B12" s="45"/>
      <c r="C12" s="43"/>
      <c r="D12" s="325" t="s">
        <v>27</v>
      </c>
      <c r="E12" s="325"/>
      <c r="F12" s="325"/>
      <c r="G12" s="325"/>
      <c r="H12" s="325"/>
      <c r="I12" s="325"/>
      <c r="J12" s="325"/>
      <c r="K12" s="325"/>
      <c r="L12" s="325"/>
      <c r="M12" s="325"/>
      <c r="N12" s="44"/>
      <c r="O12" s="43"/>
      <c r="P12" s="14"/>
    </row>
    <row r="13" spans="1:19" ht="5.0999999999999996" customHeight="1" x14ac:dyDescent="0.25">
      <c r="A13" s="14"/>
      <c r="B13" s="14"/>
      <c r="C13" s="14"/>
      <c r="D13" s="14"/>
      <c r="E13" s="14"/>
      <c r="F13" s="14"/>
      <c r="G13" s="14"/>
      <c r="H13" s="14"/>
      <c r="I13" s="14"/>
      <c r="J13" s="14"/>
      <c r="K13" s="14"/>
      <c r="L13" s="14"/>
      <c r="M13" s="14"/>
      <c r="N13" s="14"/>
      <c r="O13" s="14"/>
      <c r="P13" s="14"/>
    </row>
    <row r="14" spans="1:19" ht="29.1" customHeight="1" x14ac:dyDescent="0.25">
      <c r="A14" s="14"/>
      <c r="B14" s="14"/>
      <c r="C14" s="42"/>
      <c r="D14" s="324" t="s">
        <v>64</v>
      </c>
      <c r="E14" s="324"/>
      <c r="F14" s="324"/>
      <c r="G14" s="324"/>
      <c r="H14" s="324"/>
      <c r="I14" s="324"/>
      <c r="J14" s="324"/>
      <c r="K14" s="324"/>
      <c r="L14" s="324"/>
      <c r="M14" s="324"/>
      <c r="N14" s="41"/>
      <c r="O14" s="14"/>
      <c r="P14" s="14"/>
    </row>
    <row r="15" spans="1:19" ht="8.1" customHeight="1" x14ac:dyDescent="0.25">
      <c r="A15" s="14"/>
      <c r="B15" s="14"/>
      <c r="O15" s="14"/>
      <c r="P15" s="14"/>
    </row>
    <row r="16" spans="1:19" ht="15.6" customHeight="1" x14ac:dyDescent="0.25">
      <c r="A16" s="14"/>
      <c r="B16" s="14"/>
      <c r="D16" s="40"/>
      <c r="E16" s="353" t="s">
        <v>63</v>
      </c>
      <c r="F16" s="353"/>
      <c r="G16" s="353"/>
      <c r="H16" s="353"/>
      <c r="I16" s="353"/>
      <c r="J16" s="353"/>
      <c r="K16" s="353"/>
      <c r="L16" s="353"/>
      <c r="M16" s="353"/>
      <c r="N16" s="39"/>
      <c r="O16" s="14"/>
      <c r="P16" s="14"/>
    </row>
    <row r="17" spans="1:16" ht="13.35" customHeight="1" x14ac:dyDescent="0.25">
      <c r="A17" s="14"/>
      <c r="B17" s="14"/>
      <c r="D17" s="37"/>
      <c r="E17" s="353"/>
      <c r="F17" s="353"/>
      <c r="G17" s="353"/>
      <c r="H17" s="353"/>
      <c r="I17" s="353"/>
      <c r="J17" s="353"/>
      <c r="K17" s="353"/>
      <c r="L17" s="353"/>
      <c r="M17" s="353"/>
      <c r="N17" s="39"/>
      <c r="O17" s="14"/>
      <c r="P17" s="14"/>
    </row>
    <row r="18" spans="1:16" ht="16.2" customHeight="1" x14ac:dyDescent="0.25">
      <c r="A18" s="14"/>
      <c r="B18" s="14"/>
      <c r="D18" s="37"/>
      <c r="E18" s="353"/>
      <c r="F18" s="353"/>
      <c r="G18" s="353"/>
      <c r="H18" s="353"/>
      <c r="I18" s="353"/>
      <c r="J18" s="353"/>
      <c r="K18" s="353"/>
      <c r="L18" s="353"/>
      <c r="M18" s="353"/>
      <c r="N18" s="39"/>
      <c r="O18" s="14"/>
      <c r="P18" s="14"/>
    </row>
    <row r="19" spans="1:16" ht="6" customHeight="1" x14ac:dyDescent="0.25">
      <c r="A19" s="14"/>
      <c r="B19" s="14"/>
      <c r="D19" s="37"/>
      <c r="E19" s="37"/>
      <c r="F19" s="24"/>
      <c r="G19" s="24"/>
      <c r="H19" s="24"/>
      <c r="I19" s="24"/>
      <c r="J19" s="24"/>
      <c r="K19" s="24"/>
      <c r="L19" s="24"/>
      <c r="M19" s="24"/>
      <c r="O19" s="14"/>
      <c r="P19" s="14"/>
    </row>
    <row r="20" spans="1:16" ht="15.6" customHeight="1" x14ac:dyDescent="0.25">
      <c r="A20" s="14"/>
      <c r="B20" s="14"/>
      <c r="D20" s="38"/>
      <c r="E20" s="353" t="s">
        <v>62</v>
      </c>
      <c r="F20" s="353"/>
      <c r="G20" s="353"/>
      <c r="H20" s="353"/>
      <c r="I20" s="353"/>
      <c r="J20" s="353"/>
      <c r="K20" s="353"/>
      <c r="L20" s="353"/>
      <c r="M20" s="353"/>
      <c r="N20" s="28"/>
      <c r="O20" s="14"/>
      <c r="P20" s="14"/>
    </row>
    <row r="21" spans="1:16" ht="16.350000000000001" customHeight="1" x14ac:dyDescent="0.25">
      <c r="A21" s="14"/>
      <c r="B21" s="14"/>
      <c r="D21" s="37"/>
      <c r="E21" s="353"/>
      <c r="F21" s="353"/>
      <c r="G21" s="353"/>
      <c r="H21" s="353"/>
      <c r="I21" s="353"/>
      <c r="J21" s="353"/>
      <c r="K21" s="353"/>
      <c r="L21" s="353"/>
      <c r="M21" s="353"/>
      <c r="N21" s="28"/>
      <c r="O21" s="14"/>
      <c r="P21" s="14"/>
    </row>
    <row r="22" spans="1:16" ht="7.35" customHeight="1" x14ac:dyDescent="0.25">
      <c r="A22" s="14"/>
      <c r="B22" s="14"/>
      <c r="D22" s="37"/>
      <c r="E22" s="37"/>
      <c r="F22" s="24"/>
      <c r="G22" s="24"/>
      <c r="H22" s="24"/>
      <c r="I22" s="24"/>
      <c r="J22" s="24"/>
      <c r="K22" s="24"/>
      <c r="L22" s="24"/>
      <c r="M22" s="24"/>
      <c r="O22" s="14"/>
      <c r="P22" s="14"/>
    </row>
    <row r="23" spans="1:16" x14ac:dyDescent="0.25">
      <c r="A23" s="14"/>
      <c r="B23" s="14"/>
      <c r="D23" s="36"/>
      <c r="E23" s="351" t="s">
        <v>38</v>
      </c>
      <c r="F23" s="352"/>
      <c r="G23" s="352"/>
      <c r="H23" s="352"/>
      <c r="I23" s="352"/>
      <c r="J23" s="352"/>
      <c r="K23" s="352"/>
      <c r="L23" s="352"/>
      <c r="M23" s="352"/>
      <c r="N23" s="28"/>
      <c r="O23" s="14"/>
      <c r="P23" s="14"/>
    </row>
    <row r="24" spans="1:16" ht="10.199999999999999" customHeight="1" x14ac:dyDescent="0.25">
      <c r="A24" s="14"/>
      <c r="B24" s="14"/>
      <c r="D24" s="24"/>
      <c r="E24" s="24"/>
      <c r="F24" s="24"/>
      <c r="G24" s="24"/>
      <c r="H24" s="24"/>
      <c r="I24" s="24"/>
      <c r="J24" s="24"/>
      <c r="K24" s="24"/>
      <c r="L24" s="24"/>
      <c r="M24" s="24"/>
      <c r="O24" s="14"/>
      <c r="P24" s="14"/>
    </row>
    <row r="25" spans="1:16" ht="45" customHeight="1" x14ac:dyDescent="0.25">
      <c r="A25" s="14"/>
      <c r="B25" s="14"/>
      <c r="D25" s="336" t="s">
        <v>61</v>
      </c>
      <c r="E25" s="336"/>
      <c r="F25" s="336"/>
      <c r="G25" s="337" t="s">
        <v>60</v>
      </c>
      <c r="H25" s="337"/>
      <c r="I25" s="337"/>
      <c r="J25" s="337"/>
      <c r="K25" s="337"/>
      <c r="L25" s="337"/>
      <c r="M25" s="337"/>
      <c r="N25" s="28"/>
      <c r="O25" s="14"/>
      <c r="P25" s="14"/>
    </row>
    <row r="26" spans="1:16" ht="8.1" customHeight="1" x14ac:dyDescent="0.25">
      <c r="A26" s="14"/>
      <c r="B26" s="14"/>
      <c r="D26" s="24"/>
      <c r="E26" s="24"/>
      <c r="F26" s="24"/>
      <c r="G26" s="24"/>
      <c r="H26" s="24"/>
      <c r="I26" s="24"/>
      <c r="J26" s="24"/>
      <c r="K26" s="24"/>
      <c r="L26" s="24"/>
      <c r="M26" s="24"/>
      <c r="O26" s="14"/>
      <c r="P26" s="14"/>
    </row>
    <row r="27" spans="1:16" ht="223.5" customHeight="1" x14ac:dyDescent="0.25">
      <c r="A27" s="14"/>
      <c r="B27" s="14"/>
      <c r="D27" s="336" t="s">
        <v>67</v>
      </c>
      <c r="E27" s="336"/>
      <c r="F27" s="336"/>
      <c r="G27" s="337" t="s">
        <v>157</v>
      </c>
      <c r="H27" s="337"/>
      <c r="I27" s="337"/>
      <c r="J27" s="337"/>
      <c r="K27" s="337"/>
      <c r="L27" s="337"/>
      <c r="M27" s="337"/>
      <c r="O27" s="14"/>
      <c r="P27" s="14"/>
    </row>
    <row r="28" spans="1:16" ht="8.1" customHeight="1" x14ac:dyDescent="0.25">
      <c r="A28" s="14"/>
      <c r="B28" s="14"/>
      <c r="D28" s="24"/>
      <c r="E28" s="24"/>
      <c r="F28" s="24"/>
      <c r="G28" s="24"/>
      <c r="H28" s="24"/>
      <c r="I28" s="24"/>
      <c r="J28" s="24"/>
      <c r="K28" s="24"/>
      <c r="L28" s="24"/>
      <c r="M28" s="24"/>
      <c r="O28" s="14"/>
      <c r="P28" s="14"/>
    </row>
    <row r="29" spans="1:16" ht="148.5" customHeight="1" x14ac:dyDescent="0.25">
      <c r="A29" s="14"/>
      <c r="B29" s="14"/>
      <c r="D29" s="336" t="s">
        <v>59</v>
      </c>
      <c r="E29" s="336"/>
      <c r="F29" s="336"/>
      <c r="G29" s="337" t="s">
        <v>110</v>
      </c>
      <c r="H29" s="337"/>
      <c r="I29" s="337"/>
      <c r="J29" s="337"/>
      <c r="K29" s="337"/>
      <c r="L29" s="337"/>
      <c r="M29" s="337"/>
      <c r="N29" s="28"/>
      <c r="O29" s="14"/>
      <c r="P29" s="14"/>
    </row>
    <row r="30" spans="1:16" ht="24.6" customHeight="1" x14ac:dyDescent="0.25">
      <c r="A30" s="14"/>
      <c r="B30" s="14"/>
      <c r="D30" s="346" t="s">
        <v>54</v>
      </c>
      <c r="E30" s="347"/>
      <c r="F30" s="347"/>
      <c r="G30" s="347"/>
      <c r="H30" s="347"/>
      <c r="I30" s="347"/>
      <c r="J30" s="347"/>
      <c r="K30" s="347"/>
      <c r="L30" s="347"/>
      <c r="M30" s="348"/>
      <c r="N30" s="35"/>
      <c r="O30" s="14"/>
      <c r="P30" s="14"/>
    </row>
    <row r="31" spans="1:16" ht="32.1" customHeight="1" x14ac:dyDescent="0.25">
      <c r="A31" s="14"/>
      <c r="B31" s="14"/>
      <c r="D31" s="342" t="s">
        <v>28</v>
      </c>
      <c r="E31" s="343"/>
      <c r="F31" s="343"/>
      <c r="G31" s="349" t="s">
        <v>28</v>
      </c>
      <c r="H31" s="349"/>
      <c r="I31" s="349"/>
      <c r="J31" s="349"/>
      <c r="K31" s="349"/>
      <c r="L31" s="349"/>
      <c r="M31" s="350"/>
      <c r="N31" s="34"/>
      <c r="O31" s="14"/>
      <c r="P31" s="14"/>
    </row>
    <row r="32" spans="1:16" ht="27.6" customHeight="1" x14ac:dyDescent="0.25">
      <c r="A32" s="14"/>
      <c r="B32" s="14"/>
      <c r="D32" s="342" t="s">
        <v>58</v>
      </c>
      <c r="E32" s="343"/>
      <c r="F32" s="343"/>
      <c r="G32" s="33" t="s">
        <v>29</v>
      </c>
      <c r="H32" s="32"/>
      <c r="I32" s="32"/>
      <c r="J32" s="32"/>
      <c r="K32" s="32"/>
      <c r="L32" s="32"/>
      <c r="M32" s="31"/>
      <c r="N32" s="28"/>
      <c r="O32" s="14"/>
      <c r="P32" s="14"/>
    </row>
    <row r="33" spans="1:16" ht="29.7" customHeight="1" x14ac:dyDescent="0.25">
      <c r="A33" s="14"/>
      <c r="B33" s="14"/>
      <c r="D33" s="344" t="s">
        <v>57</v>
      </c>
      <c r="E33" s="345"/>
      <c r="F33" s="345"/>
      <c r="G33" s="26" t="s">
        <v>30</v>
      </c>
      <c r="H33" s="30"/>
      <c r="I33" s="30"/>
      <c r="J33" s="30"/>
      <c r="K33" s="30"/>
      <c r="L33" s="30"/>
      <c r="M33" s="29"/>
      <c r="N33" s="28"/>
      <c r="O33" s="14"/>
      <c r="P33" s="14"/>
    </row>
    <row r="34" spans="1:16" ht="8.1" customHeight="1" x14ac:dyDescent="0.25">
      <c r="A34" s="14"/>
      <c r="B34" s="14"/>
      <c r="D34" s="24"/>
      <c r="E34" s="24"/>
      <c r="F34" s="24"/>
      <c r="G34" s="24"/>
      <c r="H34" s="24"/>
      <c r="I34" s="24"/>
      <c r="J34" s="24"/>
      <c r="K34" s="24"/>
      <c r="L34" s="24"/>
      <c r="M34" s="24"/>
      <c r="O34" s="14"/>
      <c r="P34" s="14"/>
    </row>
    <row r="35" spans="1:16" ht="152.25" customHeight="1" x14ac:dyDescent="0.25">
      <c r="A35" s="14"/>
      <c r="B35" s="14"/>
      <c r="D35" s="338" t="s">
        <v>56</v>
      </c>
      <c r="E35" s="338"/>
      <c r="F35" s="338"/>
      <c r="G35" s="339" t="s">
        <v>55</v>
      </c>
      <c r="H35" s="340"/>
      <c r="I35" s="340"/>
      <c r="J35" s="340"/>
      <c r="K35" s="340"/>
      <c r="L35" s="340"/>
      <c r="M35" s="341"/>
      <c r="N35" s="28"/>
      <c r="O35" s="14"/>
      <c r="P35" s="14"/>
    </row>
    <row r="36" spans="1:16" ht="18" customHeight="1" x14ac:dyDescent="0.25">
      <c r="A36" s="14"/>
      <c r="B36" s="14"/>
      <c r="D36" s="333" t="s">
        <v>54</v>
      </c>
      <c r="E36" s="334"/>
      <c r="F36" s="334"/>
      <c r="G36" s="334"/>
      <c r="H36" s="334"/>
      <c r="I36" s="334"/>
      <c r="J36" s="334"/>
      <c r="K36" s="334"/>
      <c r="L36" s="334"/>
      <c r="M36" s="335"/>
      <c r="N36" s="27"/>
      <c r="O36" s="14"/>
      <c r="P36" s="14"/>
    </row>
    <row r="37" spans="1:16" ht="36" customHeight="1" x14ac:dyDescent="0.25">
      <c r="A37" s="14"/>
      <c r="B37" s="14"/>
      <c r="D37" s="344" t="s">
        <v>18</v>
      </c>
      <c r="E37" s="345"/>
      <c r="F37" s="345"/>
      <c r="G37" s="354" t="s">
        <v>53</v>
      </c>
      <c r="H37" s="354"/>
      <c r="I37" s="354"/>
      <c r="J37" s="354"/>
      <c r="K37" s="354"/>
      <c r="L37" s="354"/>
      <c r="M37" s="355"/>
      <c r="N37" s="25"/>
      <c r="O37" s="14"/>
      <c r="P37" s="14"/>
    </row>
    <row r="38" spans="1:16" ht="8.1" customHeight="1" x14ac:dyDescent="0.25">
      <c r="A38" s="14"/>
      <c r="B38" s="14"/>
      <c r="D38" s="24"/>
      <c r="E38" s="24"/>
      <c r="F38" s="24"/>
      <c r="G38" s="24"/>
      <c r="H38" s="24"/>
      <c r="I38" s="24"/>
      <c r="J38" s="24"/>
      <c r="K38" s="24"/>
      <c r="L38" s="24"/>
      <c r="M38" s="24"/>
      <c r="O38" s="14"/>
      <c r="P38" s="14"/>
    </row>
    <row r="39" spans="1:16" ht="25.2" customHeight="1" x14ac:dyDescent="0.4">
      <c r="A39" s="14"/>
      <c r="B39" s="14"/>
      <c r="D39" s="360" t="s">
        <v>52</v>
      </c>
      <c r="E39" s="361"/>
      <c r="F39" s="361"/>
      <c r="G39" s="361"/>
      <c r="H39" s="361"/>
      <c r="I39" s="361"/>
      <c r="J39" s="361"/>
      <c r="K39" s="361"/>
      <c r="L39" s="361"/>
      <c r="M39" s="362"/>
      <c r="N39" s="16"/>
      <c r="O39" s="14"/>
      <c r="P39" s="14"/>
    </row>
    <row r="40" spans="1:16" ht="8.1" customHeight="1" x14ac:dyDescent="0.25">
      <c r="A40" s="14"/>
      <c r="B40" s="14"/>
      <c r="D40" s="24"/>
      <c r="E40" s="24"/>
      <c r="F40" s="24"/>
      <c r="G40" s="24"/>
      <c r="H40" s="24"/>
      <c r="I40" s="24"/>
      <c r="J40" s="24"/>
      <c r="K40" s="24"/>
      <c r="L40" s="24"/>
      <c r="M40" s="24"/>
      <c r="O40" s="14"/>
      <c r="P40" s="14"/>
    </row>
    <row r="41" spans="1:16" ht="87.6" customHeight="1" x14ac:dyDescent="0.25">
      <c r="A41" s="14"/>
      <c r="B41" s="14"/>
      <c r="D41" s="363" t="s">
        <v>51</v>
      </c>
      <c r="E41" s="364"/>
      <c r="F41" s="364"/>
      <c r="G41" s="364"/>
      <c r="H41" s="364"/>
      <c r="I41" s="364"/>
      <c r="J41" s="364"/>
      <c r="K41" s="364"/>
      <c r="L41" s="364"/>
      <c r="M41" s="365"/>
      <c r="N41" s="19"/>
      <c r="O41" s="14"/>
      <c r="P41" s="14"/>
    </row>
    <row r="42" spans="1:16" ht="8.1" customHeight="1" x14ac:dyDescent="0.25">
      <c r="A42" s="14"/>
      <c r="B42" s="14"/>
      <c r="O42" s="14"/>
      <c r="P42" s="14"/>
    </row>
    <row r="43" spans="1:16" ht="34.200000000000003" customHeight="1" x14ac:dyDescent="0.4">
      <c r="A43" s="14"/>
      <c r="B43" s="14"/>
      <c r="C43" s="23"/>
      <c r="D43" s="357" t="s">
        <v>50</v>
      </c>
      <c r="E43" s="357"/>
      <c r="F43" s="357"/>
      <c r="G43" s="357"/>
      <c r="H43" s="357"/>
      <c r="I43" s="357"/>
      <c r="J43" s="357"/>
      <c r="K43" s="357"/>
      <c r="L43" s="357"/>
      <c r="M43" s="357"/>
      <c r="N43" s="22"/>
      <c r="O43" s="14"/>
      <c r="P43" s="14"/>
    </row>
    <row r="44" spans="1:16" ht="8.1" customHeight="1" x14ac:dyDescent="0.25">
      <c r="A44" s="14"/>
      <c r="B44" s="14"/>
      <c r="O44" s="14"/>
      <c r="P44" s="14"/>
    </row>
    <row r="45" spans="1:16" ht="97.95" customHeight="1" x14ac:dyDescent="0.25">
      <c r="A45" s="14"/>
      <c r="B45" s="14"/>
      <c r="D45" s="366" t="s">
        <v>122</v>
      </c>
      <c r="E45" s="366"/>
      <c r="F45" s="366"/>
      <c r="G45" s="366"/>
      <c r="H45" s="366"/>
      <c r="I45" s="366"/>
      <c r="J45" s="366"/>
      <c r="K45" s="366"/>
      <c r="L45" s="366"/>
      <c r="M45" s="366"/>
      <c r="N45" s="19"/>
      <c r="O45" s="14"/>
      <c r="P45" s="14"/>
    </row>
    <row r="46" spans="1:16" ht="8.1" customHeight="1" x14ac:dyDescent="0.25">
      <c r="A46" s="14"/>
      <c r="B46" s="14"/>
      <c r="O46" s="14"/>
      <c r="P46" s="14"/>
    </row>
    <row r="47" spans="1:16" ht="35.1" customHeight="1" x14ac:dyDescent="0.3">
      <c r="A47" s="14"/>
      <c r="B47" s="14"/>
      <c r="C47" s="21"/>
      <c r="D47" s="358" t="s">
        <v>49</v>
      </c>
      <c r="E47" s="358"/>
      <c r="F47" s="358"/>
      <c r="G47" s="358"/>
      <c r="H47" s="358"/>
      <c r="I47" s="358"/>
      <c r="J47" s="358"/>
      <c r="K47" s="358"/>
      <c r="L47" s="358"/>
      <c r="M47" s="358"/>
      <c r="N47" s="20"/>
      <c r="O47" s="14"/>
      <c r="P47" s="14"/>
    </row>
    <row r="48" spans="1:16" ht="8.1" customHeight="1" x14ac:dyDescent="0.3">
      <c r="A48" s="14"/>
      <c r="B48" s="14"/>
      <c r="D48" s="16"/>
      <c r="E48" s="16"/>
      <c r="F48" s="16"/>
      <c r="G48" s="16"/>
      <c r="H48" s="16"/>
      <c r="I48" s="16"/>
      <c r="J48" s="16"/>
      <c r="K48" s="16"/>
      <c r="L48" s="16"/>
      <c r="M48" s="16"/>
      <c r="N48" s="16"/>
      <c r="O48" s="14"/>
      <c r="P48" s="14"/>
    </row>
    <row r="49" spans="1:16" ht="84" customHeight="1" x14ac:dyDescent="0.25">
      <c r="A49" s="14"/>
      <c r="B49" s="14"/>
      <c r="D49" s="367" t="s">
        <v>139</v>
      </c>
      <c r="E49" s="367"/>
      <c r="F49" s="367"/>
      <c r="G49" s="367"/>
      <c r="H49" s="367"/>
      <c r="I49" s="367"/>
      <c r="J49" s="367"/>
      <c r="K49" s="367"/>
      <c r="L49" s="367"/>
      <c r="M49" s="367"/>
      <c r="N49" s="19"/>
      <c r="O49" s="14"/>
      <c r="P49" s="14"/>
    </row>
    <row r="50" spans="1:16" ht="8.1" customHeight="1" x14ac:dyDescent="0.3">
      <c r="A50" s="14"/>
      <c r="B50" s="14"/>
      <c r="D50" s="16"/>
      <c r="E50" s="16"/>
      <c r="F50" s="16"/>
      <c r="G50" s="16"/>
      <c r="H50" s="16"/>
      <c r="I50" s="16"/>
      <c r="J50" s="16"/>
      <c r="K50" s="16"/>
      <c r="L50" s="16"/>
      <c r="M50" s="16"/>
      <c r="N50" s="16"/>
      <c r="O50" s="14"/>
      <c r="P50" s="14"/>
    </row>
    <row r="51" spans="1:16" ht="25.2" customHeight="1" x14ac:dyDescent="0.3">
      <c r="A51" s="14"/>
      <c r="B51" s="14"/>
      <c r="C51" s="18"/>
      <c r="D51" s="359" t="s">
        <v>48</v>
      </c>
      <c r="E51" s="359"/>
      <c r="F51" s="359"/>
      <c r="G51" s="359"/>
      <c r="H51" s="359"/>
      <c r="I51" s="359"/>
      <c r="J51" s="359"/>
      <c r="K51" s="359"/>
      <c r="L51" s="359"/>
      <c r="M51" s="359"/>
      <c r="N51" s="17"/>
      <c r="O51" s="14"/>
      <c r="P51" s="14"/>
    </row>
    <row r="52" spans="1:16" ht="8.1" customHeight="1" x14ac:dyDescent="0.3">
      <c r="A52" s="14"/>
      <c r="B52" s="14"/>
      <c r="D52" s="16"/>
      <c r="E52" s="16"/>
      <c r="F52" s="16"/>
      <c r="G52" s="16"/>
      <c r="H52" s="16"/>
      <c r="I52" s="16"/>
      <c r="J52" s="16"/>
      <c r="K52" s="16"/>
      <c r="L52" s="16"/>
      <c r="M52" s="16"/>
      <c r="N52" s="16"/>
      <c r="O52" s="14"/>
      <c r="P52" s="14"/>
    </row>
    <row r="53" spans="1:16" ht="268.35000000000002" customHeight="1" x14ac:dyDescent="0.25">
      <c r="A53" s="14"/>
      <c r="B53" s="14"/>
      <c r="D53" s="356" t="s">
        <v>169</v>
      </c>
      <c r="E53" s="356"/>
      <c r="F53" s="356"/>
      <c r="G53" s="356"/>
      <c r="H53" s="356"/>
      <c r="I53" s="356"/>
      <c r="J53" s="356"/>
      <c r="K53" s="356"/>
      <c r="L53" s="356"/>
      <c r="M53" s="356"/>
      <c r="N53" s="15"/>
      <c r="O53" s="14"/>
      <c r="P53" s="14"/>
    </row>
    <row r="54" spans="1:16" ht="8.1" customHeight="1" x14ac:dyDescent="0.25">
      <c r="A54" s="14"/>
      <c r="B54" s="14"/>
      <c r="C54" s="14"/>
      <c r="D54" s="14"/>
      <c r="E54" s="14"/>
      <c r="F54" s="14"/>
      <c r="G54" s="14"/>
      <c r="H54" s="14"/>
      <c r="I54" s="14"/>
      <c r="J54" s="14"/>
      <c r="K54" s="14"/>
      <c r="L54" s="14"/>
      <c r="M54" s="14"/>
      <c r="N54" s="14"/>
      <c r="O54" s="14"/>
      <c r="P54" s="14"/>
    </row>
    <row r="56" spans="1:16" x14ac:dyDescent="0.25">
      <c r="D56" s="6"/>
    </row>
    <row r="57" spans="1:16" x14ac:dyDescent="0.25">
      <c r="D57" s="6"/>
    </row>
    <row r="58" spans="1:16" x14ac:dyDescent="0.25">
      <c r="D58" s="6"/>
    </row>
    <row r="59" spans="1:16" x14ac:dyDescent="0.25">
      <c r="D59" s="6"/>
    </row>
  </sheetData>
  <sheetProtection algorithmName="SHA-512" hashValue="+r68oduQ3aFEq3X0jfzB7UckaVqO1eKF+YBD4Yc0HwNy6ST0qhDAl1StCqdW9OcYx8OhPhQa7CJ0UrIotjd4Nw==" saltValue="J+4YygqXKOx9rvm8qqcIVg==" spinCount="100000" sheet="1" formatRows="0" insertHyperlinks="0"/>
  <mergeCells count="36">
    <mergeCell ref="D37:F37"/>
    <mergeCell ref="G37:M37"/>
    <mergeCell ref="D53:M53"/>
    <mergeCell ref="D43:M43"/>
    <mergeCell ref="D47:M47"/>
    <mergeCell ref="D51:M51"/>
    <mergeCell ref="D39:M39"/>
    <mergeCell ref="D41:M41"/>
    <mergeCell ref="D45:M45"/>
    <mergeCell ref="D49:M49"/>
    <mergeCell ref="E23:M23"/>
    <mergeCell ref="E16:M18"/>
    <mergeCell ref="E20:M21"/>
    <mergeCell ref="D27:F27"/>
    <mergeCell ref="G27:M27"/>
    <mergeCell ref="D36:M36"/>
    <mergeCell ref="D25:F25"/>
    <mergeCell ref="G25:M25"/>
    <mergeCell ref="D29:F29"/>
    <mergeCell ref="G29:M29"/>
    <mergeCell ref="D35:F35"/>
    <mergeCell ref="G35:M35"/>
    <mergeCell ref="D32:F32"/>
    <mergeCell ref="D33:F33"/>
    <mergeCell ref="D31:F31"/>
    <mergeCell ref="D30:M30"/>
    <mergeCell ref="G31:M31"/>
    <mergeCell ref="C4:M4"/>
    <mergeCell ref="D14:M14"/>
    <mergeCell ref="D6:M6"/>
    <mergeCell ref="E2:L2"/>
    <mergeCell ref="E3:L3"/>
    <mergeCell ref="D12:M12"/>
    <mergeCell ref="D8:M8"/>
    <mergeCell ref="D10:M10"/>
    <mergeCell ref="M3:N3"/>
  </mergeCells>
  <hyperlinks>
    <hyperlink ref="G32" r:id="rId1" xr:uid="{87471D11-F6F7-4195-8440-65361C4D0DA4}"/>
    <hyperlink ref="G33" r:id="rId2" xr:uid="{F103155F-0ECD-42B8-BDF2-276001A1689B}"/>
    <hyperlink ref="G37:M37" r:id="rId3" display="Immunization Delivery Cost Catalogue" xr:uid="{0FC6E934-9AFB-46EB-A28E-9A236A6521A7}"/>
    <hyperlink ref="G31:M31" r:id="rId4" display="Gavi detailed product profiles" xr:uid="{A4B1911C-C227-4B1D-88EF-C0CDBC9B09CE}"/>
  </hyperlinks>
  <pageMargins left="0.25" right="0.25" top="0.75" bottom="0.75" header="0.3" footer="0.3"/>
  <pageSetup paperSize="9" scale="70" orientation="portrait" r:id="rId5"/>
  <rowBreaks count="1" manualBreakCount="1">
    <brk id="50" max="15" man="1"/>
  </rowBreaks>
  <colBreaks count="1" manualBreakCount="1">
    <brk id="16" max="1048575" man="1"/>
  </colBreaks>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C7E85B-7571-444F-8D86-B2E3CE3A231D}">
  <sheetPr>
    <tabColor theme="4" tint="-0.249977111117893"/>
  </sheetPr>
  <dimension ref="A1:O152"/>
  <sheetViews>
    <sheetView zoomScaleNormal="100" workbookViewId="0"/>
  </sheetViews>
  <sheetFormatPr defaultColWidth="8.77734375" defaultRowHeight="13.8" outlineLevelRow="1" x14ac:dyDescent="0.3"/>
  <cols>
    <col min="1" max="1" width="1.77734375" style="55" customWidth="1"/>
    <col min="2" max="2" width="3.21875" style="55" customWidth="1"/>
    <col min="3" max="3" width="4" style="55" customWidth="1"/>
    <col min="4" max="4" width="43.44140625" style="55" customWidth="1"/>
    <col min="5" max="5" width="22.77734375" style="55" customWidth="1"/>
    <col min="6" max="6" width="1.44140625" style="55" customWidth="1"/>
    <col min="7" max="7" width="22.77734375" style="55" customWidth="1"/>
    <col min="8" max="8" width="1.44140625" style="55" customWidth="1"/>
    <col min="9" max="9" width="22.77734375" style="55" customWidth="1"/>
    <col min="10" max="10" width="2.21875" style="55" customWidth="1"/>
    <col min="11" max="11" width="22.77734375" style="55" customWidth="1"/>
    <col min="12" max="12" width="4.21875" style="55" customWidth="1"/>
    <col min="13" max="13" width="3.77734375" style="55" customWidth="1"/>
    <col min="14" max="14" width="4.77734375" style="55" customWidth="1"/>
    <col min="15" max="16384" width="8.77734375" style="55"/>
  </cols>
  <sheetData>
    <row r="1" spans="1:14" ht="8.1" customHeight="1" x14ac:dyDescent="0.3">
      <c r="B1" s="300"/>
      <c r="C1" s="300"/>
      <c r="D1" s="300"/>
      <c r="E1" s="300"/>
      <c r="F1" s="300"/>
      <c r="G1" s="300"/>
      <c r="H1" s="300"/>
      <c r="I1" s="300"/>
      <c r="J1" s="300"/>
      <c r="K1" s="300"/>
      <c r="L1" s="300"/>
      <c r="M1" s="300"/>
    </row>
    <row r="2" spans="1:14" ht="19.2" customHeight="1" x14ac:dyDescent="0.3">
      <c r="B2" s="386" t="s">
        <v>120</v>
      </c>
      <c r="C2" s="386"/>
      <c r="D2" s="386"/>
      <c r="E2" s="386"/>
      <c r="F2" s="386"/>
      <c r="G2" s="386"/>
      <c r="H2" s="386"/>
      <c r="I2" s="386"/>
      <c r="J2" s="386"/>
      <c r="K2" s="386"/>
      <c r="L2" s="386"/>
      <c r="M2" s="386"/>
    </row>
    <row r="3" spans="1:14" ht="14.7" customHeight="1" x14ac:dyDescent="0.3">
      <c r="A3" s="195"/>
      <c r="B3" s="194"/>
      <c r="C3" s="60"/>
      <c r="D3" s="60"/>
      <c r="E3" s="60"/>
      <c r="F3" s="60"/>
      <c r="G3" s="60"/>
      <c r="H3" s="60"/>
      <c r="I3" s="60"/>
      <c r="J3" s="60"/>
      <c r="K3" s="193"/>
      <c r="L3" s="193"/>
      <c r="M3" s="60"/>
      <c r="N3" s="192"/>
    </row>
    <row r="4" spans="1:14" ht="60" customHeight="1" x14ac:dyDescent="0.3">
      <c r="B4" s="60"/>
      <c r="C4" s="191"/>
      <c r="D4" s="387" t="s">
        <v>64</v>
      </c>
      <c r="E4" s="387"/>
      <c r="F4" s="387"/>
      <c r="G4" s="387"/>
      <c r="H4" s="387"/>
      <c r="I4" s="387"/>
      <c r="J4" s="387"/>
      <c r="K4" s="387"/>
      <c r="L4" s="190"/>
      <c r="M4" s="188"/>
      <c r="N4" s="187"/>
    </row>
    <row r="5" spans="1:14" ht="8.1" customHeight="1" x14ac:dyDescent="0.3">
      <c r="B5" s="60"/>
      <c r="C5" s="60"/>
      <c r="D5" s="189"/>
      <c r="E5" s="188"/>
      <c r="F5" s="188"/>
      <c r="G5" s="60"/>
      <c r="H5" s="188"/>
      <c r="I5" s="60"/>
      <c r="J5" s="60"/>
      <c r="K5" s="60"/>
      <c r="L5" s="60"/>
      <c r="M5" s="188"/>
      <c r="N5" s="187"/>
    </row>
    <row r="6" spans="1:14" ht="46.2" customHeight="1" x14ac:dyDescent="0.3">
      <c r="B6" s="60"/>
      <c r="C6" s="60"/>
      <c r="D6" s="384" t="s">
        <v>61</v>
      </c>
      <c r="E6" s="384"/>
      <c r="F6" s="384"/>
      <c r="G6" s="384"/>
      <c r="H6" s="384"/>
      <c r="I6" s="384"/>
      <c r="J6" s="384"/>
      <c r="K6" s="384"/>
      <c r="L6" s="98"/>
      <c r="M6" s="172"/>
      <c r="N6" s="184"/>
    </row>
    <row r="7" spans="1:14" ht="8.1" customHeight="1" x14ac:dyDescent="0.3">
      <c r="B7" s="60"/>
      <c r="C7" s="60"/>
      <c r="D7" s="186"/>
      <c r="E7" s="186"/>
      <c r="F7" s="186"/>
      <c r="G7" s="186"/>
      <c r="H7" s="186"/>
      <c r="I7" s="186"/>
      <c r="J7" s="185"/>
      <c r="K7" s="172"/>
      <c r="L7" s="172"/>
      <c r="M7" s="172"/>
      <c r="N7" s="184"/>
    </row>
    <row r="8" spans="1:14" ht="42" customHeight="1" x14ac:dyDescent="0.3">
      <c r="B8" s="60"/>
      <c r="C8" s="60"/>
      <c r="D8" s="163" t="s">
        <v>5</v>
      </c>
      <c r="E8" s="183">
        <v>2026</v>
      </c>
      <c r="F8" s="182"/>
      <c r="G8" s="388" t="s">
        <v>82</v>
      </c>
      <c r="H8" s="388"/>
      <c r="I8" s="388"/>
      <c r="J8" s="388"/>
      <c r="K8" s="389"/>
      <c r="L8" s="181"/>
      <c r="M8" s="172"/>
      <c r="N8" s="180"/>
    </row>
    <row r="9" spans="1:14" ht="42" customHeight="1" x14ac:dyDescent="0.3">
      <c r="B9" s="60"/>
      <c r="C9" s="60"/>
      <c r="D9" s="66" t="s">
        <v>0</v>
      </c>
      <c r="E9" s="179">
        <v>400000</v>
      </c>
      <c r="F9" s="178"/>
      <c r="G9" s="395" t="s">
        <v>7</v>
      </c>
      <c r="H9" s="395"/>
      <c r="I9" s="395"/>
      <c r="J9" s="395"/>
      <c r="K9" s="396"/>
      <c r="L9" s="173"/>
      <c r="M9" s="172"/>
      <c r="N9" s="177"/>
    </row>
    <row r="10" spans="1:14" ht="42" customHeight="1" x14ac:dyDescent="0.3">
      <c r="B10" s="60"/>
      <c r="C10" s="60"/>
      <c r="D10" s="66" t="s">
        <v>8</v>
      </c>
      <c r="E10" s="120">
        <v>0.02</v>
      </c>
      <c r="F10" s="176"/>
      <c r="G10" s="395" t="s">
        <v>4</v>
      </c>
      <c r="H10" s="395"/>
      <c r="I10" s="395"/>
      <c r="J10" s="395"/>
      <c r="K10" s="396"/>
      <c r="L10" s="173"/>
      <c r="M10" s="172"/>
      <c r="N10" s="171"/>
    </row>
    <row r="11" spans="1:14" ht="42" customHeight="1" x14ac:dyDescent="0.3">
      <c r="B11" s="60"/>
      <c r="C11" s="60"/>
      <c r="D11" s="66" t="s">
        <v>24</v>
      </c>
      <c r="E11" s="120">
        <v>0.97</v>
      </c>
      <c r="F11" s="174"/>
      <c r="G11" s="395" t="s">
        <v>22</v>
      </c>
      <c r="H11" s="395"/>
      <c r="I11" s="395"/>
      <c r="J11" s="395"/>
      <c r="K11" s="396"/>
      <c r="L11" s="173"/>
      <c r="M11" s="172"/>
      <c r="N11" s="171"/>
    </row>
    <row r="12" spans="1:14" ht="42" customHeight="1" x14ac:dyDescent="0.3">
      <c r="B12" s="60"/>
      <c r="C12" s="175"/>
      <c r="D12" s="66" t="s">
        <v>25</v>
      </c>
      <c r="E12" s="120">
        <v>0.9</v>
      </c>
      <c r="F12" s="174"/>
      <c r="G12" s="395" t="s">
        <v>22</v>
      </c>
      <c r="H12" s="395"/>
      <c r="I12" s="395"/>
      <c r="J12" s="395"/>
      <c r="K12" s="396"/>
      <c r="L12" s="173"/>
      <c r="M12" s="172"/>
      <c r="N12" s="171"/>
    </row>
    <row r="13" spans="1:14" ht="42" customHeight="1" x14ac:dyDescent="0.3">
      <c r="B13" s="60"/>
      <c r="C13" s="175"/>
      <c r="D13" s="66" t="s">
        <v>26</v>
      </c>
      <c r="E13" s="120">
        <v>0.85</v>
      </c>
      <c r="F13" s="174"/>
      <c r="G13" s="395" t="s">
        <v>81</v>
      </c>
      <c r="H13" s="395"/>
      <c r="I13" s="395"/>
      <c r="J13" s="395"/>
      <c r="K13" s="396"/>
      <c r="L13" s="173"/>
      <c r="M13" s="172"/>
      <c r="N13" s="171"/>
    </row>
    <row r="14" spans="1:14" ht="8.1" customHeight="1" x14ac:dyDescent="0.3">
      <c r="B14" s="60"/>
      <c r="C14" s="60"/>
      <c r="D14" s="167"/>
      <c r="E14" s="167"/>
      <c r="F14" s="167"/>
      <c r="G14" s="170"/>
      <c r="H14" s="167"/>
      <c r="I14" s="169"/>
      <c r="J14" s="169"/>
      <c r="K14" s="168"/>
      <c r="L14" s="168"/>
      <c r="M14" s="167"/>
      <c r="N14" s="166"/>
    </row>
    <row r="15" spans="1:14" ht="46.2" customHeight="1" x14ac:dyDescent="0.3">
      <c r="B15" s="60"/>
      <c r="C15" s="60"/>
      <c r="D15" s="384" t="s">
        <v>67</v>
      </c>
      <c r="E15" s="384"/>
      <c r="F15" s="384"/>
      <c r="G15" s="384"/>
      <c r="H15" s="384"/>
      <c r="I15" s="384"/>
      <c r="J15" s="384"/>
      <c r="K15" s="384"/>
      <c r="L15" s="168"/>
      <c r="M15" s="167"/>
      <c r="N15" s="166"/>
    </row>
    <row r="16" spans="1:14" ht="8.1" customHeight="1" x14ac:dyDescent="0.3">
      <c r="B16" s="60"/>
      <c r="C16" s="60"/>
      <c r="D16" s="167"/>
      <c r="E16" s="167"/>
      <c r="F16" s="167"/>
      <c r="G16" s="170"/>
      <c r="H16" s="167"/>
      <c r="I16" s="169"/>
      <c r="J16" s="169"/>
      <c r="K16" s="168"/>
      <c r="L16" s="168"/>
      <c r="M16" s="167"/>
      <c r="N16" s="166"/>
    </row>
    <row r="17" spans="2:14" ht="42" customHeight="1" x14ac:dyDescent="0.3">
      <c r="B17" s="60"/>
      <c r="C17" s="60"/>
      <c r="D17" s="66" t="s">
        <v>13</v>
      </c>
      <c r="E17" s="289" t="s">
        <v>19</v>
      </c>
      <c r="F17" s="196"/>
      <c r="G17" s="392" t="s">
        <v>111</v>
      </c>
      <c r="H17" s="392"/>
      <c r="I17" s="392"/>
      <c r="J17" s="392"/>
      <c r="K17" s="393"/>
      <c r="L17" s="168"/>
      <c r="M17" s="167"/>
      <c r="N17" s="166"/>
    </row>
    <row r="18" spans="2:14" ht="57.45" customHeight="1" x14ac:dyDescent="0.3">
      <c r="B18" s="60"/>
      <c r="C18" s="60"/>
      <c r="D18" s="66" t="s">
        <v>158</v>
      </c>
      <c r="E18" s="289" t="s">
        <v>144</v>
      </c>
      <c r="F18" s="397" t="s">
        <v>160</v>
      </c>
      <c r="G18" s="392"/>
      <c r="H18" s="392"/>
      <c r="I18" s="392"/>
      <c r="J18" s="392"/>
      <c r="K18" s="393"/>
      <c r="L18" s="168"/>
      <c r="M18" s="167"/>
      <c r="N18" s="166"/>
    </row>
    <row r="19" spans="2:14" ht="85.05" customHeight="1" x14ac:dyDescent="0.3">
      <c r="B19" s="60"/>
      <c r="C19" s="60"/>
      <c r="D19" s="318" t="s">
        <v>159</v>
      </c>
      <c r="E19" s="320">
        <v>3</v>
      </c>
      <c r="F19" s="397" t="s">
        <v>161</v>
      </c>
      <c r="G19" s="392"/>
      <c r="H19" s="392"/>
      <c r="I19" s="392"/>
      <c r="J19" s="392"/>
      <c r="K19" s="393"/>
      <c r="L19" s="168"/>
      <c r="M19" s="167"/>
      <c r="N19" s="166"/>
    </row>
    <row r="20" spans="2:14" ht="8.1" customHeight="1" x14ac:dyDescent="0.3">
      <c r="B20" s="60"/>
      <c r="C20" s="60"/>
      <c r="D20" s="167"/>
      <c r="E20" s="167"/>
      <c r="F20" s="167"/>
      <c r="G20" s="170"/>
      <c r="H20" s="167"/>
      <c r="I20" s="169"/>
      <c r="J20" s="169"/>
      <c r="K20" s="168"/>
      <c r="L20" s="168"/>
      <c r="M20" s="167"/>
      <c r="N20" s="166"/>
    </row>
    <row r="21" spans="2:14" ht="42" customHeight="1" x14ac:dyDescent="0.3">
      <c r="B21" s="60"/>
      <c r="C21" s="60"/>
      <c r="D21" s="390" t="s">
        <v>112</v>
      </c>
      <c r="E21" s="391"/>
      <c r="F21" s="168"/>
      <c r="G21" s="394" t="s">
        <v>166</v>
      </c>
      <c r="H21" s="394"/>
      <c r="I21" s="394"/>
      <c r="J21" s="394"/>
      <c r="K21" s="394"/>
      <c r="L21" s="168"/>
      <c r="M21" s="167"/>
      <c r="N21" s="166"/>
    </row>
    <row r="22" spans="2:14" ht="42" customHeight="1" x14ac:dyDescent="0.3">
      <c r="B22" s="60"/>
      <c r="C22" s="60"/>
      <c r="D22" s="319" t="s">
        <v>162</v>
      </c>
      <c r="E22" s="321">
        <v>0.2</v>
      </c>
      <c r="F22" s="375" t="s">
        <v>163</v>
      </c>
      <c r="G22" s="376"/>
      <c r="H22" s="376"/>
      <c r="I22" s="376"/>
      <c r="J22" s="376"/>
      <c r="K22" s="377"/>
      <c r="L22" s="168"/>
      <c r="M22" s="167"/>
      <c r="N22" s="166"/>
    </row>
    <row r="23" spans="2:14" ht="25.2" customHeight="1" x14ac:dyDescent="0.3">
      <c r="B23" s="60"/>
      <c r="C23" s="60"/>
      <c r="D23" s="290">
        <f>E8</f>
        <v>2026</v>
      </c>
      <c r="E23" s="322" t="str">
        <f>IF($E$17="Preparatory transition",MIN(0.8,E22),IF($E$17="Accelerated transition",_xlfn.XLOOKUP(D23,'Vaccine options'!$E$23:$E$27,'Vaccine options'!$F$23:$F$27),"See below"))</f>
        <v>See below</v>
      </c>
      <c r="F23" s="378"/>
      <c r="G23" s="379"/>
      <c r="H23" s="379"/>
      <c r="I23" s="379"/>
      <c r="J23" s="379"/>
      <c r="K23" s="380"/>
      <c r="L23" s="168"/>
      <c r="M23" s="167"/>
      <c r="N23" s="166"/>
    </row>
    <row r="24" spans="2:14" ht="25.2" customHeight="1" x14ac:dyDescent="0.3">
      <c r="B24" s="60"/>
      <c r="C24" s="60"/>
      <c r="D24" s="290">
        <f>$E$8+1</f>
        <v>2027</v>
      </c>
      <c r="E24" s="322" t="str">
        <f>IF($E$17="Preparatory transition",MIN(0.8,E23*1.15),IF($E$17="Accelerated transition",_xlfn.XLOOKUP(D24,'Vaccine options'!$E$23:$E$27,'Vaccine options'!$F$23:$F$27),"See below"))</f>
        <v>See below</v>
      </c>
      <c r="F24" s="378"/>
      <c r="G24" s="379"/>
      <c r="H24" s="379"/>
      <c r="I24" s="379"/>
      <c r="J24" s="379"/>
      <c r="K24" s="380"/>
      <c r="L24" s="168"/>
      <c r="M24" s="167"/>
      <c r="N24" s="166"/>
    </row>
    <row r="25" spans="2:14" ht="25.2" customHeight="1" x14ac:dyDescent="0.3">
      <c r="B25" s="60"/>
      <c r="C25" s="60"/>
      <c r="D25" s="290">
        <f>$E$8+2</f>
        <v>2028</v>
      </c>
      <c r="E25" s="322" t="str">
        <f>IF($E$17="Preparatory transition",MIN(0.8,E24*1.15),IF($E$17="Accelerated transition",_xlfn.XLOOKUP(D25,'Vaccine options'!$E$23:$E$27,'Vaccine options'!$F$23:$F$27),"See below"))</f>
        <v>See below</v>
      </c>
      <c r="F25" s="378"/>
      <c r="G25" s="379"/>
      <c r="H25" s="379"/>
      <c r="I25" s="379"/>
      <c r="J25" s="379"/>
      <c r="K25" s="380"/>
      <c r="L25" s="168"/>
      <c r="M25" s="167"/>
      <c r="N25" s="166"/>
    </row>
    <row r="26" spans="2:14" ht="25.2" customHeight="1" x14ac:dyDescent="0.3">
      <c r="B26" s="60"/>
      <c r="C26" s="60"/>
      <c r="D26" s="290">
        <f>$E$8+3</f>
        <v>2029</v>
      </c>
      <c r="E26" s="322" t="str">
        <f>IF($E$17="Preparatory transition",MIN(0.8,E25*1.15),IF($E$17="Accelerated transition",_xlfn.XLOOKUP(D26,'Vaccine options'!$E$23:$E$27,'Vaccine options'!$F$23:$F$27),"See below"))</f>
        <v>See below</v>
      </c>
      <c r="F26" s="378"/>
      <c r="G26" s="379"/>
      <c r="H26" s="379"/>
      <c r="I26" s="379"/>
      <c r="J26" s="379"/>
      <c r="K26" s="380"/>
      <c r="L26" s="168"/>
      <c r="M26" s="167"/>
      <c r="N26" s="166"/>
    </row>
    <row r="27" spans="2:14" ht="25.2" customHeight="1" x14ac:dyDescent="0.3">
      <c r="B27" s="60"/>
      <c r="C27" s="60"/>
      <c r="D27" s="290">
        <f>$E$8+4</f>
        <v>2030</v>
      </c>
      <c r="E27" s="322" t="str">
        <f>IF($E$17="Preparatory transition",MIN(0.8,E26*1.15),IF($E$17="Accelerated transition",_xlfn.XLOOKUP(D27,'Vaccine options'!$E$23:$E$27,'Vaccine options'!$F$23:$F$27),"See below"))</f>
        <v>See below</v>
      </c>
      <c r="F27" s="381"/>
      <c r="G27" s="382"/>
      <c r="H27" s="382"/>
      <c r="I27" s="382"/>
      <c r="J27" s="382"/>
      <c r="K27" s="383"/>
      <c r="L27" s="168"/>
      <c r="M27" s="167"/>
      <c r="N27" s="166"/>
    </row>
    <row r="28" spans="2:14" ht="8.1" customHeight="1" x14ac:dyDescent="0.3">
      <c r="B28" s="60"/>
      <c r="C28" s="60"/>
      <c r="D28" s="167"/>
      <c r="E28" s="167"/>
      <c r="F28" s="167"/>
      <c r="G28" s="170"/>
      <c r="H28" s="167"/>
      <c r="I28" s="169"/>
      <c r="J28" s="169"/>
      <c r="K28" s="168"/>
      <c r="L28" s="168"/>
      <c r="M28" s="167"/>
      <c r="N28" s="166"/>
    </row>
    <row r="29" spans="2:14" ht="45" customHeight="1" x14ac:dyDescent="0.3">
      <c r="B29" s="60"/>
      <c r="C29" s="60"/>
      <c r="D29" s="384" t="s">
        <v>59</v>
      </c>
      <c r="E29" s="384"/>
      <c r="F29" s="384"/>
      <c r="G29" s="384"/>
      <c r="H29" s="384"/>
      <c r="I29" s="384"/>
      <c r="J29" s="384"/>
      <c r="K29" s="384"/>
      <c r="L29" s="98"/>
      <c r="M29" s="97"/>
      <c r="N29" s="95"/>
    </row>
    <row r="30" spans="2:14" ht="8.1" customHeight="1" x14ac:dyDescent="0.3">
      <c r="B30" s="60"/>
      <c r="C30" s="60"/>
      <c r="D30" s="60"/>
      <c r="E30" s="60"/>
      <c r="F30" s="60"/>
      <c r="G30" s="60"/>
      <c r="H30" s="60"/>
      <c r="I30" s="60"/>
      <c r="J30" s="60"/>
      <c r="K30" s="60"/>
      <c r="L30" s="60"/>
      <c r="M30" s="60"/>
    </row>
    <row r="31" spans="2:14" ht="58.35" customHeight="1" x14ac:dyDescent="0.3">
      <c r="B31" s="60"/>
      <c r="C31" s="60"/>
      <c r="D31" s="165"/>
      <c r="E31" s="164" t="s">
        <v>35</v>
      </c>
      <c r="F31" s="162"/>
      <c r="G31" s="163" t="s">
        <v>16</v>
      </c>
      <c r="H31" s="162"/>
      <c r="I31" s="163" t="s">
        <v>17</v>
      </c>
      <c r="J31" s="162"/>
      <c r="K31" s="66" t="s">
        <v>21</v>
      </c>
      <c r="L31" s="157"/>
      <c r="M31" s="60"/>
    </row>
    <row r="32" spans="2:14" ht="147" customHeight="1" x14ac:dyDescent="0.3">
      <c r="B32" s="60"/>
      <c r="C32" s="60"/>
      <c r="D32" s="161" t="s">
        <v>80</v>
      </c>
      <c r="E32" s="160" t="s">
        <v>134</v>
      </c>
      <c r="F32" s="159"/>
      <c r="G32" s="160" t="s">
        <v>101</v>
      </c>
      <c r="H32" s="159"/>
      <c r="I32" s="160" t="s">
        <v>103</v>
      </c>
      <c r="J32" s="159"/>
      <c r="K32" s="160" t="s">
        <v>105</v>
      </c>
      <c r="L32" s="158"/>
      <c r="M32" s="157"/>
      <c r="N32" s="156"/>
    </row>
    <row r="33" spans="2:14" ht="84.6" customHeight="1" x14ac:dyDescent="0.3">
      <c r="B33" s="60"/>
      <c r="C33" s="60"/>
      <c r="D33" s="291" t="s">
        <v>117</v>
      </c>
      <c r="E33" s="296" t="str">
        <f>VLOOKUP(E32,'Vaccine options'!$A$3:$E$10,5,FALSE)</f>
        <v>Needs planning</v>
      </c>
      <c r="F33" s="297"/>
      <c r="G33" s="296" t="str">
        <f>VLOOKUP(G32,'Vaccine options'!$A$3:$E$10,5,FALSE)</f>
        <v>Needs planning</v>
      </c>
      <c r="H33" s="297"/>
      <c r="I33" s="296" t="str">
        <f>VLOOKUP(I32,'Vaccine options'!$A$3:$E$10,5,FALSE)</f>
        <v>Needs planning</v>
      </c>
      <c r="J33" s="297"/>
      <c r="K33" s="296" t="str">
        <f>VLOOKUP(K32,'Vaccine options'!$A$3:$E$10,5,FALSE)</f>
        <v>Needs planning</v>
      </c>
      <c r="L33" s="158"/>
      <c r="M33" s="157"/>
      <c r="N33" s="156"/>
    </row>
    <row r="34" spans="2:14" ht="8.25" customHeight="1" x14ac:dyDescent="0.3">
      <c r="B34" s="60"/>
      <c r="C34" s="60"/>
      <c r="D34" s="157"/>
      <c r="E34" s="154"/>
      <c r="F34" s="150"/>
      <c r="G34" s="154"/>
      <c r="H34" s="150"/>
      <c r="I34" s="154"/>
      <c r="J34" s="150"/>
      <c r="K34" s="154"/>
      <c r="L34" s="154"/>
      <c r="M34" s="153"/>
      <c r="N34" s="152"/>
    </row>
    <row r="35" spans="2:14" ht="39" customHeight="1" x14ac:dyDescent="0.3">
      <c r="B35" s="60"/>
      <c r="C35" s="60"/>
      <c r="D35" s="291" t="s">
        <v>2</v>
      </c>
      <c r="E35" s="153"/>
      <c r="F35" s="153"/>
      <c r="G35" s="153"/>
      <c r="H35" s="153"/>
      <c r="I35" s="153"/>
      <c r="J35" s="153"/>
      <c r="K35" s="153"/>
      <c r="L35" s="151"/>
      <c r="M35" s="150"/>
      <c r="N35" s="149"/>
    </row>
    <row r="36" spans="2:14" ht="25.2" customHeight="1" x14ac:dyDescent="0.3">
      <c r="B36" s="60"/>
      <c r="C36" s="60"/>
      <c r="D36" s="298">
        <f>D23</f>
        <v>2026</v>
      </c>
      <c r="E36" s="299" cm="1">
        <f t="array" ref="E36">INDEX('Vaccine prices'!$C$1:$C$168,MATCH(1,(E32='Vaccine prices'!$A$1:$A$168)*(D36='Vaccine prices'!$B$1:$B$168),0))</f>
        <v>2.04</v>
      </c>
      <c r="F36" s="286"/>
      <c r="G36" s="299" cm="1">
        <f t="array" ref="G36">INDEX('Vaccine prices'!$C$1:$C$168,MATCH(1,(G32='Vaccine prices'!$A$1:$A$168)*(D36='Vaccine prices'!$B$1:$B$168),0))</f>
        <v>0.7</v>
      </c>
      <c r="H36" s="286"/>
      <c r="I36" s="299" cm="1">
        <f t="array" ref="I36">INDEX('Vaccine prices'!$C$1:$C$168,MATCH(1,(I32='Vaccine prices'!$A$1:$A$168)*(D36='Vaccine prices'!$B$1:$B$168),0))</f>
        <v>1.1499999999999999</v>
      </c>
      <c r="J36" s="286"/>
      <c r="K36" s="299" cm="1">
        <f t="array" ref="K36">INDEX('Vaccine prices'!$C$1:$C$168,MATCH(1,(K32='Vaccine prices'!$A$1:$A$168)*(D36='Vaccine prices'!$B$1:$B$168),0))</f>
        <v>0.8</v>
      </c>
      <c r="L36" s="151"/>
      <c r="M36" s="150"/>
      <c r="N36" s="149"/>
    </row>
    <row r="37" spans="2:14" ht="25.2" customHeight="1" x14ac:dyDescent="0.3">
      <c r="B37" s="60"/>
      <c r="C37" s="60"/>
      <c r="D37" s="298">
        <f>D24</f>
        <v>2027</v>
      </c>
      <c r="E37" s="299" cm="1">
        <f t="array" ref="E37">INDEX('Vaccine prices'!$C$1:$C$168,MATCH(1,(E32='Vaccine prices'!$A$1:$A$168)*(D37='Vaccine prices'!$B$1:$B$168),0))</f>
        <v>2.0099999999999998</v>
      </c>
      <c r="F37" s="286"/>
      <c r="G37" s="299" cm="1">
        <f t="array" ref="G37">INDEX('Vaccine prices'!$C$1:$C$168,MATCH(1,(G32='Vaccine prices'!$A$1:$A$168)*(D37='Vaccine prices'!$B$1:$B$168),0))</f>
        <v>0.7</v>
      </c>
      <c r="H37" s="286"/>
      <c r="I37" s="299" cm="1">
        <f t="array" ref="I37">INDEX('Vaccine prices'!$C$1:$C$168,MATCH(1,(I32='Vaccine prices'!$A$1:$A$168)*(D37='Vaccine prices'!$B$1:$B$168),0))</f>
        <v>1.1499999999999999</v>
      </c>
      <c r="J37" s="286"/>
      <c r="K37" s="299" cm="1">
        <f t="array" ref="K37">INDEX('Vaccine prices'!$C$1:$C$168,MATCH(1,(K32='Vaccine prices'!$A$1:$A$168)*(D37='Vaccine prices'!$B$1:$B$168),0))</f>
        <v>0.8</v>
      </c>
      <c r="L37" s="151"/>
      <c r="M37" s="150"/>
      <c r="N37" s="149"/>
    </row>
    <row r="38" spans="2:14" ht="25.2" customHeight="1" x14ac:dyDescent="0.3">
      <c r="B38" s="60"/>
      <c r="C38" s="60"/>
      <c r="D38" s="298">
        <f>D25</f>
        <v>2028</v>
      </c>
      <c r="E38" s="299" cm="1">
        <f t="array" ref="E38">INDEX('Vaccine prices'!$C$1:$C$168,MATCH(1,(E32='Vaccine prices'!$A$1:$A$168)*(D38='Vaccine prices'!$B$1:$B$168),0))</f>
        <v>2.0099999999999998</v>
      </c>
      <c r="F38" s="286"/>
      <c r="G38" s="299" cm="1">
        <f t="array" ref="G38">INDEX('Vaccine prices'!$C$1:$C$168,MATCH(1,(G32='Vaccine prices'!$A$1:$A$168)*(D38='Vaccine prices'!$B$1:$B$168),0))</f>
        <v>0.7</v>
      </c>
      <c r="H38" s="286"/>
      <c r="I38" s="299" cm="1">
        <f t="array" ref="I38">INDEX('Vaccine prices'!$C$1:$C$168,MATCH(1,(I32='Vaccine prices'!$A$1:$A$168)*(D38='Vaccine prices'!$B$1:$B$168),0))</f>
        <v>1.1499999999999999</v>
      </c>
      <c r="J38" s="286"/>
      <c r="K38" s="299" cm="1">
        <f t="array" ref="K38">INDEX('Vaccine prices'!$C$1:$C$168,MATCH(1,(K32='Vaccine prices'!$A$1:$A$168)*(D38='Vaccine prices'!$B$1:$B$168),0))</f>
        <v>0.8</v>
      </c>
      <c r="L38" s="151"/>
      <c r="M38" s="150"/>
      <c r="N38" s="149"/>
    </row>
    <row r="39" spans="2:14" ht="25.2" customHeight="1" x14ac:dyDescent="0.3">
      <c r="B39" s="60"/>
      <c r="C39" s="60"/>
      <c r="D39" s="298">
        <f>D26</f>
        <v>2029</v>
      </c>
      <c r="E39" s="299" cm="1">
        <f t="array" ref="E39">INDEX('Vaccine prices'!$C$1:$C$168,MATCH(1,(E32='Vaccine prices'!$A$1:$A$168)*(D39='Vaccine prices'!$B$1:$B$168),0))</f>
        <v>2.0099999999999998</v>
      </c>
      <c r="F39" s="286"/>
      <c r="G39" s="299" cm="1">
        <f t="array" ref="G39">INDEX('Vaccine prices'!$C$1:$C$168,MATCH(1,(G32='Vaccine prices'!$A$1:$A$168)*(D39='Vaccine prices'!$B$1:$B$168),0))</f>
        <v>0.7</v>
      </c>
      <c r="H39" s="286"/>
      <c r="I39" s="299" cm="1">
        <f t="array" ref="I39">INDEX('Vaccine prices'!$C$1:$C$168,MATCH(1,(I32='Vaccine prices'!$A$1:$A$168)*(D39='Vaccine prices'!$B$1:$B$168),0))</f>
        <v>1.1499999999999999</v>
      </c>
      <c r="J39" s="286"/>
      <c r="K39" s="299" cm="1">
        <f t="array" ref="K39">INDEX('Vaccine prices'!$C$1:$C$168,MATCH(1,(K32='Vaccine prices'!$A$1:$A$168)*(D39='Vaccine prices'!$B$1:$B$168),0))</f>
        <v>0.8</v>
      </c>
      <c r="L39" s="151"/>
      <c r="M39" s="150"/>
      <c r="N39" s="149"/>
    </row>
    <row r="40" spans="2:14" ht="25.2" customHeight="1" x14ac:dyDescent="0.3">
      <c r="B40" s="60"/>
      <c r="C40" s="60"/>
      <c r="D40" s="298">
        <f>D27</f>
        <v>2030</v>
      </c>
      <c r="E40" s="299" cm="1">
        <f t="array" ref="E40">INDEX('Vaccine prices'!$C$1:$C$168,MATCH(1,(E32='Vaccine prices'!$A$1:$A$168)*(D40='Vaccine prices'!$B$1:$B$168),0))</f>
        <v>2.0099999999999998</v>
      </c>
      <c r="F40" s="286"/>
      <c r="G40" s="299" cm="1">
        <f t="array" ref="G40">INDEX('Vaccine prices'!$C$1:$C$168,MATCH(1,(G32='Vaccine prices'!$A$1:$A$168)*(D40='Vaccine prices'!$B$1:$B$168),0))</f>
        <v>0.7</v>
      </c>
      <c r="H40" s="286"/>
      <c r="I40" s="299" cm="1">
        <f t="array" ref="I40">INDEX('Vaccine prices'!$C$1:$C$168,MATCH(1,(I32='Vaccine prices'!$A$1:$A$168)*(D40='Vaccine prices'!$B$1:$B$168),0))</f>
        <v>1.1499999999999999</v>
      </c>
      <c r="J40" s="286"/>
      <c r="K40" s="299" cm="1">
        <f t="array" ref="K40">INDEX('Vaccine prices'!$C$1:$C$168,MATCH(1,(K32='Vaccine prices'!$A$1:$A$168)*(D40='Vaccine prices'!$B$1:$B$168),0))</f>
        <v>0.8</v>
      </c>
      <c r="L40" s="151"/>
      <c r="M40" s="150"/>
      <c r="N40" s="149"/>
    </row>
    <row r="41" spans="2:14" ht="8.25" customHeight="1" x14ac:dyDescent="0.3">
      <c r="B41" s="60"/>
      <c r="C41" s="60"/>
      <c r="D41" s="155"/>
      <c r="E41" s="155"/>
      <c r="F41" s="155"/>
      <c r="G41" s="155"/>
      <c r="H41" s="155"/>
      <c r="I41" s="155"/>
      <c r="J41" s="155"/>
      <c r="K41" s="155"/>
      <c r="L41" s="151"/>
      <c r="M41" s="150"/>
      <c r="N41" s="149"/>
    </row>
    <row r="42" spans="2:14" ht="42" customHeight="1" x14ac:dyDescent="0.3">
      <c r="B42" s="60"/>
      <c r="C42" s="60"/>
      <c r="D42" s="291" t="s">
        <v>94</v>
      </c>
      <c r="E42" s="153"/>
      <c r="F42" s="153"/>
      <c r="G42" s="153"/>
      <c r="H42" s="153"/>
      <c r="I42" s="153"/>
      <c r="J42" s="153"/>
      <c r="K42" s="153"/>
      <c r="L42" s="151"/>
      <c r="M42" s="150"/>
      <c r="N42" s="149"/>
    </row>
    <row r="43" spans="2:14" ht="25.2" customHeight="1" x14ac:dyDescent="0.3">
      <c r="B43" s="60"/>
      <c r="C43" s="60"/>
      <c r="D43" s="298">
        <f>D23</f>
        <v>2026</v>
      </c>
      <c r="E43" s="299">
        <f>IF(AND($E$17="Initial self-financing phase",E$49=2),0.2,IF(AND($E$17="initial self-financing phase",E$49=3),0.13,E36*$E23))</f>
        <v>0.2</v>
      </c>
      <c r="F43" s="286"/>
      <c r="G43" s="299">
        <f>IF(AND($E$17="Initial self-financing phase",G$49=2),0.2,IF(AND($E$17="initial self-financing phase",G$49=3),0.13,G36*$E23))</f>
        <v>0.13</v>
      </c>
      <c r="H43" s="286"/>
      <c r="I43" s="299">
        <f>IF(AND($E$17="Initial self-financing phase",I$49=2),0.2,IF(AND($E$17="initial self-financing phase",I$49=3),0.13,I36*$E23))</f>
        <v>0.13</v>
      </c>
      <c r="J43" s="286"/>
      <c r="K43" s="299">
        <f>IF(AND($E$17="Initial self-financing phase",K$49=2),0.2,IF(AND($E$17="initial self-financing phase",K$49=3),0.13,K36*$E23))</f>
        <v>0.13</v>
      </c>
      <c r="L43" s="151"/>
      <c r="M43" s="150"/>
      <c r="N43" s="149"/>
    </row>
    <row r="44" spans="2:14" ht="25.2" customHeight="1" x14ac:dyDescent="0.3">
      <c r="B44" s="60"/>
      <c r="C44" s="60"/>
      <c r="D44" s="298">
        <f>D24</f>
        <v>2027</v>
      </c>
      <c r="E44" s="299">
        <f t="shared" ref="E44:G47" si="0">IF(AND($E$17="Initial self-financing phase",E$49=2),0.2,IF(AND($E$17="initial self-financing phase",E$49=3),0.13,E37*$E24))</f>
        <v>0.2</v>
      </c>
      <c r="F44" s="286"/>
      <c r="G44" s="299">
        <f t="shared" si="0"/>
        <v>0.13</v>
      </c>
      <c r="H44" s="286"/>
      <c r="I44" s="299">
        <f t="shared" ref="I44" si="1">IF(AND($E$17="Initial self-financing phase",I$49=2),0.2,IF(AND($E$17="initial self-financing phase",I$49=3),0.13,I37*$E24))</f>
        <v>0.13</v>
      </c>
      <c r="J44" s="286"/>
      <c r="K44" s="299">
        <f t="shared" ref="K44" si="2">IF(AND($E$17="Initial self-financing phase",K$49=2),0.2,IF(AND($E$17="initial self-financing phase",K$49=3),0.13,K37*$E24))</f>
        <v>0.13</v>
      </c>
      <c r="L44" s="151"/>
      <c r="M44" s="150"/>
      <c r="N44" s="149"/>
    </row>
    <row r="45" spans="2:14" ht="25.2" customHeight="1" x14ac:dyDescent="0.3">
      <c r="B45" s="60"/>
      <c r="C45" s="60"/>
      <c r="D45" s="298">
        <f>D25</f>
        <v>2028</v>
      </c>
      <c r="E45" s="299">
        <f t="shared" si="0"/>
        <v>0.2</v>
      </c>
      <c r="F45" s="286"/>
      <c r="G45" s="299">
        <f t="shared" si="0"/>
        <v>0.13</v>
      </c>
      <c r="H45" s="286"/>
      <c r="I45" s="299">
        <f t="shared" ref="I45" si="3">IF(AND($E$17="Initial self-financing phase",I$49=2),0.2,IF(AND($E$17="initial self-financing phase",I$49=3),0.13,I38*$E25))</f>
        <v>0.13</v>
      </c>
      <c r="J45" s="286"/>
      <c r="K45" s="299">
        <f t="shared" ref="K45" si="4">IF(AND($E$17="Initial self-financing phase",K$49=2),0.2,IF(AND($E$17="initial self-financing phase",K$49=3),0.13,K38*$E25))</f>
        <v>0.13</v>
      </c>
      <c r="L45" s="151"/>
      <c r="M45" s="150"/>
      <c r="N45" s="149"/>
    </row>
    <row r="46" spans="2:14" ht="25.2" customHeight="1" x14ac:dyDescent="0.3">
      <c r="B46" s="60"/>
      <c r="C46" s="60"/>
      <c r="D46" s="298">
        <f>D26</f>
        <v>2029</v>
      </c>
      <c r="E46" s="299">
        <f t="shared" si="0"/>
        <v>0.2</v>
      </c>
      <c r="F46" s="286"/>
      <c r="G46" s="299">
        <f t="shared" si="0"/>
        <v>0.13</v>
      </c>
      <c r="H46" s="286"/>
      <c r="I46" s="299">
        <f t="shared" ref="I46" si="5">IF(AND($E$17="Initial self-financing phase",I$49=2),0.2,IF(AND($E$17="initial self-financing phase",I$49=3),0.13,I39*$E26))</f>
        <v>0.13</v>
      </c>
      <c r="J46" s="286"/>
      <c r="K46" s="299">
        <f t="shared" ref="K46" si="6">IF(AND($E$17="Initial self-financing phase",K$49=2),0.2,IF(AND($E$17="initial self-financing phase",K$49=3),0.13,K39*$E26))</f>
        <v>0.13</v>
      </c>
      <c r="L46" s="151"/>
      <c r="M46" s="150"/>
      <c r="N46" s="149"/>
    </row>
    <row r="47" spans="2:14" ht="25.2" customHeight="1" x14ac:dyDescent="0.3">
      <c r="B47" s="60"/>
      <c r="C47" s="60"/>
      <c r="D47" s="298">
        <f>D27</f>
        <v>2030</v>
      </c>
      <c r="E47" s="299">
        <f t="shared" si="0"/>
        <v>0.2</v>
      </c>
      <c r="F47" s="286"/>
      <c r="G47" s="299">
        <f t="shared" si="0"/>
        <v>0.13</v>
      </c>
      <c r="H47" s="286"/>
      <c r="I47" s="299">
        <f t="shared" ref="I47" si="7">IF(AND($E$17="Initial self-financing phase",I$49=2),0.2,IF(AND($E$17="initial self-financing phase",I$49=3),0.13,I40*$E27))</f>
        <v>0.13</v>
      </c>
      <c r="J47" s="286"/>
      <c r="K47" s="299">
        <f t="shared" ref="K47" si="8">IF(AND($E$17="Initial self-financing phase",K$49=2),0.2,IF(AND($E$17="initial self-financing phase",K$49=3),0.13,K40*$E27))</f>
        <v>0.13</v>
      </c>
      <c r="L47" s="151"/>
      <c r="M47" s="150"/>
      <c r="N47" s="149"/>
    </row>
    <row r="48" spans="2:14" ht="8.25" customHeight="1" x14ac:dyDescent="0.3">
      <c r="B48" s="60"/>
      <c r="C48" s="60"/>
      <c r="D48" s="155"/>
      <c r="E48" s="155"/>
      <c r="F48" s="155"/>
      <c r="G48" s="155"/>
      <c r="H48" s="155"/>
      <c r="I48" s="155"/>
      <c r="J48" s="155"/>
      <c r="K48" s="155"/>
      <c r="L48" s="151"/>
      <c r="M48" s="150"/>
      <c r="N48" s="149"/>
    </row>
    <row r="49" spans="2:15" ht="39" customHeight="1" x14ac:dyDescent="0.3">
      <c r="B49" s="60"/>
      <c r="C49" s="60"/>
      <c r="D49" s="66" t="s">
        <v>23</v>
      </c>
      <c r="E49" s="285">
        <f>IFERROR(INDEX('Vaccine options'!$A$3:$D$10,MATCH(E32,'Vaccine options'!$A$3:$A$10,0),2),"-")</f>
        <v>2</v>
      </c>
      <c r="F49" s="148"/>
      <c r="G49" s="285">
        <f>IFERROR(INDEX('Vaccine options'!$A$3:$D$10,MATCH(G32,'Vaccine options'!$A$3:$A$10,0),2),"-")</f>
        <v>3</v>
      </c>
      <c r="H49" s="148"/>
      <c r="I49" s="285">
        <f>IFERROR(INDEX('Vaccine options'!$A$3:$D$10,MATCH(I32,'Vaccine options'!$A$3:$A$10,0),2),"-")</f>
        <v>3</v>
      </c>
      <c r="J49" s="148"/>
      <c r="K49" s="287">
        <f>IFERROR(INDEX('Vaccine options'!$A$3:$D$10,MATCH(K32,'Vaccine options'!$A$3:$A$10,0),2),"-")</f>
        <v>3</v>
      </c>
      <c r="L49" s="102"/>
      <c r="M49" s="101"/>
      <c r="N49" s="100"/>
    </row>
    <row r="50" spans="2:15" ht="39" customHeight="1" x14ac:dyDescent="0.3">
      <c r="B50" s="60"/>
      <c r="C50" s="60"/>
      <c r="D50" s="66" t="s">
        <v>79</v>
      </c>
      <c r="E50" s="147">
        <f>IFERROR(INDEX('Vaccine options'!$A$3:$D$10,MATCH(E32,'Vaccine options'!$A$3:$A$10,0),4),"-")</f>
        <v>11.8</v>
      </c>
      <c r="F50" s="146"/>
      <c r="G50" s="147">
        <f>IFERROR(INDEX('Vaccine options'!$A$3:$D$10,MATCH(G32,'Vaccine options'!$A$3:$A$10,0),4),"-")</f>
        <v>4.2</v>
      </c>
      <c r="H50" s="146"/>
      <c r="I50" s="147">
        <f>IFERROR(INDEX('Vaccine options'!$A$3:$D$10,MATCH(I32,'Vaccine options'!$A$3:$A$10,0),4),"-")</f>
        <v>4.2</v>
      </c>
      <c r="J50" s="146"/>
      <c r="K50" s="147">
        <f>IFERROR(INDEX('Vaccine options'!$A$3:$D$10,MATCH(K32,'Vaccine options'!$A$3:$A$10,0),4),"-")</f>
        <v>14.3</v>
      </c>
      <c r="L50" s="145"/>
      <c r="M50" s="144"/>
      <c r="N50" s="143"/>
    </row>
    <row r="51" spans="2:15" ht="39" customHeight="1" x14ac:dyDescent="0.3">
      <c r="B51" s="60"/>
      <c r="C51" s="60"/>
      <c r="D51" s="88" t="s">
        <v>1</v>
      </c>
      <c r="E51" s="142">
        <v>0.04</v>
      </c>
      <c r="F51" s="118"/>
      <c r="G51" s="141">
        <v>0.06</v>
      </c>
      <c r="H51" s="118"/>
      <c r="I51" s="140">
        <v>0.05</v>
      </c>
      <c r="J51" s="118"/>
      <c r="K51" s="140">
        <v>0.04</v>
      </c>
      <c r="L51" s="116"/>
      <c r="M51" s="115"/>
      <c r="N51" s="114"/>
    </row>
    <row r="52" spans="2:15" ht="20.100000000000001" customHeight="1" x14ac:dyDescent="0.3">
      <c r="B52" s="60"/>
      <c r="C52" s="60"/>
      <c r="D52" s="139" t="s">
        <v>78</v>
      </c>
      <c r="E52" s="138">
        <f>IFERROR(INDEX('Vaccine options'!$A$3:$D$10,MATCH(E32,'Vaccine options'!$A$3:$A$10,0),3),"-")</f>
        <v>0.04</v>
      </c>
      <c r="F52" s="136"/>
      <c r="G52" s="137">
        <f>IFERROR(INDEX('Vaccine options'!$A$3:$D$10,MATCH(G32,'Vaccine options'!$A$3:$A$10,0),3),"-")</f>
        <v>0.05</v>
      </c>
      <c r="H52" s="136"/>
      <c r="I52" s="135">
        <f>IFERROR(INDEX('Vaccine options'!$A$3:$D$10,MATCH(I32,'Vaccine options'!$A$3:$A$10,0),3),"-")</f>
        <v>0.05</v>
      </c>
      <c r="J52" s="136"/>
      <c r="K52" s="135">
        <f>IFERROR(INDEX('Vaccine options'!$A$3:$D$10,MATCH(E32,'Vaccine options'!$A$3:$A$10,0),3),"-")</f>
        <v>0.04</v>
      </c>
      <c r="L52" s="134"/>
      <c r="M52" s="115"/>
      <c r="N52" s="114"/>
      <c r="O52" s="133"/>
    </row>
    <row r="53" spans="2:15" ht="39" customHeight="1" x14ac:dyDescent="0.3">
      <c r="B53" s="60"/>
      <c r="C53" s="60"/>
      <c r="D53" s="66" t="s">
        <v>11</v>
      </c>
      <c r="E53" s="131">
        <f>(1/(1-E51))</f>
        <v>1.0416666666666667</v>
      </c>
      <c r="F53" s="132"/>
      <c r="G53" s="131">
        <f>(1/(1-G51))</f>
        <v>1.0638297872340425</v>
      </c>
      <c r="H53" s="132"/>
      <c r="I53" s="131">
        <f>(1/(1-I51))</f>
        <v>1.0526315789473684</v>
      </c>
      <c r="J53" s="132"/>
      <c r="K53" s="131">
        <f>(1/(1-K51))</f>
        <v>1.0416666666666667</v>
      </c>
      <c r="L53" s="130"/>
      <c r="M53" s="129"/>
      <c r="N53" s="128"/>
    </row>
    <row r="54" spans="2:15" ht="39" customHeight="1" x14ac:dyDescent="0.3">
      <c r="B54" s="60"/>
      <c r="C54" s="60"/>
      <c r="D54" s="66" t="s">
        <v>77</v>
      </c>
      <c r="E54" s="127">
        <v>0.05</v>
      </c>
      <c r="F54" s="125"/>
      <c r="G54" s="126">
        <v>0.05</v>
      </c>
      <c r="H54" s="125"/>
      <c r="I54" s="124">
        <v>0.05</v>
      </c>
      <c r="J54" s="125"/>
      <c r="K54" s="124">
        <v>0.05</v>
      </c>
      <c r="L54" s="123"/>
      <c r="M54" s="122"/>
      <c r="N54" s="121"/>
    </row>
    <row r="55" spans="2:15" ht="39" customHeight="1" x14ac:dyDescent="0.3">
      <c r="B55" s="60"/>
      <c r="C55" s="60"/>
      <c r="D55" s="66" t="s">
        <v>76</v>
      </c>
      <c r="E55" s="120">
        <v>7.0000000000000007E-2</v>
      </c>
      <c r="F55" s="118"/>
      <c r="G55" s="119">
        <v>7.0000000000000007E-2</v>
      </c>
      <c r="H55" s="118"/>
      <c r="I55" s="117">
        <v>7.0000000000000007E-2</v>
      </c>
      <c r="J55" s="118"/>
      <c r="K55" s="117">
        <v>7.0000000000000007E-2</v>
      </c>
      <c r="L55" s="116"/>
      <c r="M55" s="115"/>
      <c r="N55" s="114"/>
    </row>
    <row r="56" spans="2:15" ht="39" customHeight="1" x14ac:dyDescent="0.3">
      <c r="B56" s="60"/>
      <c r="C56" s="60"/>
      <c r="D56" s="66" t="s">
        <v>75</v>
      </c>
      <c r="E56" s="120">
        <v>0.25</v>
      </c>
      <c r="F56" s="118"/>
      <c r="G56" s="119">
        <v>0.25</v>
      </c>
      <c r="H56" s="118"/>
      <c r="I56" s="117">
        <v>0.25</v>
      </c>
      <c r="J56" s="118"/>
      <c r="K56" s="117">
        <v>0.25</v>
      </c>
      <c r="L56" s="116"/>
      <c r="M56" s="115"/>
      <c r="N56" s="114"/>
    </row>
    <row r="57" spans="2:15" ht="39" customHeight="1" x14ac:dyDescent="0.3">
      <c r="B57" s="60"/>
      <c r="C57" s="60"/>
      <c r="D57" s="66" t="s">
        <v>14</v>
      </c>
      <c r="E57" s="113">
        <v>0.8</v>
      </c>
      <c r="F57" s="111"/>
      <c r="G57" s="112">
        <v>0.8</v>
      </c>
      <c r="H57" s="111"/>
      <c r="I57" s="110">
        <v>0.8</v>
      </c>
      <c r="J57" s="111"/>
      <c r="K57" s="110">
        <v>0.8</v>
      </c>
      <c r="L57" s="109"/>
      <c r="M57" s="108"/>
      <c r="N57" s="107"/>
    </row>
    <row r="58" spans="2:15" ht="39" customHeight="1" x14ac:dyDescent="0.3">
      <c r="B58" s="60"/>
      <c r="C58" s="60"/>
      <c r="D58" s="66" t="s">
        <v>15</v>
      </c>
      <c r="E58" s="106">
        <v>100</v>
      </c>
      <c r="F58" s="104"/>
      <c r="G58" s="105">
        <v>100</v>
      </c>
      <c r="H58" s="104"/>
      <c r="I58" s="103">
        <v>100</v>
      </c>
      <c r="J58" s="104"/>
      <c r="K58" s="103">
        <v>100</v>
      </c>
      <c r="L58" s="102"/>
      <c r="M58" s="101"/>
      <c r="N58" s="100"/>
    </row>
    <row r="59" spans="2:15" ht="8.1" customHeight="1" x14ac:dyDescent="0.3">
      <c r="B59" s="60"/>
      <c r="C59" s="60"/>
      <c r="D59" s="99"/>
      <c r="E59" s="60"/>
      <c r="F59" s="60"/>
      <c r="G59" s="60"/>
      <c r="H59" s="60"/>
      <c r="I59" s="60"/>
      <c r="J59" s="60"/>
      <c r="K59" s="99"/>
      <c r="L59" s="99"/>
      <c r="M59" s="60"/>
    </row>
    <row r="60" spans="2:15" ht="45" customHeight="1" x14ac:dyDescent="0.3">
      <c r="B60" s="60"/>
      <c r="C60" s="60"/>
      <c r="D60" s="384" t="s">
        <v>31</v>
      </c>
      <c r="E60" s="384"/>
      <c r="F60" s="384"/>
      <c r="G60" s="384"/>
      <c r="H60" s="384"/>
      <c r="I60" s="384"/>
      <c r="J60" s="384"/>
      <c r="K60" s="384"/>
      <c r="L60" s="98"/>
      <c r="M60" s="97"/>
      <c r="N60" s="95"/>
    </row>
    <row r="61" spans="2:15" ht="8.1" customHeight="1" x14ac:dyDescent="0.3">
      <c r="B61" s="60"/>
      <c r="C61" s="60"/>
      <c r="D61" s="96"/>
      <c r="E61" s="96"/>
      <c r="F61" s="96"/>
      <c r="G61" s="96"/>
      <c r="H61" s="96"/>
      <c r="I61" s="60"/>
      <c r="J61" s="60"/>
      <c r="K61" s="96"/>
      <c r="L61" s="96"/>
      <c r="M61" s="96"/>
      <c r="N61" s="95"/>
    </row>
    <row r="62" spans="2:15" ht="39" customHeight="1" x14ac:dyDescent="0.3">
      <c r="B62" s="60"/>
      <c r="C62" s="60"/>
      <c r="D62" s="66" t="s">
        <v>74</v>
      </c>
      <c r="E62" s="94">
        <v>0</v>
      </c>
      <c r="F62" s="93"/>
      <c r="G62" s="92">
        <v>0</v>
      </c>
      <c r="H62" s="93"/>
      <c r="I62" s="94">
        <v>0</v>
      </c>
      <c r="J62" s="93"/>
      <c r="K62" s="92">
        <v>0</v>
      </c>
      <c r="L62" s="91"/>
      <c r="M62" s="90"/>
      <c r="N62" s="89"/>
    </row>
    <row r="63" spans="2:15" ht="25.2" customHeight="1" x14ac:dyDescent="0.3">
      <c r="B63" s="60"/>
      <c r="C63" s="60"/>
      <c r="D63" s="88" t="s">
        <v>18</v>
      </c>
      <c r="E63" s="373">
        <v>1</v>
      </c>
      <c r="F63" s="86"/>
      <c r="G63" s="373">
        <v>1</v>
      </c>
      <c r="H63" s="86"/>
      <c r="I63" s="373">
        <v>1</v>
      </c>
      <c r="J63" s="86"/>
      <c r="K63" s="373">
        <v>1</v>
      </c>
      <c r="L63" s="85"/>
      <c r="M63" s="84"/>
      <c r="N63" s="83"/>
    </row>
    <row r="64" spans="2:15" ht="20.25" customHeight="1" x14ac:dyDescent="0.3">
      <c r="B64" s="60"/>
      <c r="C64" s="60"/>
      <c r="D64" s="87" t="s">
        <v>33</v>
      </c>
      <c r="E64" s="374"/>
      <c r="F64" s="86"/>
      <c r="G64" s="374"/>
      <c r="H64" s="86"/>
      <c r="I64" s="374"/>
      <c r="J64" s="86"/>
      <c r="K64" s="374"/>
      <c r="L64" s="85"/>
      <c r="M64" s="84"/>
      <c r="N64" s="83"/>
    </row>
    <row r="65" spans="2:14" ht="60.75" customHeight="1" x14ac:dyDescent="0.3">
      <c r="B65" s="60"/>
      <c r="C65" s="60"/>
      <c r="D65" s="60"/>
      <c r="E65" s="309" t="str">
        <f>IF(OR(E63&gt;1.38,E63&lt;0.48),"! CONFIRM VALUE !
 Per IDCC, this cost is between $0.48 and $1.38","")</f>
        <v/>
      </c>
      <c r="F65" s="310"/>
      <c r="G65" s="309" t="str">
        <f>IF(OR(G63&gt;1.38,G63&lt;0.48),"! CONFIRM VALUE !
 Per IDCC, this cost is between $0.48 and $1.38","")</f>
        <v/>
      </c>
      <c r="H65" s="310"/>
      <c r="I65" s="309" t="str">
        <f>IF(OR(I63&gt;1.38,I63&lt;0.48),"! CONFIRM VALUE !
 Per IDCC, this cost is between $0.48 and $1.38","")</f>
        <v/>
      </c>
      <c r="J65" s="310"/>
      <c r="K65" s="309" t="str">
        <f>IF(OR(K63&gt;1.38,K63&lt;0.48),"! CONFIRM VALUE !
 Per IDCC, this cost is between $0.48 and $1.38","")</f>
        <v/>
      </c>
      <c r="L65" s="60"/>
      <c r="M65" s="80"/>
      <c r="N65" s="76"/>
    </row>
    <row r="66" spans="2:14" ht="60" customHeight="1" x14ac:dyDescent="0.3">
      <c r="B66" s="60"/>
      <c r="C66" s="82"/>
      <c r="D66" s="372" t="s">
        <v>52</v>
      </c>
      <c r="E66" s="372"/>
      <c r="F66" s="372"/>
      <c r="G66" s="372"/>
      <c r="H66" s="372"/>
      <c r="I66" s="372"/>
      <c r="J66" s="372"/>
      <c r="K66" s="372"/>
      <c r="L66" s="81"/>
      <c r="M66" s="80"/>
      <c r="N66" s="76"/>
    </row>
    <row r="67" spans="2:14" ht="32.1" customHeight="1" x14ac:dyDescent="0.4">
      <c r="B67" s="60"/>
      <c r="C67" s="79"/>
      <c r="D67" s="385" t="s">
        <v>73</v>
      </c>
      <c r="E67" s="385"/>
      <c r="F67" s="385"/>
      <c r="G67" s="385"/>
      <c r="H67" s="385"/>
      <c r="I67" s="385"/>
      <c r="J67" s="385"/>
      <c r="K67" s="385"/>
      <c r="L67" s="78"/>
      <c r="M67" s="77"/>
      <c r="N67" s="76"/>
    </row>
    <row r="68" spans="2:14" ht="8.1" hidden="1" customHeight="1" outlineLevel="1" x14ac:dyDescent="0.3">
      <c r="B68" s="60"/>
      <c r="C68" s="60"/>
      <c r="D68" s="74"/>
      <c r="E68" s="73"/>
      <c r="F68" s="73"/>
      <c r="G68" s="75"/>
      <c r="H68" s="73"/>
      <c r="I68" s="60"/>
      <c r="J68" s="60"/>
      <c r="K68" s="74"/>
      <c r="L68" s="74"/>
      <c r="M68" s="73"/>
      <c r="N68" s="72"/>
    </row>
    <row r="69" spans="2:14" ht="24" hidden="1" customHeight="1" outlineLevel="1" x14ac:dyDescent="0.3">
      <c r="B69" s="60"/>
      <c r="C69" s="60"/>
      <c r="D69" s="369" t="s">
        <v>72</v>
      </c>
      <c r="E69" s="370"/>
      <c r="F69" s="370"/>
      <c r="G69" s="370"/>
      <c r="H69" s="370"/>
      <c r="I69" s="370"/>
      <c r="J69" s="370"/>
      <c r="K69" s="371"/>
      <c r="L69" s="71"/>
      <c r="M69" s="73"/>
      <c r="N69" s="72"/>
    </row>
    <row r="70" spans="2:14" ht="8.1" hidden="1" customHeight="1" outlineLevel="1" x14ac:dyDescent="0.3">
      <c r="B70" s="60"/>
      <c r="C70" s="60"/>
      <c r="D70" s="74"/>
      <c r="E70" s="73"/>
      <c r="F70" s="73"/>
      <c r="G70" s="75"/>
      <c r="H70" s="73"/>
      <c r="I70" s="60"/>
      <c r="J70" s="60"/>
      <c r="K70" s="74"/>
      <c r="L70" s="74"/>
      <c r="M70" s="73"/>
      <c r="N70" s="72"/>
    </row>
    <row r="71" spans="2:14" ht="50.7" hidden="1" customHeight="1" outlineLevel="1" x14ac:dyDescent="0.3">
      <c r="B71" s="60"/>
      <c r="C71" s="60"/>
      <c r="D71" s="66" t="s">
        <v>69</v>
      </c>
      <c r="E71" s="65">
        <v>0.2</v>
      </c>
      <c r="F71" s="64"/>
      <c r="G71" s="63">
        <v>0.3</v>
      </c>
      <c r="H71" s="64"/>
      <c r="I71" s="63">
        <v>0.25</v>
      </c>
      <c r="J71" s="64"/>
      <c r="K71" s="63">
        <v>0.25</v>
      </c>
      <c r="L71" s="62"/>
      <c r="M71" s="60"/>
    </row>
    <row r="72" spans="2:14" ht="8.1" hidden="1" customHeight="1" outlineLevel="1" x14ac:dyDescent="0.3">
      <c r="B72" s="60"/>
      <c r="C72" s="60"/>
      <c r="D72" s="60"/>
      <c r="E72" s="60"/>
      <c r="F72" s="60"/>
      <c r="G72" s="60"/>
      <c r="H72" s="60"/>
      <c r="I72" s="60"/>
      <c r="J72" s="60"/>
      <c r="K72" s="60"/>
      <c r="L72" s="60"/>
      <c r="M72" s="60"/>
    </row>
    <row r="73" spans="2:14" ht="24" hidden="1" customHeight="1" outlineLevel="1" x14ac:dyDescent="0.3">
      <c r="B73" s="60"/>
      <c r="C73" s="60"/>
      <c r="D73" s="369" t="s">
        <v>71</v>
      </c>
      <c r="E73" s="370"/>
      <c r="F73" s="370"/>
      <c r="G73" s="370"/>
      <c r="H73" s="370"/>
      <c r="I73" s="370"/>
      <c r="J73" s="370"/>
      <c r="K73" s="371"/>
      <c r="L73" s="71"/>
      <c r="M73" s="60"/>
    </row>
    <row r="74" spans="2:14" ht="8.1" hidden="1" customHeight="1" outlineLevel="1" x14ac:dyDescent="0.3">
      <c r="B74" s="60"/>
      <c r="C74" s="60"/>
      <c r="D74" s="60"/>
      <c r="E74" s="60"/>
      <c r="F74" s="60"/>
      <c r="G74" s="60"/>
      <c r="H74" s="60"/>
      <c r="I74" s="60"/>
      <c r="J74" s="60"/>
      <c r="K74" s="60"/>
      <c r="L74" s="60"/>
      <c r="M74" s="60"/>
    </row>
    <row r="75" spans="2:14" ht="50.7" hidden="1" customHeight="1" outlineLevel="1" x14ac:dyDescent="0.3">
      <c r="B75" s="60"/>
      <c r="C75" s="60"/>
      <c r="D75" s="66" t="s">
        <v>69</v>
      </c>
      <c r="E75" s="65">
        <v>0.2</v>
      </c>
      <c r="F75" s="64"/>
      <c r="G75" s="63">
        <v>0.3</v>
      </c>
      <c r="H75" s="64"/>
      <c r="I75" s="63">
        <v>0.5</v>
      </c>
      <c r="J75" s="64"/>
      <c r="K75" s="63">
        <v>0</v>
      </c>
      <c r="L75" s="62"/>
      <c r="M75" s="60"/>
    </row>
    <row r="76" spans="2:14" ht="8.1" hidden="1" customHeight="1" outlineLevel="1" x14ac:dyDescent="0.3">
      <c r="B76" s="60"/>
      <c r="C76" s="60"/>
      <c r="D76" s="70"/>
      <c r="E76" s="69"/>
      <c r="F76" s="68"/>
      <c r="G76" s="67"/>
      <c r="H76" s="68"/>
      <c r="I76" s="67"/>
      <c r="J76" s="68"/>
      <c r="K76" s="67"/>
      <c r="L76" s="67"/>
      <c r="M76" s="60"/>
    </row>
    <row r="77" spans="2:14" ht="24" hidden="1" customHeight="1" outlineLevel="1" x14ac:dyDescent="0.3">
      <c r="B77" s="60"/>
      <c r="C77" s="60"/>
      <c r="D77" s="369" t="s">
        <v>70</v>
      </c>
      <c r="E77" s="370"/>
      <c r="F77" s="370"/>
      <c r="G77" s="370"/>
      <c r="H77" s="370"/>
      <c r="I77" s="370"/>
      <c r="J77" s="370"/>
      <c r="K77" s="371"/>
      <c r="L77" s="71"/>
      <c r="M77" s="60"/>
    </row>
    <row r="78" spans="2:14" ht="8.1" hidden="1" customHeight="1" outlineLevel="1" x14ac:dyDescent="0.3">
      <c r="B78" s="60"/>
      <c r="C78" s="60"/>
      <c r="D78" s="70"/>
      <c r="E78" s="69"/>
      <c r="F78" s="68"/>
      <c r="G78" s="67"/>
      <c r="H78" s="68"/>
      <c r="I78" s="67"/>
      <c r="J78" s="68"/>
      <c r="K78" s="67"/>
      <c r="L78" s="67"/>
      <c r="M78" s="60"/>
    </row>
    <row r="79" spans="2:14" ht="50.7" hidden="1" customHeight="1" outlineLevel="1" x14ac:dyDescent="0.3">
      <c r="B79" s="60"/>
      <c r="C79" s="60"/>
      <c r="D79" s="66" t="s">
        <v>69</v>
      </c>
      <c r="E79" s="65">
        <v>0.5</v>
      </c>
      <c r="F79" s="64"/>
      <c r="G79" s="63">
        <v>0</v>
      </c>
      <c r="H79" s="64"/>
      <c r="I79" s="63">
        <v>0.5</v>
      </c>
      <c r="J79" s="64"/>
      <c r="K79" s="63">
        <v>0</v>
      </c>
      <c r="L79" s="62"/>
      <c r="M79" s="60"/>
    </row>
    <row r="80" spans="2:14" ht="28.35" hidden="1" customHeight="1" outlineLevel="1" x14ac:dyDescent="0.3">
      <c r="B80" s="60"/>
      <c r="C80" s="60"/>
      <c r="D80" s="368" t="s">
        <v>68</v>
      </c>
      <c r="E80" s="368"/>
      <c r="F80" s="368"/>
      <c r="G80" s="368"/>
      <c r="H80" s="368"/>
      <c r="I80" s="368"/>
      <c r="J80" s="368"/>
      <c r="K80" s="368"/>
      <c r="L80" s="61"/>
      <c r="M80" s="60"/>
    </row>
    <row r="81" spans="4:12" ht="14.7" customHeight="1" collapsed="1" x14ac:dyDescent="0.3">
      <c r="D81" s="59"/>
      <c r="E81" s="58"/>
      <c r="F81" s="57"/>
      <c r="G81" s="56"/>
      <c r="H81" s="57"/>
      <c r="I81" s="56"/>
      <c r="J81" s="57"/>
      <c r="K81" s="56"/>
      <c r="L81" s="56"/>
    </row>
    <row r="82" spans="4:12" ht="20.100000000000001" customHeight="1" x14ac:dyDescent="0.3"/>
    <row r="83" spans="4:12" ht="20.100000000000001" customHeight="1" x14ac:dyDescent="0.3"/>
    <row r="84" spans="4:12" ht="20.100000000000001" customHeight="1" x14ac:dyDescent="0.3"/>
    <row r="85" spans="4:12" ht="20.100000000000001" customHeight="1" x14ac:dyDescent="0.3"/>
    <row r="86" spans="4:12" ht="20.100000000000001" customHeight="1" x14ac:dyDescent="0.3"/>
    <row r="87" spans="4:12" ht="20.100000000000001" customHeight="1" x14ac:dyDescent="0.3"/>
    <row r="88" spans="4:12" ht="20.100000000000001" customHeight="1" x14ac:dyDescent="0.3"/>
    <row r="89" spans="4:12" ht="20.100000000000001" customHeight="1" x14ac:dyDescent="0.3"/>
    <row r="90" spans="4:12" ht="20.100000000000001" customHeight="1" x14ac:dyDescent="0.3"/>
    <row r="91" spans="4:12" ht="20.100000000000001" customHeight="1" x14ac:dyDescent="0.3"/>
    <row r="92" spans="4:12" ht="29.1" customHeight="1" x14ac:dyDescent="0.3"/>
    <row r="93" spans="4:12" ht="20.100000000000001" customHeight="1" x14ac:dyDescent="0.3"/>
    <row r="94" spans="4:12" ht="20.100000000000001" customHeight="1" x14ac:dyDescent="0.3"/>
    <row r="95" spans="4:12" ht="20.100000000000001" customHeight="1" x14ac:dyDescent="0.3"/>
    <row r="96" spans="4:12" ht="20.100000000000001" customHeight="1" x14ac:dyDescent="0.3"/>
    <row r="97" ht="20.100000000000001" customHeight="1" x14ac:dyDescent="0.3"/>
    <row r="98" ht="20.100000000000001" customHeight="1" x14ac:dyDescent="0.3"/>
    <row r="99" ht="20.100000000000001" customHeight="1" x14ac:dyDescent="0.3"/>
    <row r="100" ht="20.100000000000001" customHeight="1" x14ac:dyDescent="0.3"/>
    <row r="101" ht="20.100000000000001" customHeight="1" x14ac:dyDescent="0.3"/>
    <row r="102" ht="20.100000000000001" customHeight="1" x14ac:dyDescent="0.3"/>
    <row r="103" ht="18" customHeight="1" x14ac:dyDescent="0.3"/>
    <row r="104" ht="25.35" customHeight="1" x14ac:dyDescent="0.3"/>
    <row r="105" ht="18" customHeight="1" x14ac:dyDescent="0.3"/>
    <row r="107" ht="20.100000000000001" customHeight="1" x14ac:dyDescent="0.3"/>
    <row r="108" ht="20.100000000000001" customHeight="1" x14ac:dyDescent="0.3"/>
    <row r="109" ht="20.100000000000001" customHeight="1" x14ac:dyDescent="0.3"/>
    <row r="110" ht="20.100000000000001" customHeight="1" x14ac:dyDescent="0.3"/>
    <row r="111" ht="20.100000000000001" customHeight="1" x14ac:dyDescent="0.3"/>
    <row r="112" ht="20.100000000000001" customHeight="1" x14ac:dyDescent="0.3"/>
    <row r="113" ht="20.100000000000001" customHeight="1" x14ac:dyDescent="0.3"/>
    <row r="114" ht="20.100000000000001" customHeight="1" x14ac:dyDescent="0.3"/>
    <row r="115" ht="20.100000000000001" customHeight="1" x14ac:dyDescent="0.3"/>
    <row r="116" ht="20.100000000000001" customHeight="1" x14ac:dyDescent="0.3"/>
    <row r="118" ht="20.100000000000001" customHeight="1" x14ac:dyDescent="0.3"/>
    <row r="119" ht="20.100000000000001" customHeight="1" x14ac:dyDescent="0.3"/>
    <row r="120" ht="20.100000000000001" customHeight="1" x14ac:dyDescent="0.3"/>
    <row r="121" ht="20.100000000000001" customHeight="1" x14ac:dyDescent="0.3"/>
    <row r="122" ht="20.100000000000001" customHeight="1" x14ac:dyDescent="0.3"/>
    <row r="123" ht="20.100000000000001" customHeight="1" x14ac:dyDescent="0.3"/>
    <row r="124" ht="20.100000000000001" customHeight="1" x14ac:dyDescent="0.3"/>
    <row r="125" ht="20.100000000000001" customHeight="1" x14ac:dyDescent="0.3"/>
    <row r="126" ht="20.100000000000001" customHeight="1" x14ac:dyDescent="0.3"/>
    <row r="127" ht="20.100000000000001" customHeight="1" x14ac:dyDescent="0.3"/>
    <row r="129" ht="25.35" customHeight="1" x14ac:dyDescent="0.3"/>
    <row r="131" ht="36" customHeight="1" x14ac:dyDescent="0.3"/>
    <row r="132" ht="20.100000000000001" customHeight="1" x14ac:dyDescent="0.3"/>
    <row r="133" ht="20.100000000000001" customHeight="1" x14ac:dyDescent="0.3"/>
    <row r="134" ht="20.100000000000001" customHeight="1" x14ac:dyDescent="0.3"/>
    <row r="135" ht="20.100000000000001" customHeight="1" x14ac:dyDescent="0.3"/>
    <row r="136" ht="20.100000000000001" customHeight="1" x14ac:dyDescent="0.3"/>
    <row r="137" ht="20.100000000000001" customHeight="1" x14ac:dyDescent="0.3"/>
    <row r="138" ht="20.100000000000001" customHeight="1" x14ac:dyDescent="0.3"/>
    <row r="139" ht="20.100000000000001" customHeight="1" x14ac:dyDescent="0.3"/>
    <row r="140" ht="20.100000000000001" customHeight="1" x14ac:dyDescent="0.3"/>
    <row r="141" ht="20.100000000000001" customHeight="1" x14ac:dyDescent="0.3"/>
    <row r="143" ht="20.100000000000001" customHeight="1" x14ac:dyDescent="0.3"/>
    <row r="144" ht="20.100000000000001" customHeight="1" x14ac:dyDescent="0.3"/>
    <row r="145" ht="20.100000000000001" customHeight="1" x14ac:dyDescent="0.3"/>
    <row r="146" ht="20.100000000000001" customHeight="1" x14ac:dyDescent="0.3"/>
    <row r="147" ht="20.100000000000001" customHeight="1" x14ac:dyDescent="0.3"/>
    <row r="148" ht="20.100000000000001" customHeight="1" x14ac:dyDescent="0.3"/>
    <row r="149" ht="20.100000000000001" customHeight="1" x14ac:dyDescent="0.3"/>
    <row r="150" ht="20.100000000000001" customHeight="1" x14ac:dyDescent="0.3"/>
    <row r="151" ht="20.100000000000001" customHeight="1" x14ac:dyDescent="0.3"/>
    <row r="152" ht="20.100000000000001" customHeight="1" x14ac:dyDescent="0.3"/>
  </sheetData>
  <sheetProtection algorithmName="SHA-512" hashValue="HuhBOyedUWCpPh43Zl6U2kYXRpCwBbWErjN+H5C8onpu9oDGk9FqwGAoS0TgrXNToyFgaxKV0h4ZNFKwrJ1UxQ==" saltValue="Dxb0KqtIRS/ix3CACQDIOA==" spinCount="100000" sheet="1" formatRows="0"/>
  <mergeCells count="28">
    <mergeCell ref="B2:M2"/>
    <mergeCell ref="D4:K4"/>
    <mergeCell ref="D6:K6"/>
    <mergeCell ref="D29:K29"/>
    <mergeCell ref="G8:K8"/>
    <mergeCell ref="D21:E21"/>
    <mergeCell ref="G17:K17"/>
    <mergeCell ref="G21:K21"/>
    <mergeCell ref="G9:K9"/>
    <mergeCell ref="G10:K10"/>
    <mergeCell ref="G11:K11"/>
    <mergeCell ref="G12:K12"/>
    <mergeCell ref="G13:K13"/>
    <mergeCell ref="D15:K15"/>
    <mergeCell ref="F18:K18"/>
    <mergeCell ref="F19:K19"/>
    <mergeCell ref="F22:K27"/>
    <mergeCell ref="D69:K69"/>
    <mergeCell ref="D73:K73"/>
    <mergeCell ref="D60:K60"/>
    <mergeCell ref="D67:K67"/>
    <mergeCell ref="D80:K80"/>
    <mergeCell ref="D77:K77"/>
    <mergeCell ref="D66:K66"/>
    <mergeCell ref="E63:E64"/>
    <mergeCell ref="G63:G64"/>
    <mergeCell ref="I63:I64"/>
    <mergeCell ref="K63:K64"/>
  </mergeCells>
  <hyperlinks>
    <hyperlink ref="D64" r:id="rId1" xr:uid="{ADAC4FE8-4F70-426A-99A6-F84A3D8EAE52}"/>
  </hyperlinks>
  <printOptions horizontalCentered="1" verticalCentered="1"/>
  <pageMargins left="0.25" right="0.25" top="0.75" bottom="0.75" header="0.3" footer="0.3"/>
  <pageSetup scale="70" orientation="landscape" r:id="rId2"/>
  <rowBreaks count="4" manualBreakCount="4">
    <brk id="28" min="2" max="12" man="1"/>
    <brk id="48" min="2" max="12" man="1"/>
    <brk id="64" min="2" max="11" man="1"/>
    <brk id="130" max="16383" man="1"/>
  </rowBreaks>
  <extLst>
    <ext xmlns:x14="http://schemas.microsoft.com/office/spreadsheetml/2009/9/main" uri="{CCE6A557-97BC-4b89-ADB6-D9C93CAAB3DF}">
      <x14:dataValidations xmlns:xm="http://schemas.microsoft.com/office/excel/2006/main" count="4">
        <x14:dataValidation type="list" allowBlank="1" showInputMessage="1" showErrorMessage="1" xr:uid="{667EF9F5-8DBF-49CA-9EB7-F92030615BA0}">
          <x14:formula1>
            <xm:f>'Vaccine options'!$B$11:$B$12</xm:f>
          </x14:formula1>
          <xm:sqref>E18</xm:sqref>
        </x14:dataValidation>
        <x14:dataValidation type="list" allowBlank="1" showInputMessage="1" showErrorMessage="1" xr:uid="{08CFB619-553C-486A-94E5-B553B86BAF0D}">
          <x14:formula1>
            <xm:f>'Vaccine options'!$B$14:$B$34</xm:f>
          </x14:formula1>
          <xm:sqref>E71 G71 I71 K71 E75 G75 I75 K75 E79 G79 I79 K79</xm:sqref>
        </x14:dataValidation>
        <x14:dataValidation type="list" allowBlank="1" showInputMessage="1" showErrorMessage="1" xr:uid="{51D3A0CC-BFB7-4EF3-8967-6C16139CEA34}">
          <x14:formula1>
            <xm:f>'Vaccine options'!$A$3:$A$10</xm:f>
          </x14:formula1>
          <xm:sqref>E32 K32 I32 G32</xm:sqref>
        </x14:dataValidation>
        <x14:dataValidation type="list" allowBlank="1" showInputMessage="1" showErrorMessage="1" xr:uid="{79E5468B-E662-4471-847E-3448980983FB}">
          <x14:formula1>
            <xm:f>'Vaccine options'!$A$12:$A$14</xm:f>
          </x14:formula1>
          <xm:sqref>E17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3A00FD-BE23-4E55-B0C3-A1AF1E1FA508}">
  <sheetPr>
    <tabColor theme="1"/>
  </sheetPr>
  <dimension ref="B1:O38"/>
  <sheetViews>
    <sheetView showGridLines="0" zoomScaleNormal="100" workbookViewId="0"/>
  </sheetViews>
  <sheetFormatPr defaultColWidth="8.77734375" defaultRowHeight="13.8" outlineLevelRow="1" x14ac:dyDescent="0.25"/>
  <cols>
    <col min="1" max="1" width="1.77734375" style="197" customWidth="1"/>
    <col min="2" max="2" width="5.21875" style="197" customWidth="1"/>
    <col min="3" max="3" width="18.77734375" style="197" customWidth="1"/>
    <col min="4" max="4" width="12.77734375" style="197" customWidth="1"/>
    <col min="5" max="5" width="2.44140625" style="197" customWidth="1"/>
    <col min="6" max="6" width="20.44140625" style="197" customWidth="1"/>
    <col min="7" max="7" width="7" style="197" customWidth="1"/>
    <col min="8" max="8" width="20.44140625" style="197" customWidth="1"/>
    <col min="9" max="9" width="6.77734375" style="197" customWidth="1"/>
    <col min="10" max="10" width="20.44140625" style="197" customWidth="1"/>
    <col min="11" max="11" width="6.77734375" style="197" customWidth="1"/>
    <col min="12" max="12" width="20.44140625" style="197" customWidth="1"/>
    <col min="13" max="13" width="8.77734375" style="197" bestFit="1" customWidth="1"/>
    <col min="14" max="16384" width="8.77734375" style="197"/>
  </cols>
  <sheetData>
    <row r="1" spans="2:15" ht="8.1" customHeight="1" x14ac:dyDescent="0.25">
      <c r="B1" s="300"/>
      <c r="C1" s="300"/>
      <c r="D1" s="300"/>
      <c r="E1" s="300"/>
      <c r="F1" s="300"/>
      <c r="G1" s="300"/>
      <c r="H1" s="300"/>
      <c r="I1" s="300"/>
      <c r="J1" s="300"/>
      <c r="K1" s="300"/>
      <c r="L1" s="300"/>
      <c r="M1" s="300"/>
    </row>
    <row r="2" spans="2:15" ht="19.2" customHeight="1" x14ac:dyDescent="0.25">
      <c r="B2" s="386" t="s">
        <v>120</v>
      </c>
      <c r="C2" s="386"/>
      <c r="D2" s="386"/>
      <c r="E2" s="386"/>
      <c r="F2" s="386"/>
      <c r="G2" s="386"/>
      <c r="H2" s="386"/>
      <c r="I2" s="386"/>
      <c r="J2" s="386"/>
      <c r="K2" s="386"/>
      <c r="L2" s="386"/>
      <c r="M2" s="386"/>
    </row>
    <row r="3" spans="2:15" ht="8.1" customHeight="1" x14ac:dyDescent="0.25">
      <c r="B3" s="247"/>
      <c r="C3" s="401"/>
      <c r="D3" s="401"/>
      <c r="E3" s="401"/>
      <c r="F3" s="401"/>
      <c r="G3" s="401"/>
      <c r="H3" s="401"/>
      <c r="I3" s="401"/>
      <c r="J3" s="401"/>
      <c r="K3" s="401"/>
      <c r="L3" s="401"/>
      <c r="M3" s="401"/>
    </row>
    <row r="4" spans="2:15" ht="60" customHeight="1" x14ac:dyDescent="0.25">
      <c r="B4" s="247"/>
      <c r="C4" s="405" t="s">
        <v>90</v>
      </c>
      <c r="D4" s="405"/>
      <c r="E4" s="405"/>
      <c r="F4" s="405"/>
      <c r="G4" s="405"/>
      <c r="H4" s="405"/>
      <c r="I4" s="405"/>
      <c r="J4" s="405"/>
      <c r="K4" s="405"/>
      <c r="L4" s="405"/>
      <c r="M4" s="249"/>
    </row>
    <row r="5" spans="2:15" ht="8.1" customHeight="1" x14ac:dyDescent="0.25">
      <c r="B5" s="248"/>
      <c r="C5" s="248"/>
      <c r="D5" s="248"/>
      <c r="E5" s="248"/>
      <c r="F5" s="247"/>
      <c r="G5" s="247"/>
      <c r="H5" s="247"/>
      <c r="I5" s="247"/>
      <c r="J5" s="247"/>
      <c r="K5" s="247"/>
      <c r="L5" s="247"/>
      <c r="M5" s="246"/>
    </row>
    <row r="6" spans="2:15" ht="46.2" customHeight="1" x14ac:dyDescent="0.25">
      <c r="B6" s="400"/>
      <c r="C6" s="209"/>
      <c r="D6" s="209"/>
      <c r="E6" s="204"/>
      <c r="F6" s="303" t="s">
        <v>35</v>
      </c>
      <c r="G6" s="245"/>
      <c r="H6" s="305" t="s">
        <v>16</v>
      </c>
      <c r="I6" s="244"/>
      <c r="J6" s="305" t="s">
        <v>17</v>
      </c>
      <c r="K6" s="244"/>
      <c r="L6" s="303" t="s">
        <v>21</v>
      </c>
      <c r="M6" s="241"/>
    </row>
    <row r="7" spans="2:15" ht="8.1" customHeight="1" x14ac:dyDescent="0.25">
      <c r="B7" s="400"/>
      <c r="C7" s="209"/>
      <c r="D7" s="209"/>
      <c r="E7" s="204"/>
      <c r="F7" s="242"/>
      <c r="G7" s="242"/>
      <c r="H7" s="243"/>
      <c r="I7" s="243"/>
      <c r="J7" s="243"/>
      <c r="K7" s="243"/>
      <c r="L7" s="242"/>
      <c r="M7" s="241"/>
    </row>
    <row r="8" spans="2:15" ht="110.1" customHeight="1" x14ac:dyDescent="0.25">
      <c r="B8" s="400"/>
      <c r="C8" s="240"/>
      <c r="D8" s="209"/>
      <c r="E8" s="204"/>
      <c r="F8" s="304" t="str">
        <f>Results!F6</f>
        <v>ROTARIX 
1 dose/plastic tube, liquid
(multi-monodose of 5 single tubes connected by a bar)</v>
      </c>
      <c r="G8" s="239"/>
      <c r="H8" s="304" t="str">
        <f>Results!H6</f>
        <v>ROTAVAC 
5 doses/vial, frozen</v>
      </c>
      <c r="I8" s="239"/>
      <c r="J8" s="304" t="str">
        <f>Results!J6</f>
        <v>ROTAVAC 5D 
5 doses/vial, liquid</v>
      </c>
      <c r="K8" s="239"/>
      <c r="L8" s="304" t="str">
        <f>Results!L6</f>
        <v>ROTASIIL-Liquid 
2 doses/vial, liquid</v>
      </c>
      <c r="M8" s="238"/>
    </row>
    <row r="9" spans="2:15" ht="8.1" customHeight="1" x14ac:dyDescent="0.25">
      <c r="B9" s="198"/>
      <c r="C9" s="236"/>
      <c r="D9" s="236"/>
      <c r="E9" s="236"/>
      <c r="F9" s="237" t="s">
        <v>108</v>
      </c>
      <c r="G9" s="236"/>
      <c r="H9" s="235" t="s">
        <v>108</v>
      </c>
      <c r="I9" s="236"/>
      <c r="J9" s="235" t="s">
        <v>108</v>
      </c>
      <c r="K9" s="236"/>
      <c r="L9" s="235" t="s">
        <v>108</v>
      </c>
      <c r="M9" s="234"/>
      <c r="O9" s="233"/>
    </row>
    <row r="10" spans="2:15" s="228" customFormat="1" ht="40.200000000000003" customHeight="1" x14ac:dyDescent="0.25">
      <c r="B10" s="198"/>
      <c r="C10" s="403" t="s">
        <v>34</v>
      </c>
      <c r="D10" s="205" t="s">
        <v>84</v>
      </c>
      <c r="E10" s="222"/>
      <c r="F10" s="306">
        <f>Results!F19/1000000</f>
        <v>4.2572294385866671</v>
      </c>
      <c r="G10" s="231"/>
      <c r="H10" s="306">
        <f>Results!H19/1000000</f>
        <v>6.3178212220731922</v>
      </c>
      <c r="I10" s="231"/>
      <c r="J10" s="306">
        <f>Results!J19/1000000</f>
        <v>6.2544170149726313</v>
      </c>
      <c r="K10" s="231"/>
      <c r="L10" s="306">
        <f>IF(Dashboard!L8&lt;&gt;0, Results!L19/1000000," " )</f>
        <v>6.1923337288533338</v>
      </c>
      <c r="M10" s="229"/>
    </row>
    <row r="11" spans="2:15" s="228" customFormat="1" ht="40.200000000000003" customHeight="1" x14ac:dyDescent="0.25">
      <c r="B11" s="198"/>
      <c r="C11" s="404"/>
      <c r="D11" s="205" t="s">
        <v>83</v>
      </c>
      <c r="E11" s="222"/>
      <c r="F11" s="307">
        <f>F10/5</f>
        <v>0.85144588771733343</v>
      </c>
      <c r="G11" s="232"/>
      <c r="H11" s="307">
        <f>H10/5</f>
        <v>1.2635642444146384</v>
      </c>
      <c r="I11" s="231"/>
      <c r="J11" s="307">
        <f>J10/5</f>
        <v>1.2508834029945262</v>
      </c>
      <c r="K11" s="231"/>
      <c r="L11" s="307">
        <f>IF(Dashboard!L8&lt;&gt;0,L10/5, " ")</f>
        <v>1.2384667457706668</v>
      </c>
      <c r="M11" s="229"/>
    </row>
    <row r="12" spans="2:15" s="228" customFormat="1" ht="8.1" customHeight="1" x14ac:dyDescent="0.25">
      <c r="B12" s="198"/>
      <c r="C12" s="204"/>
      <c r="D12" s="207"/>
      <c r="E12" s="222"/>
      <c r="F12" s="230"/>
      <c r="G12" s="232"/>
      <c r="H12" s="230"/>
      <c r="I12" s="231"/>
      <c r="J12" s="230"/>
      <c r="K12" s="231"/>
      <c r="L12" s="230"/>
      <c r="M12" s="229"/>
    </row>
    <row r="13" spans="2:15" ht="71.099999999999994" customHeight="1" x14ac:dyDescent="0.25">
      <c r="B13" s="198"/>
      <c r="C13" s="66" t="s">
        <v>89</v>
      </c>
      <c r="D13" s="205" t="s">
        <v>83</v>
      </c>
      <c r="E13" s="222"/>
      <c r="F13" s="308">
        <f>AVERAGE(Results!F28:F32)/1000000</f>
        <v>10.047061475064535</v>
      </c>
      <c r="G13" s="221"/>
      <c r="H13" s="308">
        <f>AVERAGE(Results!H28:H32)/1000000</f>
        <v>5.3069698265414802</v>
      </c>
      <c r="I13" s="220">
        <f>(H13-F13)/F13</f>
        <v>-0.47178885689983374</v>
      </c>
      <c r="J13" s="308">
        <f>AVERAGE(Results!J28:J32)/1000000</f>
        <v>5.2537102925770105</v>
      </c>
      <c r="K13" s="220">
        <f>(J13-F13)/F13</f>
        <v>-0.4770898629797361</v>
      </c>
      <c r="L13" s="308">
        <f>IF(Dashboard!L8&lt;&gt;0,AVERAGE(Results!L28:L32)/1000000," ")</f>
        <v>17.710074464520531</v>
      </c>
      <c r="M13" s="219">
        <f>(L13-F13)/F13</f>
        <v>0.76271186440677918</v>
      </c>
    </row>
    <row r="14" spans="2:15" ht="8.1" customHeight="1" x14ac:dyDescent="0.25">
      <c r="B14" s="198"/>
      <c r="C14" s="209"/>
      <c r="D14" s="207"/>
      <c r="E14" s="222"/>
      <c r="F14" s="224"/>
      <c r="G14" s="221"/>
      <c r="H14" s="224"/>
      <c r="I14" s="226"/>
      <c r="J14" s="224"/>
      <c r="K14" s="225"/>
      <c r="L14" s="224"/>
      <c r="M14" s="223"/>
    </row>
    <row r="15" spans="2:15" ht="40.200000000000003" customHeight="1" x14ac:dyDescent="0.25">
      <c r="B15" s="198"/>
      <c r="C15" s="403" t="s">
        <v>95</v>
      </c>
      <c r="D15" s="205" t="s">
        <v>84</v>
      </c>
      <c r="E15" s="222"/>
      <c r="F15" s="308">
        <f>Results!F38/1000000</f>
        <v>0.98476037056085353</v>
      </c>
      <c r="G15" s="227"/>
      <c r="H15" s="308">
        <f>Results!H38/1000000</f>
        <v>0.96517073548649668</v>
      </c>
      <c r="I15" s="220">
        <f>(H15-F15)/F15</f>
        <v>-1.989279388162209E-2</v>
      </c>
      <c r="J15" s="308">
        <f>Results!J38/1000000</f>
        <v>0.95593908293265495</v>
      </c>
      <c r="K15" s="220">
        <f>(J15-F15)/F15</f>
        <v>-2.9267310596367627E-2</v>
      </c>
      <c r="L15" s="308">
        <f>IF(Dashboard!L8&lt;&gt;0,Results!L38/1000000," ")</f>
        <v>0.94689975647368541</v>
      </c>
      <c r="M15" s="219">
        <f>(L15-F15)/F15</f>
        <v>-3.8446524879555473E-2</v>
      </c>
    </row>
    <row r="16" spans="2:15" ht="40.200000000000003" customHeight="1" x14ac:dyDescent="0.25">
      <c r="B16" s="198"/>
      <c r="C16" s="404"/>
      <c r="D16" s="205" t="s">
        <v>83</v>
      </c>
      <c r="E16" s="222"/>
      <c r="F16" s="308">
        <f>F15/5</f>
        <v>0.19695207411217069</v>
      </c>
      <c r="G16" s="221"/>
      <c r="H16" s="308">
        <f>H15/5</f>
        <v>0.19303414709729932</v>
      </c>
      <c r="I16" s="220">
        <f>(H16-F16)/F16</f>
        <v>-1.989279388162209E-2</v>
      </c>
      <c r="J16" s="308">
        <f>J15/5</f>
        <v>0.191187816586531</v>
      </c>
      <c r="K16" s="220">
        <f>(J16-F16)/F16</f>
        <v>-2.9267310596367516E-2</v>
      </c>
      <c r="L16" s="308">
        <f>IF(Dashboard!L8&lt;&gt;0,L15/5," ")</f>
        <v>0.18937995129473709</v>
      </c>
      <c r="M16" s="219">
        <f>(L16-F16)/F16</f>
        <v>-3.844652487955539E-2</v>
      </c>
    </row>
    <row r="17" spans="2:13" ht="8.1" customHeight="1" x14ac:dyDescent="0.25">
      <c r="B17" s="198"/>
      <c r="C17" s="204"/>
      <c r="D17" s="207"/>
      <c r="E17" s="222"/>
      <c r="F17" s="224"/>
      <c r="G17" s="221"/>
      <c r="H17" s="224"/>
      <c r="I17" s="226"/>
      <c r="J17" s="224"/>
      <c r="K17" s="225"/>
      <c r="L17" s="224"/>
      <c r="M17" s="223"/>
    </row>
    <row r="18" spans="2:13" ht="40.200000000000003" customHeight="1" x14ac:dyDescent="0.25">
      <c r="B18" s="198"/>
      <c r="C18" s="403" t="s">
        <v>96</v>
      </c>
      <c r="D18" s="205" t="s">
        <v>84</v>
      </c>
      <c r="E18" s="222"/>
      <c r="F18" s="308">
        <f>Results!F47/1000000</f>
        <v>4.8773824102408536</v>
      </c>
      <c r="G18" s="221"/>
      <c r="H18" s="308">
        <f>Results!H47/1000000</f>
        <v>6.627166429566496</v>
      </c>
      <c r="I18" s="220">
        <f>(H18-F18)/F18</f>
        <v>0.35875473197502161</v>
      </c>
      <c r="J18" s="308">
        <f>Results!J47/1000000</f>
        <v>6.6179347770126551</v>
      </c>
      <c r="K18" s="220">
        <f>(J18-F18)/F18</f>
        <v>0.35686198464103003</v>
      </c>
      <c r="L18" s="308">
        <f>IF(Dashboard!L8&lt;&gt;0,Results!L47/1000000," ")</f>
        <v>6.6088954505536854</v>
      </c>
      <c r="M18" s="219">
        <f>(L18-F18)/F18</f>
        <v>0.35500866954316318</v>
      </c>
    </row>
    <row r="19" spans="2:13" ht="40.200000000000003" customHeight="1" x14ac:dyDescent="0.25">
      <c r="B19" s="198"/>
      <c r="C19" s="404"/>
      <c r="D19" s="205" t="s">
        <v>83</v>
      </c>
      <c r="E19" s="222"/>
      <c r="F19" s="308">
        <f>F18/5</f>
        <v>0.97547648204817072</v>
      </c>
      <c r="G19" s="221"/>
      <c r="H19" s="308">
        <f>H18/5</f>
        <v>1.3254332859132991</v>
      </c>
      <c r="I19" s="220">
        <f>(H19-F19)/F19</f>
        <v>0.35875473197502156</v>
      </c>
      <c r="J19" s="308">
        <f>J18/5</f>
        <v>1.323586955402531</v>
      </c>
      <c r="K19" s="220">
        <f>(J19-F19)/F19</f>
        <v>0.35686198464103003</v>
      </c>
      <c r="L19" s="308">
        <f>IF(Dashboard!L8&lt;&gt;0,L18/5," ")</f>
        <v>1.3217790901107371</v>
      </c>
      <c r="M19" s="219">
        <f>(L19-F19)/F19</f>
        <v>0.35500866954316318</v>
      </c>
    </row>
    <row r="20" spans="2:13" ht="21" customHeight="1" x14ac:dyDescent="0.25">
      <c r="B20" s="198"/>
      <c r="C20" s="402" t="s">
        <v>88</v>
      </c>
      <c r="D20" s="402"/>
      <c r="E20" s="402"/>
      <c r="F20" s="402"/>
      <c r="G20" s="402"/>
      <c r="H20" s="402"/>
      <c r="I20" s="402"/>
      <c r="J20" s="402"/>
      <c r="K20" s="402"/>
      <c r="L20" s="402"/>
      <c r="M20" s="402"/>
    </row>
    <row r="21" spans="2:13" ht="17.399999999999999" x14ac:dyDescent="0.25">
      <c r="C21" s="218"/>
      <c r="D21" s="218"/>
      <c r="E21" s="218"/>
      <c r="F21" s="218"/>
      <c r="G21" s="218"/>
      <c r="H21" s="218"/>
      <c r="I21" s="218"/>
      <c r="J21" s="133"/>
      <c r="K21" s="133"/>
      <c r="L21" s="218"/>
      <c r="M21" s="218"/>
    </row>
    <row r="22" spans="2:13" ht="15.6" x14ac:dyDescent="0.25">
      <c r="B22" s="198"/>
      <c r="C22" s="217"/>
      <c r="D22" s="217"/>
      <c r="E22" s="217"/>
      <c r="F22" s="216"/>
      <c r="G22" s="216"/>
      <c r="H22" s="216"/>
      <c r="I22" s="216"/>
      <c r="J22" s="216"/>
      <c r="K22" s="216"/>
      <c r="L22" s="216"/>
      <c r="M22" s="216"/>
    </row>
    <row r="23" spans="2:13" ht="32.1" customHeight="1" x14ac:dyDescent="0.25">
      <c r="B23" s="198"/>
      <c r="C23" s="406" t="s">
        <v>87</v>
      </c>
      <c r="D23" s="406"/>
      <c r="E23" s="406"/>
      <c r="F23" s="406"/>
      <c r="G23" s="406"/>
      <c r="H23" s="406"/>
      <c r="I23" s="406"/>
      <c r="J23" s="406"/>
      <c r="K23" s="406"/>
      <c r="L23" s="406"/>
      <c r="M23" s="200"/>
    </row>
    <row r="24" spans="2:13" ht="27" customHeight="1" x14ac:dyDescent="0.25">
      <c r="B24" s="198"/>
      <c r="C24" s="399" t="s">
        <v>86</v>
      </c>
      <c r="D24" s="399"/>
      <c r="E24" s="399"/>
      <c r="F24" s="399"/>
      <c r="G24" s="399"/>
      <c r="H24" s="399"/>
      <c r="I24" s="399"/>
      <c r="J24" s="399"/>
      <c r="K24" s="200"/>
      <c r="L24" s="199"/>
      <c r="M24" s="199"/>
    </row>
    <row r="25" spans="2:13" ht="34.200000000000003" hidden="1" customHeight="1" outlineLevel="1" x14ac:dyDescent="0.25">
      <c r="B25" s="198"/>
      <c r="C25" s="204"/>
      <c r="D25" s="204"/>
      <c r="E25" s="204"/>
      <c r="F25" s="212" t="s">
        <v>72</v>
      </c>
      <c r="G25" s="215"/>
      <c r="H25" s="214" t="s">
        <v>71</v>
      </c>
      <c r="I25" s="213"/>
      <c r="J25" s="212" t="s">
        <v>70</v>
      </c>
      <c r="K25" s="200"/>
      <c r="L25" s="199"/>
      <c r="M25" s="199"/>
    </row>
    <row r="26" spans="2:13" ht="8.1" hidden="1" customHeight="1" outlineLevel="1" x14ac:dyDescent="0.25">
      <c r="B26" s="198"/>
      <c r="C26" s="204"/>
      <c r="D26" s="204"/>
      <c r="E26" s="204"/>
      <c r="F26" s="200"/>
      <c r="G26" s="200"/>
      <c r="H26" s="199"/>
      <c r="I26" s="199"/>
      <c r="J26" s="200"/>
      <c r="K26" s="200"/>
      <c r="L26" s="199"/>
      <c r="M26" s="199"/>
    </row>
    <row r="27" spans="2:13" ht="40.200000000000003" hidden="1" customHeight="1" outlineLevel="1" x14ac:dyDescent="0.25">
      <c r="B27" s="198"/>
      <c r="C27" s="398" t="s">
        <v>34</v>
      </c>
      <c r="D27" s="205" t="s">
        <v>84</v>
      </c>
      <c r="E27" s="204"/>
      <c r="F27" s="211">
        <f>(Inputs!$E71*Results!$F19+Inputs!$G71*Results!$H19+Inputs!$I71*Results!$J19+Inputs!$K71*Results!$L19)/1000000</f>
        <v>5.8584799402957817</v>
      </c>
      <c r="G27" s="203"/>
      <c r="H27" s="211">
        <f>(Inputs!$E75*Results!$F19+Inputs!$G75*Results!$H19+Inputs!$I75*Results!$J19+Inputs!$K75*Results!$L19)/1000000</f>
        <v>5.8740007618256058</v>
      </c>
      <c r="I27" s="202"/>
      <c r="J27" s="211">
        <f>(Inputs!$E79*Results!$F19+Inputs!$G79*Results!$H19+Inputs!$I79*Results!$J19+Inputs!$K79*Results!$L19)/1000000</f>
        <v>5.2558232267796487</v>
      </c>
      <c r="K27" s="200"/>
      <c r="L27" s="199"/>
      <c r="M27" s="199"/>
    </row>
    <row r="28" spans="2:13" ht="40.200000000000003" hidden="1" customHeight="1" outlineLevel="1" x14ac:dyDescent="0.25">
      <c r="B28" s="198"/>
      <c r="C28" s="398"/>
      <c r="D28" s="205" t="s">
        <v>83</v>
      </c>
      <c r="E28" s="204"/>
      <c r="F28" s="210">
        <f>F27/5</f>
        <v>1.1716959880591564</v>
      </c>
      <c r="G28" s="203"/>
      <c r="H28" s="210">
        <f>H27/5</f>
        <v>1.1748001523651213</v>
      </c>
      <c r="I28" s="202"/>
      <c r="J28" s="210">
        <f>J27/5</f>
        <v>1.0511646453559298</v>
      </c>
      <c r="K28" s="200"/>
      <c r="L28" s="199"/>
      <c r="M28" s="199"/>
    </row>
    <row r="29" spans="2:13" ht="8.1" hidden="1" customHeight="1" outlineLevel="1" x14ac:dyDescent="0.25">
      <c r="B29" s="198"/>
      <c r="C29" s="204"/>
      <c r="D29" s="207"/>
      <c r="E29" s="204"/>
      <c r="F29" s="208"/>
      <c r="G29" s="203"/>
      <c r="H29" s="208"/>
      <c r="I29" s="202"/>
      <c r="J29" s="208"/>
      <c r="K29" s="200"/>
      <c r="L29" s="199"/>
      <c r="M29" s="199"/>
    </row>
    <row r="30" spans="2:13" ht="72" hidden="1" customHeight="1" outlineLevel="1" x14ac:dyDescent="0.25">
      <c r="B30" s="198"/>
      <c r="C30" s="66" t="s">
        <v>89</v>
      </c>
      <c r="D30" s="205" t="s">
        <v>83</v>
      </c>
      <c r="E30" s="204"/>
      <c r="F30" s="210">
        <f>(Inputs!$E71*SUM(Results!$F28:$F32)/5+Inputs!$G71*SUM(Results!$H28:$H32)/5+Inputs!$I71*SUM(Results!$J28:$J32)/5+Inputs!$K71*SUM(Results!$L28:$L32)/5)/1000000</f>
        <v>9.3424494322497367</v>
      </c>
      <c r="G30" s="203"/>
      <c r="H30" s="210">
        <f>(Inputs!$E75*SUM(Results!$F28:$F32)/5+Inputs!$G75*SUM(Results!$H28:$H32)/5+Inputs!$I75*SUM(Results!$J28:$J32)/5+Inputs!$K75*SUM(Results!$L28:$L32)/5)/1000000</f>
        <v>6.2283583892638559</v>
      </c>
      <c r="I30" s="202"/>
      <c r="J30" s="210">
        <f>(Inputs!$E79*SUM(Results!$F28:$F32)/5+Inputs!$G79*SUM(Results!$H28:$H32)/5+Inputs!$I79*SUM(Results!$J28:$J32)/5+Inputs!$K79*SUM(Results!$L28:$L32)/5)/1000000</f>
        <v>7.6503858838207721</v>
      </c>
      <c r="K30" s="200"/>
      <c r="L30" s="199"/>
      <c r="M30" s="199"/>
    </row>
    <row r="31" spans="2:13" ht="8.1" hidden="1" customHeight="1" outlineLevel="1" x14ac:dyDescent="0.25">
      <c r="B31" s="198"/>
      <c r="C31" s="209"/>
      <c r="D31" s="207"/>
      <c r="E31" s="204"/>
      <c r="F31" s="208"/>
      <c r="G31" s="203"/>
      <c r="H31" s="208"/>
      <c r="I31" s="202"/>
      <c r="J31" s="208"/>
      <c r="K31" s="200"/>
      <c r="L31" s="199"/>
      <c r="M31" s="199"/>
    </row>
    <row r="32" spans="2:13" ht="40.200000000000003" hidden="1" customHeight="1" outlineLevel="1" x14ac:dyDescent="0.25">
      <c r="B32" s="198"/>
      <c r="C32" s="398" t="s">
        <v>85</v>
      </c>
      <c r="D32" s="205" t="s">
        <v>84</v>
      </c>
      <c r="E32" s="204"/>
      <c r="F32" s="206">
        <f>(Inputs!$E71*Results!$F38+Inputs!$G71*Results!$H38+Inputs!$I71*Results!$J38+Inputs!$K71*Results!$L38)/1000000</f>
        <v>0.96221300460970494</v>
      </c>
      <c r="G32" s="203"/>
      <c r="H32" s="206">
        <f>(Inputs!$E75*Results!$F38+Inputs!$G75*Results!$H38+Inputs!$I75*Results!$J38+Inputs!$K75*Results!$L38)/1000000</f>
        <v>0.96447283622444724</v>
      </c>
      <c r="I32" s="202"/>
      <c r="J32" s="206">
        <f>(Inputs!$E79*Results!$F38+Inputs!$G79*Results!$H38+Inputs!$I79*Results!$J38+Inputs!$K79*Results!$L38)/1000000</f>
        <v>0.97034972674675424</v>
      </c>
      <c r="K32" s="200"/>
      <c r="L32" s="199"/>
      <c r="M32" s="199"/>
    </row>
    <row r="33" spans="2:13" ht="40.200000000000003" hidden="1" customHeight="1" outlineLevel="1" x14ac:dyDescent="0.25">
      <c r="B33" s="198"/>
      <c r="C33" s="398"/>
      <c r="D33" s="205" t="s">
        <v>83</v>
      </c>
      <c r="E33" s="204"/>
      <c r="F33" s="201">
        <f>F32/5</f>
        <v>0.19244260092194099</v>
      </c>
      <c r="G33" s="203"/>
      <c r="H33" s="201">
        <f>H32/5</f>
        <v>0.19289456724488946</v>
      </c>
      <c r="I33" s="202"/>
      <c r="J33" s="201">
        <f>J32/5</f>
        <v>0.19406994534935085</v>
      </c>
      <c r="K33" s="200"/>
      <c r="L33" s="199"/>
      <c r="M33" s="199"/>
    </row>
    <row r="34" spans="2:13" ht="8.1" hidden="1" customHeight="1" outlineLevel="1" x14ac:dyDescent="0.25">
      <c r="B34" s="198"/>
      <c r="C34" s="204"/>
      <c r="D34" s="207"/>
      <c r="E34" s="204"/>
      <c r="F34" s="203"/>
      <c r="G34" s="203"/>
      <c r="H34" s="203"/>
      <c r="I34" s="202"/>
      <c r="J34" s="203"/>
      <c r="K34" s="200"/>
      <c r="L34" s="199"/>
      <c r="M34" s="199"/>
    </row>
    <row r="35" spans="2:13" ht="40.200000000000003" hidden="1" customHeight="1" outlineLevel="1" x14ac:dyDescent="0.25">
      <c r="B35" s="198"/>
      <c r="C35" s="398" t="s">
        <v>96</v>
      </c>
      <c r="D35" s="205" t="s">
        <v>84</v>
      </c>
      <c r="E35" s="204"/>
      <c r="F35" s="206">
        <f>(Inputs!$E71*Results!$F47+Inputs!$G71*Results!$H47+Inputs!$I71*Results!$J47+Inputs!K$71*Results!$L47)/1000000</f>
        <v>6.2703339678097052</v>
      </c>
      <c r="G35" s="203"/>
      <c r="H35" s="206">
        <f>(Inputs!$E75*Results!$F47+Inputs!$G75*Results!$H47+Inputs!$I75*Results!$J47+Inputs!$K75*Results!$L47)/1000000</f>
        <v>6.2725937994244472</v>
      </c>
      <c r="I35" s="202"/>
      <c r="J35" s="206">
        <f>(Inputs!$E79*Results!$F47+Inputs!$G79*Results!$H47+Inputs!$I79*Results!$J47+Inputs!$K79*Results!$L47)/1000000</f>
        <v>5.7476585936267544</v>
      </c>
      <c r="K35" s="200"/>
      <c r="L35" s="199"/>
      <c r="M35" s="199"/>
    </row>
    <row r="36" spans="2:13" ht="40.200000000000003" hidden="1" customHeight="1" outlineLevel="1" x14ac:dyDescent="0.25">
      <c r="B36" s="198"/>
      <c r="C36" s="398"/>
      <c r="D36" s="205" t="s">
        <v>83</v>
      </c>
      <c r="E36" s="204"/>
      <c r="F36" s="201">
        <f>F35/5</f>
        <v>1.254066793561941</v>
      </c>
      <c r="G36" s="203"/>
      <c r="H36" s="201">
        <f>H35/5</f>
        <v>1.2545187598848895</v>
      </c>
      <c r="I36" s="202"/>
      <c r="J36" s="201">
        <f>J35/5</f>
        <v>1.1495317187253509</v>
      </c>
      <c r="K36" s="200"/>
      <c r="L36" s="199"/>
      <c r="M36" s="199"/>
    </row>
    <row r="37" spans="2:13" hidden="1" outlineLevel="1" x14ac:dyDescent="0.25">
      <c r="B37" s="198"/>
      <c r="C37" s="198"/>
      <c r="D37" s="198"/>
      <c r="E37" s="198"/>
      <c r="F37" s="198"/>
      <c r="G37" s="198"/>
      <c r="H37" s="198"/>
      <c r="I37" s="198"/>
      <c r="J37" s="198"/>
      <c r="K37" s="198"/>
      <c r="L37" s="198"/>
      <c r="M37" s="198"/>
    </row>
    <row r="38" spans="2:13" collapsed="1" x14ac:dyDescent="0.25"/>
  </sheetData>
  <sheetProtection algorithmName="SHA-512" hashValue="oRRWFv8fGwnAfZwEVCMw2sp2mBGOV8GImsM86v0V1S6jYeFHYIiS/6HNpwk66JFTJBnqS1viKNpzf3epIGi2EQ==" saltValue="qJSQ+cjLpEYhumpayZfKlA==" spinCount="100000" sheet="1" formatRows="0"/>
  <mergeCells count="13">
    <mergeCell ref="C32:C33"/>
    <mergeCell ref="C35:C36"/>
    <mergeCell ref="C24:J24"/>
    <mergeCell ref="B2:M2"/>
    <mergeCell ref="B6:B8"/>
    <mergeCell ref="C3:M3"/>
    <mergeCell ref="C20:M20"/>
    <mergeCell ref="C10:C11"/>
    <mergeCell ref="C15:C16"/>
    <mergeCell ref="C18:C19"/>
    <mergeCell ref="C4:L4"/>
    <mergeCell ref="C23:L23"/>
    <mergeCell ref="C27:C28"/>
  </mergeCells>
  <conditionalFormatting sqref="F13 H13 J13 L13">
    <cfRule type="colorScale" priority="6">
      <colorScale>
        <cfvo type="min"/>
        <cfvo type="percentile" val="50"/>
        <cfvo type="max"/>
        <color rgb="FF00BB6B"/>
        <color rgb="FFE2E278"/>
        <color theme="3"/>
      </colorScale>
    </cfRule>
  </conditionalFormatting>
  <conditionalFormatting sqref="F32 H32 J32">
    <cfRule type="colorScale" priority="2">
      <colorScale>
        <cfvo type="min"/>
        <cfvo type="percentile" val="50"/>
        <cfvo type="max"/>
        <color rgb="FF00BB6B"/>
        <color rgb="FFE2E278"/>
        <color theme="3"/>
      </colorScale>
    </cfRule>
    <cfRule type="colorScale" priority="12">
      <colorScale>
        <cfvo type="min"/>
        <cfvo type="max"/>
        <color rgb="FF00BB6B"/>
        <color rgb="FFE2E278"/>
      </colorScale>
    </cfRule>
  </conditionalFormatting>
  <conditionalFormatting sqref="F35 H35 J35">
    <cfRule type="colorScale" priority="1">
      <colorScale>
        <cfvo type="min"/>
        <cfvo type="percentile" val="50"/>
        <cfvo type="max"/>
        <color rgb="FF00BB6B"/>
        <color rgb="FFE2E278"/>
        <color theme="3"/>
      </colorScale>
    </cfRule>
    <cfRule type="colorScale" priority="11">
      <colorScale>
        <cfvo type="min"/>
        <cfvo type="max"/>
        <color rgb="FF00BB6B"/>
        <color rgb="FFE2E278"/>
      </colorScale>
    </cfRule>
  </conditionalFormatting>
  <conditionalFormatting sqref="H13:H14 F13:F14 J13:J14 L13:L14">
    <cfRule type="colorScale" priority="9">
      <colorScale>
        <cfvo type="min"/>
        <cfvo type="max"/>
        <color rgb="FF00BB6B"/>
        <color rgb="FFE2E278"/>
      </colorScale>
    </cfRule>
  </conditionalFormatting>
  <conditionalFormatting sqref="H15 F15 J15 L15">
    <cfRule type="colorScale" priority="5">
      <colorScale>
        <cfvo type="min"/>
        <cfvo type="percentile" val="50"/>
        <cfvo type="max"/>
        <color rgb="FF00BB6B"/>
        <color rgb="FFE2E278"/>
        <color theme="3"/>
      </colorScale>
    </cfRule>
    <cfRule type="colorScale" priority="8">
      <colorScale>
        <cfvo type="min"/>
        <cfvo type="max"/>
        <color rgb="FF00BB6B"/>
        <color rgb="FFE2E278"/>
      </colorScale>
    </cfRule>
  </conditionalFormatting>
  <conditionalFormatting sqref="H18 F18 J18 L18">
    <cfRule type="colorScale" priority="4">
      <colorScale>
        <cfvo type="min"/>
        <cfvo type="percentile" val="50"/>
        <cfvo type="max"/>
        <color rgb="FF00BB6B"/>
        <color rgb="FFE2E278"/>
        <color theme="3"/>
      </colorScale>
    </cfRule>
    <cfRule type="colorScale" priority="7">
      <colorScale>
        <cfvo type="min"/>
        <cfvo type="max"/>
        <color rgb="FF00BB6B"/>
        <color rgb="FFE2E278"/>
      </colorScale>
    </cfRule>
  </conditionalFormatting>
  <conditionalFormatting sqref="H30 F30 J30">
    <cfRule type="colorScale" priority="3">
      <colorScale>
        <cfvo type="min"/>
        <cfvo type="percentile" val="50"/>
        <cfvo type="max"/>
        <color rgb="FF00BB6B"/>
        <color rgb="FFE2E278"/>
        <color theme="3"/>
      </colorScale>
    </cfRule>
  </conditionalFormatting>
  <conditionalFormatting sqref="H30:H31 F30:F31 J30:J31">
    <cfRule type="colorScale" priority="13">
      <colorScale>
        <cfvo type="min"/>
        <cfvo type="max"/>
        <color rgb="FF00BB6B"/>
        <color rgb="FFE2E278"/>
      </colorScale>
    </cfRule>
  </conditionalFormatting>
  <conditionalFormatting sqref="L12">
    <cfRule type="colorScale" priority="10">
      <colorScale>
        <cfvo type="min"/>
        <cfvo type="max"/>
        <color rgb="FF00BB6B"/>
        <color rgb="FFE2E278"/>
      </colorScale>
    </cfRule>
  </conditionalFormatting>
  <conditionalFormatting sqref="M13 M15:M16 M18:M19">
    <cfRule type="containsErrors" dxfId="0" priority="14">
      <formula>ISERROR(M13)</formula>
    </cfRule>
  </conditionalFormatting>
  <pageMargins left="0.25" right="0.25" top="0.75" bottom="0.75" header="0.3" footer="0.3"/>
  <pageSetup scale="70" orientation="landscape" r:id="rId1"/>
  <rowBreaks count="1" manualBreakCount="1">
    <brk id="20" min="1" max="11"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FC31D9-9774-48E7-B15E-69D1D11928FD}">
  <sheetPr>
    <tabColor theme="9"/>
  </sheetPr>
  <dimension ref="B1:Q73"/>
  <sheetViews>
    <sheetView zoomScaleNormal="100" workbookViewId="0"/>
  </sheetViews>
  <sheetFormatPr defaultColWidth="8.77734375" defaultRowHeight="13.8" x14ac:dyDescent="0.25"/>
  <cols>
    <col min="1" max="1" width="2.44140625" style="250" customWidth="1"/>
    <col min="2" max="3" width="5.77734375" style="250" customWidth="1"/>
    <col min="4" max="4" width="20.44140625" style="250" customWidth="1"/>
    <col min="5" max="5" width="1.44140625" style="250" customWidth="1"/>
    <col min="6" max="6" width="22.44140625" style="250" customWidth="1"/>
    <col min="7" max="7" width="1.44140625" style="250" customWidth="1"/>
    <col min="8" max="8" width="22.44140625" style="250" customWidth="1"/>
    <col min="9" max="9" width="1.44140625" style="250" customWidth="1"/>
    <col min="10" max="10" width="22.44140625" style="250" customWidth="1"/>
    <col min="11" max="11" width="1.44140625" style="250" customWidth="1"/>
    <col min="12" max="12" width="22.44140625" style="250" customWidth="1"/>
    <col min="13" max="14" width="5.77734375" style="250" customWidth="1"/>
    <col min="15" max="17" width="10.5546875" style="250" bestFit="1" customWidth="1"/>
    <col min="18" max="16384" width="8.77734375" style="250"/>
  </cols>
  <sheetData>
    <row r="1" spans="2:15" ht="8.1" customHeight="1" x14ac:dyDescent="0.25">
      <c r="B1" s="408"/>
      <c r="C1" s="408"/>
      <c r="D1" s="408"/>
      <c r="E1" s="408"/>
      <c r="F1" s="408"/>
      <c r="G1" s="408"/>
      <c r="H1" s="408"/>
      <c r="I1" s="408"/>
      <c r="J1" s="408"/>
      <c r="K1" s="408"/>
      <c r="L1" s="408"/>
      <c r="M1" s="408"/>
      <c r="N1" s="293"/>
    </row>
    <row r="2" spans="2:15" ht="19.2" customHeight="1" x14ac:dyDescent="0.25">
      <c r="B2" s="386" t="s">
        <v>118</v>
      </c>
      <c r="C2" s="386"/>
      <c r="D2" s="386"/>
      <c r="E2" s="386"/>
      <c r="F2" s="386"/>
      <c r="G2" s="386"/>
      <c r="H2" s="386"/>
      <c r="I2" s="386"/>
      <c r="J2" s="386"/>
      <c r="K2" s="386"/>
      <c r="L2" s="386"/>
      <c r="M2" s="386"/>
      <c r="N2" s="386"/>
      <c r="O2" s="284"/>
    </row>
    <row r="3" spans="2:15" ht="14.7" customHeight="1" x14ac:dyDescent="0.25">
      <c r="B3" s="256"/>
      <c r="C3" s="256"/>
      <c r="D3" s="411"/>
      <c r="E3" s="411"/>
      <c r="F3" s="411"/>
      <c r="G3" s="411"/>
      <c r="H3" s="411"/>
      <c r="I3" s="411"/>
      <c r="J3" s="411"/>
      <c r="K3" s="411"/>
      <c r="L3" s="411"/>
      <c r="M3" s="283"/>
      <c r="N3" s="283"/>
    </row>
    <row r="4" spans="2:15" ht="60" customHeight="1" x14ac:dyDescent="0.25">
      <c r="B4" s="256"/>
      <c r="C4" s="301"/>
      <c r="D4" s="413" t="s">
        <v>93</v>
      </c>
      <c r="E4" s="413"/>
      <c r="F4" s="413"/>
      <c r="G4" s="413"/>
      <c r="H4" s="413"/>
      <c r="I4" s="413"/>
      <c r="J4" s="413"/>
      <c r="K4" s="413"/>
      <c r="L4" s="413"/>
      <c r="M4" s="302"/>
      <c r="N4" s="283"/>
    </row>
    <row r="5" spans="2:15" ht="14.7" customHeight="1" x14ac:dyDescent="0.25">
      <c r="B5" s="256"/>
      <c r="C5" s="256"/>
      <c r="D5" s="283"/>
      <c r="E5" s="283"/>
      <c r="F5" s="283"/>
      <c r="G5" s="283"/>
      <c r="H5" s="283"/>
      <c r="I5" s="283"/>
      <c r="J5" s="283"/>
      <c r="K5" s="283"/>
      <c r="L5" s="251"/>
      <c r="M5" s="251"/>
      <c r="N5" s="251"/>
    </row>
    <row r="6" spans="2:15" s="279" customFormat="1" ht="121.2" customHeight="1" x14ac:dyDescent="0.25">
      <c r="B6" s="282"/>
      <c r="C6" s="282"/>
      <c r="D6" s="281"/>
      <c r="E6" s="281"/>
      <c r="F6" s="66" t="str">
        <f>Inputs!E32</f>
        <v>ROTARIX 
1 dose/plastic tube, liquid
(multi-monodose of 5 single tubes connected by a bar)</v>
      </c>
      <c r="G6" s="261"/>
      <c r="H6" s="66" t="str">
        <f>Inputs!G32</f>
        <v>ROTAVAC 
5 doses/vial, frozen</v>
      </c>
      <c r="I6" s="261"/>
      <c r="J6" s="66" t="str">
        <f>Inputs!I32</f>
        <v>ROTAVAC 5D 
5 doses/vial, liquid</v>
      </c>
      <c r="K6" s="261"/>
      <c r="L6" s="66" t="str">
        <f>Inputs!K32</f>
        <v>ROTASIIL-Liquid 
2 doses/vial, liquid</v>
      </c>
      <c r="M6" s="280"/>
      <c r="N6" s="280"/>
    </row>
    <row r="7" spans="2:15" ht="15" customHeight="1" x14ac:dyDescent="0.25">
      <c r="B7" s="256"/>
      <c r="C7" s="256"/>
      <c r="D7" s="265"/>
      <c r="E7" s="265"/>
      <c r="F7" s="265"/>
      <c r="G7" s="265"/>
      <c r="H7" s="265"/>
      <c r="I7" s="265"/>
      <c r="J7" s="265"/>
      <c r="K7" s="265"/>
      <c r="L7" s="265"/>
      <c r="M7" s="251"/>
      <c r="N7" s="251"/>
    </row>
    <row r="8" spans="2:15" ht="41.1" customHeight="1" x14ac:dyDescent="0.25">
      <c r="B8" s="256"/>
      <c r="C8" s="256"/>
      <c r="D8" s="412" t="s">
        <v>10</v>
      </c>
      <c r="E8" s="412"/>
      <c r="F8" s="412"/>
      <c r="G8" s="412"/>
      <c r="H8" s="412"/>
      <c r="I8" s="412"/>
      <c r="J8" s="412"/>
      <c r="K8" s="412"/>
      <c r="L8" s="412"/>
      <c r="M8" s="251"/>
      <c r="N8" s="251"/>
    </row>
    <row r="9" spans="2:15" ht="8.1" customHeight="1" x14ac:dyDescent="0.25">
      <c r="B9" s="256"/>
      <c r="C9" s="256"/>
      <c r="D9" s="278"/>
      <c r="E9" s="278"/>
      <c r="F9" s="278"/>
      <c r="G9" s="278"/>
      <c r="H9" s="278"/>
      <c r="I9" s="278"/>
      <c r="J9" s="278"/>
      <c r="K9" s="278"/>
      <c r="L9" s="278"/>
      <c r="M9" s="251"/>
      <c r="N9" s="251"/>
    </row>
    <row r="10" spans="2:15" ht="35.1" customHeight="1" x14ac:dyDescent="0.25">
      <c r="B10" s="256"/>
      <c r="C10" s="256"/>
      <c r="D10" s="277" t="s">
        <v>32</v>
      </c>
      <c r="E10" s="276"/>
      <c r="F10" s="274">
        <f>SUM(F11:F15)</f>
        <v>3892622.0396799999</v>
      </c>
      <c r="G10" s="275"/>
      <c r="H10" s="274">
        <f>SUM(H11:H15)</f>
        <v>5661995.6940800007</v>
      </c>
      <c r="I10" s="275"/>
      <c r="J10" s="274">
        <f>SUM(J11:J15)</f>
        <v>5661995.6940800007</v>
      </c>
      <c r="K10" s="275"/>
      <c r="L10" s="274">
        <f>SUM(L11:L15)</f>
        <v>5661995.6940800007</v>
      </c>
      <c r="M10" s="251"/>
      <c r="N10" s="251"/>
    </row>
    <row r="11" spans="2:15" ht="15.6" x14ac:dyDescent="0.25">
      <c r="B11" s="256"/>
      <c r="C11" s="256"/>
      <c r="D11" s="255">
        <f>Inputs!$E$8</f>
        <v>2026</v>
      </c>
      <c r="E11" s="254"/>
      <c r="F11" s="266">
        <f>IF(Inputs!E$49=3,((Inputs!$E$9*(1+Inputs!$E$10)^(D11-Inputs!$E$8))*Inputs!$E$11+(Inputs!$E$9*(1+Inputs!$E$10)^(D11-Inputs!$E$8))*Inputs!$E$12+(Inputs!$E$9*(1+Inputs!$E$10)^(D11-Inputs!$E$8))*Inputs!$E$13),(Inputs!$E$9*(1+Inputs!$E$10)^(D11-Inputs!$E$8))*Inputs!$E$11+(Inputs!$E$9*(1+Inputs!$E$10)^(D11-Inputs!$E$8))*Inputs!$E$12)</f>
        <v>748000</v>
      </c>
      <c r="G11" s="267"/>
      <c r="H11" s="266">
        <f>IF(Inputs!G$49=3,((Inputs!$E$9*(1+Inputs!$E$10)^(D11-Inputs!$E$8))*Inputs!$E$11+(Inputs!$E$9*(1+Inputs!$E$10)^(D11-Inputs!$E$8))*Inputs!$E$12+(Inputs!$E$9*(1+Inputs!$E$10)^(D11-Inputs!$E$8))*Inputs!$E$13),(Inputs!$E$9*(1+Inputs!$E$10)^(D11-Inputs!$E$8))*Inputs!$E$11+(Inputs!$E$9*(1+Inputs!$E$10)^(D11-Inputs!$E$8))*Inputs!$E$12)</f>
        <v>1088000</v>
      </c>
      <c r="I11" s="267"/>
      <c r="J11" s="266">
        <f>IF(Inputs!I$49=3,((Inputs!$E$9*(1+Inputs!$E$10)^(D11-Inputs!$E$8))*Inputs!$E$11+(Inputs!$E$9*(1+Inputs!$E$10)^(D11-Inputs!$E$8))*Inputs!$E$12+(Inputs!$E$9*(1+Inputs!$E$10)^(D11-Inputs!$E$8))*Inputs!$E$13),(Inputs!$E$9*(1+Inputs!$E$10)^(D11-Inputs!$E$8))*Inputs!$E$11+(Inputs!$E$9*(1+Inputs!$E$10)^(D11-Inputs!$E$8))*Inputs!$E$12)</f>
        <v>1088000</v>
      </c>
      <c r="K11" s="267"/>
      <c r="L11" s="266">
        <f>IF(Inputs!K$49=3,((Inputs!$E$9*(1+Inputs!$E$10)^(D11-Inputs!$E$8))*Inputs!$E$11+(Inputs!$E$9*(1+Inputs!$E$10)^(D11-Inputs!$E$8))*Inputs!$E$12+(Inputs!$E$9*(1+Inputs!$E$10)^(D11-Inputs!$E$8))*Inputs!$E$13),(Inputs!$E$9*(1+Inputs!$E$10)^(D11-Inputs!$E$8))*Inputs!$E$11+(Inputs!$E$9*(1+Inputs!$E$10)^(D11-Inputs!$E$8))*Inputs!$E$12)</f>
        <v>1088000</v>
      </c>
      <c r="M11" s="251"/>
      <c r="N11" s="251"/>
    </row>
    <row r="12" spans="2:15" ht="15.6" x14ac:dyDescent="0.25">
      <c r="B12" s="256"/>
      <c r="C12" s="256"/>
      <c r="D12" s="255">
        <f>Inputs!$E$8+1</f>
        <v>2027</v>
      </c>
      <c r="E12" s="254"/>
      <c r="F12" s="266">
        <f>IF(Inputs!E$49=3,((Inputs!$E$9*(1+Inputs!$E$10)^(D12-Inputs!$E$8))*Inputs!$E$11+(Inputs!$E$9*(1+Inputs!$E$10)^(D12-Inputs!$E$8))*Inputs!$E$12+(Inputs!$E$9*(1+Inputs!$E$10)^(D12-Inputs!$E$8))*Inputs!$E$13),(Inputs!$E$9*(1+Inputs!$E$10)^(D12-Inputs!$E$8))*Inputs!$E$11+(Inputs!$E$9*(1+Inputs!$E$10)^(D12-Inputs!$E$8))*Inputs!$E$12)</f>
        <v>762960</v>
      </c>
      <c r="G12" s="267"/>
      <c r="H12" s="266">
        <f>IF(Inputs!G$49=3,((Inputs!$E$9*(1+Inputs!$E$10)^(D12-Inputs!$E$8))*Inputs!$E$11+(Inputs!$E$9*(1+Inputs!$E$10)^(D12-Inputs!$E$8))*Inputs!$E$12+(Inputs!$E$9*(1+Inputs!$E$10)^(D12-Inputs!$E$8))*Inputs!$E$13),(Inputs!$E$9*(1+Inputs!$E$10)^(D12-Inputs!$E$8))*Inputs!$E$11+(Inputs!$E$9*(1+Inputs!$E$10)^(D12-Inputs!$E$8))*Inputs!$E$12)</f>
        <v>1109760</v>
      </c>
      <c r="I12" s="267"/>
      <c r="J12" s="266">
        <f>IF(Inputs!I$49=3,((Inputs!$E$9*(1+Inputs!$E$10)^(D12-Inputs!$E$8))*Inputs!$E$11+(Inputs!$E$9*(1+Inputs!$E$10)^(D12-Inputs!$E$8))*Inputs!$E$12+(Inputs!$E$9*(1+Inputs!$E$10)^(D12-Inputs!$E$8))*Inputs!$E$13),(Inputs!$E$9*(1+Inputs!$E$10)^(D12-Inputs!$E$8))*Inputs!$E$11+(Inputs!$E$9*(1+Inputs!$E$10)^(D12-Inputs!$E$8))*Inputs!$E$12)</f>
        <v>1109760</v>
      </c>
      <c r="K12" s="267"/>
      <c r="L12" s="266">
        <f>IF(Inputs!K$49=3,((Inputs!$E$9*(1+Inputs!$E$10)^(D12-Inputs!$E$8))*Inputs!$E$11+(Inputs!$E$9*(1+Inputs!$E$10)^(D12-Inputs!$E$8))*Inputs!$E$12+(Inputs!$E$9*(1+Inputs!$E$10)^(D12-Inputs!$E$8))*Inputs!$E$13),(Inputs!$E$9*(1+Inputs!$E$10)^(D12-Inputs!$E$8))*Inputs!$E$11+(Inputs!$E$9*(1+Inputs!$E$10)^(D12-Inputs!$E$8))*Inputs!$E$12)</f>
        <v>1109760</v>
      </c>
      <c r="M12" s="251"/>
      <c r="N12" s="251"/>
    </row>
    <row r="13" spans="2:15" ht="15.6" x14ac:dyDescent="0.25">
      <c r="B13" s="256"/>
      <c r="C13" s="256"/>
      <c r="D13" s="255">
        <f>Inputs!$E$8+2</f>
        <v>2028</v>
      </c>
      <c r="E13" s="254"/>
      <c r="F13" s="266">
        <f>IF(Inputs!E$49=3,((Inputs!$E$9*(1+Inputs!$E$10)^(D13-Inputs!$E$8))*Inputs!$E$11+(Inputs!$E$9*(1+Inputs!$E$10)^(D13-Inputs!$E$8))*Inputs!$E$12+(Inputs!$E$9*(1+Inputs!$E$10)^(D13-Inputs!$E$8))*Inputs!$E$13),(Inputs!$E$9*(1+Inputs!$E$10)^(D13-Inputs!$E$8))*Inputs!$E$11+(Inputs!$E$9*(1+Inputs!$E$10)^(D13-Inputs!$E$8))*Inputs!$E$12)</f>
        <v>778219.2</v>
      </c>
      <c r="G13" s="267"/>
      <c r="H13" s="266">
        <f>IF(Inputs!G$49=3,((Inputs!$E$9*(1+Inputs!$E$10)^(D13-Inputs!$E$8))*Inputs!$E$11+(Inputs!$E$9*(1+Inputs!$E$10)^(D13-Inputs!$E$8))*Inputs!$E$12+(Inputs!$E$9*(1+Inputs!$E$10)^(D13-Inputs!$E$8))*Inputs!$E$13),(Inputs!$E$9*(1+Inputs!$E$10)^(D13-Inputs!$E$8))*Inputs!$E$11+(Inputs!$E$9*(1+Inputs!$E$10)^(D13-Inputs!$E$8))*Inputs!$E$12)</f>
        <v>1131955.2</v>
      </c>
      <c r="I13" s="267"/>
      <c r="J13" s="266">
        <f>IF(Inputs!I$49=3,((Inputs!$E$9*(1+Inputs!$E$10)^(D13-Inputs!$E$8))*Inputs!$E$11+(Inputs!$E$9*(1+Inputs!$E$10)^(D13-Inputs!$E$8))*Inputs!$E$12+(Inputs!$E$9*(1+Inputs!$E$10)^(D13-Inputs!$E$8))*Inputs!$E$13),(Inputs!$E$9*(1+Inputs!$E$10)^(D13-Inputs!$E$8))*Inputs!$E$11+(Inputs!$E$9*(1+Inputs!$E$10)^(D13-Inputs!$E$8))*Inputs!$E$12)</f>
        <v>1131955.2</v>
      </c>
      <c r="K13" s="267"/>
      <c r="L13" s="266">
        <f>IF(Inputs!K$49=3,((Inputs!$E$9*(1+Inputs!$E$10)^(D13-Inputs!$E$8))*Inputs!$E$11+(Inputs!$E$9*(1+Inputs!$E$10)^(D13-Inputs!$E$8))*Inputs!$E$12+(Inputs!$E$9*(1+Inputs!$E$10)^(D13-Inputs!$E$8))*Inputs!$E$13),(Inputs!$E$9*(1+Inputs!$E$10)^(D13-Inputs!$E$8))*Inputs!$E$11+(Inputs!$E$9*(1+Inputs!$E$10)^(D13-Inputs!$E$8))*Inputs!$E$12)</f>
        <v>1131955.2</v>
      </c>
      <c r="M13" s="251"/>
      <c r="N13" s="251"/>
    </row>
    <row r="14" spans="2:15" ht="15.6" x14ac:dyDescent="0.25">
      <c r="B14" s="256"/>
      <c r="C14" s="256"/>
      <c r="D14" s="255">
        <f>Inputs!$E$8+3</f>
        <v>2029</v>
      </c>
      <c r="E14" s="254"/>
      <c r="F14" s="266">
        <f>IF(Inputs!E$49=3,((Inputs!$E$9*(1+Inputs!$E$10)^(D14-Inputs!$E$8))*Inputs!$E$11+(Inputs!$E$9*(1+Inputs!$E$10)^(D14-Inputs!$E$8))*Inputs!$E$12+(Inputs!$E$9*(1+Inputs!$E$10)^(D14-Inputs!$E$8))*Inputs!$E$13),(Inputs!$E$9*(1+Inputs!$E$10)^(D14-Inputs!$E$8))*Inputs!$E$11+(Inputs!$E$9*(1+Inputs!$E$10)^(D14-Inputs!$E$8))*Inputs!$E$12)</f>
        <v>793783.58399999992</v>
      </c>
      <c r="G14" s="267"/>
      <c r="H14" s="266">
        <f>IF(Inputs!G$49=3,((Inputs!$E$9*(1+Inputs!$E$10)^(D14-Inputs!$E$8))*Inputs!$E$11+(Inputs!$E$9*(1+Inputs!$E$10)^(D14-Inputs!$E$8))*Inputs!$E$12+(Inputs!$E$9*(1+Inputs!$E$10)^(D14-Inputs!$E$8))*Inputs!$E$13),(Inputs!$E$9*(1+Inputs!$E$10)^(D14-Inputs!$E$8))*Inputs!$E$11+(Inputs!$E$9*(1+Inputs!$E$10)^(D14-Inputs!$E$8))*Inputs!$E$12)</f>
        <v>1154594.304</v>
      </c>
      <c r="I14" s="267"/>
      <c r="J14" s="266">
        <f>IF(Inputs!I$49=3,((Inputs!$E$9*(1+Inputs!$E$10)^(D14-Inputs!$E$8))*Inputs!$E$11+(Inputs!$E$9*(1+Inputs!$E$10)^(D14-Inputs!$E$8))*Inputs!$E$12+(Inputs!$E$9*(1+Inputs!$E$10)^(D14-Inputs!$E$8))*Inputs!$E$13),(Inputs!$E$9*(1+Inputs!$E$10)^(D14-Inputs!$E$8))*Inputs!$E$11+(Inputs!$E$9*(1+Inputs!$E$10)^(D14-Inputs!$E$8))*Inputs!$E$12)</f>
        <v>1154594.304</v>
      </c>
      <c r="K14" s="267"/>
      <c r="L14" s="266">
        <f>IF(Inputs!K$49=3,((Inputs!$E$9*(1+Inputs!$E$10)^(D14-Inputs!$E$8))*Inputs!$E$11+(Inputs!$E$9*(1+Inputs!$E$10)^(D14-Inputs!$E$8))*Inputs!$E$12+(Inputs!$E$9*(1+Inputs!$E$10)^(D14-Inputs!$E$8))*Inputs!$E$13),(Inputs!$E$9*(1+Inputs!$E$10)^(D14-Inputs!$E$8))*Inputs!$E$11+(Inputs!$E$9*(1+Inputs!$E$10)^(D14-Inputs!$E$8))*Inputs!$E$12)</f>
        <v>1154594.304</v>
      </c>
      <c r="M14" s="251"/>
      <c r="N14" s="251"/>
    </row>
    <row r="15" spans="2:15" ht="15.75" customHeight="1" x14ac:dyDescent="0.25">
      <c r="B15" s="256"/>
      <c r="C15" s="256"/>
      <c r="D15" s="255">
        <f>Inputs!$E$8+4</f>
        <v>2030</v>
      </c>
      <c r="E15" s="254"/>
      <c r="F15" s="266">
        <f>IF(Inputs!E$49=3,((Inputs!$E$9*(1+Inputs!$E$10)^(D15-Inputs!$E$8))*Inputs!$E$11+(Inputs!$E$9*(1+Inputs!$E$10)^(D15-Inputs!$E$8))*Inputs!$E$12+(Inputs!$E$9*(1+Inputs!$E$10)^(D15-Inputs!$E$8))*Inputs!$E$13),(Inputs!$E$9*(1+Inputs!$E$10)^(D15-Inputs!$E$8))*Inputs!$E$11+(Inputs!$E$9*(1+Inputs!$E$10)^(D15-Inputs!$E$8))*Inputs!$E$12)</f>
        <v>809659.25567999994</v>
      </c>
      <c r="G15" s="267"/>
      <c r="H15" s="266">
        <f>IF(Inputs!G$49=3,((Inputs!$E$9*(1+Inputs!$E$10)^(D15-Inputs!$E$8))*Inputs!$E$11+(Inputs!$E$9*(1+Inputs!$E$10)^(D15-Inputs!$E$8))*Inputs!$E$12+(Inputs!$E$9*(1+Inputs!$E$10)^(D15-Inputs!$E$8))*Inputs!$E$13),(Inputs!$E$9*(1+Inputs!$E$10)^(D15-Inputs!$E$8))*Inputs!$E$11+(Inputs!$E$9*(1+Inputs!$E$10)^(D15-Inputs!$E$8))*Inputs!$E$12)</f>
        <v>1177686.1900799999</v>
      </c>
      <c r="I15" s="267"/>
      <c r="J15" s="266">
        <f>IF(Inputs!I$49=3,((Inputs!$E$9*(1+Inputs!$E$10)^(D15-Inputs!$E$8))*Inputs!$E$11+(Inputs!$E$9*(1+Inputs!$E$10)^(D15-Inputs!$E$8))*Inputs!$E$12+(Inputs!$E$9*(1+Inputs!$E$10)^(D15-Inputs!$E$8))*Inputs!$E$13),(Inputs!$E$9*(1+Inputs!$E$10)^(D15-Inputs!$E$8))*Inputs!$E$11+(Inputs!$E$9*(1+Inputs!$E$10)^(D15-Inputs!$E$8))*Inputs!$E$12)</f>
        <v>1177686.1900799999</v>
      </c>
      <c r="K15" s="267"/>
      <c r="L15" s="266">
        <f>IF(Inputs!K$49=3,((Inputs!$E$9*(1+Inputs!$E$10)^(D15-Inputs!$E$8))*Inputs!$E$11+(Inputs!$E$9*(1+Inputs!$E$10)^(D15-Inputs!$E$8))*Inputs!$E$12+(Inputs!$E$9*(1+Inputs!$E$10)^(D15-Inputs!$E$8))*Inputs!$E$13),(Inputs!$E$9*(1+Inputs!$E$10)^(D15-Inputs!$E$8))*Inputs!$E$11+(Inputs!$E$9*(1+Inputs!$E$10)^(D15-Inputs!$E$8))*Inputs!$E$12)</f>
        <v>1177686.1900799999</v>
      </c>
      <c r="M15" s="251"/>
      <c r="N15" s="251"/>
    </row>
    <row r="16" spans="2:15" ht="15" customHeight="1" x14ac:dyDescent="0.25">
      <c r="B16" s="256"/>
      <c r="C16" s="256"/>
      <c r="D16" s="264"/>
      <c r="E16" s="254"/>
      <c r="F16" s="273"/>
      <c r="G16" s="267"/>
      <c r="H16" s="273"/>
      <c r="I16" s="267"/>
      <c r="J16" s="273"/>
      <c r="K16" s="267"/>
      <c r="L16" s="273"/>
      <c r="M16" s="251"/>
      <c r="N16" s="251"/>
    </row>
    <row r="17" spans="2:14" ht="42" customHeight="1" x14ac:dyDescent="0.25">
      <c r="B17" s="256"/>
      <c r="C17" s="256"/>
      <c r="D17" s="410" t="s">
        <v>92</v>
      </c>
      <c r="E17" s="410"/>
      <c r="F17" s="410"/>
      <c r="G17" s="410"/>
      <c r="H17" s="410"/>
      <c r="I17" s="410"/>
      <c r="J17" s="410"/>
      <c r="K17" s="410"/>
      <c r="L17" s="410"/>
      <c r="M17" s="251"/>
      <c r="N17" s="251"/>
    </row>
    <row r="18" spans="2:14" ht="8.1" customHeight="1" x14ac:dyDescent="0.25">
      <c r="B18" s="256"/>
      <c r="C18" s="256"/>
      <c r="D18" s="261"/>
      <c r="E18" s="261"/>
      <c r="F18" s="261"/>
      <c r="G18" s="261"/>
      <c r="H18" s="261"/>
      <c r="I18" s="261"/>
      <c r="J18" s="261"/>
      <c r="K18" s="261"/>
      <c r="L18" s="261"/>
      <c r="M18" s="251"/>
      <c r="N18" s="251"/>
    </row>
    <row r="19" spans="2:14" ht="35.1" customHeight="1" x14ac:dyDescent="0.25">
      <c r="B19" s="256"/>
      <c r="C19" s="256"/>
      <c r="D19" s="277" t="s">
        <v>32</v>
      </c>
      <c r="E19" s="276"/>
      <c r="F19" s="274">
        <f>SUM(F20:F24)</f>
        <v>4257229.4385866672</v>
      </c>
      <c r="G19" s="275"/>
      <c r="H19" s="274">
        <f>SUM(H20:H24)</f>
        <v>6317821.2220731918</v>
      </c>
      <c r="I19" s="275"/>
      <c r="J19" s="274">
        <f>SUM(J20:J24)</f>
        <v>6254417.0149726309</v>
      </c>
      <c r="K19" s="275"/>
      <c r="L19" s="274">
        <f>SUM(L20:L24)</f>
        <v>6192333.7288533337</v>
      </c>
      <c r="M19" s="251"/>
      <c r="N19" s="251"/>
    </row>
    <row r="20" spans="2:14" ht="15.6" x14ac:dyDescent="0.25">
      <c r="B20" s="256"/>
      <c r="C20" s="256"/>
      <c r="D20" s="255">
        <f>Inputs!$E$8</f>
        <v>2026</v>
      </c>
      <c r="E20" s="254"/>
      <c r="F20" s="266">
        <f>F11*Inputs!E$53+F11*Inputs!E$56</f>
        <v>966166.66666666674</v>
      </c>
      <c r="G20" s="267"/>
      <c r="H20" s="266">
        <f>H11*Inputs!G$53+H11*Inputs!G$56</f>
        <v>1429446.8085106383</v>
      </c>
      <c r="I20" s="267"/>
      <c r="J20" s="266">
        <f>J11*Inputs!I$53+J11*Inputs!I$56</f>
        <v>1417263.1578947369</v>
      </c>
      <c r="K20" s="267"/>
      <c r="L20" s="266">
        <f>L11*Inputs!K$53+L11*Inputs!K$56</f>
        <v>1405333.3333333335</v>
      </c>
      <c r="M20" s="251"/>
      <c r="N20" s="251"/>
    </row>
    <row r="21" spans="2:14" ht="15.6" x14ac:dyDescent="0.25">
      <c r="B21" s="256"/>
      <c r="C21" s="256"/>
      <c r="D21" s="255">
        <f>Inputs!$E$8+1</f>
        <v>2027</v>
      </c>
      <c r="E21" s="254"/>
      <c r="F21" s="266">
        <f>F12*Inputs!E$53+(F12*Inputs!E$56-Results!F11*Inputs!E$56)</f>
        <v>798490</v>
      </c>
      <c r="G21" s="267"/>
      <c r="H21" s="266">
        <f>H12*Inputs!G$53+(H12*Inputs!G$56-Results!H11*Inputs!G$56)</f>
        <v>1186035.744680851</v>
      </c>
      <c r="I21" s="267"/>
      <c r="J21" s="266">
        <f>J12*Inputs!I$53+(J12*Inputs!I$56-Results!J11*Inputs!I$56)</f>
        <v>1173608.4210526315</v>
      </c>
      <c r="K21" s="267"/>
      <c r="L21" s="266">
        <f>L12*Inputs!K$53+(L12*Inputs!K$56-Results!L11*Inputs!K$56)</f>
        <v>1161440</v>
      </c>
      <c r="M21" s="251"/>
      <c r="N21" s="251"/>
    </row>
    <row r="22" spans="2:14" ht="15.6" x14ac:dyDescent="0.25">
      <c r="B22" s="256"/>
      <c r="C22" s="256"/>
      <c r="D22" s="255">
        <f>Inputs!$E$8+2</f>
        <v>2028</v>
      </c>
      <c r="E22" s="254"/>
      <c r="F22" s="266">
        <f>F13*Inputs!E$53+(F13*Inputs!E$56-Results!F12*Inputs!E$56)</f>
        <v>814459.8</v>
      </c>
      <c r="G22" s="267"/>
      <c r="H22" s="266">
        <f>H13*Inputs!G$53+(H13*Inputs!G$56-Results!H12*Inputs!G$56)</f>
        <v>1209756.459574468</v>
      </c>
      <c r="I22" s="267"/>
      <c r="J22" s="266">
        <f>J13*Inputs!I$53+(J13*Inputs!I$56-Results!J12*Inputs!I$56)</f>
        <v>1197080.5894736841</v>
      </c>
      <c r="K22" s="267"/>
      <c r="L22" s="266">
        <f>L13*Inputs!K$53+(L13*Inputs!K$56-Results!L12*Inputs!K$56)</f>
        <v>1184668.8</v>
      </c>
      <c r="M22" s="251"/>
      <c r="N22" s="251"/>
    </row>
    <row r="23" spans="2:14" ht="15.6" x14ac:dyDescent="0.25">
      <c r="B23" s="256"/>
      <c r="C23" s="256"/>
      <c r="D23" s="255">
        <f>Inputs!$E$8+3</f>
        <v>2029</v>
      </c>
      <c r="E23" s="254"/>
      <c r="F23" s="266">
        <f>F14*Inputs!E$53+(F14*Inputs!E$56-Results!F13*Inputs!E$56)</f>
        <v>830748.99600000004</v>
      </c>
      <c r="G23" s="267"/>
      <c r="H23" s="266">
        <f>H14*Inputs!G$53+(H14*Inputs!G$56-Results!H13*Inputs!G$56)</f>
        <v>1233951.5887659574</v>
      </c>
      <c r="I23" s="267"/>
      <c r="J23" s="266">
        <f>J14*Inputs!I$53+(J14*Inputs!I$56-Results!J13*Inputs!I$56)</f>
        <v>1221022.2012631579</v>
      </c>
      <c r="K23" s="267"/>
      <c r="L23" s="266">
        <f>L14*Inputs!K$53+(L14*Inputs!K$56-Results!L13*Inputs!K$56)</f>
        <v>1208362.1760000002</v>
      </c>
      <c r="M23" s="251"/>
      <c r="N23" s="251"/>
    </row>
    <row r="24" spans="2:14" ht="15.75" customHeight="1" x14ac:dyDescent="0.25">
      <c r="B24" s="256"/>
      <c r="C24" s="256"/>
      <c r="D24" s="255">
        <f>Inputs!$E$8+4</f>
        <v>2030</v>
      </c>
      <c r="E24" s="254"/>
      <c r="F24" s="266">
        <f>F15*Inputs!E$53+(F15*Inputs!E$56-Results!F14*Inputs!E$56)</f>
        <v>847363.97592</v>
      </c>
      <c r="G24" s="267"/>
      <c r="H24" s="266">
        <f>H15*Inputs!G$53+(H15*Inputs!G$56-Results!H14*Inputs!G$56)</f>
        <v>1258630.6205412764</v>
      </c>
      <c r="I24" s="267"/>
      <c r="J24" s="266">
        <f>J15*Inputs!I$53+(J15*Inputs!I$56-Results!J14*Inputs!I$56)</f>
        <v>1245442.6452884208</v>
      </c>
      <c r="K24" s="267"/>
      <c r="L24" s="266">
        <f>L15*Inputs!K$53+(L15*Inputs!K$56-Results!L14*Inputs!K$56)</f>
        <v>1232529.4195199998</v>
      </c>
      <c r="M24" s="251"/>
      <c r="N24" s="251"/>
    </row>
    <row r="25" spans="2:14" ht="15" customHeight="1" x14ac:dyDescent="0.25">
      <c r="B25" s="256"/>
      <c r="C25" s="256"/>
      <c r="D25" s="264"/>
      <c r="E25" s="254"/>
      <c r="F25" s="273"/>
      <c r="G25" s="267"/>
      <c r="H25" s="273"/>
      <c r="I25" s="267"/>
      <c r="J25" s="273"/>
      <c r="K25" s="267"/>
      <c r="L25" s="273"/>
      <c r="M25" s="251"/>
      <c r="N25" s="251"/>
    </row>
    <row r="26" spans="2:14" s="270" customFormat="1" ht="42" customHeight="1" x14ac:dyDescent="0.25">
      <c r="B26" s="272"/>
      <c r="C26" s="272"/>
      <c r="D26" s="410" t="s">
        <v>91</v>
      </c>
      <c r="E26" s="410"/>
      <c r="F26" s="410"/>
      <c r="G26" s="410"/>
      <c r="H26" s="410"/>
      <c r="I26" s="410"/>
      <c r="J26" s="410"/>
      <c r="K26" s="410"/>
      <c r="L26" s="410"/>
      <c r="M26" s="271"/>
      <c r="N26" s="271"/>
    </row>
    <row r="27" spans="2:14" ht="8.1" customHeight="1" x14ac:dyDescent="0.25">
      <c r="B27" s="256"/>
      <c r="C27" s="256"/>
      <c r="D27" s="269"/>
      <c r="E27" s="261"/>
      <c r="F27" s="269"/>
      <c r="G27" s="261"/>
      <c r="H27" s="269"/>
      <c r="I27" s="261"/>
      <c r="J27" s="269"/>
      <c r="K27" s="261"/>
      <c r="L27" s="269"/>
      <c r="M27" s="268"/>
      <c r="N27" s="268"/>
    </row>
    <row r="28" spans="2:14" ht="15.6" x14ac:dyDescent="0.25">
      <c r="B28" s="256"/>
      <c r="C28" s="256"/>
      <c r="D28" s="255">
        <f>Inputs!$E$8</f>
        <v>2026</v>
      </c>
      <c r="E28" s="254"/>
      <c r="F28" s="266">
        <f>F20*Inputs!E$50</f>
        <v>11400766.666666668</v>
      </c>
      <c r="G28" s="267"/>
      <c r="H28" s="266">
        <f>H20*Inputs!G$50</f>
        <v>6003676.5957446815</v>
      </c>
      <c r="I28" s="267"/>
      <c r="J28" s="266">
        <f>J20*Inputs!I$50</f>
        <v>5952505.2631578948</v>
      </c>
      <c r="K28" s="267"/>
      <c r="L28" s="266">
        <f>L20*Inputs!K$50</f>
        <v>20096266.666666672</v>
      </c>
      <c r="M28" s="251"/>
      <c r="N28" s="251"/>
    </row>
    <row r="29" spans="2:14" ht="15.6" x14ac:dyDescent="0.25">
      <c r="B29" s="256"/>
      <c r="C29" s="256"/>
      <c r="D29" s="255">
        <f>Inputs!$E$8+1</f>
        <v>2027</v>
      </c>
      <c r="E29" s="254"/>
      <c r="F29" s="266">
        <f>F21*Inputs!E$50</f>
        <v>9422182</v>
      </c>
      <c r="G29" s="267"/>
      <c r="H29" s="266">
        <f>H21*Inputs!G$50</f>
        <v>4981350.1276595742</v>
      </c>
      <c r="I29" s="267"/>
      <c r="J29" s="266">
        <f>J21*Inputs!I$50</f>
        <v>4929155.3684210526</v>
      </c>
      <c r="K29" s="267"/>
      <c r="L29" s="266">
        <f>L21*Inputs!K$50</f>
        <v>16608592</v>
      </c>
      <c r="M29" s="251"/>
      <c r="N29" s="251"/>
    </row>
    <row r="30" spans="2:14" ht="15.6" x14ac:dyDescent="0.25">
      <c r="B30" s="256"/>
      <c r="C30" s="256"/>
      <c r="D30" s="255">
        <f>Inputs!$E$8+2</f>
        <v>2028</v>
      </c>
      <c r="E30" s="254"/>
      <c r="F30" s="266">
        <f>F22*Inputs!E$50</f>
        <v>9610625.6400000006</v>
      </c>
      <c r="G30" s="267"/>
      <c r="H30" s="266">
        <f>H22*Inputs!G$50</f>
        <v>5080977.1302127661</v>
      </c>
      <c r="I30" s="267"/>
      <c r="J30" s="266">
        <f>J22*Inputs!I$50</f>
        <v>5027738.4757894734</v>
      </c>
      <c r="K30" s="267"/>
      <c r="L30" s="266">
        <f>L22*Inputs!K$50</f>
        <v>16940763.84</v>
      </c>
      <c r="M30" s="251"/>
      <c r="N30" s="251"/>
    </row>
    <row r="31" spans="2:14" ht="15.6" x14ac:dyDescent="0.25">
      <c r="B31" s="256"/>
      <c r="C31" s="256"/>
      <c r="D31" s="255">
        <f>Inputs!$E$8+3</f>
        <v>2029</v>
      </c>
      <c r="E31" s="254"/>
      <c r="F31" s="266">
        <f>F23*Inputs!E$50</f>
        <v>9802838.1528000012</v>
      </c>
      <c r="G31" s="267"/>
      <c r="H31" s="266">
        <f>H23*Inputs!G$50</f>
        <v>5182596.6728170216</v>
      </c>
      <c r="I31" s="267"/>
      <c r="J31" s="266">
        <f>J23*Inputs!I$50</f>
        <v>5128293.2453052634</v>
      </c>
      <c r="K31" s="267"/>
      <c r="L31" s="266">
        <f>L23*Inputs!K$50</f>
        <v>17279579.116800003</v>
      </c>
      <c r="M31" s="251"/>
      <c r="N31" s="251"/>
    </row>
    <row r="32" spans="2:14" ht="15.6" x14ac:dyDescent="0.25">
      <c r="B32" s="256"/>
      <c r="C32" s="256"/>
      <c r="D32" s="255">
        <f>Inputs!$E$8+4</f>
        <v>2030</v>
      </c>
      <c r="E32" s="254"/>
      <c r="F32" s="266">
        <f>F24*Inputs!E$50</f>
        <v>9998894.915856</v>
      </c>
      <c r="G32" s="267"/>
      <c r="H32" s="266">
        <f>H24*Inputs!G$50</f>
        <v>5286248.6062733615</v>
      </c>
      <c r="I32" s="267"/>
      <c r="J32" s="266">
        <f>J24*Inputs!I$50</f>
        <v>5230859.1102113677</v>
      </c>
      <c r="K32" s="267"/>
      <c r="L32" s="266">
        <f>L24*Inputs!K$50</f>
        <v>17625170.699135996</v>
      </c>
      <c r="M32" s="251"/>
      <c r="N32" s="251"/>
    </row>
    <row r="33" spans="2:17" ht="15" customHeight="1" x14ac:dyDescent="0.25">
      <c r="B33" s="256"/>
      <c r="C33" s="256"/>
      <c r="D33" s="409"/>
      <c r="E33" s="409"/>
      <c r="F33" s="409"/>
      <c r="G33" s="409"/>
      <c r="H33" s="409"/>
      <c r="I33" s="409"/>
      <c r="J33" s="409"/>
      <c r="K33" s="409"/>
      <c r="L33" s="409"/>
      <c r="M33" s="265"/>
      <c r="N33" s="265"/>
    </row>
    <row r="34" spans="2:17" ht="40.200000000000003" customHeight="1" x14ac:dyDescent="0.25">
      <c r="B34" s="256"/>
      <c r="C34" s="414" t="s">
        <v>123</v>
      </c>
      <c r="D34" s="415"/>
      <c r="E34" s="415"/>
      <c r="F34" s="415"/>
      <c r="G34" s="415"/>
      <c r="H34" s="415"/>
      <c r="I34" s="415"/>
      <c r="J34" s="415"/>
      <c r="K34" s="415"/>
      <c r="L34" s="415"/>
      <c r="M34" s="415"/>
      <c r="N34" s="265"/>
    </row>
    <row r="35" spans="2:17" ht="15" customHeight="1" x14ac:dyDescent="0.25">
      <c r="B35" s="256"/>
      <c r="C35" s="256"/>
      <c r="D35" s="265"/>
      <c r="E35" s="265"/>
      <c r="F35" s="265"/>
      <c r="G35" s="265"/>
      <c r="H35" s="265"/>
      <c r="I35" s="265"/>
      <c r="J35" s="265"/>
      <c r="K35" s="265"/>
      <c r="L35" s="265"/>
      <c r="M35" s="265"/>
      <c r="N35" s="265"/>
    </row>
    <row r="36" spans="2:17" ht="41.1" customHeight="1" x14ac:dyDescent="0.25">
      <c r="B36" s="256"/>
      <c r="C36" s="256"/>
      <c r="D36" s="410" t="s">
        <v>97</v>
      </c>
      <c r="E36" s="410"/>
      <c r="F36" s="410"/>
      <c r="G36" s="410"/>
      <c r="H36" s="410"/>
      <c r="I36" s="410"/>
      <c r="J36" s="410"/>
      <c r="K36" s="410"/>
      <c r="L36" s="410"/>
      <c r="M36" s="251"/>
      <c r="N36" s="251"/>
    </row>
    <row r="37" spans="2:17" ht="8.1" customHeight="1" x14ac:dyDescent="0.25">
      <c r="B37" s="256"/>
      <c r="C37" s="256"/>
      <c r="D37" s="261"/>
      <c r="E37" s="261"/>
      <c r="F37" s="261"/>
      <c r="G37" s="261"/>
      <c r="H37" s="261"/>
      <c r="I37" s="261"/>
      <c r="J37" s="261"/>
      <c r="K37" s="261"/>
      <c r="L37" s="261"/>
      <c r="M37" s="251"/>
      <c r="N37" s="251"/>
    </row>
    <row r="38" spans="2:17" ht="35.1" customHeight="1" x14ac:dyDescent="0.25">
      <c r="B38" s="256"/>
      <c r="C38" s="256"/>
      <c r="D38" s="260" t="s">
        <v>32</v>
      </c>
      <c r="E38" s="259"/>
      <c r="F38" s="257">
        <f>SUM(F39:F43)</f>
        <v>984760.37056085351</v>
      </c>
      <c r="G38" s="258"/>
      <c r="H38" s="257">
        <f>SUM(H39:H43)</f>
        <v>965170.73548649671</v>
      </c>
      <c r="I38" s="258"/>
      <c r="J38" s="257">
        <f>SUM(J39:J43)</f>
        <v>955939.082932655</v>
      </c>
      <c r="K38" s="258"/>
      <c r="L38" s="257">
        <f>SUM(L39:L43)</f>
        <v>946899.75647368538</v>
      </c>
      <c r="M38" s="251"/>
      <c r="N38" s="251"/>
    </row>
    <row r="39" spans="2:17" ht="15.6" x14ac:dyDescent="0.25">
      <c r="B39" s="256"/>
      <c r="C39" s="256"/>
      <c r="D39" s="255">
        <f>Inputs!$E$8</f>
        <v>2026</v>
      </c>
      <c r="E39" s="254"/>
      <c r="F39" s="252">
        <f>F20*(Inputs!E43+Inputs!E43*Inputs!E$54+Inputs!E43*Inputs!E$55)+(F11/Inputs!E$58*Inputs!E$57)</f>
        <v>222405.33333333337</v>
      </c>
      <c r="G39" s="253"/>
      <c r="H39" s="252">
        <f>H20*(Inputs!G43+Inputs!G43*Inputs!G$54+Inputs!G43*Inputs!G$55)+(H11/Inputs!G$58*Inputs!G$57)</f>
        <v>216831.45531914895</v>
      </c>
      <c r="I39" s="253"/>
      <c r="J39" s="252">
        <f>J20*(Inputs!I43+Inputs!I43*Inputs!I$54+Inputs!I43*Inputs!I$55)+(J11/Inputs!I$58*Inputs!I$57)</f>
        <v>215057.51578947369</v>
      </c>
      <c r="K39" s="253"/>
      <c r="L39" s="252">
        <f>L20*(Inputs!K43+Inputs!K43*Inputs!K$54+Inputs!K43*Inputs!K$55)+(L11/Inputs!K$58*Inputs!K$57)</f>
        <v>213320.53333333335</v>
      </c>
      <c r="M39" s="251"/>
      <c r="N39" s="251"/>
    </row>
    <row r="40" spans="2:17" ht="15.6" x14ac:dyDescent="0.25">
      <c r="B40" s="256"/>
      <c r="C40" s="256"/>
      <c r="D40" s="255">
        <f>Inputs!$E$8+1</f>
        <v>2027</v>
      </c>
      <c r="E40" s="254"/>
      <c r="F40" s="252">
        <f>F21*(Inputs!E44+Inputs!E44*Inputs!E$54+Inputs!E44*Inputs!E$55)+(F12/Inputs!E$58*Inputs!E$57)</f>
        <v>184965.44000000003</v>
      </c>
      <c r="G40" s="253"/>
      <c r="H40" s="252">
        <f>H21*(Inputs!G44+Inputs!G44*Inputs!G$54+Inputs!G44*Inputs!G$55)+(H12/Inputs!G$58*Inputs!G$57)</f>
        <v>181564.8844255319</v>
      </c>
      <c r="I40" s="253"/>
      <c r="J40" s="252">
        <f>J21*(Inputs!I44+Inputs!I44*Inputs!I$54+Inputs!I44*Inputs!I$55)+(J12/Inputs!I$58*Inputs!I$57)</f>
        <v>179755.46610526313</v>
      </c>
      <c r="K40" s="253"/>
      <c r="L40" s="252">
        <f>L21*(Inputs!K44+Inputs!K44*Inputs!K$54+Inputs!K44*Inputs!K$55)+(L12/Inputs!K$58*Inputs!K$57)</f>
        <v>177983.74400000001</v>
      </c>
      <c r="M40" s="251"/>
      <c r="N40" s="251"/>
    </row>
    <row r="41" spans="2:17" ht="15.6" x14ac:dyDescent="0.25">
      <c r="B41" s="256"/>
      <c r="C41" s="256"/>
      <c r="D41" s="255">
        <f>Inputs!$E$8+2</f>
        <v>2028</v>
      </c>
      <c r="E41" s="254"/>
      <c r="F41" s="252">
        <f>F22*(Inputs!E45+Inputs!E45*Inputs!E$54+Inputs!E45*Inputs!E$55)+(F13/Inputs!E$58*Inputs!E$57)</f>
        <v>188664.74880000003</v>
      </c>
      <c r="G41" s="253"/>
      <c r="H41" s="252">
        <f>H22*(Inputs!G45+Inputs!G45*Inputs!G$54+Inputs!G45*Inputs!G$55)+(H13/Inputs!G$58*Inputs!G$57)</f>
        <v>185196.18211404255</v>
      </c>
      <c r="I41" s="253"/>
      <c r="J41" s="252">
        <f>J22*(Inputs!I45+Inputs!I45*Inputs!I$54+Inputs!I45*Inputs!I$55)+(J13/Inputs!I$58*Inputs!I$57)</f>
        <v>183350.5754273684</v>
      </c>
      <c r="K41" s="253"/>
      <c r="L41" s="252">
        <f>L22*(Inputs!K45+Inputs!K45*Inputs!K$54+Inputs!K45*Inputs!K$55)+(L13/Inputs!K$58*Inputs!K$57)</f>
        <v>181543.41888000001</v>
      </c>
      <c r="M41" s="251"/>
      <c r="N41" s="251"/>
    </row>
    <row r="42" spans="2:17" ht="15.6" x14ac:dyDescent="0.25">
      <c r="B42" s="256"/>
      <c r="C42" s="256"/>
      <c r="D42" s="255">
        <f>Inputs!$E$8+3</f>
        <v>2029</v>
      </c>
      <c r="E42" s="254"/>
      <c r="F42" s="252">
        <f>F23*(Inputs!E46+Inputs!E46*Inputs!E$54+Inputs!E46*Inputs!E$55)+(F14/Inputs!E$58*Inputs!E$57)</f>
        <v>192438.04377600003</v>
      </c>
      <c r="G42" s="253"/>
      <c r="H42" s="252">
        <f>H23*(Inputs!G46+Inputs!G46*Inputs!G$54+Inputs!G46*Inputs!G$55)+(H14/Inputs!G$58*Inputs!G$57)</f>
        <v>188900.10575632341</v>
      </c>
      <c r="I42" s="253"/>
      <c r="J42" s="252">
        <f>J23*(Inputs!I46+Inputs!I46*Inputs!I$54+Inputs!I46*Inputs!I$55)+(J14/Inputs!I$58*Inputs!I$57)</f>
        <v>187017.58693591578</v>
      </c>
      <c r="K42" s="253"/>
      <c r="L42" s="252">
        <f>L23*(Inputs!K46+Inputs!K46*Inputs!K$54+Inputs!K46*Inputs!K$55)+(L14/Inputs!K$58*Inputs!K$57)</f>
        <v>185174.28725760002</v>
      </c>
      <c r="M42" s="251"/>
      <c r="N42" s="251"/>
    </row>
    <row r="43" spans="2:17" ht="15.75" customHeight="1" x14ac:dyDescent="0.25">
      <c r="B43" s="256"/>
      <c r="C43" s="256"/>
      <c r="D43" s="255">
        <f>Inputs!$E$8+4</f>
        <v>2030</v>
      </c>
      <c r="E43" s="254"/>
      <c r="F43" s="252">
        <f>F24*(Inputs!E47+Inputs!E47*Inputs!E$54+Inputs!E47*Inputs!E$55)+(F15/Inputs!E$58*Inputs!E$57)</f>
        <v>196286.80465152001</v>
      </c>
      <c r="G43" s="253"/>
      <c r="H43" s="252">
        <f>H24*(Inputs!G47+Inputs!G47*Inputs!G$54+Inputs!G47*Inputs!G$55)+(H15/Inputs!G$58*Inputs!G$57)</f>
        <v>192678.10787144984</v>
      </c>
      <c r="I43" s="253"/>
      <c r="J43" s="252">
        <f>J24*(Inputs!I47+Inputs!I47*Inputs!I$54+Inputs!I47*Inputs!I$55)+(J15/Inputs!I$58*Inputs!I$57)</f>
        <v>190757.93867463409</v>
      </c>
      <c r="K43" s="253"/>
      <c r="L43" s="252">
        <f>L24*(Inputs!K47+Inputs!K47*Inputs!K$54+Inputs!K47*Inputs!K$55)+(L15/Inputs!K$58*Inputs!K$57)</f>
        <v>188877.77300275196</v>
      </c>
      <c r="M43" s="251"/>
      <c r="N43" s="251"/>
    </row>
    <row r="44" spans="2:17" ht="15" customHeight="1" x14ac:dyDescent="0.25">
      <c r="B44" s="256"/>
      <c r="C44" s="256"/>
      <c r="D44" s="264"/>
      <c r="E44" s="254"/>
      <c r="F44" s="262"/>
      <c r="G44" s="263"/>
      <c r="H44" s="262"/>
      <c r="I44" s="263"/>
      <c r="J44" s="262"/>
      <c r="K44" s="263"/>
      <c r="L44" s="262"/>
      <c r="M44" s="251"/>
      <c r="N44" s="251"/>
    </row>
    <row r="45" spans="2:17" ht="42" customHeight="1" x14ac:dyDescent="0.25">
      <c r="B45" s="256"/>
      <c r="C45" s="256"/>
      <c r="D45" s="410" t="s">
        <v>98</v>
      </c>
      <c r="E45" s="410"/>
      <c r="F45" s="410"/>
      <c r="G45" s="410"/>
      <c r="H45" s="410"/>
      <c r="I45" s="410"/>
      <c r="J45" s="410"/>
      <c r="K45" s="410"/>
      <c r="L45" s="410"/>
      <c r="M45" s="251"/>
      <c r="N45" s="251"/>
    </row>
    <row r="46" spans="2:17" ht="8.1" customHeight="1" x14ac:dyDescent="0.25">
      <c r="B46" s="256"/>
      <c r="C46" s="256"/>
      <c r="D46" s="261"/>
      <c r="E46" s="261"/>
      <c r="F46" s="261"/>
      <c r="G46" s="261"/>
      <c r="H46" s="261"/>
      <c r="I46" s="261"/>
      <c r="J46" s="261"/>
      <c r="K46" s="261"/>
      <c r="L46" s="261"/>
      <c r="M46" s="251"/>
      <c r="N46" s="251"/>
    </row>
    <row r="47" spans="2:17" ht="35.1" customHeight="1" x14ac:dyDescent="0.25">
      <c r="B47" s="256"/>
      <c r="C47" s="256"/>
      <c r="D47" s="260" t="s">
        <v>32</v>
      </c>
      <c r="E47" s="259"/>
      <c r="F47" s="257">
        <f>SUM(F48:F52)</f>
        <v>4877382.4102408532</v>
      </c>
      <c r="G47" s="258"/>
      <c r="H47" s="257">
        <f>SUM(H48:H52)</f>
        <v>6627166.4295664961</v>
      </c>
      <c r="I47" s="258"/>
      <c r="J47" s="257">
        <f>SUM(J48:J52)</f>
        <v>6617934.7770126555</v>
      </c>
      <c r="K47" s="258"/>
      <c r="L47" s="257">
        <f>SUM(L48:L52)</f>
        <v>6608895.4505536854</v>
      </c>
      <c r="M47" s="251"/>
      <c r="N47" s="251"/>
    </row>
    <row r="48" spans="2:17" ht="15.6" x14ac:dyDescent="0.25">
      <c r="B48" s="256"/>
      <c r="C48" s="256"/>
      <c r="D48" s="255">
        <f>Inputs!$E$8</f>
        <v>2026</v>
      </c>
      <c r="E48" s="254"/>
      <c r="F48" s="252">
        <f>F39+(F11*Inputs!E$63)+Inputs!E62</f>
        <v>970405.33333333337</v>
      </c>
      <c r="G48" s="253"/>
      <c r="H48" s="252">
        <f>H39+(H11*Inputs!G$63)+Inputs!G62</f>
        <v>1304831.455319149</v>
      </c>
      <c r="I48" s="253"/>
      <c r="J48" s="252">
        <f>J39+(J11*Inputs!I$63)+Inputs!I62</f>
        <v>1303057.5157894737</v>
      </c>
      <c r="K48" s="253"/>
      <c r="L48" s="252">
        <f>L39+(L11*Inputs!K$63)+Inputs!K62</f>
        <v>1301320.5333333334</v>
      </c>
      <c r="M48" s="251"/>
      <c r="N48" s="251"/>
      <c r="O48" s="288"/>
      <c r="P48" s="288"/>
      <c r="Q48" s="288"/>
    </row>
    <row r="49" spans="2:14" ht="15.6" x14ac:dyDescent="0.25">
      <c r="B49" s="256"/>
      <c r="C49" s="256"/>
      <c r="D49" s="255">
        <f>Inputs!$E$8+1</f>
        <v>2027</v>
      </c>
      <c r="E49" s="254"/>
      <c r="F49" s="252">
        <f>F40+F12*Inputs!E$63</f>
        <v>947925.44000000006</v>
      </c>
      <c r="G49" s="253"/>
      <c r="H49" s="252">
        <f>H40+H12*Inputs!G$63</f>
        <v>1291324.8844255318</v>
      </c>
      <c r="I49" s="253"/>
      <c r="J49" s="252">
        <f>J40+J12*Inputs!I$63</f>
        <v>1289515.4661052632</v>
      </c>
      <c r="K49" s="253"/>
      <c r="L49" s="252">
        <f>L40+L12*Inputs!K63</f>
        <v>1287743.7439999999</v>
      </c>
      <c r="M49" s="251"/>
      <c r="N49" s="251"/>
    </row>
    <row r="50" spans="2:14" ht="15.6" x14ac:dyDescent="0.25">
      <c r="B50" s="256"/>
      <c r="C50" s="256"/>
      <c r="D50" s="255">
        <f>Inputs!$E$8+2</f>
        <v>2028</v>
      </c>
      <c r="E50" s="254"/>
      <c r="F50" s="252">
        <f>F41+F13*Inputs!E$63</f>
        <v>966883.94880000001</v>
      </c>
      <c r="G50" s="253"/>
      <c r="H50" s="252">
        <f>H41+H13*Inputs!G$63</f>
        <v>1317151.3821140425</v>
      </c>
      <c r="I50" s="253"/>
      <c r="J50" s="252">
        <f>J41+J13*Inputs!I$63</f>
        <v>1315305.7754273685</v>
      </c>
      <c r="K50" s="253"/>
      <c r="L50" s="252">
        <f>L41+L13*Inputs!K63</f>
        <v>1313498.61888</v>
      </c>
      <c r="M50" s="251"/>
      <c r="N50" s="251"/>
    </row>
    <row r="51" spans="2:14" ht="15.6" x14ac:dyDescent="0.25">
      <c r="B51" s="256"/>
      <c r="C51" s="256"/>
      <c r="D51" s="255">
        <f>Inputs!$E$8+3</f>
        <v>2029</v>
      </c>
      <c r="E51" s="254"/>
      <c r="F51" s="252">
        <f>F42+F14*Inputs!E$63</f>
        <v>986221.62777599995</v>
      </c>
      <c r="G51" s="253"/>
      <c r="H51" s="252">
        <f>H42+H14*Inputs!G$63</f>
        <v>1343494.4097563233</v>
      </c>
      <c r="I51" s="253"/>
      <c r="J51" s="252">
        <f>J42+J14*Inputs!I$63</f>
        <v>1341611.8909359158</v>
      </c>
      <c r="K51" s="253"/>
      <c r="L51" s="252">
        <f>L42+L14*Inputs!K63</f>
        <v>1339768.5912576001</v>
      </c>
      <c r="M51" s="251"/>
      <c r="N51" s="251"/>
    </row>
    <row r="52" spans="2:14" ht="15.6" x14ac:dyDescent="0.25">
      <c r="B52" s="256"/>
      <c r="C52" s="256"/>
      <c r="D52" s="255">
        <f>Inputs!$E$8+4</f>
        <v>2030</v>
      </c>
      <c r="E52" s="254"/>
      <c r="F52" s="252">
        <f>F43+F15*Inputs!E$63</f>
        <v>1005946.0603315199</v>
      </c>
      <c r="G52" s="253"/>
      <c r="H52" s="252">
        <f>H43+H15*Inputs!G$63</f>
        <v>1370364.2979514496</v>
      </c>
      <c r="I52" s="253"/>
      <c r="J52" s="252">
        <f>J43+J15*Inputs!I$63</f>
        <v>1368444.1287546339</v>
      </c>
      <c r="K52" s="253"/>
      <c r="L52" s="252">
        <f>L43+L15*Inputs!K63</f>
        <v>1366563.9630827517</v>
      </c>
      <c r="M52" s="251"/>
      <c r="N52" s="251"/>
    </row>
    <row r="53" spans="2:14" ht="15" customHeight="1" x14ac:dyDescent="0.25">
      <c r="B53" s="251"/>
      <c r="C53" s="251"/>
      <c r="D53" s="251"/>
      <c r="E53" s="251"/>
      <c r="F53" s="251"/>
      <c r="G53" s="251"/>
      <c r="H53" s="251"/>
      <c r="I53" s="251"/>
      <c r="J53" s="251"/>
      <c r="K53" s="251"/>
      <c r="L53" s="251"/>
      <c r="M53" s="251"/>
      <c r="N53" s="251"/>
    </row>
    <row r="54" spans="2:14" ht="40.200000000000003" customHeight="1" x14ac:dyDescent="0.25">
      <c r="B54" s="251"/>
      <c r="C54" s="416" t="s">
        <v>124</v>
      </c>
      <c r="D54" s="417"/>
      <c r="E54" s="417"/>
      <c r="F54" s="417"/>
      <c r="G54" s="417"/>
      <c r="H54" s="417"/>
      <c r="I54" s="417"/>
      <c r="J54" s="417"/>
      <c r="K54" s="417"/>
      <c r="L54" s="417"/>
      <c r="M54" s="417"/>
      <c r="N54" s="251"/>
    </row>
    <row r="55" spans="2:14" ht="15" customHeight="1" x14ac:dyDescent="0.25">
      <c r="B55" s="251"/>
      <c r="C55" s="251"/>
      <c r="D55" s="251"/>
      <c r="E55" s="251"/>
      <c r="F55" s="251"/>
      <c r="G55" s="251"/>
      <c r="H55" s="251"/>
      <c r="I55" s="251"/>
      <c r="J55" s="251"/>
      <c r="K55" s="251"/>
      <c r="L55" s="251"/>
      <c r="M55" s="251"/>
      <c r="N55" s="251"/>
    </row>
    <row r="56" spans="2:14" ht="42" customHeight="1" x14ac:dyDescent="0.25">
      <c r="B56" s="256"/>
      <c r="C56" s="256"/>
      <c r="D56" s="407" t="s">
        <v>99</v>
      </c>
      <c r="E56" s="407"/>
      <c r="F56" s="407"/>
      <c r="G56" s="407"/>
      <c r="H56" s="407"/>
      <c r="I56" s="407"/>
      <c r="J56" s="407"/>
      <c r="K56" s="407"/>
      <c r="L56" s="407"/>
      <c r="M56" s="251"/>
      <c r="N56" s="251"/>
    </row>
    <row r="57" spans="2:14" ht="15.6" x14ac:dyDescent="0.25">
      <c r="B57" s="256"/>
      <c r="C57" s="256"/>
      <c r="D57" s="261"/>
      <c r="E57" s="261"/>
      <c r="F57" s="261"/>
      <c r="G57" s="261"/>
      <c r="H57" s="261"/>
      <c r="I57" s="261"/>
      <c r="J57" s="261"/>
      <c r="K57" s="261"/>
      <c r="L57" s="261"/>
      <c r="M57" s="251"/>
      <c r="N57" s="251"/>
    </row>
    <row r="58" spans="2:14" ht="31.2" x14ac:dyDescent="0.25">
      <c r="B58" s="256"/>
      <c r="C58" s="256"/>
      <c r="D58" s="260" t="s">
        <v>32</v>
      </c>
      <c r="E58" s="259"/>
      <c r="F58" s="257">
        <f>SUM(F59:F63)</f>
        <v>9647479.0884637423</v>
      </c>
      <c r="G58" s="258"/>
      <c r="H58" s="257">
        <f>SUM(H59:H63)</f>
        <v>4998467.8036580225</v>
      </c>
      <c r="I58" s="258"/>
      <c r="J58" s="257">
        <f>SUM(J59:J63)</f>
        <v>8100985.0808373895</v>
      </c>
      <c r="K58" s="258"/>
      <c r="L58" s="257">
        <f>SUM(L59:L63)</f>
        <v>5593626.9866052279</v>
      </c>
      <c r="M58" s="251"/>
      <c r="N58" s="251"/>
    </row>
    <row r="59" spans="2:14" ht="15.6" x14ac:dyDescent="0.25">
      <c r="B59" s="256"/>
      <c r="C59" s="256"/>
      <c r="D59" s="255">
        <f>Inputs!$E$8</f>
        <v>2026</v>
      </c>
      <c r="E59" s="254"/>
      <c r="F59" s="252">
        <f>F20*(Inputs!E36+Inputs!E36*Inputs!E$54+Inputs!E36*Inputs!E$55)+(F11/Inputs!E$58*Inputs!E$57)</f>
        <v>2213481.6</v>
      </c>
      <c r="G59" s="253"/>
      <c r="H59" s="252">
        <f>H20*(Inputs!G36+Inputs!G36*Inputs!G$54+Inputs!G36*Inputs!G$55)+(H11/Inputs!G$58*Inputs!G$57)</f>
        <v>1129390.2978723405</v>
      </c>
      <c r="I59" s="253"/>
      <c r="J59" s="252">
        <f>J20*(Inputs!I36+Inputs!I36*Inputs!I$54+Inputs!I36*Inputs!I$55)+(J11/Inputs!I$58*Inputs!I$57)</f>
        <v>1834138.9473684211</v>
      </c>
      <c r="K59" s="253"/>
      <c r="L59" s="252">
        <f>L20*(Inputs!K36+Inputs!K36*Inputs!K$54+Inputs!K36*Inputs!K$55)+(L11/Inputs!K$58*Inputs!K$57)</f>
        <v>1267882.666666667</v>
      </c>
      <c r="M59" s="251"/>
      <c r="N59" s="251"/>
    </row>
    <row r="60" spans="2:14" ht="15.6" x14ac:dyDescent="0.25">
      <c r="B60" s="256"/>
      <c r="C60" s="256"/>
      <c r="D60" s="255">
        <f>Inputs!$E$8+1</f>
        <v>2027</v>
      </c>
      <c r="E60" s="254"/>
      <c r="F60" s="252">
        <f>F21*(Inputs!E37+Inputs!E37*Inputs!E$54+Inputs!E37*Inputs!E$55)+(F12/Inputs!E$58*Inputs!E$57)</f>
        <v>1803664.3679999996</v>
      </c>
      <c r="G60" s="253"/>
      <c r="H60" s="252">
        <f>H21*(Inputs!G37+Inputs!G37*Inputs!G$54+Inputs!G37*Inputs!G$55)+(H12/Inputs!G$58*Inputs!G$57)</f>
        <v>938730.10382978723</v>
      </c>
      <c r="I60" s="253"/>
      <c r="J60" s="252">
        <f>J21*(Inputs!I37+Inputs!I37*Inputs!I$54+Inputs!I37*Inputs!I$55)+(J12/Inputs!I$58*Inputs!I$57)</f>
        <v>1520485.7263157894</v>
      </c>
      <c r="K60" s="253"/>
      <c r="L60" s="252">
        <f>L21*(Inputs!K37+Inputs!K37*Inputs!K$54+Inputs!K37*Inputs!K$55)+(L12/Inputs!K$58*Inputs!K$57)</f>
        <v>1049528.3200000001</v>
      </c>
      <c r="M60" s="251"/>
      <c r="N60" s="251"/>
    </row>
    <row r="61" spans="2:14" ht="15.6" x14ac:dyDescent="0.25">
      <c r="B61" s="256"/>
      <c r="C61" s="256"/>
      <c r="D61" s="255">
        <f>Inputs!$E$8+2</f>
        <v>2028</v>
      </c>
      <c r="E61" s="254"/>
      <c r="F61" s="252">
        <f>F22*(Inputs!E38+Inputs!E38*Inputs!E$54+Inputs!E38*Inputs!E$55)+(F13/Inputs!E$58*Inputs!E$57)</f>
        <v>1839737.6553599995</v>
      </c>
      <c r="G61" s="253"/>
      <c r="H61" s="252">
        <f>H22*(Inputs!G38+Inputs!G38*Inputs!G$54+Inputs!G38*Inputs!G$55)+(H13/Inputs!G$58*Inputs!G$57)</f>
        <v>957504.70590638288</v>
      </c>
      <c r="I61" s="253"/>
      <c r="J61" s="252">
        <f>J22*(Inputs!I38+Inputs!I38*Inputs!I$54+Inputs!I38*Inputs!I$55)+(J13/Inputs!I$58*Inputs!I$57)</f>
        <v>1550895.4408421051</v>
      </c>
      <c r="K61" s="253"/>
      <c r="L61" s="252">
        <f>L22*(Inputs!K38+Inputs!K38*Inputs!K$54+Inputs!K38*Inputs!K$55)+(L13/Inputs!K$58*Inputs!K$57)</f>
        <v>1070518.8864000002</v>
      </c>
      <c r="M61" s="251"/>
      <c r="N61" s="251"/>
    </row>
    <row r="62" spans="2:14" ht="15.6" x14ac:dyDescent="0.25">
      <c r="B62" s="256"/>
      <c r="C62" s="256"/>
      <c r="D62" s="255">
        <f>Inputs!$E$8+3</f>
        <v>2029</v>
      </c>
      <c r="E62" s="254"/>
      <c r="F62" s="252">
        <f>F23*(Inputs!E39+Inputs!E39*Inputs!E$54+Inputs!E39*Inputs!E$55)+(F14/Inputs!E$58*Inputs!E$57)</f>
        <v>1876532.4084671994</v>
      </c>
      <c r="G62" s="253"/>
      <c r="H62" s="252">
        <f>H23*(Inputs!G39+Inputs!G39*Inputs!G$54+Inputs!G39*Inputs!G$55)+(H14/Inputs!G$58*Inputs!G$57)</f>
        <v>976654.80002451059</v>
      </c>
      <c r="I62" s="253"/>
      <c r="J62" s="252">
        <f>J23*(Inputs!I39+Inputs!I39*Inputs!I$54+Inputs!I39*Inputs!I$55)+(J14/Inputs!I$58*Inputs!I$57)</f>
        <v>1581913.3496589474</v>
      </c>
      <c r="K62" s="253"/>
      <c r="L62" s="252">
        <f>L23*(Inputs!K39+Inputs!K39*Inputs!K$54+Inputs!K39*Inputs!K$55)+(L14/Inputs!K$58*Inputs!K$57)</f>
        <v>1091929.2641280002</v>
      </c>
      <c r="M62" s="251"/>
      <c r="N62" s="251"/>
    </row>
    <row r="63" spans="2:14" ht="15.6" x14ac:dyDescent="0.25">
      <c r="B63" s="256"/>
      <c r="C63" s="256"/>
      <c r="D63" s="255">
        <f>Inputs!$E$8+4</f>
        <v>2030</v>
      </c>
      <c r="E63" s="254"/>
      <c r="F63" s="252">
        <f>F24*(Inputs!E40+Inputs!E40*Inputs!E$54+Inputs!E40*Inputs!E$55)+(F15/Inputs!E$58*Inputs!E$57)</f>
        <v>1914063.0566365435</v>
      </c>
      <c r="G63" s="253"/>
      <c r="H63" s="252">
        <f>H24*(Inputs!G40+Inputs!G40*Inputs!G$54+Inputs!G40*Inputs!G$55)+(H15/Inputs!G$58*Inputs!G$57)</f>
        <v>996187.89602500072</v>
      </c>
      <c r="I63" s="253"/>
      <c r="J63" s="252">
        <f>J24*(Inputs!I40+Inputs!I40*Inputs!I$54+Inputs!I40*Inputs!I$55)+(J15/Inputs!I$58*Inputs!I$57)</f>
        <v>1613551.6166521262</v>
      </c>
      <c r="K63" s="253"/>
      <c r="L63" s="252">
        <f>L24*(Inputs!K40+Inputs!K40*Inputs!K$54+Inputs!K40*Inputs!K$55)+(L15/Inputs!K$58*Inputs!K$57)</f>
        <v>1113767.84941056</v>
      </c>
      <c r="M63" s="251"/>
      <c r="N63" s="251"/>
    </row>
    <row r="64" spans="2:14" ht="15.6" x14ac:dyDescent="0.25">
      <c r="B64" s="256"/>
      <c r="C64" s="256"/>
      <c r="D64" s="264"/>
      <c r="E64" s="254"/>
      <c r="F64" s="262"/>
      <c r="G64" s="263"/>
      <c r="H64" s="262"/>
      <c r="I64" s="263"/>
      <c r="J64" s="262"/>
      <c r="K64" s="263"/>
      <c r="L64" s="262"/>
      <c r="M64" s="251"/>
      <c r="N64" s="251"/>
    </row>
    <row r="65" spans="2:14" ht="42" customHeight="1" x14ac:dyDescent="0.25">
      <c r="B65" s="256"/>
      <c r="C65" s="256"/>
      <c r="D65" s="407" t="s">
        <v>100</v>
      </c>
      <c r="E65" s="407"/>
      <c r="F65" s="407"/>
      <c r="G65" s="407"/>
      <c r="H65" s="407"/>
      <c r="I65" s="407"/>
      <c r="J65" s="407"/>
      <c r="K65" s="407"/>
      <c r="L65" s="407"/>
      <c r="M65" s="251"/>
      <c r="N65" s="251"/>
    </row>
    <row r="66" spans="2:14" ht="15.6" x14ac:dyDescent="0.25">
      <c r="B66" s="256"/>
      <c r="C66" s="256"/>
      <c r="D66" s="261"/>
      <c r="E66" s="261"/>
      <c r="F66" s="261"/>
      <c r="G66" s="261"/>
      <c r="H66" s="261"/>
      <c r="I66" s="261"/>
      <c r="J66" s="261"/>
      <c r="K66" s="261"/>
      <c r="L66" s="261"/>
      <c r="M66" s="251"/>
      <c r="N66" s="251"/>
    </row>
    <row r="67" spans="2:14" ht="31.2" x14ac:dyDescent="0.25">
      <c r="B67" s="256"/>
      <c r="C67" s="256"/>
      <c r="D67" s="260" t="s">
        <v>32</v>
      </c>
      <c r="E67" s="259"/>
      <c r="F67" s="257">
        <f>SUM(F68:F72)</f>
        <v>59882786.463786408</v>
      </c>
      <c r="G67" s="258"/>
      <c r="H67" s="257">
        <f>SUM(H68:H72)</f>
        <v>32555643.404450532</v>
      </c>
      <c r="I67" s="258"/>
      <c r="J67" s="257">
        <f>SUM(J68:J72)</f>
        <v>34369536.543722443</v>
      </c>
      <c r="K67" s="258"/>
      <c r="L67" s="257">
        <f>SUM(L68:L72)</f>
        <v>94143999.309207886</v>
      </c>
      <c r="M67" s="251"/>
      <c r="N67" s="251"/>
    </row>
    <row r="68" spans="2:14" ht="15.6" x14ac:dyDescent="0.25">
      <c r="B68" s="256"/>
      <c r="C68" s="256"/>
      <c r="D68" s="255">
        <f>Inputs!$E$8</f>
        <v>2026</v>
      </c>
      <c r="E68" s="254"/>
      <c r="F68" s="252">
        <f>F59+(F28*Inputs!E$63)+Inputs!E62</f>
        <v>13614248.266666668</v>
      </c>
      <c r="G68" s="253"/>
      <c r="H68" s="252">
        <f>H59+(H28*Inputs!G$63)+Inputs!G62</f>
        <v>7133066.8936170219</v>
      </c>
      <c r="I68" s="253"/>
      <c r="J68" s="252">
        <f>J59+(J28*Inputs!I$63)+Inputs!I62</f>
        <v>7786644.2105263155</v>
      </c>
      <c r="K68" s="253"/>
      <c r="L68" s="252">
        <f>L59+(L28*Inputs!K$63)+Inputs!K62</f>
        <v>21364149.33333334</v>
      </c>
      <c r="M68" s="251"/>
      <c r="N68" s="251"/>
    </row>
    <row r="69" spans="2:14" ht="15.6" x14ac:dyDescent="0.25">
      <c r="B69" s="256"/>
      <c r="C69" s="256"/>
      <c r="D69" s="255">
        <f>Inputs!$E$8+1</f>
        <v>2027</v>
      </c>
      <c r="E69" s="254"/>
      <c r="F69" s="252">
        <f>F60+F29*Inputs!E$63</f>
        <v>11225846.367999999</v>
      </c>
      <c r="G69" s="253"/>
      <c r="H69" s="252">
        <f>H60+H28*Inputs!G$63</f>
        <v>6942406.6995744687</v>
      </c>
      <c r="I69" s="253"/>
      <c r="J69" s="252">
        <f>J60+J29*Inputs!I$63</f>
        <v>6449641.0947368424</v>
      </c>
      <c r="K69" s="253"/>
      <c r="L69" s="252">
        <f>L60+L29*Inputs!K$63</f>
        <v>17658120.32</v>
      </c>
      <c r="M69" s="251"/>
      <c r="N69" s="251"/>
    </row>
    <row r="70" spans="2:14" ht="15.6" x14ac:dyDescent="0.25">
      <c r="B70" s="256"/>
      <c r="C70" s="256"/>
      <c r="D70" s="255">
        <f>Inputs!$E$8+2</f>
        <v>2028</v>
      </c>
      <c r="E70" s="254"/>
      <c r="F70" s="252">
        <f>F61+F30*Inputs!E$63</f>
        <v>11450363.295360001</v>
      </c>
      <c r="G70" s="253"/>
      <c r="H70" s="252">
        <f>H61+H30*Inputs!G$63</f>
        <v>6038481.8361191489</v>
      </c>
      <c r="I70" s="253"/>
      <c r="J70" s="252">
        <f>J61+J30*Inputs!I$63</f>
        <v>6578633.9166315785</v>
      </c>
      <c r="K70" s="253"/>
      <c r="L70" s="252">
        <f>L61+L30*Inputs!K$63</f>
        <v>18011282.726399999</v>
      </c>
      <c r="M70" s="251"/>
      <c r="N70" s="251"/>
    </row>
    <row r="71" spans="2:14" ht="15.6" x14ac:dyDescent="0.25">
      <c r="B71" s="256"/>
      <c r="C71" s="256"/>
      <c r="D71" s="255">
        <f>Inputs!$E$8+3</f>
        <v>2029</v>
      </c>
      <c r="E71" s="254"/>
      <c r="F71" s="252">
        <f>F62+F31*Inputs!E$63</f>
        <v>11679370.561267201</v>
      </c>
      <c r="G71" s="253"/>
      <c r="H71" s="252">
        <f>H62+H31*Inputs!G$63</f>
        <v>6159251.472841532</v>
      </c>
      <c r="I71" s="253"/>
      <c r="J71" s="252">
        <f>J62+J31*Inputs!I$63</f>
        <v>6710206.5949642109</v>
      </c>
      <c r="K71" s="253"/>
      <c r="L71" s="252">
        <f>L62+L31*Inputs!K$63</f>
        <v>18371508.380928002</v>
      </c>
      <c r="M71" s="251"/>
      <c r="N71" s="251"/>
    </row>
    <row r="72" spans="2:14" ht="15.6" x14ac:dyDescent="0.25">
      <c r="B72" s="256"/>
      <c r="C72" s="256"/>
      <c r="D72" s="255">
        <f>Inputs!$E$8+4</f>
        <v>2030</v>
      </c>
      <c r="E72" s="254"/>
      <c r="F72" s="252">
        <f>F63+F32*Inputs!E$63</f>
        <v>11912957.972492544</v>
      </c>
      <c r="G72" s="253"/>
      <c r="H72" s="252">
        <f>H63+H32*Inputs!G$63</f>
        <v>6282436.5022983626</v>
      </c>
      <c r="I72" s="253"/>
      <c r="J72" s="252">
        <f>J63+J32*Inputs!I$63</f>
        <v>6844410.7268634941</v>
      </c>
      <c r="K72" s="253"/>
      <c r="L72" s="252">
        <f>L63+L32*Inputs!K$63</f>
        <v>18738938.548546556</v>
      </c>
      <c r="M72" s="251"/>
      <c r="N72" s="251"/>
    </row>
    <row r="73" spans="2:14" x14ac:dyDescent="0.25">
      <c r="B73" s="251"/>
      <c r="C73" s="251"/>
      <c r="D73" s="251"/>
      <c r="E73" s="251"/>
      <c r="F73" s="251"/>
      <c r="G73" s="251"/>
      <c r="H73" s="251"/>
      <c r="I73" s="251"/>
      <c r="J73" s="251"/>
      <c r="K73" s="251"/>
      <c r="L73" s="251"/>
      <c r="M73" s="251"/>
      <c r="N73" s="251"/>
    </row>
  </sheetData>
  <sheetProtection algorithmName="SHA-512" hashValue="NK7ttitVyxxBBcPAO6sNP1+qP7YWPzgzqTSjI8l/gfYAui0TkTpoxK2N6Vw0Fx0HQ01bjBuSzdkbmPlhkAGZ5A==" saltValue="hQpkcYKmia8IoHbUIufGlQ==" spinCount="100000" sheet="1" formatCells="0" formatColumns="0" formatRows="0" insertColumns="0" insertRows="0" insertHyperlinks="0" deleteColumns="0" deleteRows="0" sort="0" autoFilter="0" pivotTables="0"/>
  <mergeCells count="14">
    <mergeCell ref="D56:L56"/>
    <mergeCell ref="D65:L65"/>
    <mergeCell ref="B1:M1"/>
    <mergeCell ref="D33:L33"/>
    <mergeCell ref="D36:L36"/>
    <mergeCell ref="D45:L45"/>
    <mergeCell ref="D3:L3"/>
    <mergeCell ref="D8:L8"/>
    <mergeCell ref="D17:L17"/>
    <mergeCell ref="D26:L26"/>
    <mergeCell ref="D4:L4"/>
    <mergeCell ref="C34:M34"/>
    <mergeCell ref="C54:M54"/>
    <mergeCell ref="B2:N2"/>
  </mergeCells>
  <conditionalFormatting sqref="F47 H47 J47 L47">
    <cfRule type="colorScale" priority="12">
      <colorScale>
        <cfvo type="min"/>
        <cfvo type="percentile" val="50"/>
        <cfvo type="max"/>
        <color theme="6"/>
        <color rgb="FFDFE382"/>
        <color theme="3"/>
      </colorScale>
    </cfRule>
  </conditionalFormatting>
  <conditionalFormatting sqref="F58 H58 J58 L58">
    <cfRule type="colorScale" priority="2">
      <colorScale>
        <cfvo type="min"/>
        <cfvo type="percentile" val="50"/>
        <cfvo type="max"/>
        <color theme="6"/>
        <color rgb="FFDFE382"/>
        <color theme="3"/>
      </colorScale>
    </cfRule>
  </conditionalFormatting>
  <conditionalFormatting sqref="F58 H58 J58">
    <cfRule type="colorScale" priority="3">
      <colorScale>
        <cfvo type="min"/>
        <cfvo type="percentile" val="50"/>
        <cfvo type="max"/>
        <color theme="6"/>
        <color rgb="FFDFE382"/>
        <color theme="3"/>
      </colorScale>
    </cfRule>
  </conditionalFormatting>
  <conditionalFormatting sqref="F47:K47">
    <cfRule type="colorScale" priority="16">
      <colorScale>
        <cfvo type="min"/>
        <cfvo type="max"/>
        <color rgb="FF63BE7B"/>
        <color rgb="FFFFEF9C"/>
      </colorScale>
    </cfRule>
    <cfRule type="colorScale" priority="17">
      <colorScale>
        <cfvo type="min"/>
        <cfvo type="max"/>
        <color rgb="FFDFE382"/>
        <color rgb="FFFFC000"/>
      </colorScale>
    </cfRule>
    <cfRule type="colorScale" priority="18">
      <colorScale>
        <cfvo type="min"/>
        <cfvo type="percentile" val="50"/>
        <cfvo type="max"/>
        <color theme="6"/>
        <color theme="3"/>
        <color theme="3"/>
      </colorScale>
    </cfRule>
  </conditionalFormatting>
  <conditionalFormatting sqref="F67:K67">
    <cfRule type="colorScale" priority="5">
      <colorScale>
        <cfvo type="min"/>
        <cfvo type="max"/>
        <color theme="6"/>
        <color rgb="FFDFE382"/>
      </colorScale>
    </cfRule>
    <cfRule type="colorScale" priority="6">
      <colorScale>
        <cfvo type="min"/>
        <cfvo type="max"/>
        <color rgb="FFDFE382"/>
        <color rgb="FFFFC000"/>
      </colorScale>
    </cfRule>
    <cfRule type="colorScale" priority="7">
      <colorScale>
        <cfvo type="min"/>
        <cfvo type="percentile" val="50"/>
        <cfvo type="max"/>
        <color theme="6"/>
        <color theme="3"/>
        <color theme="3"/>
      </colorScale>
    </cfRule>
  </conditionalFormatting>
  <conditionalFormatting sqref="F47:L47">
    <cfRule type="colorScale" priority="19">
      <colorScale>
        <cfvo type="min"/>
        <cfvo type="max"/>
        <color theme="6"/>
        <color rgb="FFDFE382"/>
      </colorScale>
    </cfRule>
  </conditionalFormatting>
  <conditionalFormatting sqref="F67:L67">
    <cfRule type="colorScale" priority="8">
      <colorScale>
        <cfvo type="min"/>
        <cfvo type="max"/>
        <color theme="6"/>
        <color rgb="FFDFE382"/>
      </colorScale>
    </cfRule>
  </conditionalFormatting>
  <conditionalFormatting sqref="H38 F38 J38 L38">
    <cfRule type="colorScale" priority="13">
      <colorScale>
        <cfvo type="min"/>
        <cfvo type="percentile" val="50"/>
        <cfvo type="max"/>
        <color theme="6"/>
        <color rgb="FFDFE382"/>
        <color theme="3"/>
      </colorScale>
    </cfRule>
  </conditionalFormatting>
  <conditionalFormatting sqref="H38 F38 J38">
    <cfRule type="colorScale" priority="14">
      <colorScale>
        <cfvo type="min"/>
        <cfvo type="percentile" val="50"/>
        <cfvo type="max"/>
        <color theme="6"/>
        <color rgb="FFDFE382"/>
        <color theme="3"/>
      </colorScale>
    </cfRule>
  </conditionalFormatting>
  <conditionalFormatting sqref="H67 F67 J67 L67">
    <cfRule type="colorScale" priority="1">
      <colorScale>
        <cfvo type="min"/>
        <cfvo type="percentile" val="50"/>
        <cfvo type="max"/>
        <color theme="6"/>
        <color rgb="FFDFE382"/>
        <color theme="3"/>
      </colorScale>
    </cfRule>
  </conditionalFormatting>
  <conditionalFormatting sqref="L38 J38 H38 F38">
    <cfRule type="colorScale" priority="15">
      <colorScale>
        <cfvo type="min"/>
        <cfvo type="max"/>
        <color rgb="FF63BE7B"/>
        <color rgb="FFFFEF9C"/>
      </colorScale>
    </cfRule>
  </conditionalFormatting>
  <conditionalFormatting sqref="L47">
    <cfRule type="colorScale" priority="20">
      <colorScale>
        <cfvo type="min"/>
        <cfvo type="max"/>
        <color theme="6"/>
        <color rgb="FFDFE382"/>
      </colorScale>
    </cfRule>
    <cfRule type="colorScale" priority="21">
      <colorScale>
        <cfvo type="min"/>
        <cfvo type="max"/>
        <color rgb="FFDFE382"/>
        <color rgb="FFFFC000"/>
      </colorScale>
    </cfRule>
    <cfRule type="colorScale" priority="22">
      <colorScale>
        <cfvo type="min"/>
        <cfvo type="percentile" val="50"/>
        <cfvo type="max"/>
        <color theme="6"/>
        <color theme="3"/>
        <color theme="3"/>
      </colorScale>
    </cfRule>
  </conditionalFormatting>
  <conditionalFormatting sqref="L58 J58 H58 F58">
    <cfRule type="colorScale" priority="4">
      <colorScale>
        <cfvo type="min"/>
        <cfvo type="max"/>
        <color theme="6"/>
        <color rgb="FFDFE382"/>
      </colorScale>
    </cfRule>
  </conditionalFormatting>
  <conditionalFormatting sqref="L67">
    <cfRule type="colorScale" priority="9">
      <colorScale>
        <cfvo type="min"/>
        <cfvo type="max"/>
        <color theme="6"/>
        <color rgb="FFDFE382"/>
      </colorScale>
    </cfRule>
    <cfRule type="colorScale" priority="10">
      <colorScale>
        <cfvo type="min"/>
        <cfvo type="max"/>
        <color rgb="FFDFE382"/>
        <color rgb="FFFFC000"/>
      </colorScale>
    </cfRule>
    <cfRule type="colorScale" priority="11">
      <colorScale>
        <cfvo type="min"/>
        <cfvo type="percentile" val="50"/>
        <cfvo type="max"/>
        <color theme="6"/>
        <color theme="3"/>
        <color theme="3"/>
      </colorScale>
    </cfRule>
  </conditionalFormatting>
  <printOptions horizontalCentered="1" verticalCentered="1"/>
  <pageMargins left="0.25" right="0.25" top="0.75" bottom="0.75" header="0.3" footer="0.3"/>
  <pageSetup paperSize="9" scale="6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A1:G38"/>
  <sheetViews>
    <sheetView topLeftCell="A9" workbookViewId="0">
      <selection activeCell="F24" sqref="F24"/>
    </sheetView>
  </sheetViews>
  <sheetFormatPr defaultColWidth="8.77734375" defaultRowHeight="14.4" x14ac:dyDescent="0.3"/>
  <cols>
    <col min="1" max="1" width="52" customWidth="1"/>
    <col min="2" max="27" width="20.5546875" customWidth="1"/>
  </cols>
  <sheetData>
    <row r="1" spans="1:6" x14ac:dyDescent="0.3">
      <c r="A1" s="4" t="s">
        <v>6</v>
      </c>
      <c r="B1" s="4" t="s">
        <v>9</v>
      </c>
      <c r="C1" s="4" t="s">
        <v>3</v>
      </c>
      <c r="D1" s="4" t="s">
        <v>20</v>
      </c>
      <c r="E1" s="4" t="s">
        <v>36</v>
      </c>
    </row>
    <row r="2" spans="1:6" x14ac:dyDescent="0.3">
      <c r="A2" s="4"/>
      <c r="B2" s="4"/>
      <c r="C2" s="4"/>
      <c r="D2" s="4"/>
      <c r="E2" s="4"/>
    </row>
    <row r="3" spans="1:6" ht="28.8" x14ac:dyDescent="0.3">
      <c r="A3" s="8" t="s">
        <v>106</v>
      </c>
      <c r="B3" s="5">
        <v>2</v>
      </c>
      <c r="C3" s="3">
        <v>0.04</v>
      </c>
      <c r="D3" s="1">
        <v>17.12</v>
      </c>
      <c r="E3" s="10" t="s">
        <v>141</v>
      </c>
    </row>
    <row r="4" spans="1:6" ht="39" x14ac:dyDescent="0.3">
      <c r="A4" s="8" t="s">
        <v>107</v>
      </c>
      <c r="B4" s="5">
        <v>2</v>
      </c>
      <c r="C4" s="3">
        <v>0.04</v>
      </c>
      <c r="D4" s="1">
        <v>11.8</v>
      </c>
      <c r="E4" s="10" t="s">
        <v>141</v>
      </c>
    </row>
    <row r="5" spans="1:6" ht="28.8" x14ac:dyDescent="0.3">
      <c r="A5" s="8" t="s">
        <v>101</v>
      </c>
      <c r="B5" s="5">
        <v>3</v>
      </c>
      <c r="C5" s="3">
        <v>0.05</v>
      </c>
      <c r="D5" s="1">
        <v>4.2</v>
      </c>
      <c r="E5" s="9" t="s">
        <v>141</v>
      </c>
    </row>
    <row r="6" spans="1:6" ht="28.8" x14ac:dyDescent="0.3">
      <c r="A6" s="8" t="s">
        <v>37</v>
      </c>
      <c r="B6" s="5">
        <v>3</v>
      </c>
      <c r="C6" s="3">
        <v>0.06</v>
      </c>
      <c r="D6" s="1">
        <v>3.2</v>
      </c>
      <c r="E6" s="9" t="s">
        <v>141</v>
      </c>
    </row>
    <row r="7" spans="1:6" ht="28.8" x14ac:dyDescent="0.3">
      <c r="A7" s="8" t="s">
        <v>102</v>
      </c>
      <c r="B7" s="5">
        <v>3</v>
      </c>
      <c r="C7" s="3">
        <v>0.04</v>
      </c>
      <c r="D7" s="1">
        <v>14.45</v>
      </c>
      <c r="E7" s="10" t="s">
        <v>130</v>
      </c>
    </row>
    <row r="8" spans="1:6" ht="28.8" x14ac:dyDescent="0.3">
      <c r="A8" s="8" t="s">
        <v>103</v>
      </c>
      <c r="B8" s="5">
        <v>3</v>
      </c>
      <c r="C8" s="3">
        <v>0.05</v>
      </c>
      <c r="D8" s="1">
        <v>4.2</v>
      </c>
      <c r="E8" s="10" t="s">
        <v>141</v>
      </c>
    </row>
    <row r="9" spans="1:6" ht="28.8" x14ac:dyDescent="0.3">
      <c r="A9" s="8" t="s">
        <v>104</v>
      </c>
      <c r="B9" s="5">
        <v>3</v>
      </c>
      <c r="C9" s="3">
        <v>0.04</v>
      </c>
      <c r="D9" s="1">
        <v>20.059999999999999</v>
      </c>
      <c r="E9" s="10" t="s">
        <v>142</v>
      </c>
    </row>
    <row r="10" spans="1:6" ht="28.8" x14ac:dyDescent="0.3">
      <c r="A10" s="8" t="s">
        <v>105</v>
      </c>
      <c r="B10" s="5">
        <v>3</v>
      </c>
      <c r="C10" s="3">
        <v>0.09</v>
      </c>
      <c r="D10" s="1">
        <v>14.3</v>
      </c>
      <c r="E10" s="9" t="s">
        <v>141</v>
      </c>
    </row>
    <row r="11" spans="1:6" x14ac:dyDescent="0.3">
      <c r="A11" s="4" t="s">
        <v>13</v>
      </c>
      <c r="B11" t="s">
        <v>144</v>
      </c>
    </row>
    <row r="12" spans="1:6" x14ac:dyDescent="0.3">
      <c r="A12" t="s">
        <v>19</v>
      </c>
      <c r="B12" t="s">
        <v>145</v>
      </c>
    </row>
    <row r="13" spans="1:6" x14ac:dyDescent="0.3">
      <c r="A13" t="s">
        <v>146</v>
      </c>
    </row>
    <row r="14" spans="1:6" x14ac:dyDescent="0.3">
      <c r="A14" t="s">
        <v>147</v>
      </c>
      <c r="D14" s="8"/>
      <c r="F14" t="s">
        <v>147</v>
      </c>
    </row>
    <row r="15" spans="1:6" x14ac:dyDescent="0.3">
      <c r="A15" s="7"/>
      <c r="B15" s="292">
        <v>0</v>
      </c>
      <c r="D15" s="315"/>
      <c r="E15" s="316">
        <v>1</v>
      </c>
      <c r="F15" s="315">
        <f>Inputs!E22</f>
        <v>0.2</v>
      </c>
    </row>
    <row r="16" spans="1:6" x14ac:dyDescent="0.3">
      <c r="B16" s="292">
        <v>0.05</v>
      </c>
      <c r="D16" s="315"/>
      <c r="E16" s="316">
        <v>2</v>
      </c>
      <c r="F16" s="315">
        <v>0.4</v>
      </c>
    </row>
    <row r="17" spans="2:7" x14ac:dyDescent="0.3">
      <c r="B17" s="292">
        <v>0.1</v>
      </c>
      <c r="D17" s="315"/>
      <c r="E17" s="316">
        <v>3</v>
      </c>
      <c r="F17" s="315">
        <v>0.5</v>
      </c>
    </row>
    <row r="18" spans="2:7" x14ac:dyDescent="0.3">
      <c r="B18" s="292">
        <v>0.15</v>
      </c>
      <c r="D18" s="315"/>
      <c r="E18" s="316">
        <v>4</v>
      </c>
      <c r="F18" s="315">
        <v>0.6</v>
      </c>
    </row>
    <row r="19" spans="2:7" x14ac:dyDescent="0.3">
      <c r="B19" s="292">
        <v>0.2</v>
      </c>
      <c r="D19" s="315"/>
      <c r="E19" s="316">
        <v>5</v>
      </c>
      <c r="F19" s="315">
        <v>0.7</v>
      </c>
    </row>
    <row r="20" spans="2:7" x14ac:dyDescent="0.3">
      <c r="B20" s="292">
        <v>0.25</v>
      </c>
      <c r="D20" s="315"/>
      <c r="E20" s="316">
        <v>6</v>
      </c>
      <c r="F20" s="315">
        <v>0.8</v>
      </c>
    </row>
    <row r="21" spans="2:7" x14ac:dyDescent="0.3">
      <c r="B21" s="292">
        <v>0.3</v>
      </c>
      <c r="D21" s="315"/>
      <c r="E21" s="316">
        <v>7</v>
      </c>
      <c r="F21" s="315">
        <v>0.9</v>
      </c>
    </row>
    <row r="22" spans="2:7" x14ac:dyDescent="0.3">
      <c r="B22" s="292">
        <v>0.35</v>
      </c>
      <c r="D22" s="315"/>
      <c r="E22" s="316">
        <v>8</v>
      </c>
      <c r="F22" s="315">
        <v>0.9</v>
      </c>
    </row>
    <row r="23" spans="2:7" x14ac:dyDescent="0.3">
      <c r="B23" s="292">
        <v>0.4</v>
      </c>
      <c r="D23" s="315"/>
      <c r="E23" s="316">
        <f>Inputs!D23</f>
        <v>2026</v>
      </c>
      <c r="F23" s="315" cm="1">
        <f t="array" ref="F23">IF(Inputs!$E$18=B11,INDEX($F$15:$F$22,MATCH(Inputs!$E$19,$E$15:$E$22),0),Inputs!$E$22)</f>
        <v>0.5</v>
      </c>
      <c r="G23" t="s">
        <v>148</v>
      </c>
    </row>
    <row r="24" spans="2:7" x14ac:dyDescent="0.3">
      <c r="B24" s="292">
        <v>0.45</v>
      </c>
      <c r="D24" s="315"/>
      <c r="E24" s="316">
        <f>Inputs!D24</f>
        <v>2027</v>
      </c>
      <c r="F24" s="315">
        <f>MIN(1,F23+(1-$F$23)/(9-Inputs!$E$19))</f>
        <v>0.58333333333333337</v>
      </c>
      <c r="G24" s="317" t="s">
        <v>149</v>
      </c>
    </row>
    <row r="25" spans="2:7" x14ac:dyDescent="0.3">
      <c r="B25" s="292">
        <v>0.5</v>
      </c>
      <c r="D25" s="315"/>
      <c r="E25" s="316">
        <f>Inputs!D25</f>
        <v>2028</v>
      </c>
      <c r="F25" s="315">
        <f>MIN(1,F24+(1-$F$23)/(9-Inputs!$E$19))</f>
        <v>0.66666666666666674</v>
      </c>
      <c r="G25" t="s">
        <v>150</v>
      </c>
    </row>
    <row r="26" spans="2:7" x14ac:dyDescent="0.3">
      <c r="B26" s="292">
        <v>0.55000000000000004</v>
      </c>
      <c r="D26" s="315"/>
      <c r="E26" s="316">
        <f>Inputs!D26</f>
        <v>2029</v>
      </c>
      <c r="F26" s="315">
        <f>MIN(1,F25+(1-$F$23)/(9-Inputs!$E$19))</f>
        <v>0.75000000000000011</v>
      </c>
      <c r="G26" s="317" t="s">
        <v>151</v>
      </c>
    </row>
    <row r="27" spans="2:7" x14ac:dyDescent="0.3">
      <c r="B27" s="292">
        <v>0.6</v>
      </c>
      <c r="D27" s="315"/>
      <c r="E27" s="316">
        <f>Inputs!D27</f>
        <v>2030</v>
      </c>
      <c r="F27" s="315">
        <f>MIN(1,F26+(1-$F$23)/(9-Inputs!$E$19))</f>
        <v>0.83333333333333348</v>
      </c>
      <c r="G27" t="s">
        <v>152</v>
      </c>
    </row>
    <row r="28" spans="2:7" x14ac:dyDescent="0.3">
      <c r="B28" s="292">
        <v>0.65</v>
      </c>
      <c r="D28" s="315"/>
      <c r="E28" s="316"/>
      <c r="F28" s="315">
        <f>MIN(1,F27+(1-$F$23)/(9-Inputs!$E$19))</f>
        <v>0.91666666666666685</v>
      </c>
      <c r="G28" s="317" t="s">
        <v>153</v>
      </c>
    </row>
    <row r="29" spans="2:7" x14ac:dyDescent="0.3">
      <c r="B29" s="292">
        <v>0.7</v>
      </c>
      <c r="D29" s="315"/>
      <c r="E29" s="316"/>
      <c r="F29" s="315">
        <f>MIN(1,F28+(1-$F$23)/(9-Inputs!$E$19))</f>
        <v>1</v>
      </c>
      <c r="G29" t="s">
        <v>154</v>
      </c>
    </row>
    <row r="30" spans="2:7" x14ac:dyDescent="0.3">
      <c r="B30" s="292">
        <v>0.75</v>
      </c>
      <c r="D30" s="315"/>
      <c r="E30" s="316"/>
      <c r="F30" s="315">
        <f>MIN(1,F29+(1-$F$23)/(9-Inputs!$E$19))</f>
        <v>1</v>
      </c>
      <c r="G30" s="317" t="s">
        <v>155</v>
      </c>
    </row>
    <row r="31" spans="2:7" x14ac:dyDescent="0.3">
      <c r="B31" s="292">
        <v>0.8</v>
      </c>
      <c r="D31" s="315"/>
      <c r="E31" s="316"/>
      <c r="F31" s="315">
        <f>MIN(1,F30+(1-$F$23)/(9-Inputs!$E$19))</f>
        <v>1</v>
      </c>
      <c r="G31" t="s">
        <v>156</v>
      </c>
    </row>
    <row r="32" spans="2:7" x14ac:dyDescent="0.3">
      <c r="B32" s="292">
        <v>0.85</v>
      </c>
      <c r="D32" s="315"/>
      <c r="E32" s="315"/>
      <c r="F32" s="315"/>
    </row>
    <row r="33" spans="2:6" x14ac:dyDescent="0.3">
      <c r="B33" s="292">
        <v>0.9</v>
      </c>
      <c r="D33" s="315"/>
      <c r="E33" s="315"/>
      <c r="F33" s="315"/>
    </row>
    <row r="34" spans="2:6" x14ac:dyDescent="0.3">
      <c r="B34" s="292">
        <v>0.95</v>
      </c>
      <c r="D34" s="315"/>
      <c r="E34" s="315"/>
      <c r="F34" s="315"/>
    </row>
    <row r="35" spans="2:6" x14ac:dyDescent="0.3">
      <c r="B35" s="292">
        <v>1</v>
      </c>
      <c r="D35" s="315"/>
      <c r="E35" s="315"/>
    </row>
    <row r="36" spans="2:6" x14ac:dyDescent="0.3">
      <c r="D36" s="315"/>
    </row>
    <row r="37" spans="2:6" x14ac:dyDescent="0.3">
      <c r="D37" s="315"/>
    </row>
    <row r="38" spans="2:6" x14ac:dyDescent="0.3">
      <c r="D38" s="315"/>
    </row>
  </sheetData>
  <pageMargins left="0.7" right="0.7" top="0.75" bottom="0.75" header="0.3" footer="0.3"/>
  <pageSetup paperSize="9" orientation="portrait" r:id="rId1"/>
  <headerFooter>
    <oddHeader>&amp;L&amp;"Calibri"&amp;10&amp;K000000Classified as Internal&amp;1#</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BCF14F-6316-4AF2-B9B7-4533468E0754}">
  <sheetPr codeName="Sheet8"/>
  <dimension ref="A1:C168"/>
  <sheetViews>
    <sheetView topLeftCell="A13" workbookViewId="0">
      <selection activeCell="C4" sqref="C4"/>
    </sheetView>
  </sheetViews>
  <sheetFormatPr defaultColWidth="8.77734375" defaultRowHeight="14.4" x14ac:dyDescent="0.3"/>
  <cols>
    <col min="1" max="1" width="59.44140625" customWidth="1"/>
    <col min="2" max="3" width="8.77734375" style="1"/>
  </cols>
  <sheetData>
    <row r="1" spans="1:3" ht="28.8" x14ac:dyDescent="0.3">
      <c r="A1" s="8" t="s">
        <v>106</v>
      </c>
      <c r="B1" s="1">
        <v>2022</v>
      </c>
      <c r="C1" s="11">
        <v>2.36</v>
      </c>
    </row>
    <row r="2" spans="1:3" ht="28.8" x14ac:dyDescent="0.3">
      <c r="A2" s="8" t="s">
        <v>106</v>
      </c>
      <c r="B2" s="1">
        <v>2023</v>
      </c>
      <c r="C2" s="11">
        <v>2.36</v>
      </c>
    </row>
    <row r="3" spans="1:3" ht="28.8" x14ac:dyDescent="0.3">
      <c r="A3" s="8" t="s">
        <v>106</v>
      </c>
      <c r="B3" s="1">
        <v>2024</v>
      </c>
      <c r="C3" s="11">
        <v>2.36</v>
      </c>
    </row>
    <row r="4" spans="1:3" ht="28.8" x14ac:dyDescent="0.3">
      <c r="A4" s="8" t="s">
        <v>106</v>
      </c>
      <c r="B4" s="1">
        <v>2025</v>
      </c>
      <c r="C4" s="11">
        <v>2.38</v>
      </c>
    </row>
    <row r="5" spans="1:3" ht="28.8" x14ac:dyDescent="0.3">
      <c r="A5" s="8" t="s">
        <v>106</v>
      </c>
      <c r="B5" s="1">
        <v>2026</v>
      </c>
      <c r="C5" s="11">
        <v>2.46</v>
      </c>
    </row>
    <row r="6" spans="1:3" ht="28.8" x14ac:dyDescent="0.3">
      <c r="A6" s="8" t="s">
        <v>106</v>
      </c>
      <c r="B6" s="1">
        <v>2027</v>
      </c>
      <c r="C6" s="11" t="s">
        <v>12</v>
      </c>
    </row>
    <row r="7" spans="1:3" ht="28.8" x14ac:dyDescent="0.3">
      <c r="A7" s="8" t="s">
        <v>106</v>
      </c>
      <c r="B7" s="1">
        <v>2028</v>
      </c>
      <c r="C7" s="11" t="s">
        <v>12</v>
      </c>
    </row>
    <row r="8" spans="1:3" ht="28.8" x14ac:dyDescent="0.3">
      <c r="A8" s="8" t="s">
        <v>106</v>
      </c>
      <c r="B8" s="1">
        <v>2029</v>
      </c>
      <c r="C8" s="11" t="s">
        <v>12</v>
      </c>
    </row>
    <row r="9" spans="1:3" ht="28.8" x14ac:dyDescent="0.3">
      <c r="A9" s="8" t="s">
        <v>106</v>
      </c>
      <c r="B9" s="1">
        <v>2030</v>
      </c>
      <c r="C9" s="11" t="s">
        <v>12</v>
      </c>
    </row>
    <row r="10" spans="1:3" ht="28.8" x14ac:dyDescent="0.3">
      <c r="A10" s="8" t="s">
        <v>106</v>
      </c>
      <c r="B10" s="1">
        <v>2031</v>
      </c>
      <c r="C10" s="11" t="s">
        <v>12</v>
      </c>
    </row>
    <row r="11" spans="1:3" ht="28.8" x14ac:dyDescent="0.3">
      <c r="A11" s="8" t="s">
        <v>106</v>
      </c>
      <c r="B11" s="1">
        <v>2032</v>
      </c>
      <c r="C11" s="11" t="s">
        <v>12</v>
      </c>
    </row>
    <row r="12" spans="1:3" ht="28.8" x14ac:dyDescent="0.3">
      <c r="A12" s="8" t="s">
        <v>106</v>
      </c>
      <c r="B12" s="1">
        <v>2033</v>
      </c>
      <c r="C12" s="11" t="s">
        <v>12</v>
      </c>
    </row>
    <row r="13" spans="1:3" ht="28.8" x14ac:dyDescent="0.3">
      <c r="A13" s="8" t="s">
        <v>106</v>
      </c>
      <c r="B13" s="1">
        <v>2034</v>
      </c>
      <c r="C13" s="11" t="s">
        <v>12</v>
      </c>
    </row>
    <row r="14" spans="1:3" ht="28.8" x14ac:dyDescent="0.3">
      <c r="A14" s="8" t="s">
        <v>106</v>
      </c>
      <c r="B14" s="1">
        <v>2035</v>
      </c>
      <c r="C14" s="11" t="s">
        <v>12</v>
      </c>
    </row>
    <row r="15" spans="1:3" ht="39" x14ac:dyDescent="0.3">
      <c r="A15" s="8" t="s">
        <v>107</v>
      </c>
      <c r="B15" s="1">
        <v>2022</v>
      </c>
      <c r="C15" s="2" t="s">
        <v>12</v>
      </c>
    </row>
    <row r="16" spans="1:3" ht="39" x14ac:dyDescent="0.3">
      <c r="A16" s="8" t="s">
        <v>107</v>
      </c>
      <c r="B16" s="1">
        <v>2023</v>
      </c>
      <c r="C16" s="2" t="s">
        <v>12</v>
      </c>
    </row>
    <row r="17" spans="1:3" ht="39" x14ac:dyDescent="0.3">
      <c r="A17" s="8" t="s">
        <v>107</v>
      </c>
      <c r="B17" s="1">
        <v>2024</v>
      </c>
      <c r="C17" s="2">
        <v>2.06</v>
      </c>
    </row>
    <row r="18" spans="1:3" ht="39" x14ac:dyDescent="0.3">
      <c r="A18" s="8" t="s">
        <v>107</v>
      </c>
      <c r="B18" s="1">
        <v>2025</v>
      </c>
      <c r="C18" s="2">
        <v>2.08</v>
      </c>
    </row>
    <row r="19" spans="1:3" ht="39" x14ac:dyDescent="0.3">
      <c r="A19" s="8" t="s">
        <v>107</v>
      </c>
      <c r="B19" s="1">
        <v>2026</v>
      </c>
      <c r="C19" s="2">
        <v>2.04</v>
      </c>
    </row>
    <row r="20" spans="1:3" ht="39" x14ac:dyDescent="0.3">
      <c r="A20" s="8" t="s">
        <v>107</v>
      </c>
      <c r="B20" s="1">
        <v>2027</v>
      </c>
      <c r="C20" s="2">
        <v>2.0099999999999998</v>
      </c>
    </row>
    <row r="21" spans="1:3" ht="39" x14ac:dyDescent="0.3">
      <c r="A21" s="8" t="s">
        <v>107</v>
      </c>
      <c r="B21" s="1">
        <v>2028</v>
      </c>
      <c r="C21" s="2">
        <v>2.0099999999999998</v>
      </c>
    </row>
    <row r="22" spans="1:3" ht="39" x14ac:dyDescent="0.3">
      <c r="A22" s="8" t="s">
        <v>107</v>
      </c>
      <c r="B22" s="1">
        <v>2029</v>
      </c>
      <c r="C22" s="2">
        <v>2.0099999999999998</v>
      </c>
    </row>
    <row r="23" spans="1:3" ht="39" x14ac:dyDescent="0.3">
      <c r="A23" s="8" t="s">
        <v>107</v>
      </c>
      <c r="B23" s="1">
        <v>2030</v>
      </c>
      <c r="C23" s="2">
        <v>2.0099999999999998</v>
      </c>
    </row>
    <row r="24" spans="1:3" ht="39" x14ac:dyDescent="0.3">
      <c r="A24" s="8" t="s">
        <v>107</v>
      </c>
      <c r="B24" s="1">
        <v>2031</v>
      </c>
      <c r="C24" s="2">
        <v>2.0099999999999998</v>
      </c>
    </row>
    <row r="25" spans="1:3" ht="39" x14ac:dyDescent="0.3">
      <c r="A25" s="8" t="s">
        <v>107</v>
      </c>
      <c r="B25" s="1">
        <v>2032</v>
      </c>
      <c r="C25" s="2">
        <v>2.0099999999999998</v>
      </c>
    </row>
    <row r="26" spans="1:3" ht="39" x14ac:dyDescent="0.3">
      <c r="A26" s="8" t="s">
        <v>107</v>
      </c>
      <c r="B26" s="1">
        <v>2033</v>
      </c>
      <c r="C26" s="2">
        <v>2.0099999999999998</v>
      </c>
    </row>
    <row r="27" spans="1:3" ht="39" x14ac:dyDescent="0.3">
      <c r="A27" s="8" t="s">
        <v>107</v>
      </c>
      <c r="B27" s="1">
        <v>2034</v>
      </c>
      <c r="C27" s="2">
        <v>2.0099999999999998</v>
      </c>
    </row>
    <row r="28" spans="1:3" ht="39" x14ac:dyDescent="0.3">
      <c r="A28" s="8" t="s">
        <v>107</v>
      </c>
      <c r="B28" s="1">
        <v>2035</v>
      </c>
      <c r="C28" s="2">
        <v>2.0099999999999998</v>
      </c>
    </row>
    <row r="29" spans="1:3" ht="28.8" x14ac:dyDescent="0.3">
      <c r="A29" s="8" t="s">
        <v>101</v>
      </c>
      <c r="B29" s="1">
        <v>2022</v>
      </c>
      <c r="C29" s="2">
        <v>0.85</v>
      </c>
    </row>
    <row r="30" spans="1:3" ht="28.8" x14ac:dyDescent="0.3">
      <c r="A30" s="8" t="s">
        <v>101</v>
      </c>
      <c r="B30" s="1">
        <v>2023</v>
      </c>
      <c r="C30" s="2">
        <v>0.85</v>
      </c>
    </row>
    <row r="31" spans="1:3" ht="28.8" x14ac:dyDescent="0.3">
      <c r="A31" s="8" t="s">
        <v>101</v>
      </c>
      <c r="B31" s="1">
        <v>2024</v>
      </c>
      <c r="C31" s="2">
        <v>0.85</v>
      </c>
    </row>
    <row r="32" spans="1:3" ht="28.8" x14ac:dyDescent="0.3">
      <c r="A32" s="8" t="s">
        <v>101</v>
      </c>
      <c r="B32" s="1">
        <v>2025</v>
      </c>
      <c r="C32" s="2">
        <v>0.7</v>
      </c>
    </row>
    <row r="33" spans="1:3" ht="28.8" x14ac:dyDescent="0.3">
      <c r="A33" s="8" t="s">
        <v>101</v>
      </c>
      <c r="B33" s="1">
        <v>2026</v>
      </c>
      <c r="C33" s="2">
        <v>0.7</v>
      </c>
    </row>
    <row r="34" spans="1:3" ht="28.8" x14ac:dyDescent="0.3">
      <c r="A34" s="8" t="s">
        <v>101</v>
      </c>
      <c r="B34" s="1">
        <v>2027</v>
      </c>
      <c r="C34" s="2">
        <v>0.7</v>
      </c>
    </row>
    <row r="35" spans="1:3" ht="28.8" x14ac:dyDescent="0.3">
      <c r="A35" s="8" t="s">
        <v>101</v>
      </c>
      <c r="B35" s="1">
        <v>2028</v>
      </c>
      <c r="C35" s="2">
        <v>0.7</v>
      </c>
    </row>
    <row r="36" spans="1:3" ht="28.8" x14ac:dyDescent="0.3">
      <c r="A36" s="8" t="s">
        <v>101</v>
      </c>
      <c r="B36" s="1">
        <v>2029</v>
      </c>
      <c r="C36" s="2">
        <v>0.7</v>
      </c>
    </row>
    <row r="37" spans="1:3" ht="28.8" x14ac:dyDescent="0.3">
      <c r="A37" s="8" t="s">
        <v>101</v>
      </c>
      <c r="B37" s="1">
        <v>2030</v>
      </c>
      <c r="C37" s="2">
        <v>0.7</v>
      </c>
    </row>
    <row r="38" spans="1:3" ht="28.8" x14ac:dyDescent="0.3">
      <c r="A38" s="8" t="s">
        <v>101</v>
      </c>
      <c r="B38" s="1">
        <v>2031</v>
      </c>
      <c r="C38" s="2">
        <v>0.7</v>
      </c>
    </row>
    <row r="39" spans="1:3" ht="28.8" x14ac:dyDescent="0.3">
      <c r="A39" s="8" t="s">
        <v>101</v>
      </c>
      <c r="B39" s="1">
        <v>2032</v>
      </c>
      <c r="C39" s="2">
        <v>0.7</v>
      </c>
    </row>
    <row r="40" spans="1:3" ht="28.8" x14ac:dyDescent="0.3">
      <c r="A40" s="8" t="s">
        <v>101</v>
      </c>
      <c r="B40" s="1">
        <v>2033</v>
      </c>
      <c r="C40" s="2">
        <v>0.7</v>
      </c>
    </row>
    <row r="41" spans="1:3" ht="28.8" x14ac:dyDescent="0.3">
      <c r="A41" s="8" t="s">
        <v>101</v>
      </c>
      <c r="B41" s="1">
        <v>2034</v>
      </c>
      <c r="C41" s="2">
        <v>0.7</v>
      </c>
    </row>
    <row r="42" spans="1:3" ht="28.8" x14ac:dyDescent="0.3">
      <c r="A42" s="8" t="s">
        <v>101</v>
      </c>
      <c r="B42" s="1">
        <v>2035</v>
      </c>
      <c r="C42" s="2">
        <v>0.7</v>
      </c>
    </row>
    <row r="43" spans="1:3" ht="28.8" x14ac:dyDescent="0.3">
      <c r="A43" s="8" t="s">
        <v>37</v>
      </c>
      <c r="B43" s="1">
        <v>2022</v>
      </c>
      <c r="C43" s="2">
        <v>0.6</v>
      </c>
    </row>
    <row r="44" spans="1:3" ht="28.8" x14ac:dyDescent="0.3">
      <c r="A44" s="8" t="s">
        <v>37</v>
      </c>
      <c r="B44" s="1">
        <v>2023</v>
      </c>
      <c r="C44" s="2">
        <v>0.6</v>
      </c>
    </row>
    <row r="45" spans="1:3" ht="28.8" x14ac:dyDescent="0.3">
      <c r="A45" s="8" t="s">
        <v>37</v>
      </c>
      <c r="B45" s="1">
        <v>2024</v>
      </c>
      <c r="C45" s="2">
        <v>0.6</v>
      </c>
    </row>
    <row r="46" spans="1:3" ht="28.8" x14ac:dyDescent="0.3">
      <c r="A46" s="8" t="s">
        <v>37</v>
      </c>
      <c r="B46" s="1">
        <v>2025</v>
      </c>
      <c r="C46" s="2">
        <v>0.5</v>
      </c>
    </row>
    <row r="47" spans="1:3" ht="28.8" x14ac:dyDescent="0.3">
      <c r="A47" s="8" t="s">
        <v>37</v>
      </c>
      <c r="B47" s="1">
        <v>2026</v>
      </c>
      <c r="C47" s="2">
        <v>0.5</v>
      </c>
    </row>
    <row r="48" spans="1:3" ht="28.8" x14ac:dyDescent="0.3">
      <c r="A48" s="8" t="s">
        <v>37</v>
      </c>
      <c r="B48" s="1">
        <v>2027</v>
      </c>
      <c r="C48" s="2">
        <v>0.5</v>
      </c>
    </row>
    <row r="49" spans="1:3" ht="28.8" x14ac:dyDescent="0.3">
      <c r="A49" s="8" t="s">
        <v>37</v>
      </c>
      <c r="B49" s="1">
        <v>2028</v>
      </c>
      <c r="C49" s="2">
        <v>0.5</v>
      </c>
    </row>
    <row r="50" spans="1:3" ht="28.8" x14ac:dyDescent="0.3">
      <c r="A50" s="8" t="s">
        <v>37</v>
      </c>
      <c r="B50" s="1">
        <v>2029</v>
      </c>
      <c r="C50" s="2">
        <v>0.5</v>
      </c>
    </row>
    <row r="51" spans="1:3" ht="28.8" x14ac:dyDescent="0.3">
      <c r="A51" s="8" t="s">
        <v>37</v>
      </c>
      <c r="B51" s="1">
        <v>2030</v>
      </c>
      <c r="C51" s="2">
        <v>0.5</v>
      </c>
    </row>
    <row r="52" spans="1:3" ht="28.8" x14ac:dyDescent="0.3">
      <c r="A52" s="8" t="s">
        <v>37</v>
      </c>
      <c r="B52" s="1">
        <v>2031</v>
      </c>
      <c r="C52" s="2">
        <v>0.5</v>
      </c>
    </row>
    <row r="53" spans="1:3" ht="28.8" x14ac:dyDescent="0.3">
      <c r="A53" s="8" t="s">
        <v>37</v>
      </c>
      <c r="B53" s="1">
        <v>2032</v>
      </c>
      <c r="C53" s="2">
        <v>0.5</v>
      </c>
    </row>
    <row r="54" spans="1:3" ht="28.8" x14ac:dyDescent="0.3">
      <c r="A54" s="8" t="s">
        <v>37</v>
      </c>
      <c r="B54" s="1">
        <v>2033</v>
      </c>
      <c r="C54" s="2">
        <v>0.5</v>
      </c>
    </row>
    <row r="55" spans="1:3" ht="28.8" x14ac:dyDescent="0.3">
      <c r="A55" s="8" t="s">
        <v>37</v>
      </c>
      <c r="B55" s="1">
        <v>2034</v>
      </c>
      <c r="C55" s="2">
        <v>0.5</v>
      </c>
    </row>
    <row r="56" spans="1:3" ht="28.8" x14ac:dyDescent="0.3">
      <c r="A56" s="8" t="s">
        <v>37</v>
      </c>
      <c r="B56" s="1">
        <v>2035</v>
      </c>
      <c r="C56" s="2">
        <v>0.5</v>
      </c>
    </row>
    <row r="57" spans="1:3" ht="28.8" x14ac:dyDescent="0.3">
      <c r="A57" s="8" t="s">
        <v>102</v>
      </c>
      <c r="B57" s="1">
        <v>2022</v>
      </c>
      <c r="C57" s="11">
        <v>1.35</v>
      </c>
    </row>
    <row r="58" spans="1:3" ht="28.8" x14ac:dyDescent="0.3">
      <c r="A58" s="8" t="s">
        <v>102</v>
      </c>
      <c r="B58" s="1">
        <v>2023</v>
      </c>
      <c r="C58" s="11">
        <v>1.35</v>
      </c>
    </row>
    <row r="59" spans="1:3" ht="28.8" x14ac:dyDescent="0.3">
      <c r="A59" s="8" t="s">
        <v>102</v>
      </c>
      <c r="B59" s="1">
        <v>2024</v>
      </c>
      <c r="C59" s="11">
        <v>1.35</v>
      </c>
    </row>
    <row r="60" spans="1:3" ht="28.8" x14ac:dyDescent="0.3">
      <c r="A60" s="8" t="s">
        <v>102</v>
      </c>
      <c r="B60" s="1">
        <v>2025</v>
      </c>
      <c r="C60" s="11">
        <v>1.35</v>
      </c>
    </row>
    <row r="61" spans="1:3" ht="28.8" x14ac:dyDescent="0.3">
      <c r="A61" s="8" t="s">
        <v>102</v>
      </c>
      <c r="B61" s="1">
        <v>2026</v>
      </c>
      <c r="C61" s="11">
        <v>1.35</v>
      </c>
    </row>
    <row r="62" spans="1:3" ht="28.8" x14ac:dyDescent="0.3">
      <c r="A62" s="8" t="s">
        <v>102</v>
      </c>
      <c r="B62" s="1">
        <v>2027</v>
      </c>
      <c r="C62" s="11">
        <v>1.35</v>
      </c>
    </row>
    <row r="63" spans="1:3" ht="28.8" x14ac:dyDescent="0.3">
      <c r="A63" s="8" t="s">
        <v>102</v>
      </c>
      <c r="B63" s="1">
        <v>2028</v>
      </c>
      <c r="C63" s="11">
        <v>1.35</v>
      </c>
    </row>
    <row r="64" spans="1:3" ht="28.8" x14ac:dyDescent="0.3">
      <c r="A64" s="8" t="s">
        <v>102</v>
      </c>
      <c r="B64" s="1">
        <v>2029</v>
      </c>
      <c r="C64" s="11">
        <v>1.35</v>
      </c>
    </row>
    <row r="65" spans="1:3" ht="28.8" x14ac:dyDescent="0.3">
      <c r="A65" s="8" t="s">
        <v>102</v>
      </c>
      <c r="B65" s="1">
        <v>2030</v>
      </c>
      <c r="C65" s="11">
        <v>1.35</v>
      </c>
    </row>
    <row r="66" spans="1:3" ht="28.8" x14ac:dyDescent="0.3">
      <c r="A66" s="8" t="s">
        <v>102</v>
      </c>
      <c r="B66" s="1">
        <v>2031</v>
      </c>
      <c r="C66" s="11">
        <v>1.35</v>
      </c>
    </row>
    <row r="67" spans="1:3" ht="28.8" x14ac:dyDescent="0.3">
      <c r="A67" s="8" t="s">
        <v>102</v>
      </c>
      <c r="B67" s="1">
        <v>2032</v>
      </c>
      <c r="C67" s="11">
        <v>1.35</v>
      </c>
    </row>
    <row r="68" spans="1:3" ht="28.8" x14ac:dyDescent="0.3">
      <c r="A68" s="8" t="s">
        <v>102</v>
      </c>
      <c r="B68" s="1">
        <v>2033</v>
      </c>
      <c r="C68" s="11">
        <v>1.35</v>
      </c>
    </row>
    <row r="69" spans="1:3" ht="28.8" x14ac:dyDescent="0.3">
      <c r="A69" s="8" t="s">
        <v>102</v>
      </c>
      <c r="B69" s="1">
        <v>2034</v>
      </c>
      <c r="C69" s="11">
        <v>1.35</v>
      </c>
    </row>
    <row r="70" spans="1:3" ht="28.8" x14ac:dyDescent="0.3">
      <c r="A70" s="8" t="s">
        <v>102</v>
      </c>
      <c r="B70" s="1">
        <v>2035</v>
      </c>
      <c r="C70" s="11">
        <v>1.35</v>
      </c>
    </row>
    <row r="71" spans="1:3" ht="28.8" x14ac:dyDescent="0.3">
      <c r="A71" s="8" t="s">
        <v>103</v>
      </c>
      <c r="B71" s="1">
        <v>2022</v>
      </c>
      <c r="C71" s="11">
        <v>1.1499999999999999</v>
      </c>
    </row>
    <row r="72" spans="1:3" ht="28.8" x14ac:dyDescent="0.3">
      <c r="A72" s="8" t="s">
        <v>103</v>
      </c>
      <c r="B72" s="1">
        <v>2023</v>
      </c>
      <c r="C72" s="11">
        <v>1.1499999999999999</v>
      </c>
    </row>
    <row r="73" spans="1:3" ht="28.8" x14ac:dyDescent="0.3">
      <c r="A73" s="8" t="s">
        <v>103</v>
      </c>
      <c r="B73" s="1">
        <v>2024</v>
      </c>
      <c r="C73" s="11">
        <v>1.1499999999999999</v>
      </c>
    </row>
    <row r="74" spans="1:3" ht="28.8" x14ac:dyDescent="0.3">
      <c r="A74" s="8" t="s">
        <v>103</v>
      </c>
      <c r="B74" s="1">
        <v>2025</v>
      </c>
      <c r="C74" s="11">
        <v>1.1499999999999999</v>
      </c>
    </row>
    <row r="75" spans="1:3" ht="28.8" x14ac:dyDescent="0.3">
      <c r="A75" s="8" t="s">
        <v>103</v>
      </c>
      <c r="B75" s="1">
        <v>2026</v>
      </c>
      <c r="C75" s="11">
        <v>1.1499999999999999</v>
      </c>
    </row>
    <row r="76" spans="1:3" ht="28.8" x14ac:dyDescent="0.3">
      <c r="A76" s="8" t="s">
        <v>103</v>
      </c>
      <c r="B76" s="1">
        <v>2027</v>
      </c>
      <c r="C76" s="11">
        <v>1.1499999999999999</v>
      </c>
    </row>
    <row r="77" spans="1:3" ht="28.8" x14ac:dyDescent="0.3">
      <c r="A77" s="8" t="s">
        <v>103</v>
      </c>
      <c r="B77" s="1">
        <v>2028</v>
      </c>
      <c r="C77" s="11">
        <v>1.1499999999999999</v>
      </c>
    </row>
    <row r="78" spans="1:3" ht="28.8" x14ac:dyDescent="0.3">
      <c r="A78" s="8" t="s">
        <v>103</v>
      </c>
      <c r="B78" s="1">
        <v>2029</v>
      </c>
      <c r="C78" s="11">
        <v>1.1499999999999999</v>
      </c>
    </row>
    <row r="79" spans="1:3" ht="28.8" x14ac:dyDescent="0.3">
      <c r="A79" s="8" t="s">
        <v>103</v>
      </c>
      <c r="B79" s="1">
        <v>2030</v>
      </c>
      <c r="C79" s="11">
        <v>1.1499999999999999</v>
      </c>
    </row>
    <row r="80" spans="1:3" ht="28.8" x14ac:dyDescent="0.3">
      <c r="A80" s="8" t="s">
        <v>103</v>
      </c>
      <c r="B80" s="1">
        <v>2031</v>
      </c>
      <c r="C80" s="11">
        <v>1.1499999999999999</v>
      </c>
    </row>
    <row r="81" spans="1:3" ht="28.8" x14ac:dyDescent="0.3">
      <c r="A81" s="8" t="s">
        <v>103</v>
      </c>
      <c r="B81" s="1">
        <v>2032</v>
      </c>
      <c r="C81" s="11">
        <v>1.1499999999999999</v>
      </c>
    </row>
    <row r="82" spans="1:3" ht="28.8" x14ac:dyDescent="0.3">
      <c r="A82" s="8" t="s">
        <v>103</v>
      </c>
      <c r="B82" s="1">
        <v>2033</v>
      </c>
      <c r="C82" s="11">
        <v>1.1499999999999999</v>
      </c>
    </row>
    <row r="83" spans="1:3" ht="28.8" x14ac:dyDescent="0.3">
      <c r="A83" s="8" t="s">
        <v>103</v>
      </c>
      <c r="B83" s="1">
        <v>2034</v>
      </c>
      <c r="C83" s="11">
        <v>1.1499999999999999</v>
      </c>
    </row>
    <row r="84" spans="1:3" ht="28.8" x14ac:dyDescent="0.3">
      <c r="A84" s="8" t="s">
        <v>103</v>
      </c>
      <c r="B84" s="1">
        <v>2035</v>
      </c>
      <c r="C84" s="11">
        <v>1.1499999999999999</v>
      </c>
    </row>
    <row r="85" spans="1:3" ht="28.8" x14ac:dyDescent="0.3">
      <c r="A85" s="8" t="s">
        <v>113</v>
      </c>
      <c r="B85" s="1">
        <v>2022</v>
      </c>
      <c r="C85" s="11">
        <v>1.55</v>
      </c>
    </row>
    <row r="86" spans="1:3" ht="28.8" x14ac:dyDescent="0.3">
      <c r="A86" s="8" t="s">
        <v>113</v>
      </c>
      <c r="B86" s="1">
        <v>2023</v>
      </c>
      <c r="C86" s="11">
        <v>1.55</v>
      </c>
    </row>
    <row r="87" spans="1:3" ht="28.8" x14ac:dyDescent="0.3">
      <c r="A87" s="8" t="s">
        <v>113</v>
      </c>
      <c r="B87" s="1">
        <v>2024</v>
      </c>
      <c r="C87" s="11">
        <v>1.55</v>
      </c>
    </row>
    <row r="88" spans="1:3" ht="28.8" x14ac:dyDescent="0.3">
      <c r="A88" s="8" t="s">
        <v>113</v>
      </c>
      <c r="B88" s="1">
        <v>2025</v>
      </c>
      <c r="C88" s="11">
        <v>1.55</v>
      </c>
    </row>
    <row r="89" spans="1:3" ht="28.8" x14ac:dyDescent="0.3">
      <c r="A89" s="8" t="s">
        <v>113</v>
      </c>
      <c r="B89" s="1">
        <v>2026</v>
      </c>
      <c r="C89" s="11">
        <v>1.55</v>
      </c>
    </row>
    <row r="90" spans="1:3" ht="28.8" x14ac:dyDescent="0.3">
      <c r="A90" s="8" t="s">
        <v>113</v>
      </c>
      <c r="B90" s="1">
        <v>2027</v>
      </c>
      <c r="C90" s="11">
        <v>1.55</v>
      </c>
    </row>
    <row r="91" spans="1:3" ht="28.8" x14ac:dyDescent="0.3">
      <c r="A91" s="8" t="s">
        <v>113</v>
      </c>
      <c r="B91" s="1">
        <v>2028</v>
      </c>
      <c r="C91" s="11">
        <v>1.55</v>
      </c>
    </row>
    <row r="92" spans="1:3" ht="28.8" x14ac:dyDescent="0.3">
      <c r="A92" s="8" t="s">
        <v>113</v>
      </c>
      <c r="B92" s="1">
        <v>2029</v>
      </c>
      <c r="C92" s="11">
        <v>1.55</v>
      </c>
    </row>
    <row r="93" spans="1:3" ht="28.8" x14ac:dyDescent="0.3">
      <c r="A93" s="8" t="s">
        <v>113</v>
      </c>
      <c r="B93" s="1">
        <v>2030</v>
      </c>
      <c r="C93" s="11">
        <v>1.55</v>
      </c>
    </row>
    <row r="94" spans="1:3" ht="28.8" x14ac:dyDescent="0.3">
      <c r="A94" s="8" t="s">
        <v>113</v>
      </c>
      <c r="B94" s="1">
        <v>2031</v>
      </c>
      <c r="C94" s="11">
        <v>1.55</v>
      </c>
    </row>
    <row r="95" spans="1:3" ht="28.8" x14ac:dyDescent="0.3">
      <c r="A95" s="8" t="s">
        <v>113</v>
      </c>
      <c r="B95" s="1">
        <v>2032</v>
      </c>
      <c r="C95" s="11">
        <v>1.55</v>
      </c>
    </row>
    <row r="96" spans="1:3" ht="28.8" x14ac:dyDescent="0.3">
      <c r="A96" s="8" t="s">
        <v>113</v>
      </c>
      <c r="B96" s="1">
        <v>2033</v>
      </c>
      <c r="C96" s="11">
        <v>1.55</v>
      </c>
    </row>
    <row r="97" spans="1:3" ht="28.8" x14ac:dyDescent="0.3">
      <c r="A97" s="8" t="s">
        <v>113</v>
      </c>
      <c r="B97" s="1">
        <v>2034</v>
      </c>
      <c r="C97" s="11">
        <v>1.55</v>
      </c>
    </row>
    <row r="98" spans="1:3" ht="28.8" x14ac:dyDescent="0.3">
      <c r="A98" s="8" t="s">
        <v>113</v>
      </c>
      <c r="B98" s="1">
        <v>2035</v>
      </c>
      <c r="C98" s="11">
        <v>1.55</v>
      </c>
    </row>
    <row r="99" spans="1:3" ht="28.8" x14ac:dyDescent="0.3">
      <c r="A99" s="8" t="s">
        <v>114</v>
      </c>
      <c r="B99" s="1">
        <v>2022</v>
      </c>
      <c r="C99" s="11">
        <v>0.95</v>
      </c>
    </row>
    <row r="100" spans="1:3" ht="28.8" x14ac:dyDescent="0.3">
      <c r="A100" s="8" t="s">
        <v>114</v>
      </c>
      <c r="B100" s="1">
        <v>2023</v>
      </c>
      <c r="C100" s="11">
        <v>0.95</v>
      </c>
    </row>
    <row r="101" spans="1:3" ht="28.8" x14ac:dyDescent="0.3">
      <c r="A101" s="8" t="s">
        <v>114</v>
      </c>
      <c r="B101" s="1">
        <v>2024</v>
      </c>
      <c r="C101" s="11">
        <v>0.95</v>
      </c>
    </row>
    <row r="102" spans="1:3" ht="28.8" x14ac:dyDescent="0.3">
      <c r="A102" s="8" t="s">
        <v>114</v>
      </c>
      <c r="B102" s="1">
        <v>2025</v>
      </c>
      <c r="C102" s="11">
        <v>0.95</v>
      </c>
    </row>
    <row r="103" spans="1:3" ht="28.8" x14ac:dyDescent="0.3">
      <c r="A103" s="8" t="s">
        <v>114</v>
      </c>
      <c r="B103" s="1">
        <v>2026</v>
      </c>
      <c r="C103" s="11">
        <v>0.95</v>
      </c>
    </row>
    <row r="104" spans="1:3" ht="28.8" x14ac:dyDescent="0.3">
      <c r="A104" s="8" t="s">
        <v>114</v>
      </c>
      <c r="B104" s="1">
        <v>2027</v>
      </c>
      <c r="C104" s="11">
        <v>0.95</v>
      </c>
    </row>
    <row r="105" spans="1:3" ht="28.8" x14ac:dyDescent="0.3">
      <c r="A105" s="8" t="s">
        <v>114</v>
      </c>
      <c r="B105" s="1">
        <v>2028</v>
      </c>
      <c r="C105" s="11">
        <v>0.95</v>
      </c>
    </row>
    <row r="106" spans="1:3" ht="28.8" x14ac:dyDescent="0.3">
      <c r="A106" s="8" t="s">
        <v>114</v>
      </c>
      <c r="B106" s="1">
        <v>2029</v>
      </c>
      <c r="C106" s="11">
        <v>0.95</v>
      </c>
    </row>
    <row r="107" spans="1:3" ht="28.8" x14ac:dyDescent="0.3">
      <c r="A107" s="8" t="s">
        <v>114</v>
      </c>
      <c r="B107" s="1">
        <v>2030</v>
      </c>
      <c r="C107" s="11">
        <v>0.95</v>
      </c>
    </row>
    <row r="108" spans="1:3" ht="28.8" x14ac:dyDescent="0.3">
      <c r="A108" s="8" t="s">
        <v>114</v>
      </c>
      <c r="B108" s="1">
        <v>2031</v>
      </c>
      <c r="C108" s="11">
        <v>0.95</v>
      </c>
    </row>
    <row r="109" spans="1:3" ht="28.8" x14ac:dyDescent="0.3">
      <c r="A109" s="8" t="s">
        <v>114</v>
      </c>
      <c r="B109" s="1">
        <v>2032</v>
      </c>
      <c r="C109" s="11">
        <v>0.95</v>
      </c>
    </row>
    <row r="110" spans="1:3" ht="28.8" x14ac:dyDescent="0.3">
      <c r="A110" s="8" t="s">
        <v>114</v>
      </c>
      <c r="B110" s="1">
        <v>2033</v>
      </c>
      <c r="C110" s="11">
        <v>0.95</v>
      </c>
    </row>
    <row r="111" spans="1:3" ht="28.8" x14ac:dyDescent="0.3">
      <c r="A111" s="8" t="s">
        <v>114</v>
      </c>
      <c r="B111" s="1">
        <v>2034</v>
      </c>
      <c r="C111" s="11">
        <v>0.95</v>
      </c>
    </row>
    <row r="112" spans="1:3" ht="28.8" x14ac:dyDescent="0.3">
      <c r="A112" s="8" t="s">
        <v>114</v>
      </c>
      <c r="B112" s="1">
        <v>2035</v>
      </c>
      <c r="C112" s="11">
        <v>0.95</v>
      </c>
    </row>
    <row r="113" spans="1:3" ht="28.8" x14ac:dyDescent="0.3">
      <c r="A113" s="8" t="s">
        <v>104</v>
      </c>
      <c r="B113" s="1">
        <v>2022</v>
      </c>
      <c r="C113" s="2" t="s">
        <v>12</v>
      </c>
    </row>
    <row r="114" spans="1:3" ht="28.8" x14ac:dyDescent="0.3">
      <c r="A114" s="8" t="s">
        <v>104</v>
      </c>
      <c r="B114" s="1">
        <v>2023</v>
      </c>
      <c r="C114" s="2" t="s">
        <v>12</v>
      </c>
    </row>
    <row r="115" spans="1:3" ht="28.8" x14ac:dyDescent="0.3">
      <c r="A115" s="8" t="s">
        <v>104</v>
      </c>
      <c r="B115" s="1">
        <v>2024</v>
      </c>
      <c r="C115" s="2" t="s">
        <v>12</v>
      </c>
    </row>
    <row r="116" spans="1:3" ht="28.8" x14ac:dyDescent="0.3">
      <c r="A116" s="8" t="s">
        <v>104</v>
      </c>
      <c r="B116" s="1">
        <v>2025</v>
      </c>
      <c r="C116" s="2" t="s">
        <v>12</v>
      </c>
    </row>
    <row r="117" spans="1:3" ht="28.8" x14ac:dyDescent="0.3">
      <c r="A117" s="8" t="s">
        <v>104</v>
      </c>
      <c r="B117" s="1">
        <v>2026</v>
      </c>
      <c r="C117" s="2" t="s">
        <v>12</v>
      </c>
    </row>
    <row r="118" spans="1:3" ht="28.8" x14ac:dyDescent="0.3">
      <c r="A118" s="8" t="s">
        <v>104</v>
      </c>
      <c r="B118" s="1">
        <v>2027</v>
      </c>
      <c r="C118" s="2" t="s">
        <v>12</v>
      </c>
    </row>
    <row r="119" spans="1:3" ht="28.8" x14ac:dyDescent="0.3">
      <c r="A119" s="8" t="s">
        <v>104</v>
      </c>
      <c r="B119" s="1">
        <v>2028</v>
      </c>
      <c r="C119" s="2" t="s">
        <v>12</v>
      </c>
    </row>
    <row r="120" spans="1:3" ht="28.8" x14ac:dyDescent="0.3">
      <c r="A120" s="8" t="s">
        <v>104</v>
      </c>
      <c r="B120" s="1">
        <v>2029</v>
      </c>
      <c r="C120" s="2" t="s">
        <v>12</v>
      </c>
    </row>
    <row r="121" spans="1:3" ht="28.8" x14ac:dyDescent="0.3">
      <c r="A121" s="8" t="s">
        <v>104</v>
      </c>
      <c r="B121" s="1">
        <v>2030</v>
      </c>
      <c r="C121" s="2" t="s">
        <v>12</v>
      </c>
    </row>
    <row r="122" spans="1:3" ht="28.8" x14ac:dyDescent="0.3">
      <c r="A122" s="8" t="s">
        <v>104</v>
      </c>
      <c r="B122" s="1">
        <v>2031</v>
      </c>
      <c r="C122" s="2" t="s">
        <v>12</v>
      </c>
    </row>
    <row r="123" spans="1:3" ht="28.8" x14ac:dyDescent="0.3">
      <c r="A123" s="8" t="s">
        <v>104</v>
      </c>
      <c r="B123" s="1">
        <v>2032</v>
      </c>
      <c r="C123" s="2" t="s">
        <v>12</v>
      </c>
    </row>
    <row r="124" spans="1:3" ht="28.8" x14ac:dyDescent="0.3">
      <c r="A124" s="8" t="s">
        <v>104</v>
      </c>
      <c r="B124" s="1">
        <v>2033</v>
      </c>
      <c r="C124" s="2" t="s">
        <v>12</v>
      </c>
    </row>
    <row r="125" spans="1:3" ht="28.8" x14ac:dyDescent="0.3">
      <c r="A125" s="8" t="s">
        <v>104</v>
      </c>
      <c r="B125" s="1">
        <v>2034</v>
      </c>
      <c r="C125" s="2" t="s">
        <v>12</v>
      </c>
    </row>
    <row r="126" spans="1:3" ht="28.8" x14ac:dyDescent="0.3">
      <c r="A126" s="8" t="s">
        <v>104</v>
      </c>
      <c r="B126" s="1">
        <v>2035</v>
      </c>
      <c r="C126" s="2" t="s">
        <v>12</v>
      </c>
    </row>
    <row r="127" spans="1:3" ht="28.8" x14ac:dyDescent="0.3">
      <c r="A127" s="8" t="s">
        <v>105</v>
      </c>
      <c r="B127" s="1">
        <v>2022</v>
      </c>
      <c r="C127" s="11">
        <v>0.8</v>
      </c>
    </row>
    <row r="128" spans="1:3" ht="28.8" x14ac:dyDescent="0.3">
      <c r="A128" s="8" t="s">
        <v>105</v>
      </c>
      <c r="B128" s="1">
        <v>2023</v>
      </c>
      <c r="C128" s="11">
        <v>0.8</v>
      </c>
    </row>
    <row r="129" spans="1:3" ht="28.8" x14ac:dyDescent="0.3">
      <c r="A129" s="8" t="s">
        <v>105</v>
      </c>
      <c r="B129" s="1">
        <v>2024</v>
      </c>
      <c r="C129" s="11">
        <v>0.8</v>
      </c>
    </row>
    <row r="130" spans="1:3" ht="28.8" x14ac:dyDescent="0.3">
      <c r="A130" s="8" t="s">
        <v>105</v>
      </c>
      <c r="B130" s="1">
        <v>2025</v>
      </c>
      <c r="C130" s="11">
        <v>0.8</v>
      </c>
    </row>
    <row r="131" spans="1:3" ht="28.8" x14ac:dyDescent="0.3">
      <c r="A131" s="8" t="s">
        <v>105</v>
      </c>
      <c r="B131" s="1">
        <v>2026</v>
      </c>
      <c r="C131" s="11">
        <v>0.8</v>
      </c>
    </row>
    <row r="132" spans="1:3" ht="28.8" x14ac:dyDescent="0.3">
      <c r="A132" s="8" t="s">
        <v>105</v>
      </c>
      <c r="B132" s="1">
        <v>2027</v>
      </c>
      <c r="C132" s="11">
        <v>0.8</v>
      </c>
    </row>
    <row r="133" spans="1:3" ht="28.8" x14ac:dyDescent="0.3">
      <c r="A133" s="8" t="s">
        <v>105</v>
      </c>
      <c r="B133" s="1">
        <v>2028</v>
      </c>
      <c r="C133" s="11">
        <v>0.8</v>
      </c>
    </row>
    <row r="134" spans="1:3" ht="28.8" x14ac:dyDescent="0.3">
      <c r="A134" s="8" t="s">
        <v>105</v>
      </c>
      <c r="B134" s="1">
        <v>2029</v>
      </c>
      <c r="C134" s="11">
        <v>0.8</v>
      </c>
    </row>
    <row r="135" spans="1:3" ht="28.8" x14ac:dyDescent="0.3">
      <c r="A135" s="8" t="s">
        <v>105</v>
      </c>
      <c r="B135" s="1">
        <v>2030</v>
      </c>
      <c r="C135" s="11">
        <v>0.8</v>
      </c>
    </row>
    <row r="136" spans="1:3" ht="28.8" x14ac:dyDescent="0.3">
      <c r="A136" s="8" t="s">
        <v>105</v>
      </c>
      <c r="B136" s="1">
        <v>2031</v>
      </c>
      <c r="C136" s="11">
        <v>0.8</v>
      </c>
    </row>
    <row r="137" spans="1:3" ht="28.8" x14ac:dyDescent="0.3">
      <c r="A137" s="8" t="s">
        <v>105</v>
      </c>
      <c r="B137" s="1">
        <v>2032</v>
      </c>
      <c r="C137" s="11">
        <v>0.8</v>
      </c>
    </row>
    <row r="138" spans="1:3" ht="28.8" x14ac:dyDescent="0.3">
      <c r="A138" s="8" t="s">
        <v>105</v>
      </c>
      <c r="B138" s="1">
        <v>2033</v>
      </c>
      <c r="C138" s="11">
        <v>0.8</v>
      </c>
    </row>
    <row r="139" spans="1:3" ht="28.8" x14ac:dyDescent="0.3">
      <c r="A139" s="8" t="s">
        <v>105</v>
      </c>
      <c r="B139" s="1">
        <v>2034</v>
      </c>
      <c r="C139" s="11">
        <v>0.8</v>
      </c>
    </row>
    <row r="140" spans="1:3" ht="28.8" x14ac:dyDescent="0.3">
      <c r="A140" s="8" t="s">
        <v>105</v>
      </c>
      <c r="B140" s="1">
        <v>2035</v>
      </c>
      <c r="C140" s="11">
        <v>0.8</v>
      </c>
    </row>
    <row r="141" spans="1:3" ht="28.8" x14ac:dyDescent="0.3">
      <c r="A141" s="8" t="s">
        <v>115</v>
      </c>
      <c r="B141" s="1">
        <v>2022</v>
      </c>
      <c r="C141" s="11">
        <v>1.85</v>
      </c>
    </row>
    <row r="142" spans="1:3" ht="28.8" x14ac:dyDescent="0.3">
      <c r="A142" s="8" t="s">
        <v>115</v>
      </c>
      <c r="B142" s="1">
        <v>2023</v>
      </c>
      <c r="C142" s="11">
        <v>1.85</v>
      </c>
    </row>
    <row r="143" spans="1:3" ht="28.8" x14ac:dyDescent="0.3">
      <c r="A143" s="8" t="s">
        <v>115</v>
      </c>
      <c r="B143" s="1">
        <v>2024</v>
      </c>
      <c r="C143" s="11">
        <v>1.85</v>
      </c>
    </row>
    <row r="144" spans="1:3" ht="28.8" x14ac:dyDescent="0.3">
      <c r="A144" s="8" t="s">
        <v>115</v>
      </c>
      <c r="B144" s="1">
        <v>2025</v>
      </c>
      <c r="C144" s="11">
        <v>1.85</v>
      </c>
    </row>
    <row r="145" spans="1:3" ht="28.8" x14ac:dyDescent="0.3">
      <c r="A145" s="8" t="s">
        <v>115</v>
      </c>
      <c r="B145" s="1">
        <v>2026</v>
      </c>
      <c r="C145" s="11">
        <v>1.85</v>
      </c>
    </row>
    <row r="146" spans="1:3" ht="28.8" x14ac:dyDescent="0.3">
      <c r="A146" s="8" t="s">
        <v>115</v>
      </c>
      <c r="B146" s="1">
        <v>2027</v>
      </c>
      <c r="C146" s="11">
        <v>1.85</v>
      </c>
    </row>
    <row r="147" spans="1:3" ht="28.8" x14ac:dyDescent="0.3">
      <c r="A147" s="8" t="s">
        <v>115</v>
      </c>
      <c r="B147" s="1">
        <v>2028</v>
      </c>
      <c r="C147" s="11">
        <v>1.85</v>
      </c>
    </row>
    <row r="148" spans="1:3" ht="28.8" x14ac:dyDescent="0.3">
      <c r="A148" s="8" t="s">
        <v>115</v>
      </c>
      <c r="B148" s="1">
        <v>2029</v>
      </c>
      <c r="C148" s="11">
        <v>1.85</v>
      </c>
    </row>
    <row r="149" spans="1:3" ht="28.8" x14ac:dyDescent="0.3">
      <c r="A149" s="8" t="s">
        <v>115</v>
      </c>
      <c r="B149" s="1">
        <v>2030</v>
      </c>
      <c r="C149" s="11">
        <v>1.85</v>
      </c>
    </row>
    <row r="150" spans="1:3" ht="28.8" x14ac:dyDescent="0.3">
      <c r="A150" s="8" t="s">
        <v>115</v>
      </c>
      <c r="B150" s="1">
        <v>2031</v>
      </c>
      <c r="C150" s="11">
        <v>1.85</v>
      </c>
    </row>
    <row r="151" spans="1:3" ht="28.8" x14ac:dyDescent="0.3">
      <c r="A151" s="8" t="s">
        <v>115</v>
      </c>
      <c r="B151" s="1">
        <v>2032</v>
      </c>
      <c r="C151" s="11">
        <v>1.85</v>
      </c>
    </row>
    <row r="152" spans="1:3" ht="28.8" x14ac:dyDescent="0.3">
      <c r="A152" s="8" t="s">
        <v>115</v>
      </c>
      <c r="B152" s="1">
        <v>2033</v>
      </c>
      <c r="C152" s="11">
        <v>1.85</v>
      </c>
    </row>
    <row r="153" spans="1:3" ht="28.8" x14ac:dyDescent="0.3">
      <c r="A153" s="8" t="s">
        <v>115</v>
      </c>
      <c r="B153" s="1">
        <v>2034</v>
      </c>
      <c r="C153" s="11">
        <v>1.85</v>
      </c>
    </row>
    <row r="154" spans="1:3" ht="28.8" x14ac:dyDescent="0.3">
      <c r="A154" s="8" t="s">
        <v>115</v>
      </c>
      <c r="B154" s="1">
        <v>2035</v>
      </c>
      <c r="C154" s="11">
        <v>1.85</v>
      </c>
    </row>
    <row r="155" spans="1:3" ht="28.8" x14ac:dyDescent="0.3">
      <c r="A155" s="8" t="s">
        <v>116</v>
      </c>
      <c r="B155" s="1">
        <v>2022</v>
      </c>
      <c r="C155" s="11">
        <v>1.25</v>
      </c>
    </row>
    <row r="156" spans="1:3" ht="28.8" x14ac:dyDescent="0.3">
      <c r="A156" s="8" t="s">
        <v>116</v>
      </c>
      <c r="B156" s="1">
        <v>2023</v>
      </c>
      <c r="C156" s="11">
        <v>1.25</v>
      </c>
    </row>
    <row r="157" spans="1:3" ht="28.8" x14ac:dyDescent="0.3">
      <c r="A157" s="8" t="s">
        <v>116</v>
      </c>
      <c r="B157" s="1">
        <v>2024</v>
      </c>
      <c r="C157" s="11">
        <v>1.25</v>
      </c>
    </row>
    <row r="158" spans="1:3" ht="28.8" x14ac:dyDescent="0.3">
      <c r="A158" s="8" t="s">
        <v>116</v>
      </c>
      <c r="B158" s="1">
        <v>2025</v>
      </c>
      <c r="C158" s="11">
        <v>1.25</v>
      </c>
    </row>
    <row r="159" spans="1:3" ht="28.8" x14ac:dyDescent="0.3">
      <c r="A159" s="8" t="s">
        <v>116</v>
      </c>
      <c r="B159" s="1">
        <v>2026</v>
      </c>
      <c r="C159" s="11">
        <v>1.25</v>
      </c>
    </row>
    <row r="160" spans="1:3" ht="28.8" x14ac:dyDescent="0.3">
      <c r="A160" s="8" t="s">
        <v>116</v>
      </c>
      <c r="B160" s="1">
        <v>2027</v>
      </c>
      <c r="C160" s="11">
        <v>1.25</v>
      </c>
    </row>
    <row r="161" spans="1:3" ht="28.8" x14ac:dyDescent="0.3">
      <c r="A161" s="8" t="s">
        <v>116</v>
      </c>
      <c r="B161" s="1">
        <v>2028</v>
      </c>
      <c r="C161" s="11">
        <v>1.25</v>
      </c>
    </row>
    <row r="162" spans="1:3" ht="28.8" x14ac:dyDescent="0.3">
      <c r="A162" s="8" t="s">
        <v>116</v>
      </c>
      <c r="B162" s="1">
        <v>2029</v>
      </c>
      <c r="C162" s="11">
        <v>1.25</v>
      </c>
    </row>
    <row r="163" spans="1:3" ht="28.8" x14ac:dyDescent="0.3">
      <c r="A163" s="8" t="s">
        <v>116</v>
      </c>
      <c r="B163" s="1">
        <v>2030</v>
      </c>
      <c r="C163" s="11">
        <v>1.25</v>
      </c>
    </row>
    <row r="164" spans="1:3" ht="28.8" x14ac:dyDescent="0.3">
      <c r="A164" s="8" t="s">
        <v>116</v>
      </c>
      <c r="B164" s="1">
        <v>2031</v>
      </c>
      <c r="C164" s="11">
        <v>1.25</v>
      </c>
    </row>
    <row r="165" spans="1:3" ht="28.8" x14ac:dyDescent="0.3">
      <c r="A165" s="8" t="s">
        <v>116</v>
      </c>
      <c r="B165" s="1">
        <v>2032</v>
      </c>
      <c r="C165" s="11">
        <v>1.25</v>
      </c>
    </row>
    <row r="166" spans="1:3" ht="28.8" x14ac:dyDescent="0.3">
      <c r="A166" s="8" t="s">
        <v>116</v>
      </c>
      <c r="B166" s="1">
        <v>2033</v>
      </c>
      <c r="C166" s="11">
        <v>1.25</v>
      </c>
    </row>
    <row r="167" spans="1:3" ht="28.8" x14ac:dyDescent="0.3">
      <c r="A167" s="8" t="s">
        <v>116</v>
      </c>
      <c r="B167" s="1">
        <v>2034</v>
      </c>
      <c r="C167" s="11">
        <v>1.25</v>
      </c>
    </row>
    <row r="168" spans="1:3" ht="28.8" x14ac:dyDescent="0.3">
      <c r="A168" s="8" t="s">
        <v>116</v>
      </c>
      <c r="B168" s="1">
        <v>2035</v>
      </c>
      <c r="C168" s="11">
        <v>1.25</v>
      </c>
    </row>
  </sheetData>
  <pageMargins left="0.7" right="0.7" top="0.75" bottom="0.75" header="0.3" footer="0.3"/>
  <pageSetup orientation="portrait" r:id="rId1"/>
  <headerFooter>
    <oddHeader>&amp;L&amp;"Calibri"&amp;10&amp;K000000Classified as Internal&amp;1#</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FA1738-9013-4C85-9AD3-9D6F1A1E81DD}">
  <sheetPr codeName="Sheet3"/>
  <dimension ref="A1:E21"/>
  <sheetViews>
    <sheetView topLeftCell="A9" workbookViewId="0">
      <selection activeCell="C22" sqref="C22"/>
    </sheetView>
  </sheetViews>
  <sheetFormatPr defaultColWidth="8.77734375" defaultRowHeight="14.4" x14ac:dyDescent="0.3"/>
  <cols>
    <col min="2" max="2" width="9.109375" bestFit="1" customWidth="1"/>
  </cols>
  <sheetData>
    <row r="1" spans="1:5" x14ac:dyDescent="0.3">
      <c r="A1" t="s">
        <v>40</v>
      </c>
      <c r="B1" t="s">
        <v>41</v>
      </c>
      <c r="C1" t="s">
        <v>42</v>
      </c>
    </row>
    <row r="2" spans="1:5" x14ac:dyDescent="0.3">
      <c r="A2">
        <v>2.2000000000000002</v>
      </c>
      <c r="B2" s="12" t="s">
        <v>44</v>
      </c>
      <c r="C2" t="s">
        <v>39</v>
      </c>
    </row>
    <row r="3" spans="1:5" x14ac:dyDescent="0.3">
      <c r="A3">
        <v>2.2999999999999998</v>
      </c>
      <c r="B3" t="s">
        <v>43</v>
      </c>
      <c r="C3" t="s">
        <v>45</v>
      </c>
    </row>
    <row r="4" spans="1:5" x14ac:dyDescent="0.3">
      <c r="A4">
        <v>2.2999999999999998</v>
      </c>
      <c r="B4" t="s">
        <v>46</v>
      </c>
      <c r="C4" t="s">
        <v>47</v>
      </c>
    </row>
    <row r="6" spans="1:5" x14ac:dyDescent="0.3">
      <c r="A6" s="313">
        <v>3</v>
      </c>
      <c r="B6" s="311">
        <v>45536</v>
      </c>
      <c r="C6" t="s">
        <v>125</v>
      </c>
    </row>
    <row r="7" spans="1:5" x14ac:dyDescent="0.3">
      <c r="A7" s="312">
        <v>3.1</v>
      </c>
      <c r="B7" s="314">
        <v>45764</v>
      </c>
      <c r="C7" t="s">
        <v>126</v>
      </c>
    </row>
    <row r="8" spans="1:5" x14ac:dyDescent="0.3">
      <c r="D8" t="s">
        <v>127</v>
      </c>
    </row>
    <row r="9" spans="1:5" x14ac:dyDescent="0.3">
      <c r="D9" t="s">
        <v>128</v>
      </c>
    </row>
    <row r="10" spans="1:5" x14ac:dyDescent="0.3">
      <c r="D10" t="s">
        <v>129</v>
      </c>
    </row>
    <row r="11" spans="1:5" x14ac:dyDescent="0.3">
      <c r="D11" t="s">
        <v>131</v>
      </c>
    </row>
    <row r="12" spans="1:5" x14ac:dyDescent="0.3">
      <c r="E12" t="s">
        <v>132</v>
      </c>
    </row>
    <row r="13" spans="1:5" x14ac:dyDescent="0.3">
      <c r="E13" t="s">
        <v>133</v>
      </c>
    </row>
    <row r="14" spans="1:5" x14ac:dyDescent="0.3">
      <c r="A14">
        <v>3.2</v>
      </c>
      <c r="B14" s="311">
        <v>45839</v>
      </c>
      <c r="C14" t="s">
        <v>135</v>
      </c>
    </row>
    <row r="16" spans="1:5" x14ac:dyDescent="0.3">
      <c r="A16">
        <v>3.3</v>
      </c>
      <c r="B16" t="s">
        <v>137</v>
      </c>
      <c r="C16" t="s">
        <v>138</v>
      </c>
    </row>
    <row r="17" spans="3:3" x14ac:dyDescent="0.3">
      <c r="C17" t="s">
        <v>140</v>
      </c>
    </row>
    <row r="18" spans="3:3" x14ac:dyDescent="0.3">
      <c r="C18" t="s">
        <v>143</v>
      </c>
    </row>
    <row r="19" spans="3:3" x14ac:dyDescent="0.3">
      <c r="C19" t="s">
        <v>164</v>
      </c>
    </row>
    <row r="20" spans="3:3" x14ac:dyDescent="0.3">
      <c r="C20" t="s">
        <v>165</v>
      </c>
    </row>
    <row r="21" spans="3:3" x14ac:dyDescent="0.3">
      <c r="C21" t="s">
        <v>167</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C89426CD6990C48B571977008B5B929" ma:contentTypeVersion="13" ma:contentTypeDescription="Create a new document." ma:contentTypeScope="" ma:versionID="0e01c7bc96b6eed3db98ed54fdc55eb5">
  <xsd:schema xmlns:xsd="http://www.w3.org/2001/XMLSchema" xmlns:xs="http://www.w3.org/2001/XMLSchema" xmlns:p="http://schemas.microsoft.com/office/2006/metadata/properties" xmlns:ns3="6825cbcc-075a-4232-9296-e9bac03f9e0c" xmlns:ns4="6f211968-1ce9-4ce8-bc32-9c87e03ae60e" targetNamespace="http://schemas.microsoft.com/office/2006/metadata/properties" ma:root="true" ma:fieldsID="3d38f0102057625f23cc481bc4af9216" ns3:_="" ns4:_="">
    <xsd:import namespace="6825cbcc-075a-4232-9296-e9bac03f9e0c"/>
    <xsd:import namespace="6f211968-1ce9-4ce8-bc32-9c87e03ae60e"/>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4:SharedWithUsers" minOccurs="0"/>
                <xsd:element ref="ns4:SharedWithDetails" minOccurs="0"/>
                <xsd:element ref="ns4:SharingHintHash"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825cbcc-075a-4232-9296-e9bac03f9e0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6f211968-1ce9-4ce8-bc32-9c87e03ae60e"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SharingHintHash" ma:index="19"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A564C82-A93A-469E-A667-E6054C7D721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825cbcc-075a-4232-9296-e9bac03f9e0c"/>
    <ds:schemaRef ds:uri="6f211968-1ce9-4ce8-bc32-9c87e03ae6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69E5AC5-64B2-4B7B-9D75-A7C00E9C1AC0}">
  <ds:schemaRefs>
    <ds:schemaRef ds:uri="http://schemas.microsoft.com/sharepoint/v3/contenttype/forms"/>
  </ds:schemaRefs>
</ds:datastoreItem>
</file>

<file path=customXml/itemProps3.xml><?xml version="1.0" encoding="utf-8"?>
<ds:datastoreItem xmlns:ds="http://schemas.openxmlformats.org/officeDocument/2006/customXml" ds:itemID="{56C1983F-F266-4005-8EC6-D5065FD7537B}">
  <ds:schemaRefs>
    <ds:schemaRef ds:uri="http://schemas.openxmlformats.org/package/2006/metadata/core-properties"/>
    <ds:schemaRef ds:uri="http://schemas.microsoft.com/office/2006/metadata/properties"/>
    <ds:schemaRef ds:uri="http://www.w3.org/XML/1998/namespace"/>
    <ds:schemaRef ds:uri="http://purl.org/dc/dcmitype/"/>
    <ds:schemaRef ds:uri="http://schemas.microsoft.com/office/2006/documentManagement/types"/>
    <ds:schemaRef ds:uri="http://purl.org/dc/elements/1.1/"/>
    <ds:schemaRef ds:uri="http://purl.org/dc/terms/"/>
    <ds:schemaRef ds:uri="6f211968-1ce9-4ce8-bc32-9c87e03ae60e"/>
    <ds:schemaRef ds:uri="http://schemas.microsoft.com/office/infopath/2007/PartnerControls"/>
    <ds:schemaRef ds:uri="6825cbcc-075a-4232-9296-e9bac03f9e0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4</vt:i4>
      </vt:variant>
    </vt:vector>
  </HeadingPairs>
  <TitlesOfParts>
    <vt:vector size="11" baseType="lpstr">
      <vt:lpstr>READ ME FIRST</vt:lpstr>
      <vt:lpstr>Inputs</vt:lpstr>
      <vt:lpstr>Dashboard</vt:lpstr>
      <vt:lpstr>Results</vt:lpstr>
      <vt:lpstr>Vaccine options</vt:lpstr>
      <vt:lpstr>Vaccine prices</vt:lpstr>
      <vt:lpstr>Version</vt:lpstr>
      <vt:lpstr>Dashboard!Print_Area</vt:lpstr>
      <vt:lpstr>Inputs!Print_Area</vt:lpstr>
      <vt:lpstr>'READ ME FIRST'!Print_Area</vt:lpstr>
      <vt:lpstr>Results!Print_Area</vt:lpstr>
    </vt:vector>
  </TitlesOfParts>
  <Company>PATH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Allison Clifford</cp:lastModifiedBy>
  <cp:lastPrinted>2024-09-10T18:51:11Z</cp:lastPrinted>
  <dcterms:created xsi:type="dcterms:W3CDTF">2018-05-24T13:25:57Z</dcterms:created>
  <dcterms:modified xsi:type="dcterms:W3CDTF">2026-01-27T20:10:57Z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f5e72d3-b6ef-4c9c-b371-eb3c79f627ee_Enabled">
    <vt:lpwstr>true</vt:lpwstr>
  </property>
  <property fmtid="{D5CDD505-2E9C-101B-9397-08002B2CF9AE}" pid="3" name="MSIP_Label_8f5e72d3-b6ef-4c9c-b371-eb3c79f627ee_SetDate">
    <vt:lpwstr>2019-12-04T11:02:07Z</vt:lpwstr>
  </property>
  <property fmtid="{D5CDD505-2E9C-101B-9397-08002B2CF9AE}" pid="4" name="MSIP_Label_8f5e72d3-b6ef-4c9c-b371-eb3c79f627ee_Method">
    <vt:lpwstr>Privileged</vt:lpwstr>
  </property>
  <property fmtid="{D5CDD505-2E9C-101B-9397-08002B2CF9AE}" pid="5" name="MSIP_Label_8f5e72d3-b6ef-4c9c-b371-eb3c79f627ee_Name">
    <vt:lpwstr>8f5e72d3-b6ef-4c9c-b371-eb3c79f627ee</vt:lpwstr>
  </property>
  <property fmtid="{D5CDD505-2E9C-101B-9397-08002B2CF9AE}" pid="6" name="MSIP_Label_8f5e72d3-b6ef-4c9c-b371-eb3c79f627ee_SiteId">
    <vt:lpwstr>1de6d9f3-0daf-4df6-b9d6-5959f16f6118</vt:lpwstr>
  </property>
  <property fmtid="{D5CDD505-2E9C-101B-9397-08002B2CF9AE}" pid="7" name="MSIP_Label_8f5e72d3-b6ef-4c9c-b371-eb3c79f627ee_ActionId">
    <vt:lpwstr>b8e400df-7c36-45f2-9454-000070304384</vt:lpwstr>
  </property>
  <property fmtid="{D5CDD505-2E9C-101B-9397-08002B2CF9AE}" pid="8" name="MSIP_Label_8f5e72d3-b6ef-4c9c-b371-eb3c79f627ee_ContentBits">
    <vt:lpwstr>1</vt:lpwstr>
  </property>
  <property fmtid="{D5CDD505-2E9C-101B-9397-08002B2CF9AE}" pid="9" name="ContentTypeId">
    <vt:lpwstr>0x010100AC89426CD6990C48B571977008B5B929</vt:lpwstr>
  </property>
</Properties>
</file>