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api.box.com/wopi/files/2055311702109/WOPIServiceId_TP_BOX_2/WOPIUserId_-/"/>
    </mc:Choice>
  </mc:AlternateContent>
  <xr:revisionPtr revIDLastSave="224" documentId="8_{4336025F-3FED-4164-96BC-AADC32407EBC}" xr6:coauthVersionLast="47" xr6:coauthVersionMax="47" xr10:uidLastSave="{C3E2579A-5B94-4A4C-B12D-9300C90D0FBB}"/>
  <workbookProtection workbookAlgorithmName="SHA-512" workbookHashValue="w01b43tqM5lQvhZ+LImi24sQqZax3/RhMVuvjJmqcPCjqyafj2TWD0mRX5uOkqO+1y4BrNr6jT5SW7f9idI5UQ==" workbookSaltValue="cqG6I3aYVdx2dBPfL1Pmlg==" workbookSpinCount="100000" lockStructure="1"/>
  <bookViews>
    <workbookView xWindow="-108" yWindow="-108" windowWidth="23256" windowHeight="13896" xr2:uid="{00000000-000D-0000-FFFF-FFFF00000000}"/>
  </bookViews>
  <sheets>
    <sheet name="INSTRUCCIONES" sheetId="15" r:id="rId1"/>
    <sheet name="Datos del modelo" sheetId="16" r:id="rId2"/>
    <sheet name="Panel" sheetId="17" r:id="rId3"/>
    <sheet name="Resultados" sheetId="18" r:id="rId4"/>
    <sheet name="Vaccine options" sheetId="3" state="hidden" r:id="rId5"/>
    <sheet name="Vaccine prices" sheetId="13" state="hidden" r:id="rId6"/>
  </sheets>
  <definedNames>
    <definedName name="_xlnm.Print_Area" localSheetId="1">'Datos del modelo'!$C$3:$M$80</definedName>
    <definedName name="_xlnm.Print_Area" localSheetId="0">INSTRUCCIONES!$A$1:$P$59</definedName>
    <definedName name="_xlnm.Print_Area" localSheetId="2">Panel!$B$3:$M$37</definedName>
    <definedName name="_xlnm.Print_Area" localSheetId="3">Resultados!$C$3:$M$74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4" i="16" l="1"/>
  <c r="K45" i="16"/>
  <c r="K46" i="16"/>
  <c r="K47" i="16"/>
  <c r="K43" i="16"/>
  <c r="I44" i="16"/>
  <c r="I45" i="16"/>
  <c r="I46" i="16"/>
  <c r="I47" i="16"/>
  <c r="I43" i="16"/>
  <c r="G43" i="16"/>
  <c r="G47" i="16"/>
  <c r="G44" i="16"/>
  <c r="G45" i="16"/>
  <c r="G46" i="16"/>
  <c r="F23" i="3" a="1"/>
  <c r="F23" i="3" s="1"/>
  <c r="F24" i="3" s="1"/>
  <c r="E24" i="16" s="1"/>
  <c r="F15" i="3"/>
  <c r="D16" i="3"/>
  <c r="D17" i="3" s="1"/>
  <c r="D18" i="3" s="1"/>
  <c r="D19" i="3" s="1"/>
  <c r="D20" i="3" s="1"/>
  <c r="D21" i="3" s="1"/>
  <c r="D22" i="3" s="1"/>
  <c r="D23" i="3" s="1"/>
  <c r="D24" i="3" s="1"/>
  <c r="D25" i="3" s="1"/>
  <c r="D26" i="3" s="1"/>
  <c r="D27" i="3" s="1"/>
  <c r="D28" i="3" s="1"/>
  <c r="D29" i="3" s="1"/>
  <c r="D30" i="3" s="1"/>
  <c r="D31" i="3" s="1"/>
  <c r="D32" i="3" s="1"/>
  <c r="D33" i="3" s="1"/>
  <c r="D34" i="3" s="1"/>
  <c r="D35" i="3" s="1"/>
  <c r="D36" i="3" s="1"/>
  <c r="D37" i="3" s="1"/>
  <c r="D38" i="3" s="1"/>
  <c r="E65" i="16"/>
  <c r="K65" i="16"/>
  <c r="I65" i="16"/>
  <c r="G65" i="16"/>
  <c r="E23" i="16" l="1"/>
  <c r="F25" i="3"/>
  <c r="E25" i="16" s="1"/>
  <c r="E33" i="16"/>
  <c r="D72" i="18"/>
  <c r="D71" i="18"/>
  <c r="D70" i="18"/>
  <c r="D69" i="18"/>
  <c r="D68" i="18"/>
  <c r="D63" i="18"/>
  <c r="D62" i="18"/>
  <c r="D61" i="18"/>
  <c r="D60" i="18"/>
  <c r="D59" i="18"/>
  <c r="I53" i="16"/>
  <c r="G53" i="16"/>
  <c r="I52" i="16"/>
  <c r="G52" i="16"/>
  <c r="K52" i="16"/>
  <c r="E52" i="16"/>
  <c r="G50" i="16"/>
  <c r="K50" i="16"/>
  <c r="I50" i="16"/>
  <c r="E50" i="16"/>
  <c r="K49" i="16"/>
  <c r="I49" i="16"/>
  <c r="G49" i="16"/>
  <c r="E49" i="16"/>
  <c r="K33" i="16"/>
  <c r="I33" i="16"/>
  <c r="G33" i="16"/>
  <c r="F6" i="18"/>
  <c r="F8" i="17" s="1"/>
  <c r="H6" i="18"/>
  <c r="H8" i="17" s="1"/>
  <c r="J6" i="18"/>
  <c r="J8" i="17" s="1"/>
  <c r="L6" i="18"/>
  <c r="L8" i="17" s="1"/>
  <c r="D11" i="18"/>
  <c r="D12" i="18"/>
  <c r="D13" i="18"/>
  <c r="D14" i="18"/>
  <c r="D15" i="18"/>
  <c r="D20" i="18"/>
  <c r="D21" i="18"/>
  <c r="D22" i="18"/>
  <c r="D23" i="18"/>
  <c r="D24" i="18"/>
  <c r="D28" i="18"/>
  <c r="D29" i="18"/>
  <c r="D30" i="18"/>
  <c r="D31" i="18"/>
  <c r="D32" i="18"/>
  <c r="D39" i="18"/>
  <c r="D40" i="18"/>
  <c r="D41" i="18"/>
  <c r="D42" i="18"/>
  <c r="D43" i="18"/>
  <c r="D48" i="18"/>
  <c r="D49" i="18"/>
  <c r="D50" i="18"/>
  <c r="D51" i="18"/>
  <c r="D52" i="18"/>
  <c r="D27" i="16"/>
  <c r="D26" i="16"/>
  <c r="D25" i="16"/>
  <c r="D24" i="16"/>
  <c r="D23" i="16"/>
  <c r="E53" i="16"/>
  <c r="K53" i="16"/>
  <c r="E46" i="16" l="1"/>
  <c r="E45" i="16"/>
  <c r="E43" i="16"/>
  <c r="E47" i="16"/>
  <c r="E44" i="16"/>
  <c r="D36" i="16"/>
  <c r="E36" i="16" s="1" a="1"/>
  <c r="E36" i="16" s="1"/>
  <c r="E23" i="3"/>
  <c r="D37" i="16"/>
  <c r="I37" i="16" s="1" a="1"/>
  <c r="I37" i="16" s="1"/>
  <c r="E24" i="3"/>
  <c r="D38" i="16"/>
  <c r="E25" i="3"/>
  <c r="D39" i="16"/>
  <c r="G39" i="16" s="1" a="1"/>
  <c r="G39" i="16" s="1"/>
  <c r="E26" i="3"/>
  <c r="D40" i="16"/>
  <c r="K40" i="16" s="1" a="1"/>
  <c r="K40" i="16" s="1"/>
  <c r="E27" i="3"/>
  <c r="F26" i="3"/>
  <c r="I39" i="16" a="1"/>
  <c r="I39" i="16" s="1"/>
  <c r="E37" i="16" a="1"/>
  <c r="E37" i="16" s="1"/>
  <c r="I38" i="16" a="1"/>
  <c r="I38" i="16" s="1"/>
  <c r="K37" i="16" a="1"/>
  <c r="K37" i="16" s="1"/>
  <c r="F11" i="18"/>
  <c r="F20" i="18" s="1"/>
  <c r="G37" i="16" a="1"/>
  <c r="G37" i="16" s="1"/>
  <c r="K36" i="16" a="1"/>
  <c r="K36" i="16" s="1"/>
  <c r="K39" i="16" a="1"/>
  <c r="K39" i="16" s="1"/>
  <c r="G36" i="16" a="1"/>
  <c r="G36" i="16" s="1"/>
  <c r="I36" i="16" a="1"/>
  <c r="I36" i="16" s="1"/>
  <c r="L11" i="18"/>
  <c r="L15" i="18"/>
  <c r="L13" i="18"/>
  <c r="D46" i="16"/>
  <c r="D43" i="16"/>
  <c r="D44" i="16"/>
  <c r="D45" i="16"/>
  <c r="D47" i="16"/>
  <c r="J13" i="18"/>
  <c r="H13" i="18"/>
  <c r="F12" i="18"/>
  <c r="J11" i="18"/>
  <c r="J20" i="18" s="1"/>
  <c r="J15" i="18"/>
  <c r="J14" i="18"/>
  <c r="J12" i="18"/>
  <c r="H12" i="18"/>
  <c r="H11" i="18"/>
  <c r="H20" i="18" s="1"/>
  <c r="H15" i="18"/>
  <c r="F14" i="18"/>
  <c r="F15" i="18"/>
  <c r="F13" i="18"/>
  <c r="L12" i="18"/>
  <c r="L14" i="18"/>
  <c r="H14" i="18"/>
  <c r="F59" i="18" l="1"/>
  <c r="F27" i="3"/>
  <c r="E26" i="16"/>
  <c r="K38" i="16" a="1"/>
  <c r="K38" i="16" s="1"/>
  <c r="G38" i="16" a="1"/>
  <c r="G38" i="16" s="1"/>
  <c r="G40" i="16" a="1"/>
  <c r="G40" i="16" s="1"/>
  <c r="E40" i="16" a="1"/>
  <c r="E40" i="16" s="1"/>
  <c r="E38" i="16" a="1"/>
  <c r="E38" i="16" s="1"/>
  <c r="I40" i="16" a="1"/>
  <c r="I40" i="16" s="1"/>
  <c r="E39" i="16" a="1"/>
  <c r="E39" i="16" s="1"/>
  <c r="F28" i="18"/>
  <c r="F39" i="18"/>
  <c r="F48" i="18" s="1"/>
  <c r="L21" i="18"/>
  <c r="L60" i="18" s="1"/>
  <c r="L22" i="18"/>
  <c r="L61" i="18" s="1"/>
  <c r="L24" i="18"/>
  <c r="L63" i="18" s="1"/>
  <c r="L20" i="18"/>
  <c r="L59" i="18" s="1"/>
  <c r="L10" i="18"/>
  <c r="L23" i="18"/>
  <c r="L62" i="18" s="1"/>
  <c r="H39" i="18"/>
  <c r="H48" i="18" s="1"/>
  <c r="H59" i="18"/>
  <c r="J39" i="18"/>
  <c r="J48" i="18" s="1"/>
  <c r="J59" i="18"/>
  <c r="J10" i="18"/>
  <c r="J21" i="18"/>
  <c r="J40" i="18" s="1"/>
  <c r="H23" i="18"/>
  <c r="J24" i="18"/>
  <c r="J43" i="18" s="1"/>
  <c r="J23" i="18"/>
  <c r="F24" i="18"/>
  <c r="J22" i="18"/>
  <c r="F23" i="18"/>
  <c r="J28" i="18"/>
  <c r="F10" i="18"/>
  <c r="H28" i="18"/>
  <c r="H21" i="18"/>
  <c r="H60" i="18" s="1"/>
  <c r="H22" i="18"/>
  <c r="F22" i="18"/>
  <c r="F21" i="18"/>
  <c r="H10" i="18"/>
  <c r="H24" i="18"/>
  <c r="F68" i="18" l="1"/>
  <c r="H63" i="18"/>
  <c r="F28" i="3"/>
  <c r="F29" i="3" s="1"/>
  <c r="F30" i="3" s="1"/>
  <c r="F31" i="3" s="1"/>
  <c r="E27" i="16"/>
  <c r="F61" i="18"/>
  <c r="L39" i="18"/>
  <c r="L48" i="18" s="1"/>
  <c r="H68" i="18"/>
  <c r="H69" i="18"/>
  <c r="H40" i="18"/>
  <c r="L40" i="18"/>
  <c r="L49" i="18" s="1"/>
  <c r="F29" i="18"/>
  <c r="F60" i="18"/>
  <c r="J30" i="18"/>
  <c r="J61" i="18"/>
  <c r="J41" i="18"/>
  <c r="F40" i="18"/>
  <c r="J29" i="18"/>
  <c r="J60" i="18"/>
  <c r="H41" i="18"/>
  <c r="H61" i="18"/>
  <c r="F43" i="18"/>
  <c r="F52" i="18" s="1"/>
  <c r="F63" i="18"/>
  <c r="J31" i="18"/>
  <c r="J62" i="18"/>
  <c r="J42" i="18"/>
  <c r="L41" i="18"/>
  <c r="L50" i="18" s="1"/>
  <c r="F62" i="18"/>
  <c r="F42" i="18"/>
  <c r="F51" i="18" s="1"/>
  <c r="L42" i="18"/>
  <c r="L51" i="18" s="1"/>
  <c r="J68" i="18"/>
  <c r="H43" i="18"/>
  <c r="L19" i="18"/>
  <c r="L10" i="17" s="1"/>
  <c r="L11" i="17" s="1"/>
  <c r="J32" i="18"/>
  <c r="J63" i="18"/>
  <c r="L28" i="18"/>
  <c r="L68" i="18" s="1"/>
  <c r="H62" i="18"/>
  <c r="H42" i="18"/>
  <c r="H51" i="18" s="1"/>
  <c r="L43" i="18"/>
  <c r="L52" i="18" s="1"/>
  <c r="F41" i="18"/>
  <c r="L58" i="18"/>
  <c r="L29" i="18"/>
  <c r="L69" i="18" s="1"/>
  <c r="J19" i="18"/>
  <c r="J10" i="17" s="1"/>
  <c r="J11" i="17" s="1"/>
  <c r="F19" i="18"/>
  <c r="F10" i="17" s="1"/>
  <c r="F11" i="17" s="1"/>
  <c r="F31" i="18"/>
  <c r="H31" i="18"/>
  <c r="F32" i="18"/>
  <c r="H30" i="18"/>
  <c r="H29" i="18"/>
  <c r="F30" i="18"/>
  <c r="L31" i="18"/>
  <c r="L71" i="18" s="1"/>
  <c r="H32" i="18"/>
  <c r="H72" i="18" s="1"/>
  <c r="L32" i="18"/>
  <c r="L72" i="18" s="1"/>
  <c r="H19" i="18"/>
  <c r="H10" i="17" s="1"/>
  <c r="H11" i="17" s="1"/>
  <c r="L30" i="18"/>
  <c r="L70" i="18" s="1"/>
  <c r="F70" i="18" l="1"/>
  <c r="J13" i="17"/>
  <c r="J71" i="18"/>
  <c r="L47" i="18"/>
  <c r="L18" i="17" s="1"/>
  <c r="L19" i="17" s="1"/>
  <c r="F69" i="18"/>
  <c r="J72" i="18"/>
  <c r="J69" i="18"/>
  <c r="L38" i="18"/>
  <c r="L15" i="17" s="1"/>
  <c r="L16" i="17" s="1"/>
  <c r="F72" i="18"/>
  <c r="J70" i="18"/>
  <c r="H71" i="18"/>
  <c r="F71" i="18"/>
  <c r="H70" i="18"/>
  <c r="L67" i="18"/>
  <c r="F13" i="17"/>
  <c r="H13" i="17"/>
  <c r="J52" i="18"/>
  <c r="J51" i="18"/>
  <c r="J50" i="18"/>
  <c r="F50" i="18"/>
  <c r="J49" i="18"/>
  <c r="H49" i="18"/>
  <c r="H50" i="18"/>
  <c r="F49" i="18"/>
  <c r="J38" i="18"/>
  <c r="J15" i="17" s="1"/>
  <c r="F38" i="18"/>
  <c r="F15" i="17" s="1"/>
  <c r="F16" i="17" s="1"/>
  <c r="L13" i="17"/>
  <c r="J27" i="17"/>
  <c r="J28" i="17" s="1"/>
  <c r="H27" i="17"/>
  <c r="H28" i="17" s="1"/>
  <c r="H30" i="17"/>
  <c r="J30" i="17"/>
  <c r="F30" i="17"/>
  <c r="H52" i="18"/>
  <c r="H38" i="18"/>
  <c r="F27" i="17"/>
  <c r="F28" i="17" s="1"/>
  <c r="K13" i="17" l="1"/>
  <c r="I13" i="17"/>
  <c r="J47" i="18"/>
  <c r="J18" i="17" s="1"/>
  <c r="J19" i="17" s="1"/>
  <c r="H47" i="18"/>
  <c r="H18" i="17" s="1"/>
  <c r="M13" i="17"/>
  <c r="F47" i="18"/>
  <c r="F18" i="17" s="1"/>
  <c r="F19" i="17" s="1"/>
  <c r="M19" i="17" s="1"/>
  <c r="J58" i="18"/>
  <c r="J67" i="18"/>
  <c r="H58" i="18"/>
  <c r="H67" i="18"/>
  <c r="F58" i="18"/>
  <c r="F67" i="18"/>
  <c r="K15" i="17"/>
  <c r="J16" i="17"/>
  <c r="K16" i="17" s="1"/>
  <c r="H15" i="17"/>
  <c r="J32" i="17"/>
  <c r="J33" i="17" s="1"/>
  <c r="H32" i="17"/>
  <c r="H33" i="17" s="1"/>
  <c r="F32" i="17"/>
  <c r="F33" i="17" s="1"/>
  <c r="M15" i="17"/>
  <c r="M16" i="17"/>
  <c r="K18" i="17" l="1"/>
  <c r="K19" i="17"/>
  <c r="J35" i="17"/>
  <c r="J36" i="17" s="1"/>
  <c r="H35" i="17"/>
  <c r="H36" i="17" s="1"/>
  <c r="F35" i="17"/>
  <c r="F36" i="17" s="1"/>
  <c r="M18" i="17"/>
  <c r="I18" i="17"/>
  <c r="H19" i="17"/>
  <c r="I19" i="17" s="1"/>
  <c r="H16" i="17"/>
  <c r="I16" i="17" s="1"/>
  <c r="I1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<sst xmlns="http://schemas.openxmlformats.org/spreadsheetml/2006/main" count="388" uniqueCount="149">
  <si>
    <t>Perspectiva general</t>
  </si>
  <si>
    <t>Guía del usuario</t>
  </si>
  <si>
    <t>Las casillas moradas indican un menú desplegable en el que el usuario puede seleccionar una opción preestablecida. Haga clic en la casilla y aparecerá una flecha desplegable. Al hacer clic en la flecha, el usuario podrá seleccionar una de las opciones del menú.</t>
  </si>
  <si>
    <t>Las casillas verdes requieren que el usuario ingrese datos. En el modelo se incluyen datos de ejemplo, pero esta información debe revisarse para reflejar los datos y el programa de vacunación locales.</t>
  </si>
  <si>
    <t>Las celdas blancas incluyen información fija que el usuario no puede modificar.</t>
  </si>
  <si>
    <t>Programa de vacunación</t>
  </si>
  <si>
    <t>Cofinanciación</t>
  </si>
  <si>
    <t>Opciones de vacuna de rotavirus y costo</t>
  </si>
  <si>
    <t>► Seleccione las vacunas que le interesen del menú desplegable (opción 1 a 4)
► Todas las características predeterminadas de las vacunas se extraen de los perfiles de productos detallados de Gavi, incluido el precio por dosis, el número de dosis en el calendario y la tasa indicadora de desperdicio.
► La cantidad de cofinanciación anual por dosis no se puede modificar puesto que se deriva de los cálculos basados en el precio de las vacunas y en la cuota de cofinanciación facilitada anteriormente.
► Introduzca la tasa de desperdicio esperada para cada presentación y, si aplica, el costo esperado de la tramitación, el transporte internacional y los suministros.
► Introduzca una tasa de reserva si aplica.</t>
  </si>
  <si>
    <t>Recursos</t>
  </si>
  <si>
    <t>Perfiles de productos detallados de Gavi</t>
  </si>
  <si>
    <t>Tasas de tramitación</t>
  </si>
  <si>
    <t>Sitio web de UNICEF: tasas de tramitación</t>
  </si>
  <si>
    <t>Costos de suministros</t>
  </si>
  <si>
    <t>Sitio web de UNICEF: precios</t>
  </si>
  <si>
    <t>Costos de los programas de vacunación</t>
  </si>
  <si>
    <t>Costo incremental de la administración por dosis</t>
  </si>
  <si>
    <t>Immunization Delivery Cost Catalogue (IDCC)</t>
  </si>
  <si>
    <t>Análisis de escenario opcional para uso de multivacunas</t>
  </si>
  <si>
    <t>Panel</t>
  </si>
  <si>
    <t>Resultados</t>
  </si>
  <si>
    <t>Formulas de cálculo*</t>
  </si>
  <si>
    <r>
      <rPr>
        <sz val="11"/>
        <color theme="1"/>
        <rFont val="Arial"/>
        <family val="2"/>
      </rPr>
      <t>Calculadora de costos de la</t>
    </r>
    <r>
      <rPr>
        <b/>
        <sz val="11"/>
        <color theme="5"/>
        <rFont val="Arial"/>
        <family val="2"/>
      </rPr>
      <t xml:space="preserve"> vacuna contra el rotavirus </t>
    </r>
    <r>
      <rPr>
        <sz val="11"/>
        <color theme="5"/>
        <rFont val="Arial"/>
        <family val="2"/>
      </rPr>
      <t>para países elegibles de Gavi</t>
    </r>
  </si>
  <si>
    <t>Año de inicio</t>
  </si>
  <si>
    <t>Año previsto de introducción o sustitución</t>
  </si>
  <si>
    <t>Población destinataria</t>
  </si>
  <si>
    <t>niños por año</t>
  </si>
  <si>
    <t>Índice anual de crecimiento de la población</t>
  </si>
  <si>
    <t>%</t>
  </si>
  <si>
    <t>Cobertura prevista de la dosis 1</t>
  </si>
  <si>
    <t>cobertura anual</t>
  </si>
  <si>
    <t>Cobertura prevista de la dosis 2</t>
  </si>
  <si>
    <t>Cobertura prevista de la dosis 3</t>
  </si>
  <si>
    <t>cobertura anual
(se utilizará solamente para vacunas con un calendario de tres dosis)</t>
  </si>
  <si>
    <t>Fase de transición de Gavi</t>
  </si>
  <si>
    <r>
      <rPr>
        <b/>
        <sz val="14"/>
        <color theme="1"/>
        <rFont val="Arial"/>
        <family val="2"/>
      </rPr>
      <t>Cuota de cofinanciación del país</t>
    </r>
    <r>
      <rPr>
        <b/>
        <sz val="14"/>
        <color theme="1"/>
        <rFont val="Calibri"/>
        <family val="2"/>
        <scheme val="minor"/>
      </rPr>
      <t xml:space="preserve"> </t>
    </r>
  </si>
  <si>
    <t>OPCIÓN ACTUAL o PREFERIDA</t>
  </si>
  <si>
    <t>OPCIÓN 2</t>
  </si>
  <si>
    <t>OPCIÓN 3</t>
  </si>
  <si>
    <t>OPCIÓN 4</t>
  </si>
  <si>
    <t>Seleccionar vacuna / presentación &gt;&gt;&gt;</t>
  </si>
  <si>
    <t>Estado de suministro</t>
  </si>
  <si>
    <t>Precio por dosis</t>
  </si>
  <si>
    <t>Cofinanciación por dosis</t>
  </si>
  <si>
    <t>Número de dosis en el calendario</t>
  </si>
  <si>
    <r>
      <rPr>
        <b/>
        <sz val="12"/>
        <color theme="1"/>
        <rFont val="Arial"/>
        <family val="2"/>
      </rPr>
      <t>Volumen de la cadena de frío por dosis
(en cm</t>
    </r>
    <r>
      <rPr>
        <b/>
        <vertAlign val="superscript"/>
        <sz val="12"/>
        <color theme="1"/>
        <rFont val="Arial"/>
        <family val="2"/>
      </rPr>
      <t>3</t>
    </r>
    <r>
      <rPr>
        <b/>
        <sz val="12"/>
        <color theme="1"/>
        <rFont val="Arial"/>
        <family val="2"/>
      </rPr>
      <t>)</t>
    </r>
  </si>
  <si>
    <t>Tasa de desperdicio</t>
  </si>
  <si>
    <t>Tasa de desperdicio indicativa</t>
  </si>
  <si>
    <t>Factor de desperdicio</t>
  </si>
  <si>
    <t>Tramitación internacional
(% del precio de la vacuna)</t>
  </si>
  <si>
    <t>Transporte internacional
(% del precio de la vacuna)</t>
  </si>
  <si>
    <t>Tasa de reserva</t>
  </si>
  <si>
    <t>Precio de caja/bolsa de seguridad</t>
  </si>
  <si>
    <t>Volumen de caja/bolsa de seguridad</t>
  </si>
  <si>
    <t>Costos puntuales de introducción o sustitución
(una suma fija o presupuesto en el primer año)</t>
  </si>
  <si>
    <t>IDCC</t>
  </si>
  <si>
    <t>Haga clic en el símbolo + a la izquierda para mostrar</t>
  </si>
  <si>
    <t>ESCENARIO A</t>
  </si>
  <si>
    <t>Proporción de opciones de vacuna en uso en el programa (%)*</t>
  </si>
  <si>
    <t>ESCENARIO B</t>
  </si>
  <si>
    <t>ESCENARIO C</t>
  </si>
  <si>
    <t>* Recordatorio: Cada escenario debe ser una combinación de dos o más productos con una proporción total que equivalga al 100 %.</t>
  </si>
  <si>
    <t>Panel - Análisis principal</t>
  </si>
  <si>
    <t xml:space="preserve"> </t>
  </si>
  <si>
    <t>Millones de dosis necesarias</t>
  </si>
  <si>
    <t>5 años</t>
  </si>
  <si>
    <t>Media anual</t>
  </si>
  <si>
    <r>
      <rPr>
        <b/>
        <sz val="12"/>
        <color theme="1"/>
        <rFont val="Arial"/>
        <family val="2"/>
      </rPr>
      <t>Volumen de la cadena de frío
(millones de cm</t>
    </r>
    <r>
      <rPr>
        <b/>
        <vertAlign val="superscript"/>
        <sz val="12"/>
        <color theme="1"/>
        <rFont val="Arial"/>
        <family val="2"/>
      </rPr>
      <t>3</t>
    </r>
    <r>
      <rPr>
        <b/>
        <sz val="12"/>
        <color theme="1"/>
        <rFont val="Arial"/>
        <family val="2"/>
      </rPr>
      <t>)</t>
    </r>
  </si>
  <si>
    <t>Los porcentajes indican el aumento o descenso del volumen de la cadena de frío o el costo en comparación con la opción actual o preferida.</t>
  </si>
  <si>
    <t>Panel - Análisis de escenario opcional</t>
  </si>
  <si>
    <t xml:space="preserve">Haga clic en el símbolo + a la izquierda para mostrar </t>
  </si>
  <si>
    <r>
      <rPr>
        <sz val="11"/>
        <color theme="1"/>
        <rFont val="Arial"/>
        <family val="2"/>
      </rPr>
      <t>Calculadora de costos de la</t>
    </r>
    <r>
      <rPr>
        <sz val="11"/>
        <color theme="1"/>
        <rFont val="Arial"/>
        <family val="2"/>
      </rPr>
      <t xml:space="preserve"> </t>
    </r>
    <r>
      <rPr>
        <b/>
        <sz val="11"/>
        <color theme="5"/>
        <rFont val="Arial"/>
        <family val="2"/>
      </rPr>
      <t>vacuna contra el rotavirus</t>
    </r>
    <r>
      <rPr>
        <sz val="11"/>
        <color rgb="FFAD0012"/>
        <rFont val="Arial"/>
        <family val="2"/>
      </rPr>
      <t xml:space="preserve"> </t>
    </r>
    <r>
      <rPr>
        <sz val="11"/>
        <color theme="5"/>
        <rFont val="Arial"/>
        <family val="2"/>
      </rPr>
      <t>para países elegibles de Gavi</t>
    </r>
  </si>
  <si>
    <t>Resultados - Análisis principal</t>
  </si>
  <si>
    <t>Número de dosis administradas</t>
  </si>
  <si>
    <t>Total
para 5 años</t>
  </si>
  <si>
    <r>
      <rPr>
        <b/>
        <sz val="20"/>
        <color theme="0"/>
        <rFont val="Arial"/>
        <family val="2"/>
      </rPr>
      <t>Número de dosis necesarias</t>
    </r>
    <r>
      <rPr>
        <b/>
        <sz val="12"/>
        <color theme="0"/>
        <rFont val="Arial"/>
        <family val="2"/>
      </rPr>
      <t xml:space="preserve">
</t>
    </r>
    <r>
      <rPr>
        <i/>
        <sz val="10"/>
        <color theme="0"/>
        <rFont val="Arial"/>
        <family val="2"/>
      </rPr>
      <t>incluye dosis de reserva y desperdiciadas</t>
    </r>
    <r>
      <rPr>
        <b/>
        <sz val="12"/>
        <color theme="0"/>
        <rFont val="Arial"/>
        <family val="2"/>
      </rPr>
      <t xml:space="preserve"> </t>
    </r>
  </si>
  <si>
    <r>
      <rPr>
        <b/>
        <sz val="20"/>
        <color theme="0"/>
        <rFont val="Arial"/>
        <family val="2"/>
      </rPr>
      <t>Volumen total de la cadena de frío necesario</t>
    </r>
    <r>
      <rPr>
        <b/>
        <sz val="12"/>
        <color theme="0"/>
        <rFont val="Arial"/>
        <family val="2"/>
      </rPr>
      <t xml:space="preserve">
</t>
    </r>
    <r>
      <rPr>
        <i/>
        <sz val="10"/>
        <color theme="0"/>
        <rFont val="Arial"/>
        <family val="2"/>
      </rPr>
      <t>en cm</t>
    </r>
    <r>
      <rPr>
        <i/>
        <vertAlign val="superscript"/>
        <sz val="10"/>
        <color theme="0"/>
        <rFont val="Arial"/>
        <family val="2"/>
      </rPr>
      <t>3</t>
    </r>
  </si>
  <si>
    <t>Costo para el país</t>
  </si>
  <si>
    <r>
      <rPr>
        <b/>
        <sz val="20"/>
        <color theme="0"/>
        <rFont val="Arial"/>
        <family val="2"/>
      </rPr>
      <t>Costo de la vacuna para el país</t>
    </r>
    <r>
      <rPr>
        <b/>
        <sz val="12"/>
        <color theme="0"/>
        <rFont val="Arial"/>
        <family val="2"/>
      </rPr>
      <t xml:space="preserve">
</t>
    </r>
    <r>
      <rPr>
        <i/>
        <sz val="10"/>
        <color theme="0"/>
        <rFont val="Arial"/>
        <family val="2"/>
      </rPr>
      <t>Costo de la adquisición de las vacunas y de los suministros</t>
    </r>
  </si>
  <si>
    <t>Costo para el país + Gavi</t>
  </si>
  <si>
    <t>Vacuna y presentación</t>
  </si>
  <si>
    <t>Dosis en el esquema</t>
  </si>
  <si>
    <t>Desperdicio</t>
  </si>
  <si>
    <r>
      <t>Volumen de la cadena de frío (cm</t>
    </r>
    <r>
      <rPr>
        <b/>
        <vertAlign val="superscript"/>
        <sz val="11"/>
        <color theme="1"/>
        <rFont val="Calibri"/>
        <family val="2"/>
        <scheme val="minor"/>
      </rPr>
      <t>3</t>
    </r>
    <r>
      <rPr>
        <b/>
        <sz val="11"/>
        <color theme="1"/>
        <rFont val="Calibri"/>
        <family val="2"/>
        <scheme val="minor"/>
      </rPr>
      <t>) por dosis</t>
    </r>
  </si>
  <si>
    <t>Descargo de responsabilidad</t>
  </si>
  <si>
    <t>Disponible con planificación</t>
  </si>
  <si>
    <t>n/a</t>
  </si>
  <si>
    <r>
      <rPr>
        <b/>
        <i/>
        <u/>
        <sz val="12"/>
        <color theme="1" tint="-0.499984740745262"/>
        <rFont val="Arial"/>
        <family val="2"/>
      </rPr>
      <t>Descargo de responsabilidad:</t>
    </r>
    <r>
      <rPr>
        <b/>
        <i/>
        <sz val="12"/>
        <color theme="1" tint="-0.499984740745262"/>
        <rFont val="Arial"/>
        <family val="2"/>
      </rPr>
      <t xml:space="preserve"> </t>
    </r>
    <r>
      <rPr>
        <i/>
        <sz val="12"/>
        <color theme="1" tint="-0.499984740745262"/>
        <rFont val="Arial"/>
        <family val="2"/>
      </rPr>
      <t xml:space="preserve">La </t>
    </r>
    <r>
      <rPr>
        <b/>
        <i/>
        <sz val="12"/>
        <color theme="1" tint="-0.499984740745262"/>
        <rFont val="Arial"/>
        <family val="2"/>
      </rPr>
      <t>calculadora de costos de la vacuna contra el rotavirus para países elegibles de Gavi</t>
    </r>
    <r>
      <rPr>
        <i/>
        <sz val="12"/>
        <color theme="1" tint="-0.499984740745262"/>
        <rFont val="Arial"/>
        <family val="2"/>
      </rPr>
      <t xml:space="preserve"> es una herramienta que busca informar la toma de decisiones sobre la introducción o sustitución de la vacuna, así como la selección de los productos. Cabe destacar que el costo es tan solo una única consideración, y que los responsables de la toma de decisiones relativas a la introducción o sustitución de nuevas vacunas y la selección de los productos también deben tener en cuenta otros aspectos. La finalidad de este modelo es ofrecer información sobre los </t>
    </r>
    <r>
      <rPr>
        <b/>
        <i/>
        <sz val="12"/>
        <color theme="1" tint="-0.499984740745262"/>
        <rFont val="Arial"/>
        <family val="2"/>
      </rPr>
      <t>posibles</t>
    </r>
    <r>
      <rPr>
        <i/>
        <sz val="12"/>
        <color theme="1" tint="-0.499984740745262"/>
        <rFont val="Arial"/>
        <family val="2"/>
      </rPr>
      <t xml:space="preserve"> costos de las alternativas de productos y no debe reemplazar la planificación presupuestaria detallada una vez que se ha seleccionado el producto en cuestión.</t>
    </r>
  </si>
  <si>
    <r>
      <t>Calculadora de costos de la</t>
    </r>
    <r>
      <rPr>
        <b/>
        <sz val="11"/>
        <color theme="5"/>
        <rFont val="Arial"/>
        <family val="2"/>
      </rPr>
      <t xml:space="preserve"> vacuna contra el rotavirus </t>
    </r>
    <r>
      <rPr>
        <sz val="11"/>
        <color theme="5"/>
        <rFont val="Arial"/>
        <family val="2"/>
      </rPr>
      <t>para países elegibles de Gavi</t>
    </r>
  </si>
  <si>
    <r>
      <t xml:space="preserve">Si tiene dudas o necesita asistencia, póngase en contacto con el equipo de Health Economics &amp; Outcomes Research de PATH: </t>
    </r>
    <r>
      <rPr>
        <u/>
        <sz val="12"/>
        <color rgb="FF000000"/>
        <rFont val="Arial"/>
        <family val="2"/>
      </rPr>
      <t>HEOR@path.org</t>
    </r>
  </si>
  <si>
    <t>El panel proporciona un resumen de los resultados para la perspectiva de los países y para los escenarios A, B y C si el análisis de escenario opcional para uso de multivacunas está lleno. El formato condicional se usa para destacar los posibles ahorros (color verde) y las posibles pérdidas (color rojo). Los resultados del resumen se proporcionan separados por costo de vacuna para el país (es decir, compra y envío internacional de vacunas y suministros, sin la contribución de Gavi), por costos de los programas de vacunación para el país (es decir, costos de la vacuna y del envío sin la contribución de Gavi) y por necesidades del volumen de la cadena de frío.</t>
  </si>
  <si>
    <r>
      <rPr>
        <sz val="25"/>
        <color rgb="FF000000"/>
        <rFont val="Arial"/>
        <family val="2"/>
      </rPr>
      <t>Calculadora de costos de la</t>
    </r>
    <r>
      <rPr>
        <b/>
        <sz val="26"/>
        <color rgb="FF000000"/>
        <rFont val="Arial"/>
        <family val="2"/>
      </rPr>
      <t xml:space="preserve"> </t>
    </r>
    <r>
      <rPr>
        <b/>
        <sz val="28"/>
        <color theme="5"/>
        <rFont val="Arial"/>
        <family val="2"/>
      </rPr>
      <t>vacuna contra el rotavirus</t>
    </r>
  </si>
  <si>
    <t>Datos del modelo</t>
  </si>
  <si>
    <t>Introduzca datos relacionados con el programa de vacunación: población destinataria anual, índice anual de crecimiento de la población y cobertura esperada para cada dosis en el esquema de vacunación.</t>
  </si>
  <si>
    <t>Los costos de los programas de vacunación incluyen los costos de la vacuna y el costo de la administración. Los costos de la administración cubren todos los gastos adicionales necesarios para administrar vacunas, además del costo directo de la adquisición de la vacuna y productos básicos. Esto incluye gastos como dietas, gastos de transporte, equipo de cadena de frío, vehículos, transporte y combustible. Cualquier costo ya contraído por el sistema de vacunación (costos compartidos) se puede excluir. Por ejemplo, no se incluirá el costo del transporte de la vacuna de rotavirus si forma parte del mismo transporte utilizado para otras vacunas. Puede ingresar los costos de introducción o sustitución de forma separada (una suma fija el primer año) o el costo por dosis enviada (cada año).</t>
  </si>
  <si>
    <t>Esta opción permite analizar el costo de los programas que incluyen productos múltiples usados a la vez en el país ajustando la proporción para un número de opciones. Para países que usan o anticipan usar más de un producto, la calculadora ofrece la posibilidad de definir tres escenarios (A, B, C) con diferentes combinaciones de proporción de uso de vacunas. Cada escenario debería ser una combinación de dos o más productos con una proporción total que equivalga al 100 %.</t>
  </si>
  <si>
    <t>La hoja de trabajo de resultados presenta la información de costos anual, así como en un total a cinco años, por cada una de las opciones de vacuna indicadas en la entrada de la hoja de trabajo y para las dos perspectivas. Los resultados se proporcionan separados por necesidades del volumen de la cadena de frío, por costo de vacuna (es decir, compra y envío internacional de vacunas y suministros) y por costos de los programas de vacunación (es decir, costos de la vacuna y de su administración). Las estimaciones se proporcionan por separado por costo de país y por país + costo de Gavi.</t>
  </si>
  <si>
    <t>Para países elegibles de Gavi</t>
  </si>
  <si>
    <t>Costos del programa de vacunación</t>
  </si>
  <si>
    <t>Análisis de escenario opcional para uso de múltiples vacunas</t>
  </si>
  <si>
    <t>Costo total del programa de vacunación para el país
(en millones de $ estadounidenses)</t>
  </si>
  <si>
    <t>Costo total de la vacuna para el país
(en millones de $ estadounidenses)</t>
  </si>
  <si>
    <t>Costo total de la vacuna
(en millones de $ estadounidenses)</t>
  </si>
  <si>
    <r>
      <rPr>
        <b/>
        <sz val="20"/>
        <color theme="0"/>
        <rFont val="Arial"/>
        <family val="2"/>
      </rPr>
      <t>Costos del programa de vacunación para el país</t>
    </r>
    <r>
      <rPr>
        <b/>
        <sz val="12"/>
        <color theme="0"/>
        <rFont val="Arial"/>
        <family val="2"/>
      </rPr>
      <t xml:space="preserve">
</t>
    </r>
    <r>
      <rPr>
        <i/>
        <sz val="10"/>
        <color theme="0"/>
        <rFont val="Arial"/>
        <family val="2"/>
      </rPr>
      <t>Costo de la vacuna + costo de la administración</t>
    </r>
  </si>
  <si>
    <r>
      <rPr>
        <b/>
        <sz val="20"/>
        <color theme="0"/>
        <rFont val="Arial"/>
        <family val="2"/>
      </rPr>
      <t>Costos del programa de vacunación para el país + Gavi</t>
    </r>
    <r>
      <rPr>
        <b/>
        <sz val="12"/>
        <color theme="0"/>
        <rFont val="Arial"/>
        <family val="2"/>
      </rPr>
      <t xml:space="preserve">
</t>
    </r>
    <r>
      <rPr>
        <i/>
        <sz val="10"/>
        <color theme="0"/>
        <rFont val="Arial"/>
        <family val="2"/>
      </rPr>
      <t>Costo de la vacuna + costo de la administración</t>
    </r>
  </si>
  <si>
    <r>
      <rPr>
        <b/>
        <sz val="20"/>
        <color theme="0"/>
        <rFont val="Arial"/>
        <family val="2"/>
      </rPr>
      <t>Costo de la vacuna para el país + Gavi</t>
    </r>
    <r>
      <rPr>
        <b/>
        <sz val="12"/>
        <color theme="0"/>
        <rFont val="Arial"/>
        <family val="2"/>
      </rPr>
      <t xml:space="preserve">
</t>
    </r>
    <r>
      <rPr>
        <i/>
        <sz val="10"/>
        <color theme="0"/>
        <rFont val="Arial"/>
        <family val="2"/>
      </rPr>
      <t>Costo de la adquisición de las vacunas y de los suministros</t>
    </r>
  </si>
  <si>
    <t>ROTARIX 
1 dosis/tubo de plástico, líquido</t>
  </si>
  <si>
    <r>
      <t xml:space="preserve">ROTARIX 
1 dosis/tubo de plástico, líquido
</t>
    </r>
    <r>
      <rPr>
        <sz val="8"/>
        <color theme="1"/>
        <rFont val="Calibri"/>
        <family val="2"/>
        <scheme val="minor"/>
      </rPr>
      <t>(multimonodosis de 5 tubos independientes conectados por una barra)</t>
    </r>
  </si>
  <si>
    <t>ROTAVAC 
5 dosis/frasco, congelado</t>
  </si>
  <si>
    <t>ROTAVAC 
10 dosis/frasco, congelado</t>
  </si>
  <si>
    <t>ROTAVAC 5D 
1 dosis/frasco, líquido</t>
  </si>
  <si>
    <t>ROTAVAC 5D 
5 dosis/frasco, líquido</t>
  </si>
  <si>
    <t>ROTASIIL 
1 dosis/frasco, liofilizado</t>
  </si>
  <si>
    <t>ROTASIIL 
2 dosis/frasco, liofilizado</t>
  </si>
  <si>
    <t>ROTASIIL-Liquid 
1 dosis/tubo de plástico, líquido (tira de 5 tubos)</t>
  </si>
  <si>
    <t>ROTASIIL-Liquid 
2 dosis/frasco, líquido</t>
  </si>
  <si>
    <t>ROTASIIL Thermo 
1 dosis/frasco, liofilizado (VVM + 250)</t>
  </si>
  <si>
    <t>ROTASIIL Thermo 
2 dosis/frasco, liofilizado (VVM + 250)</t>
  </si>
  <si>
    <t>No disponible en 2025</t>
  </si>
  <si>
    <t>ROTARIX 
1 dosis/tubo de plástico, líquido
(multimonodosis de 5 tubos independientes conectados por una barra)</t>
  </si>
  <si>
    <t>Versión 3.3 / diciembre de 2025</t>
  </si>
  <si>
    <t>No disponible antes 2025</t>
  </si>
  <si>
    <t xml:space="preserve">Indique si su país se encuentra en la fase inicial de autofinanciamiento de Gavi, en la fase de transición preparatoria o en la fase de transición acelerada.
► Si su país se encuentra en la fase inicial de autofinanciamiento de Gavi, los cálculos de la cofinanciación se aplican de forma automática y muestran la cofinanciación por dosis de acuerdo con la política ELTRACO de Gavi, que comienza en 2026, es decir, USD 0,20 por dosis para vacunas de dos dosis y USD 0,13 por dosis para vacunas de tres dosis.
► Si su país se encuentra en la fase de transición preparatoria o en la fase de transición acelerada, ingrese la cuota de cofinanciación del país aplicada a otras vacunas del portafolio en el año de introducción o de sustitución. 
► Si desconoce dicha cuota, póngase en contacto con su Senior Country Manager (SCM) de Gavi para obtener más información.
► Si su país se encuentra en la fase de transición acelerada, indique si su país planea introducir una nueva vacuna o cambiar de producto en un programa de vacunación ya existente. Después, ingrese el año en el que su país estará en la fase de transición acelerada al iniciar el nuevo programa de vacunación o al cambiar de producto. </t>
  </si>
  <si>
    <t>¿Planea introducir una nueva vacuna contra el VPH o cambiar de producto?</t>
  </si>
  <si>
    <t>Año de introducción o de sustitución en la fase de transición acelerada</t>
  </si>
  <si>
    <t>Si seleccionó “Transición preparatoria” o “Transición acelerada”, complete la cuota de cofinanciación del país en la celda E40.*</t>
  </si>
  <si>
    <t>Indique si planea introducir una nueva vacuna o cambiar de producto en un programa de vacunación ya existente.</t>
  </si>
  <si>
    <r>
      <t xml:space="preserve">Si seleccionó “Transición acelerada”, indique en qué años se encontrará su país en esta fase cuando comience el programa de vacunación o al cambiar de producto. Este valor debe estar comprendido entre 1 y 8. 
</t>
    </r>
    <r>
      <rPr>
        <b/>
        <sz val="12"/>
        <color theme="1"/>
        <rFont val="Arial"/>
        <family val="2"/>
      </rPr>
      <t>NOTA:</t>
    </r>
    <r>
      <rPr>
        <sz val="12"/>
        <color theme="1"/>
        <rFont val="Arial"/>
        <family val="2"/>
      </rPr>
      <t xml:space="preserve"> </t>
    </r>
    <r>
      <rPr>
        <b/>
        <sz val="12"/>
        <color theme="1"/>
        <rFont val="Arial"/>
        <family val="2"/>
      </rPr>
      <t>Este campo no se usa en los cálculos de resultados si seleccionó “Autofinanciamiento inicial” o “Transición preparatoria”.</t>
    </r>
    <r>
      <rPr>
        <sz val="12"/>
        <color theme="1"/>
        <rFont val="Arial"/>
        <family val="2"/>
      </rPr>
      <t xml:space="preserve"> 
</t>
    </r>
  </si>
  <si>
    <t>*Si su país tiene programado pasar de una fase de transición a otra dentro del periodo de cinco años, contacte a HEOR@path.org para analizar cómo configurar el modelo.</t>
  </si>
  <si>
    <t>Autofinanciamiento inicial</t>
  </si>
  <si>
    <t>Transición preparatoria</t>
  </si>
  <si>
    <t>Transición acelerada</t>
  </si>
  <si>
    <t>Cambia de producto</t>
  </si>
  <si>
    <t>Preparatory transition</t>
  </si>
  <si>
    <t>Accelerated transition</t>
  </si>
  <si>
    <t>Y1</t>
  </si>
  <si>
    <t>Y2</t>
  </si>
  <si>
    <t>Y3</t>
  </si>
  <si>
    <t>Y4</t>
  </si>
  <si>
    <t>Y5</t>
  </si>
  <si>
    <t>Y6</t>
  </si>
  <si>
    <t>Y7</t>
  </si>
  <si>
    <t>Y8</t>
  </si>
  <si>
    <t>Y9</t>
  </si>
  <si>
    <t>Fracción del precio aplicada a otras vacunas del portafolio en el año de introducción o sustitución</t>
  </si>
  <si>
    <r>
      <t xml:space="preserve">Ingrese el % del precio de la vacuna por dosis o la “fracción del precio” que aplicó a otras vacunas del portafolio en el año de introducción o sustitución.
 Si no conoce la cuota de cofinanciación de su país, póngase en contacto con su Gerente de país (SCM por sus siglas en inglés) en Gavi.
</t>
    </r>
    <r>
      <rPr>
        <b/>
        <sz val="12"/>
        <color theme="1"/>
        <rFont val="Arial"/>
        <family val="2"/>
      </rPr>
      <t>NOTA: Este campo no se usa en los cálculos de los resultados si arriba seleccionó “Autofinanciamiento inicial”.</t>
    </r>
  </si>
  <si>
    <t>Nueva introducción</t>
  </si>
  <si>
    <r>
      <t>La</t>
    </r>
    <r>
      <rPr>
        <b/>
        <sz val="14"/>
        <color theme="1" tint="-0.499984740745262"/>
        <rFont val="Arial"/>
        <family val="2"/>
      </rPr>
      <t xml:space="preserve"> calculadora de costos de la vacuna contra el rotavirus para los países elegibles de Gavi</t>
    </r>
    <r>
      <rPr>
        <sz val="14"/>
        <color theme="1" tint="-0.499984740745262"/>
        <rFont val="Arial"/>
        <family val="2"/>
      </rPr>
      <t xml:space="preserve"> es una herramienta sencilla para evaluar y comparar los costos financieros de los programas de vacunación contra el rotavirus con cada producto de vacunas de rotavirus respaldado por Gavi, la Alianza para las Vacunas. Su finalidad es ayudar a los responsables de formular políticas a nivel nacional a comparar productos y calcular los costos de los programas de vacunación con diferentes vacunas de rotavirus. Para ello, se pueden analizar hasta cuatro opciones de vacunas al mismo tiempo. 
La herramienta calcula el volumen de la cadena de frío y los costos anuales y para un período total de cinco años. Las estimaciones se componen del costo de las vacunas (es decir, la adquisición de vacunas y de suministros y los envíos internacionales) y de los costos de los programas de vacunación (es decir, el costo de la vacuna y su aplicación). Las estimaciones de los costos se proporcionan por separado para dos perspectivas: 1) la perspectiva de los países y 2) la perspectiva conjunta de los países y Gavi. La perspectiva de los países contempla solamente los gastos que se cubren con el presupuesto nacional, mientras que la perspectiva conjunta de los países y Gavi también tiene en cuenta la cofinanciación de las vacunas. Las estimaciones del volumen de la cadena de frío se calculan a partir del total de dosis requeridas y la información de precalificación de la Organización Mundial de la Salud sobre el volumen por dosis en cadena de frío, la cual considera la reserva y el desperdicio, aunque no necesariamente el espacio “muerto” ni el espacio requerido en distintos niveles.</t>
    </r>
  </si>
  <si>
    <r>
      <rPr>
        <b/>
        <sz val="12"/>
        <color theme="1"/>
        <rFont val="Arial"/>
        <family val="2"/>
      </rPr>
      <t>Número de dosis administradas </t>
    </r>
    <r>
      <rPr>
        <sz val="12"/>
        <color theme="1"/>
        <rFont val="Arial"/>
        <family val="2"/>
      </rPr>
      <t xml:space="preserve">= Población destinataria x cobertura D1 + población destinataria x cobertura D2 + población destinataria x cobertura D3 (si corresponde)
</t>
    </r>
    <r>
      <rPr>
        <b/>
        <sz val="12"/>
        <color theme="1"/>
        <rFont val="Arial"/>
        <family val="2"/>
      </rPr>
      <t>Total de dosis necesarias</t>
    </r>
    <r>
      <rPr>
        <sz val="12"/>
        <color theme="1"/>
        <rFont val="Arial"/>
        <family val="2"/>
      </rPr>
      <t xml:space="preserve"> = Número de dosis administradas x factor de desperdicio + existencias de reserva opcionales
</t>
    </r>
    <r>
      <rPr>
        <b/>
        <sz val="12"/>
        <color theme="1"/>
        <rFont val="Arial"/>
        <family val="2"/>
      </rPr>
      <t>Volumen total de la cadena de frío necesario</t>
    </r>
    <r>
      <rPr>
        <sz val="12"/>
        <color theme="1"/>
        <rFont val="Arial"/>
        <family val="2"/>
      </rPr>
      <t xml:space="preserve"> = Volumen de la cadena de frío por dosis en cm3 x total de dosis necesarias
</t>
    </r>
    <r>
      <rPr>
        <b/>
        <sz val="12"/>
        <color theme="1"/>
        <rFont val="Arial"/>
        <family val="2"/>
      </rPr>
      <t>Factor de desperdicio</t>
    </r>
    <r>
      <rPr>
        <sz val="12"/>
        <color theme="1"/>
        <rFont val="Arial"/>
        <family val="2"/>
      </rPr>
      <t xml:space="preserve"> = (1 / (1 - tasa de desperdicio))
</t>
    </r>
    <r>
      <rPr>
        <b/>
        <sz val="12"/>
        <color theme="1"/>
        <rFont val="Arial"/>
        <family val="2"/>
      </rPr>
      <t>Costo de la vacuna (costo para el país)</t>
    </r>
    <r>
      <rPr>
        <sz val="12"/>
        <color theme="1"/>
        <rFont val="Arial"/>
        <family val="2"/>
      </rPr>
      <t xml:space="preserve"> = Total de dosis necesarias x (cantidad de cofinanciación por dosis + cantidad de cofinanciación por dosis x tramitación internacional + cantidad de cofinanciación por dosis x transporte internacional) + (número de dosis administradas / volumen de caja/bolsa de seguridad x precio de caja/bolsa de seguridad)
</t>
    </r>
    <r>
      <rPr>
        <b/>
        <sz val="12"/>
        <color theme="1"/>
        <rFont val="Arial"/>
        <family val="2"/>
      </rPr>
      <t>Costo de la vacuna (país + costo de Gavi)</t>
    </r>
    <r>
      <rPr>
        <sz val="12"/>
        <color theme="1"/>
        <rFont val="Arial"/>
        <family val="2"/>
      </rPr>
      <t xml:space="preserve"> = Total de dosis necesarias x (precio por dosis + precio por dosis x tramitación internacional + precio por dosis x transporte internacional) + (número de dosis administradas / volumen de caja/bolsa de seguridad x precio de caja/bolsa de seguridad)
</t>
    </r>
    <r>
      <rPr>
        <b/>
        <sz val="12"/>
        <color theme="1"/>
        <rFont val="Arial"/>
        <family val="2"/>
      </rPr>
      <t>Costo del programa de vacunación (costo para el país)</t>
    </r>
    <r>
      <rPr>
        <sz val="12"/>
        <color theme="1"/>
        <rFont val="Arial"/>
        <family val="2"/>
      </rPr>
      <t xml:space="preserve"> = Costo de la vacuna + número de dosis administradas x costo incremental de la administración por dosis + costos de introducción o sustitución (solo el año 1)
</t>
    </r>
    <r>
      <rPr>
        <b/>
        <sz val="12"/>
        <color theme="1"/>
        <rFont val="Arial"/>
        <family val="2"/>
      </rPr>
      <t>Costo del programa de vacunación</t>
    </r>
    <r>
      <rPr>
        <sz val="12"/>
        <color theme="1"/>
        <rFont val="Arial"/>
        <family val="2"/>
      </rPr>
      <t xml:space="preserve"> </t>
    </r>
    <r>
      <rPr>
        <b/>
        <sz val="12"/>
        <color theme="1"/>
        <rFont val="Arial"/>
        <family val="2"/>
      </rPr>
      <t xml:space="preserve"> (país + costo de Gavi)</t>
    </r>
    <r>
      <rPr>
        <sz val="12"/>
        <color theme="1"/>
        <rFont val="Arial"/>
        <family val="2"/>
      </rPr>
      <t> = Número de dosis administradas x costo incremental de la administración por dosis + costos de introducción o sustitución (solo el año 1)
* x = multiplicar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</si>
</sst>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7" formatCode="&quot;$&quot;#,##0.00_);\(&quot;$&quot;#,##0.00\)"/>
    <numFmt numFmtId="8" formatCode="&quot;$&quot;#,##0.00_);[Red]\(&quot;$&quot;#,##0.00\)"/>
    <numFmt numFmtId="44" formatCode="_(&quot;$&quot;* #,##0.00_);_(&quot;$&quot;* \(#,##0.00\);_(&quot;$&quot;* &quot;-&quot;??_);_(@_)"/>
    <numFmt numFmtId="164" formatCode="&quot;$&quot;#,##0.00"/>
    <numFmt numFmtId="165" formatCode="&quot;$&quot;#,##0"/>
    <numFmt numFmtId="166" formatCode="0.0%"/>
    <numFmt numFmtId="167" formatCode="&quot;$ &quot;#,##0.00"/>
    <numFmt numFmtId="168" formatCode="&quot;$ &quot;#,##0"/>
  </numFmts>
  <fonts count="92"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u/>
      <sz val="11"/>
      <color theme="1"/>
      <name val="Calibri"/>
      <family val="2"/>
      <scheme val="minor"/>
    </font>
    <font>
      <b/>
      <sz val="11"/>
      <color rgb="FFFF0000"/>
      <name val="Calibri"/>
      <family val="2"/>
      <scheme val="minor"/>
    </font>
    <font>
      <sz val="8"/>
      <color theme="1"/>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b/>
      <i/>
      <u/>
      <sz val="12"/>
      <color theme="1" tint="-0.499984740745262"/>
      <name val="Arial"/>
      <family val="2"/>
    </font>
    <font>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sz val="11"/>
      <color rgb="FFAD0012"/>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sz val="14"/>
      <color theme="1"/>
      <name val="Calibri"/>
      <family val="2"/>
      <scheme val="minor"/>
    </font>
    <font>
      <sz val="11"/>
      <color theme="5"/>
      <name val="Arial"/>
      <family val="2"/>
    </font>
    <font>
      <b/>
      <sz val="11"/>
      <color theme="5"/>
      <name val="Arial"/>
      <family val="2"/>
    </font>
    <font>
      <b/>
      <sz val="18"/>
      <color theme="5"/>
      <name val="Arial"/>
      <family val="2"/>
    </font>
    <font>
      <i/>
      <sz val="12"/>
      <color theme="4"/>
      <name val="Arial"/>
      <family val="2"/>
    </font>
    <font>
      <sz val="11"/>
      <color theme="0"/>
      <name val="Arial"/>
      <family val="2"/>
    </font>
    <font>
      <b/>
      <vertAlign val="superscript"/>
      <sz val="11"/>
      <color theme="1"/>
      <name val="Calibri"/>
      <family val="2"/>
      <scheme val="minor"/>
    </font>
    <font>
      <sz val="25"/>
      <color rgb="FF000000"/>
      <name val="Arial"/>
      <family val="2"/>
    </font>
    <font>
      <b/>
      <sz val="28"/>
      <color theme="5"/>
      <name val="Arial"/>
      <family val="2"/>
    </font>
    <font>
      <b/>
      <sz val="9"/>
      <color rgb="FFFF0000"/>
      <name val="Arial"/>
      <family val="2"/>
    </font>
    <font>
      <sz val="12"/>
      <color theme="1"/>
      <name val="Arial"/>
    </font>
    <font>
      <sz val="14"/>
      <color theme="1"/>
      <name val="Arial"/>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8"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14">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4"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5" fillId="0" borderId="0" xfId="0" applyFont="1"/>
    <xf numFmtId="0" fontId="5" fillId="0" borderId="0" xfId="0" applyFont="1" applyAlignment="1">
      <alignment wrapText="1"/>
    </xf>
    <xf numFmtId="8" fontId="0" fillId="0" borderId="0" xfId="0" applyNumberFormat="1" applyAlignment="1">
      <alignment horizontal="center" vertical="center"/>
    </xf>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2" fillId="10" borderId="2"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7" fillId="10" borderId="15"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7" fillId="10" borderId="0" xfId="0" applyFont="1" applyFill="1" applyAlignment="1">
      <alignment horizontal="left" vertical="center" wrapText="1"/>
    </xf>
    <xf numFmtId="0" fontId="12" fillId="10" borderId="0" xfId="3" applyFont="1" applyFill="1" applyBorder="1" applyAlignment="1">
      <alignment horizontal="left" vertical="center"/>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2" borderId="0" xfId="0" applyFont="1" applyFill="1" applyAlignment="1">
      <alignment horizontal="left" vertical="top" wrapText="1"/>
    </xf>
    <xf numFmtId="0" fontId="7" fillId="5" borderId="1" xfId="0" applyFont="1" applyFill="1" applyBorder="1" applyAlignment="1">
      <alignment vertical="center" wrapText="1"/>
    </xf>
    <xf numFmtId="0" fontId="11" fillId="14" borderId="0" xfId="0" applyFont="1" applyFill="1" applyAlignment="1">
      <alignment horizontal="center" vertical="center"/>
    </xf>
    <xf numFmtId="0" fontId="7" fillId="14" borderId="0" xfId="0" applyFont="1" applyFill="1"/>
    <xf numFmtId="0" fontId="15" fillId="15" borderId="0" xfId="0" applyFont="1" applyFill="1"/>
    <xf numFmtId="0" fontId="16" fillId="15" borderId="0" xfId="0" applyFont="1" applyFill="1" applyAlignment="1">
      <alignment horizontal="center" vertical="center"/>
    </xf>
    <xf numFmtId="0" fontId="7" fillId="15" borderId="0" xfId="0" applyFont="1" applyFill="1"/>
    <xf numFmtId="0" fontId="17" fillId="4" borderId="0" xfId="0" applyFont="1" applyFill="1" applyAlignment="1">
      <alignment horizontal="left" vertical="center" wrapText="1"/>
    </xf>
    <xf numFmtId="0" fontId="22" fillId="4" borderId="0" xfId="0" applyFont="1" applyFill="1" applyAlignment="1">
      <alignment vertical="center" wrapText="1"/>
    </xf>
    <xf numFmtId="0" fontId="23" fillId="2" borderId="0" xfId="0" applyFont="1" applyFill="1" applyAlignment="1">
      <alignment horizontal="left" vertical="center" wrapText="1"/>
    </xf>
    <xf numFmtId="0" fontId="26" fillId="15" borderId="0" xfId="0" applyFont="1" applyFill="1" applyAlignment="1">
      <alignment vertical="center"/>
    </xf>
    <xf numFmtId="0" fontId="22" fillId="4" borderId="0" xfId="0" applyFont="1" applyFill="1" applyAlignment="1">
      <alignment vertical="center"/>
    </xf>
    <xf numFmtId="0" fontId="22" fillId="4" borderId="0" xfId="0" applyFont="1" applyFill="1" applyAlignment="1">
      <alignment horizontal="left" vertical="center" wrapText="1"/>
    </xf>
    <xf numFmtId="49" fontId="28" fillId="2" borderId="0" xfId="0" applyNumberFormat="1" applyFont="1" applyFill="1" applyAlignment="1">
      <alignment horizontal="right" vertical="center" wrapText="1"/>
    </xf>
    <xf numFmtId="0" fontId="29" fillId="2" borderId="0" xfId="0" applyFont="1" applyFill="1" applyAlignment="1">
      <alignment vertical="center" wrapText="1"/>
    </xf>
    <xf numFmtId="0" fontId="30" fillId="2" borderId="0" xfId="0" applyFont="1" applyFill="1" applyAlignment="1">
      <alignment horizontal="center" vertical="center" wrapText="1"/>
    </xf>
    <xf numFmtId="0" fontId="31" fillId="2" borderId="0" xfId="0" applyFont="1" applyFill="1" applyAlignment="1">
      <alignment vertical="center" wrapText="1"/>
    </xf>
    <xf numFmtId="0" fontId="32" fillId="2" borderId="0" xfId="0" applyFont="1" applyFill="1" applyAlignment="1" applyProtection="1">
      <alignment horizontal="center" vertical="center"/>
      <protection hidden="1"/>
    </xf>
    <xf numFmtId="9" fontId="33" fillId="2" borderId="0" xfId="0" applyNumberFormat="1" applyFont="1" applyFill="1" applyAlignment="1" applyProtection="1">
      <alignment horizontal="center" vertical="center"/>
      <protection hidden="1"/>
    </xf>
    <xf numFmtId="0" fontId="33" fillId="2" borderId="0" xfId="0" applyFont="1" applyFill="1" applyAlignment="1" applyProtection="1">
      <alignment horizontal="center" vertical="center"/>
      <protection hidden="1"/>
    </xf>
    <xf numFmtId="9" fontId="33" fillId="2" borderId="0" xfId="2" applyFont="1" applyFill="1" applyBorder="1" applyAlignment="1" applyProtection="1">
      <alignment horizontal="center" vertical="center"/>
      <protection hidden="1"/>
    </xf>
    <xf numFmtId="0" fontId="34" fillId="2" borderId="0" xfId="0" applyFont="1" applyFill="1" applyAlignment="1" applyProtection="1">
      <alignment horizontal="center" vertical="center" wrapText="1"/>
      <protection hidden="1"/>
    </xf>
    <xf numFmtId="0" fontId="32" fillId="10" borderId="0" xfId="0" applyFont="1" applyFill="1" applyAlignment="1" applyProtection="1">
      <alignment horizontal="center" vertical="center"/>
      <protection hidden="1"/>
    </xf>
    <xf numFmtId="0" fontId="35" fillId="10" borderId="0" xfId="0" applyFont="1" applyFill="1" applyAlignment="1" applyProtection="1">
      <alignment horizontal="left" vertical="center" wrapText="1"/>
      <protection hidden="1"/>
    </xf>
    <xf numFmtId="9" fontId="33" fillId="10" borderId="0" xfId="0" applyNumberFormat="1" applyFont="1" applyFill="1" applyAlignment="1" applyProtection="1">
      <alignment horizontal="center" vertical="center"/>
      <protection locked="0"/>
    </xf>
    <xf numFmtId="9" fontId="37" fillId="5" borderId="1" xfId="0" applyNumberFormat="1" applyFont="1" applyFill="1" applyBorder="1" applyAlignment="1" applyProtection="1">
      <alignment horizontal="center" vertical="center"/>
      <protection locked="0"/>
    </xf>
    <xf numFmtId="0" fontId="37" fillId="10" borderId="0" xfId="0" applyFont="1" applyFill="1" applyAlignment="1" applyProtection="1">
      <alignment horizontal="center" vertical="center"/>
      <protection hidden="1"/>
    </xf>
    <xf numFmtId="9" fontId="37" fillId="5" borderId="1" xfId="2"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wrapText="1"/>
      <protection hidden="1"/>
    </xf>
    <xf numFmtId="9" fontId="33" fillId="10" borderId="0" xfId="0" applyNumberFormat="1" applyFont="1" applyFill="1" applyAlignment="1" applyProtection="1">
      <alignment horizontal="center" vertical="center"/>
      <protection hidden="1"/>
    </xf>
    <xf numFmtId="0" fontId="33" fillId="10" borderId="0" xfId="0" applyFont="1" applyFill="1" applyAlignment="1" applyProtection="1">
      <alignment horizontal="center" vertical="center"/>
      <protection hidden="1"/>
    </xf>
    <xf numFmtId="9" fontId="33" fillId="10" borderId="0" xfId="2" applyFont="1" applyFill="1" applyBorder="1" applyAlignment="1" applyProtection="1">
      <alignment horizontal="center" vertical="center"/>
      <protection hidden="1"/>
    </xf>
    <xf numFmtId="0" fontId="34" fillId="10" borderId="0" xfId="0" applyFont="1" applyFill="1" applyAlignment="1" applyProtection="1">
      <alignment horizontal="center" vertical="center" wrapText="1"/>
      <protection hidden="1"/>
    </xf>
    <xf numFmtId="0" fontId="38" fillId="10" borderId="0" xfId="0" applyFont="1" applyFill="1" applyAlignment="1" applyProtection="1">
      <alignment horizontal="center" vertical="center"/>
      <protection hidden="1"/>
    </xf>
    <xf numFmtId="164" fontId="32" fillId="2" borderId="0" xfId="0" applyNumberFormat="1" applyFont="1" applyFill="1" applyAlignment="1" applyProtection="1">
      <alignment horizontal="center" vertical="center"/>
      <protection hidden="1"/>
    </xf>
    <xf numFmtId="164" fontId="32" fillId="10" borderId="0" xfId="0" applyNumberFormat="1" applyFont="1" applyFill="1" applyAlignment="1" applyProtection="1">
      <alignment horizontal="center" vertical="center"/>
      <protection hidden="1"/>
    </xf>
    <xf numFmtId="0" fontId="39" fillId="10" borderId="0" xfId="0" applyFont="1" applyFill="1" applyAlignment="1" applyProtection="1">
      <alignment horizontal="center" vertical="center"/>
      <protection hidden="1"/>
    </xf>
    <xf numFmtId="0" fontId="40"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41" fillId="10" borderId="2" xfId="0" applyFont="1" applyFill="1" applyBorder="1" applyAlignment="1" applyProtection="1">
      <alignment horizontal="left"/>
      <protection hidden="1"/>
    </xf>
    <xf numFmtId="0" fontId="32"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2" fillId="11" borderId="0" xfId="0" applyFont="1" applyFill="1" applyAlignment="1" applyProtection="1">
      <alignment horizontal="center" vertical="center"/>
      <protection hidden="1"/>
    </xf>
    <xf numFmtId="0" fontId="32"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3" fillId="10" borderId="0" xfId="0" applyNumberFormat="1" applyFont="1" applyFill="1" applyAlignment="1" applyProtection="1">
      <alignment horizontal="center" vertical="center"/>
      <protection locked="0"/>
    </xf>
    <xf numFmtId="164" fontId="9" fillId="10" borderId="0" xfId="0" applyNumberFormat="1" applyFont="1" applyFill="1" applyAlignment="1" applyProtection="1">
      <alignment horizontal="center" vertical="center"/>
      <protection hidden="1"/>
    </xf>
    <xf numFmtId="0" fontId="12" fillId="2" borderId="8" xfId="3"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3" fillId="10" borderId="0" xfId="0" applyNumberFormat="1" applyFont="1" applyFill="1" applyAlignment="1" applyProtection="1">
      <alignment horizontal="center" vertical="center" wrapText="1"/>
      <protection locked="0"/>
    </xf>
    <xf numFmtId="165" fontId="9" fillId="10" borderId="0" xfId="0" applyNumberFormat="1" applyFont="1" applyFill="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3" fillId="10" borderId="0" xfId="0" applyFont="1" applyFill="1" applyAlignment="1" applyProtection="1">
      <alignment vertical="center"/>
      <protection hidden="1"/>
    </xf>
    <xf numFmtId="0" fontId="44" fillId="10" borderId="0" xfId="0" applyFont="1" applyFill="1" applyAlignment="1" applyProtection="1">
      <alignment horizontal="center" vertical="center"/>
      <protection hidden="1"/>
    </xf>
    <xf numFmtId="0" fontId="32"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3"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3" fillId="10" borderId="12" xfId="2" applyNumberFormat="1" applyFont="1" applyFill="1" applyBorder="1" applyAlignment="1" applyProtection="1">
      <alignment horizontal="center" vertical="center"/>
      <protection locked="0"/>
    </xf>
    <xf numFmtId="164" fontId="9" fillId="10" borderId="7" xfId="2" applyNumberFormat="1" applyFont="1" applyFill="1" applyBorder="1" applyAlignment="1" applyProtection="1">
      <alignment horizontal="center" vertical="center"/>
      <protection hidden="1"/>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3"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3"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3" fillId="10" borderId="0" xfId="0" applyNumberFormat="1" applyFont="1" applyFill="1" applyAlignment="1" applyProtection="1">
      <alignment horizontal="center" vertical="center"/>
      <protection hidden="1"/>
    </xf>
    <xf numFmtId="2" fontId="37" fillId="2" borderId="1" xfId="0" applyNumberFormat="1" applyFont="1" applyFill="1" applyBorder="1" applyAlignment="1" applyProtection="1">
      <alignment horizontal="center" vertical="center"/>
      <protection hidden="1"/>
    </xf>
    <xf numFmtId="2" fontId="37" fillId="10" borderId="0" xfId="0" applyNumberFormat="1" applyFont="1" applyFill="1" applyAlignment="1" applyProtection="1">
      <alignment horizontal="center" vertical="center"/>
      <protection hidden="1"/>
    </xf>
    <xf numFmtId="0" fontId="32" fillId="0" borderId="0" xfId="0" applyFont="1" applyAlignment="1" applyProtection="1">
      <alignment horizontal="center" vertical="center"/>
      <protection hidden="1"/>
    </xf>
    <xf numFmtId="9" fontId="45" fillId="10" borderId="12" xfId="2" applyFont="1" applyFill="1" applyBorder="1" applyAlignment="1" applyProtection="1">
      <alignment horizontal="center" vertical="center"/>
      <protection hidden="1"/>
    </xf>
    <xf numFmtId="9" fontId="46" fillId="0" borderId="8" xfId="2" applyFont="1" applyFill="1" applyBorder="1" applyAlignment="1" applyProtection="1">
      <alignment horizontal="center" vertical="center"/>
      <protection hidden="1"/>
    </xf>
    <xf numFmtId="9" fontId="46" fillId="10" borderId="7" xfId="2" applyFont="1" applyFill="1" applyBorder="1" applyAlignment="1" applyProtection="1">
      <alignment horizontal="center" vertical="center"/>
      <protection hidden="1"/>
    </xf>
    <xf numFmtId="9" fontId="46" fillId="0" borderId="15" xfId="2" applyFont="1" applyFill="1" applyBorder="1" applyAlignment="1" applyProtection="1">
      <alignment horizontal="center" vertical="center"/>
      <protection hidden="1"/>
    </xf>
    <xf numFmtId="9" fontId="46" fillId="0" borderId="14" xfId="2" applyFont="1" applyFill="1" applyBorder="1" applyAlignment="1" applyProtection="1">
      <alignment horizontal="center" vertical="center"/>
      <protection hidden="1"/>
    </xf>
    <xf numFmtId="0" fontId="47"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3" fillId="10" borderId="12" xfId="2" applyNumberFormat="1" applyFont="1" applyFill="1" applyBorder="1" applyAlignment="1" applyProtection="1">
      <alignment horizontal="center" vertical="center"/>
      <protection locked="0"/>
    </xf>
    <xf numFmtId="2" fontId="37" fillId="10" borderId="7" xfId="2" applyNumberFormat="1" applyFont="1" applyFill="1" applyBorder="1" applyAlignment="1" applyProtection="1">
      <alignment horizontal="center" vertical="center"/>
      <protection hidden="1"/>
    </xf>
    <xf numFmtId="1" fontId="37" fillId="2" borderId="14" xfId="2" applyNumberFormat="1" applyFont="1" applyFill="1" applyBorder="1" applyAlignment="1" applyProtection="1">
      <alignment horizontal="center" vertical="center"/>
      <protection hidden="1"/>
    </xf>
    <xf numFmtId="1" fontId="37"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3"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49" fillId="10" borderId="0" xfId="0" applyFont="1" applyFill="1" applyAlignment="1" applyProtection="1">
      <alignment horizontal="center" vertical="center" wrapText="1"/>
      <protection hidden="1"/>
    </xf>
    <xf numFmtId="0" fontId="43"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3" fillId="10" borderId="0" xfId="0" applyFont="1" applyFill="1" applyAlignment="1" applyProtection="1">
      <alignment horizontal="center" vertical="center" wrapText="1"/>
      <protection locked="0"/>
    </xf>
    <xf numFmtId="0" fontId="37" fillId="10" borderId="0" xfId="0" applyFont="1" applyFill="1" applyAlignment="1" applyProtection="1">
      <alignment vertical="center" wrapText="1"/>
      <protection hidden="1"/>
    </xf>
    <xf numFmtId="0" fontId="37" fillId="5" borderId="1" xfId="0" applyFont="1" applyFill="1" applyBorder="1" applyAlignment="1" applyProtection="1">
      <alignment horizontal="center" vertical="center" wrapText="1"/>
      <protection locked="0"/>
    </xf>
    <xf numFmtId="0" fontId="42"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wrapText="1"/>
      <protection hidden="1"/>
    </xf>
    <xf numFmtId="0" fontId="9" fillId="10" borderId="15" xfId="0" applyFont="1" applyFill="1" applyBorder="1" applyAlignment="1" applyProtection="1">
      <alignment vertical="center"/>
      <protection hidden="1"/>
    </xf>
    <xf numFmtId="0" fontId="32" fillId="2" borderId="0" xfId="0" applyFont="1" applyFill="1" applyAlignment="1" applyProtection="1">
      <alignment vertical="center" wrapText="1"/>
      <protection hidden="1"/>
    </xf>
    <xf numFmtId="0" fontId="32" fillId="10" borderId="0" xfId="0" applyFont="1" applyFill="1" applyAlignment="1" applyProtection="1">
      <alignment vertical="center" wrapText="1"/>
      <protection hidden="1"/>
    </xf>
    <xf numFmtId="0" fontId="50" fillId="10" borderId="0" xfId="0" applyFont="1" applyFill="1" applyAlignment="1" applyProtection="1">
      <alignment horizontal="center" vertical="center" wrapText="1"/>
      <protection hidden="1"/>
    </xf>
    <xf numFmtId="9" fontId="51" fillId="10" borderId="0" xfId="2" applyFont="1" applyFill="1" applyBorder="1" applyAlignment="1" applyProtection="1">
      <alignment horizontal="center" vertical="center"/>
      <protection hidden="1"/>
    </xf>
    <xf numFmtId="0" fontId="52" fillId="10" borderId="0" xfId="0" applyFont="1" applyFill="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3" fillId="10" borderId="0" xfId="0" applyFont="1" applyFill="1" applyAlignment="1" applyProtection="1">
      <alignment horizontal="left" vertical="center" wrapText="1"/>
      <protection hidden="1"/>
    </xf>
    <xf numFmtId="9" fontId="53" fillId="2" borderId="3" xfId="2" applyFont="1" applyFill="1" applyBorder="1" applyAlignment="1" applyProtection="1">
      <alignment horizontal="center" vertical="center"/>
      <protection hidden="1"/>
    </xf>
    <xf numFmtId="0" fontId="32" fillId="10" borderId="0" xfId="0" applyFont="1" applyFill="1" applyAlignment="1" applyProtection="1">
      <alignment vertical="center"/>
      <protection hidden="1"/>
    </xf>
    <xf numFmtId="9" fontId="33"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3"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3" fillId="10" borderId="0" xfId="0" applyFont="1" applyFill="1" applyAlignment="1" applyProtection="1">
      <alignment horizontal="left" vertical="center"/>
      <protection hidden="1"/>
    </xf>
    <xf numFmtId="0" fontId="33"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3" fillId="2" borderId="0" xfId="0" applyFont="1" applyFill="1" applyAlignment="1" applyProtection="1">
      <alignment horizontal="center" vertical="center"/>
      <protection hidden="1"/>
    </xf>
    <xf numFmtId="0" fontId="43" fillId="10" borderId="0" xfId="0" applyFont="1" applyFill="1" applyAlignment="1" applyProtection="1">
      <alignment horizontal="center" vertical="center"/>
      <protection hidden="1"/>
    </xf>
    <xf numFmtId="0" fontId="43" fillId="10" borderId="0" xfId="0" applyFont="1" applyFill="1" applyAlignment="1" applyProtection="1">
      <alignment horizontal="left" vertical="center"/>
      <protection hidden="1"/>
    </xf>
    <xf numFmtId="0" fontId="38" fillId="2" borderId="0" xfId="0" applyFont="1" applyFill="1" applyAlignment="1" applyProtection="1">
      <alignment horizontal="right" vertical="center"/>
      <protection hidden="1"/>
    </xf>
    <xf numFmtId="0" fontId="38" fillId="10" borderId="0" xfId="0" applyFont="1" applyFill="1" applyAlignment="1" applyProtection="1">
      <alignment horizontal="right" vertical="center"/>
      <protection hidden="1"/>
    </xf>
    <xf numFmtId="0" fontId="38" fillId="10" borderId="0" xfId="0" applyFont="1" applyFill="1" applyAlignment="1" applyProtection="1">
      <alignment vertical="center"/>
      <protection hidden="1"/>
    </xf>
    <xf numFmtId="0" fontId="54" fillId="14" borderId="0" xfId="0" applyFont="1" applyFill="1" applyAlignment="1" applyProtection="1">
      <alignment horizontal="center" vertical="center"/>
      <protection hidden="1"/>
    </xf>
    <xf numFmtId="0" fontId="32" fillId="14" borderId="0" xfId="0" applyFont="1" applyFill="1" applyAlignment="1" applyProtection="1">
      <alignment horizontal="center" vertical="center"/>
      <protection hidden="1"/>
    </xf>
    <xf numFmtId="0" fontId="56" fillId="2" borderId="0" xfId="0" applyFont="1" applyFill="1" applyAlignment="1" applyProtection="1">
      <alignment horizontal="left" vertical="center" wrapText="1"/>
      <protection hidden="1"/>
    </xf>
    <xf numFmtId="0" fontId="57" fillId="10" borderId="0" xfId="0" applyFont="1" applyFill="1" applyAlignment="1" applyProtection="1">
      <alignment vertical="center"/>
      <protection hidden="1"/>
    </xf>
    <xf numFmtId="0" fontId="46" fillId="10" borderId="0" xfId="0" applyFont="1" applyFill="1" applyAlignment="1" applyProtection="1">
      <alignment horizontal="left" vertical="center"/>
      <protection hidden="1"/>
    </xf>
    <xf numFmtId="0" fontId="46" fillId="2" borderId="0" xfId="0" applyFont="1" applyFill="1" applyAlignment="1" applyProtection="1">
      <alignment horizontal="left" vertical="center"/>
      <protection hidden="1"/>
    </xf>
    <xf numFmtId="0" fontId="32" fillId="2" borderId="3" xfId="0" applyFont="1" applyFill="1" applyBorder="1" applyAlignment="1" applyProtection="1">
      <alignment horizontal="center" vertical="center"/>
      <protection hidden="1"/>
    </xf>
    <xf numFmtId="0" fontId="32" fillId="0" borderId="0" xfId="0" applyFont="1"/>
    <xf numFmtId="0" fontId="32" fillId="8" borderId="0" xfId="0" applyFont="1" applyFill="1"/>
    <xf numFmtId="164" fontId="7" fillId="8" borderId="0" xfId="0" applyNumberFormat="1" applyFont="1" applyFill="1" applyAlignment="1" applyProtection="1">
      <alignment horizontal="center" vertical="center"/>
      <protection hidden="1"/>
    </xf>
    <xf numFmtId="164" fontId="7" fillId="8" borderId="0" xfId="0" applyNumberFormat="1" applyFont="1" applyFill="1" applyAlignment="1" applyProtection="1">
      <alignment horizontal="center" vertical="center"/>
      <protection locked="0"/>
    </xf>
    <xf numFmtId="164" fontId="25" fillId="8" borderId="0" xfId="0" applyNumberFormat="1" applyFont="1" applyFill="1" applyAlignment="1" applyProtection="1">
      <alignment horizontal="center" vertical="center"/>
      <protection hidden="1"/>
    </xf>
    <xf numFmtId="164" fontId="25"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60" fillId="2" borderId="1" xfId="0" applyFont="1" applyFill="1" applyBorder="1" applyAlignment="1" applyProtection="1">
      <alignment horizontal="center" vertical="center" wrapText="1"/>
      <protection hidden="1"/>
    </xf>
    <xf numFmtId="0" fontId="60" fillId="8" borderId="0" xfId="0" applyFont="1" applyFill="1" applyAlignment="1" applyProtection="1">
      <alignment horizontal="center" vertical="center" wrapText="1"/>
      <protection hidden="1"/>
    </xf>
    <xf numFmtId="4" fontId="25"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5" fillId="2" borderId="0" xfId="0" applyNumberFormat="1" applyFont="1" applyFill="1" applyAlignment="1">
      <alignment horizontal="center" vertical="center"/>
    </xf>
    <xf numFmtId="4" fontId="25" fillId="2" borderId="2" xfId="0" applyNumberFormat="1" applyFont="1" applyFill="1" applyBorder="1" applyAlignment="1">
      <alignment horizontal="center" vertical="center"/>
    </xf>
    <xf numFmtId="164" fontId="39" fillId="2" borderId="0" xfId="0" applyNumberFormat="1" applyFont="1" applyFill="1" applyAlignment="1" applyProtection="1">
      <alignment horizontal="center" vertical="center"/>
      <protection locked="0"/>
    </xf>
    <xf numFmtId="164" fontId="39" fillId="8" borderId="0" xfId="0" applyNumberFormat="1" applyFont="1" applyFill="1" applyAlignment="1" applyProtection="1">
      <alignment horizontal="center" vertical="center"/>
      <protection hidden="1"/>
    </xf>
    <xf numFmtId="164" fontId="39" fillId="2" borderId="0" xfId="0" applyNumberFormat="1" applyFont="1" applyFill="1" applyAlignment="1" applyProtection="1">
      <alignment horizontal="center" vertical="center"/>
      <protection hidden="1"/>
    </xf>
    <xf numFmtId="164" fontId="39" fillId="8" borderId="0" xfId="0" applyNumberFormat="1" applyFont="1" applyFill="1" applyAlignment="1" applyProtection="1">
      <alignment horizontal="center" vertical="center"/>
      <protection locked="0"/>
    </xf>
    <xf numFmtId="165" fontId="7" fillId="8" borderId="0" xfId="0" applyNumberFormat="1" applyFont="1" applyFill="1" applyAlignment="1" applyProtection="1">
      <alignment horizontal="center" vertical="center" wrapText="1"/>
      <protection locked="0"/>
    </xf>
    <xf numFmtId="0" fontId="61"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3" fillId="8" borderId="0" xfId="2" applyFont="1" applyFill="1" applyBorder="1" applyAlignment="1" applyProtection="1">
      <alignment horizontal="left" vertical="center"/>
      <protection hidden="1"/>
    </xf>
    <xf numFmtId="9" fontId="64"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60" fillId="8" borderId="0" xfId="0" applyFont="1" applyFill="1" applyAlignment="1" applyProtection="1">
      <alignment horizontal="right" vertical="center" wrapText="1"/>
      <protection hidden="1"/>
    </xf>
    <xf numFmtId="9" fontId="63" fillId="8" borderId="0" xfId="2" applyFont="1" applyFill="1" applyBorder="1" applyAlignment="1" applyProtection="1">
      <alignment horizontal="left" vertical="center"/>
      <protection locked="0" hidden="1"/>
    </xf>
    <xf numFmtId="2" fontId="35" fillId="8" borderId="0" xfId="2" applyNumberFormat="1" applyFont="1" applyFill="1" applyBorder="1" applyAlignment="1" applyProtection="1">
      <alignment horizontal="center" vertical="center"/>
    </xf>
    <xf numFmtId="9" fontId="64" fillId="8" borderId="0" xfId="2" applyFont="1" applyFill="1" applyBorder="1" applyAlignment="1" applyProtection="1">
      <alignment horizontal="left" vertical="center"/>
      <protection locked="0" hidden="1"/>
    </xf>
    <xf numFmtId="2" fontId="64" fillId="8" borderId="0" xfId="1" applyNumberFormat="1" applyFont="1" applyFill="1" applyBorder="1" applyAlignment="1" applyProtection="1">
      <alignment horizontal="left" vertical="center"/>
      <protection locked="0" hidden="1"/>
    </xf>
    <xf numFmtId="166" fontId="7" fillId="8" borderId="0" xfId="2" applyNumberFormat="1" applyFont="1" applyFill="1" applyBorder="1" applyAlignment="1" applyProtection="1">
      <alignment horizontal="center" vertical="center"/>
      <protection locked="0"/>
    </xf>
    <xf numFmtId="2" fontId="32" fillId="0" borderId="0" xfId="0" applyNumberFormat="1" applyFont="1"/>
    <xf numFmtId="2" fontId="65" fillId="8" borderId="0" xfId="1" applyNumberFormat="1" applyFont="1" applyFill="1" applyBorder="1" applyAlignment="1" applyProtection="1">
      <alignment horizontal="center" vertical="center"/>
      <protection locked="0" hidden="1"/>
    </xf>
    <xf numFmtId="2" fontId="35"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39" fillId="0" borderId="0" xfId="0" applyFont="1"/>
    <xf numFmtId="0" fontId="66"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5" fillId="8" borderId="0" xfId="0" applyFont="1" applyFill="1" applyAlignment="1">
      <alignment vertical="center" wrapText="1"/>
    </xf>
    <xf numFmtId="0" fontId="7" fillId="8" borderId="0" xfId="0" applyFont="1" applyFill="1" applyAlignment="1">
      <alignment vertical="center" wrapText="1"/>
    </xf>
    <xf numFmtId="0" fontId="67" fillId="8" borderId="0" xfId="0" applyFont="1" applyFill="1" applyAlignment="1" applyProtection="1">
      <alignment horizontal="center" vertical="center" wrapText="1"/>
      <protection hidden="1"/>
    </xf>
    <xf numFmtId="0" fontId="68"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39" fillId="8" borderId="0" xfId="0" applyFont="1" applyFill="1" applyAlignment="1" applyProtection="1">
      <alignment horizontal="center" vertical="center"/>
      <protection hidden="1"/>
    </xf>
    <xf numFmtId="0" fontId="39" fillId="8" borderId="0" xfId="0" applyFont="1" applyFill="1" applyAlignment="1" applyProtection="1">
      <alignment horizontal="center" vertical="center" wrapText="1"/>
      <protection hidden="1"/>
    </xf>
    <xf numFmtId="0" fontId="69" fillId="8" borderId="0" xfId="0" applyFont="1" applyFill="1" applyAlignment="1" applyProtection="1">
      <alignment vertical="center" wrapText="1"/>
      <protection hidden="1"/>
    </xf>
    <xf numFmtId="0" fontId="70" fillId="8" borderId="0" xfId="0" applyFont="1" applyFill="1" applyAlignment="1" applyProtection="1">
      <alignment vertical="center" wrapText="1"/>
      <protection hidden="1"/>
    </xf>
    <xf numFmtId="0" fontId="70" fillId="8" borderId="0" xfId="0" applyFont="1" applyFill="1" applyAlignment="1" applyProtection="1">
      <alignment horizontal="center" vertical="center" wrapText="1"/>
      <protection hidden="1"/>
    </xf>
    <xf numFmtId="0" fontId="71" fillId="8" borderId="0" xfId="0" applyFont="1" applyFill="1" applyAlignment="1" applyProtection="1">
      <alignment horizontal="left" vertical="center" wrapText="1"/>
      <protection hidden="1"/>
    </xf>
    <xf numFmtId="0" fontId="32" fillId="2" borderId="0" xfId="0" applyFont="1" applyFill="1" applyProtection="1">
      <protection hidden="1"/>
    </xf>
    <xf numFmtId="0" fontId="32" fillId="3" borderId="0" xfId="0" applyFont="1" applyFill="1" applyProtection="1">
      <protection hidden="1"/>
    </xf>
    <xf numFmtId="165" fontId="7" fillId="3" borderId="0" xfId="0" applyNumberFormat="1" applyFont="1" applyFill="1" applyAlignment="1" applyProtection="1">
      <alignment horizontal="center" vertical="center"/>
      <protection hidden="1"/>
    </xf>
    <xf numFmtId="0" fontId="60" fillId="3" borderId="0" xfId="0" applyFont="1" applyFill="1" applyAlignment="1" applyProtection="1">
      <alignment horizontal="right" vertical="center" wrapText="1"/>
      <protection hidden="1"/>
    </xf>
    <xf numFmtId="0" fontId="60" fillId="2" borderId="1" xfId="0" applyFont="1" applyFill="1" applyBorder="1" applyAlignment="1" applyProtection="1">
      <alignment horizontal="right" vertical="center" wrapText="1"/>
      <protection hidden="1"/>
    </xf>
    <xf numFmtId="0" fontId="32" fillId="3" borderId="0" xfId="0" applyFont="1" applyFill="1" applyAlignment="1" applyProtection="1">
      <alignment horizontal="center" vertical="center"/>
      <protection hidden="1"/>
    </xf>
    <xf numFmtId="165" fontId="9" fillId="3" borderId="0" xfId="0" applyNumberFormat="1" applyFont="1" applyFill="1" applyAlignment="1" applyProtection="1">
      <alignment horizontal="center" vertical="center"/>
      <protection hidden="1"/>
    </xf>
    <xf numFmtId="0" fontId="47" fillId="3" borderId="0" xfId="0" applyFont="1" applyFill="1" applyAlignment="1" applyProtection="1">
      <alignment horizontal="right" vertical="center" wrapText="1"/>
      <protection hidden="1"/>
    </xf>
    <xf numFmtId="0" fontId="47"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4" fillId="3" borderId="10" xfId="0" applyNumberFormat="1" applyFont="1" applyFill="1" applyBorder="1" applyAlignment="1" applyProtection="1">
      <alignment horizontal="center" vertical="center"/>
      <protection hidden="1"/>
    </xf>
    <xf numFmtId="165" fontId="74" fillId="3" borderId="0" xfId="0" applyNumberFormat="1" applyFont="1" applyFill="1" applyAlignment="1" applyProtection="1">
      <alignment horizontal="center" vertical="center"/>
      <protection hidden="1"/>
    </xf>
    <xf numFmtId="0" fontId="60" fillId="3" borderId="10" xfId="0" applyFont="1" applyFill="1" applyBorder="1" applyAlignment="1" applyProtection="1">
      <alignment horizontal="right" vertical="center" wrapText="1"/>
      <protection hidden="1"/>
    </xf>
    <xf numFmtId="0" fontId="9" fillId="3" borderId="0" xfId="0" applyFont="1" applyFill="1" applyAlignment="1" applyProtection="1">
      <alignment horizontal="center" vertical="center"/>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5" fillId="2" borderId="0" xfId="0" applyFont="1" applyFill="1" applyProtection="1">
      <protection hidden="1"/>
    </xf>
    <xf numFmtId="0" fontId="76" fillId="3" borderId="0" xfId="0" applyFont="1" applyFill="1" applyAlignment="1" applyProtection="1">
      <alignment vertical="center" wrapText="1"/>
      <protection hidden="1"/>
    </xf>
    <xf numFmtId="0" fontId="75"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8" fillId="2" borderId="1" xfId="0" applyNumberFormat="1" applyFont="1" applyFill="1" applyBorder="1" applyAlignment="1" applyProtection="1">
      <alignment horizontal="center" vertical="center"/>
      <protection hidden="1"/>
    </xf>
    <xf numFmtId="3" fontId="78" fillId="3" borderId="0" xfId="0" applyNumberFormat="1" applyFont="1" applyFill="1" applyAlignment="1" applyProtection="1">
      <alignment horizontal="center" vertical="center"/>
      <protection hidden="1"/>
    </xf>
    <xf numFmtId="0" fontId="79" fillId="3" borderId="0" xfId="0" applyFont="1" applyFill="1" applyAlignment="1" applyProtection="1">
      <alignment horizontal="right" vertical="center" wrapText="1"/>
      <protection hidden="1"/>
    </xf>
    <xf numFmtId="0" fontId="79"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2" fillId="2" borderId="0" xfId="0" applyFont="1" applyFill="1" applyAlignment="1" applyProtection="1">
      <alignment wrapText="1"/>
      <protection hidden="1"/>
    </xf>
    <xf numFmtId="0" fontId="32" fillId="3" borderId="0" xfId="0" applyFont="1" applyFill="1" applyAlignment="1" applyProtection="1">
      <alignment wrapText="1"/>
      <protection hidden="1"/>
    </xf>
    <xf numFmtId="0" fontId="39" fillId="3" borderId="0" xfId="0" applyFont="1" applyFill="1" applyAlignment="1" applyProtection="1">
      <alignment vertical="center" wrapText="1"/>
      <protection hidden="1"/>
    </xf>
    <xf numFmtId="0" fontId="32" fillId="3" borderId="0" xfId="0" applyFont="1" applyFill="1" applyAlignment="1" applyProtection="1">
      <alignment horizontal="center" vertical="center" wrapText="1"/>
      <protection hidden="1"/>
    </xf>
    <xf numFmtId="0" fontId="41" fillId="3" borderId="0" xfId="0" applyFont="1" applyFill="1" applyAlignment="1" applyProtection="1">
      <alignment horizontal="center" vertical="center"/>
      <protection hidden="1"/>
    </xf>
    <xf numFmtId="0" fontId="32" fillId="2" borderId="0" xfId="0" applyFont="1" applyFill="1" applyAlignment="1" applyProtection="1">
      <alignment vertical="center"/>
      <protection hidden="1"/>
    </xf>
    <xf numFmtId="0" fontId="37" fillId="2" borderId="12" xfId="0" applyFont="1" applyFill="1" applyBorder="1" applyAlignment="1" applyProtection="1">
      <alignment vertical="center" wrapText="1"/>
      <protection hidden="1"/>
    </xf>
    <xf numFmtId="0" fontId="37" fillId="2" borderId="14" xfId="0" applyFont="1" applyFill="1" applyBorder="1" applyAlignment="1" applyProtection="1">
      <alignment vertical="center" wrapText="1"/>
      <protection hidden="1"/>
    </xf>
    <xf numFmtId="1" fontId="37" fillId="2" borderId="1" xfId="2" applyNumberFormat="1" applyFont="1" applyFill="1" applyBorder="1" applyAlignment="1" applyProtection="1">
      <alignment horizontal="center" vertical="center"/>
      <protection hidden="1"/>
    </xf>
    <xf numFmtId="7" fontId="37" fillId="10" borderId="0" xfId="1" applyNumberFormat="1" applyFont="1" applyFill="1" applyBorder="1" applyAlignment="1" applyProtection="1">
      <alignment horizontal="center" vertical="center"/>
      <protection hidden="1"/>
    </xf>
    <xf numFmtId="1" fontId="37" fillId="2" borderId="1" xfId="2" applyNumberFormat="1" applyFont="1" applyFill="1" applyBorder="1" applyAlignment="1" applyProtection="1">
      <alignment horizontal="center" vertical="center"/>
    </xf>
    <xf numFmtId="165" fontId="32" fillId="2" borderId="0" xfId="0" applyNumberFormat="1" applyFont="1" applyFill="1" applyProtection="1">
      <protection hidden="1"/>
    </xf>
    <xf numFmtId="0" fontId="7" fillId="5" borderId="1" xfId="0" applyFont="1" applyFill="1" applyBorder="1" applyAlignment="1" applyProtection="1">
      <alignment horizontal="center" vertical="center" wrapText="1"/>
      <protection locked="0" hidden="1"/>
    </xf>
    <xf numFmtId="0" fontId="37"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81" fillId="18" borderId="0" xfId="0" applyFont="1" applyFill="1" applyAlignment="1" applyProtection="1">
      <alignment horizontal="center"/>
      <protection hidden="1"/>
    </xf>
    <xf numFmtId="0" fontId="7" fillId="18" borderId="0" xfId="0" applyFont="1" applyFill="1"/>
    <xf numFmtId="0" fontId="7" fillId="2" borderId="0" xfId="0" applyFont="1" applyFill="1" applyAlignment="1">
      <alignment vertical="top"/>
    </xf>
    <xf numFmtId="0" fontId="84" fillId="2" borderId="1" xfId="0" applyFont="1" applyFill="1" applyBorder="1" applyAlignment="1">
      <alignment horizontal="center" vertical="center" wrapText="1"/>
    </xf>
    <xf numFmtId="0" fontId="84" fillId="10" borderId="0" xfId="0" applyFont="1" applyFill="1" applyAlignment="1" applyProtection="1">
      <alignment vertical="center" wrapText="1"/>
      <protection hidden="1"/>
    </xf>
    <xf numFmtId="0" fontId="37" fillId="2" borderId="1" xfId="0" applyFont="1" applyFill="1" applyBorder="1" applyAlignment="1" applyProtection="1">
      <alignment horizontal="center" vertical="center" wrapText="1"/>
      <protection hidden="1"/>
    </xf>
    <xf numFmtId="0" fontId="32" fillId="18" borderId="0" xfId="0" applyFont="1" applyFill="1" applyAlignment="1" applyProtection="1">
      <alignment horizontal="center" vertical="center"/>
      <protection hidden="1"/>
    </xf>
    <xf numFmtId="0" fontId="32" fillId="7" borderId="0" xfId="0" applyFont="1" applyFill="1" applyAlignment="1" applyProtection="1">
      <alignment horizontal="center" vertical="center"/>
      <protection hidden="1"/>
    </xf>
    <xf numFmtId="0" fontId="41" fillId="7" borderId="0" xfId="0" applyFont="1" applyFill="1" applyAlignment="1" applyProtection="1">
      <alignment horizontal="center" vertical="center"/>
      <protection hidden="1"/>
    </xf>
    <xf numFmtId="0" fontId="39" fillId="2" borderId="1" xfId="0" applyFont="1" applyFill="1" applyBorder="1" applyAlignment="1" applyProtection="1">
      <alignment horizontal="center" vertical="center" wrapText="1"/>
      <protection hidden="1"/>
    </xf>
    <xf numFmtId="0" fontId="8" fillId="2" borderId="1" xfId="0" applyFont="1" applyFill="1" applyBorder="1" applyAlignment="1">
      <alignment horizontal="center" vertical="center" wrapText="1"/>
    </xf>
    <xf numFmtId="0" fontId="39" fillId="2" borderId="1" xfId="0" applyFont="1" applyFill="1" applyBorder="1" applyAlignment="1" applyProtection="1">
      <alignment horizontal="center" vertical="center"/>
      <protection hidden="1"/>
    </xf>
    <xf numFmtId="2" fontId="35" fillId="2" borderId="1" xfId="1" applyNumberFormat="1" applyFont="1" applyFill="1" applyBorder="1" applyAlignment="1" applyProtection="1">
      <alignment horizontal="center" vertical="center"/>
      <protection hidden="1"/>
    </xf>
    <xf numFmtId="2" fontId="35" fillId="2" borderId="1" xfId="0" applyNumberFormat="1" applyFont="1" applyFill="1" applyBorder="1" applyAlignment="1" applyProtection="1">
      <alignment horizontal="center" vertical="center"/>
      <protection hidden="1"/>
    </xf>
    <xf numFmtId="2" fontId="35" fillId="2" borderId="1" xfId="2" applyNumberFormat="1" applyFont="1" applyFill="1" applyBorder="1" applyAlignment="1" applyProtection="1">
      <alignment horizontal="center" vertical="center"/>
    </xf>
    <xf numFmtId="167" fontId="37" fillId="2" borderId="1" xfId="1" applyNumberFormat="1" applyFont="1" applyFill="1" applyBorder="1" applyAlignment="1" applyProtection="1">
      <alignment horizontal="center" vertical="center"/>
    </xf>
    <xf numFmtId="167" fontId="9" fillId="13" borderId="3" xfId="2" applyNumberFormat="1" applyFont="1" applyFill="1" applyBorder="1" applyAlignment="1" applyProtection="1">
      <alignment horizontal="center" vertical="center"/>
      <protection locked="0"/>
    </xf>
    <xf numFmtId="167" fontId="9" fillId="13" borderId="4" xfId="2" applyNumberFormat="1" applyFont="1" applyFill="1" applyBorder="1" applyAlignment="1" applyProtection="1">
      <alignment horizontal="center" vertical="center"/>
      <protection locked="0"/>
    </xf>
    <xf numFmtId="167" fontId="9" fillId="13" borderId="1" xfId="2" applyNumberFormat="1" applyFont="1" applyFill="1" applyBorder="1" applyAlignment="1" applyProtection="1">
      <alignment horizontal="center" vertical="center"/>
      <protection locked="0"/>
    </xf>
    <xf numFmtId="167" fontId="9" fillId="13" borderId="1" xfId="0" applyNumberFormat="1" applyFont="1" applyFill="1" applyBorder="1" applyAlignment="1" applyProtection="1">
      <alignment horizontal="center" vertical="center" wrapText="1"/>
      <protection locked="0"/>
    </xf>
    <xf numFmtId="167" fontId="9" fillId="13" borderId="6" xfId="0" applyNumberFormat="1" applyFont="1" applyFill="1" applyBorder="1" applyAlignment="1" applyProtection="1">
      <alignment horizontal="center" vertical="center" wrapText="1"/>
      <protection locked="0"/>
    </xf>
    <xf numFmtId="167" fontId="25" fillId="2" borderId="0" xfId="0" applyNumberFormat="1" applyFont="1" applyFill="1" applyAlignment="1">
      <alignment horizontal="center" vertical="center"/>
    </xf>
    <xf numFmtId="167" fontId="25" fillId="2" borderId="2" xfId="0" applyNumberFormat="1" applyFont="1" applyFill="1" applyBorder="1" applyAlignment="1">
      <alignment horizontal="center" vertical="center"/>
    </xf>
    <xf numFmtId="168" fontId="9" fillId="2" borderId="1" xfId="0" applyNumberFormat="1" applyFont="1" applyFill="1" applyBorder="1" applyAlignment="1" applyProtection="1">
      <alignment horizontal="center" vertical="center"/>
      <protection hidden="1"/>
    </xf>
    <xf numFmtId="168" fontId="7" fillId="2" borderId="1" xfId="0" applyNumberFormat="1" applyFont="1" applyFill="1" applyBorder="1" applyAlignment="1" applyProtection="1">
      <alignment horizontal="center" vertical="center"/>
      <protection hidden="1"/>
    </xf>
    <xf numFmtId="168" fontId="74" fillId="2" borderId="1" xfId="0" applyNumberFormat="1" applyFont="1" applyFill="1" applyBorder="1" applyAlignment="1" applyProtection="1">
      <alignment horizontal="center" vertical="center"/>
      <protection hidden="1"/>
    </xf>
    <xf numFmtId="164" fontId="89" fillId="10" borderId="0" xfId="0" applyNumberFormat="1" applyFont="1" applyFill="1" applyAlignment="1" applyProtection="1">
      <alignment horizontal="center" vertical="center" wrapText="1"/>
      <protection hidden="1"/>
    </xf>
    <xf numFmtId="0" fontId="50" fillId="2" borderId="9" xfId="0" applyFont="1" applyFill="1" applyBorder="1" applyAlignment="1" applyProtection="1">
      <alignment horizontal="center" vertical="center" wrapText="1"/>
      <protection hidden="1"/>
    </xf>
    <xf numFmtId="0" fontId="32" fillId="2" borderId="12" xfId="0" applyFont="1" applyFill="1" applyBorder="1" applyAlignment="1" applyProtection="1">
      <alignment horizontal="center" vertical="center"/>
      <protection hidden="1"/>
    </xf>
    <xf numFmtId="0" fontId="7" fillId="2" borderId="1" xfId="0" applyFont="1" applyFill="1" applyBorder="1" applyAlignment="1" applyProtection="1">
      <alignment horizontal="center" vertical="center" wrapText="1"/>
      <protection hidden="1"/>
    </xf>
    <xf numFmtId="1" fontId="7" fillId="13" borderId="1" xfId="0" applyNumberFormat="1" applyFont="1" applyFill="1" applyBorder="1" applyAlignment="1" applyProtection="1">
      <alignment horizontal="center" vertical="center" wrapText="1"/>
      <protection locked="0" hidden="1"/>
    </xf>
    <xf numFmtId="9" fontId="0" fillId="0" borderId="0" xfId="2" applyFont="1" applyAlignment="1">
      <alignment horizontal="right" vertical="center"/>
    </xf>
    <xf numFmtId="0" fontId="0" fillId="0" borderId="0" xfId="2" applyNumberFormat="1" applyFont="1" applyAlignment="1">
      <alignment horizontal="right" vertical="center"/>
    </xf>
    <xf numFmtId="9" fontId="0" fillId="0" borderId="0" xfId="2" applyFont="1"/>
    <xf numFmtId="9" fontId="37" fillId="13" borderId="3" xfId="0" applyNumberFormat="1" applyFont="1" applyFill="1" applyBorder="1" applyAlignment="1" applyProtection="1">
      <alignment horizontal="center" vertical="center" wrapText="1"/>
      <protection hidden="1"/>
    </xf>
    <xf numFmtId="9" fontId="37" fillId="2" borderId="3" xfId="0" applyNumberFormat="1" applyFont="1" applyFill="1" applyBorder="1" applyAlignment="1" applyProtection="1">
      <alignment horizontal="center" vertical="center"/>
      <protection hidden="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2" fillId="10" borderId="2" xfId="3" applyFont="1" applyFill="1" applyBorder="1" applyAlignment="1">
      <alignment horizontal="left" vertical="center"/>
    </xf>
    <xf numFmtId="0" fontId="12"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11" fillId="11" borderId="3" xfId="0" applyFont="1" applyFill="1" applyBorder="1" applyAlignment="1">
      <alignment horizontal="center"/>
    </xf>
    <xf numFmtId="0" fontId="11" fillId="11" borderId="5" xfId="0" applyFont="1" applyFill="1" applyBorder="1" applyAlignment="1">
      <alignment horizontal="center"/>
    </xf>
    <xf numFmtId="0" fontId="11"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22"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31" fillId="2" borderId="0" xfId="0" applyFont="1" applyFill="1" applyAlignment="1">
      <alignment horizontal="left" vertical="center" wrapText="1"/>
    </xf>
    <xf numFmtId="0" fontId="83" fillId="2" borderId="0" xfId="0" applyFont="1" applyFill="1" applyAlignment="1">
      <alignment horizontal="left" vertical="center" wrapText="1"/>
    </xf>
    <xf numFmtId="0" fontId="29" fillId="2" borderId="0" xfId="0" applyFont="1" applyFill="1" applyAlignment="1">
      <alignment horizontal="left" vertical="center" wrapText="1"/>
    </xf>
    <xf numFmtId="0" fontId="24"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0" fontId="32" fillId="2" borderId="0" xfId="0" applyFont="1" applyFill="1" applyAlignment="1" applyProtection="1">
      <alignment horizontal="right" vertical="center"/>
      <protection hidden="1"/>
    </xf>
    <xf numFmtId="0" fontId="55" fillId="14" borderId="0" xfId="0" applyFont="1" applyFill="1" applyAlignment="1" applyProtection="1">
      <alignment horizontal="center" vertical="center"/>
      <protection hidden="1"/>
    </xf>
    <xf numFmtId="0" fontId="42" fillId="12"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9" fillId="2" borderId="3"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59"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36" fillId="10" borderId="0" xfId="0" applyFont="1" applyFill="1" applyAlignment="1" applyProtection="1">
      <alignment horizontal="left" vertical="center"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16" fillId="11" borderId="0" xfId="0" applyFont="1" applyFill="1" applyAlignment="1" applyProtection="1">
      <alignment horizontal="center" vertical="center"/>
      <protection hidden="1"/>
    </xf>
    <xf numFmtId="167" fontId="9" fillId="13" borderId="6" xfId="0" applyNumberFormat="1" applyFont="1" applyFill="1" applyBorder="1" applyAlignment="1" applyProtection="1">
      <alignment horizontal="center" vertical="center"/>
      <protection locked="0"/>
    </xf>
    <xf numFmtId="167" fontId="9" fillId="13" borderId="8" xfId="0" applyNumberFormat="1"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top" wrapText="1"/>
      <protection hidden="1"/>
    </xf>
    <xf numFmtId="0" fontId="7" fillId="2" borderId="11" xfId="0" applyFont="1" applyFill="1" applyBorder="1" applyAlignment="1" applyProtection="1">
      <alignment horizontal="center" vertical="top" wrapText="1"/>
      <protection hidden="1"/>
    </xf>
    <xf numFmtId="0" fontId="7" fillId="2" borderId="0" xfId="0" applyFont="1" applyFill="1" applyAlignment="1" applyProtection="1">
      <alignment horizontal="center" vertical="top" wrapText="1"/>
      <protection hidden="1"/>
    </xf>
    <xf numFmtId="0" fontId="7" fillId="2" borderId="13" xfId="0" applyFont="1" applyFill="1" applyBorder="1" applyAlignment="1" applyProtection="1">
      <alignment horizontal="center" vertical="top" wrapText="1"/>
      <protection hidden="1"/>
    </xf>
    <xf numFmtId="0" fontId="7" fillId="2" borderId="2" xfId="0" applyFont="1" applyFill="1" applyBorder="1" applyAlignment="1" applyProtection="1">
      <alignment horizontal="center" vertical="top" wrapText="1"/>
      <protection hidden="1"/>
    </xf>
    <xf numFmtId="0" fontId="7" fillId="2" borderId="15" xfId="0" applyFont="1" applyFill="1" applyBorder="1" applyAlignment="1" applyProtection="1">
      <alignment horizontal="center" vertical="top" wrapText="1"/>
      <protection hidden="1"/>
    </xf>
    <xf numFmtId="0" fontId="9" fillId="10" borderId="2" xfId="0" applyFont="1" applyFill="1" applyBorder="1" applyAlignment="1" applyProtection="1">
      <alignment horizontal="left"/>
      <protection hidden="1"/>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2" fillId="8" borderId="0" xfId="0" applyFont="1" applyFill="1" applyAlignment="1">
      <alignment horizontal="center"/>
    </xf>
    <xf numFmtId="0" fontId="57" fillId="8" borderId="0" xfId="0" applyFont="1" applyFill="1" applyAlignment="1" applyProtection="1">
      <alignment horizontal="left" vertical="center" wrapText="1"/>
      <protection hidden="1"/>
    </xf>
    <xf numFmtId="0" fontId="62"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5" fillId="9" borderId="0" xfId="0" applyFont="1" applyFill="1" applyAlignment="1" applyProtection="1">
      <alignment horizontal="center" vertical="center" wrapText="1"/>
      <protection hidden="1"/>
    </xf>
    <xf numFmtId="0" fontId="42" fillId="16" borderId="0" xfId="0" applyFont="1" applyFill="1" applyAlignment="1" applyProtection="1">
      <alignment horizontal="center" vertical="center" wrapText="1"/>
      <protection hidden="1"/>
    </xf>
    <xf numFmtId="0" fontId="72" fillId="21" borderId="0" xfId="0" applyFont="1" applyFill="1" applyAlignment="1" applyProtection="1">
      <alignment horizontal="center" vertical="center" wrapText="1"/>
      <protection hidden="1"/>
    </xf>
    <xf numFmtId="0" fontId="81"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72" fillId="17" borderId="0" xfId="0" applyFont="1" applyFill="1" applyAlignment="1" applyProtection="1">
      <alignment horizontal="center" vertical="center" wrapText="1"/>
      <protection hidden="1"/>
    </xf>
    <xf numFmtId="0" fontId="41" fillId="3" borderId="0" xfId="0" applyFont="1" applyFill="1" applyAlignment="1" applyProtection="1">
      <alignment horizontal="center" vertical="center"/>
      <protection hidden="1"/>
    </xf>
    <xf numFmtId="0" fontId="42" fillId="17" borderId="0" xfId="0" applyFont="1" applyFill="1" applyAlignment="1" applyProtection="1">
      <alignment horizontal="center" vertical="center"/>
      <protection hidden="1"/>
    </xf>
    <xf numFmtId="0" fontId="55" fillId="7" borderId="0" xfId="0" applyFont="1" applyFill="1" applyAlignment="1" applyProtection="1">
      <alignment horizontal="center" vertical="center"/>
      <protection hidden="1"/>
    </xf>
    <xf numFmtId="0" fontId="55" fillId="19" borderId="0" xfId="0" applyFont="1" applyFill="1" applyAlignment="1" applyProtection="1">
      <alignment horizontal="center" vertical="center"/>
      <protection hidden="1"/>
    </xf>
    <xf numFmtId="0" fontId="85" fillId="19" borderId="0" xfId="0" applyFont="1" applyFill="1" applyAlignment="1" applyProtection="1">
      <alignment horizontal="center" vertical="center"/>
      <protection hidden="1"/>
    </xf>
    <xf numFmtId="0" fontId="55" fillId="20" borderId="0" xfId="0" applyFont="1" applyFill="1" applyAlignment="1" applyProtection="1">
      <alignment horizontal="center" vertical="center"/>
      <protection hidden="1"/>
    </xf>
    <xf numFmtId="0" fontId="85" fillId="20" borderId="0" xfId="0" applyFont="1" applyFill="1" applyAlignment="1" applyProtection="1">
      <alignment horizontal="center" vertical="center"/>
      <protection hidden="1"/>
    </xf>
    <xf numFmtId="0" fontId="90" fillId="10" borderId="0" xfId="0" applyFont="1" applyFill="1" applyAlignment="1" applyProtection="1">
      <alignment vertical="center" wrapText="1"/>
      <protection hidden="1"/>
    </xf>
    <xf numFmtId="167" fontId="91" fillId="2" borderId="1" xfId="1" applyNumberFormat="1" applyFont="1" applyFill="1" applyBorder="1" applyAlignment="1">
      <alignment horizontal="center" vertical="center"/>
    </xf>
  </cellXfs>
  <cellStyles count="4">
    <cellStyle name="Currency" xfId="1" builtinId="4"/>
    <cellStyle name="Hyperlink" xfId="3" builtinId="8"/>
    <cellStyle name="Normal" xfId="0" builtinId="0"/>
    <cellStyle name="Percent" xfId="2" builtinId="5"/>
  </cellStyles>
  <dxfs count="1">
    <dxf>
      <font>
        <strike val="0"/>
        <color theme="8"/>
      </font>
    </dxf>
  </dxfs>
  <tableStyles count="1" defaultTableStyle="TableStyleMedium2" defaultPivotStyle="PivotStyleLight16">
    <tableStyle name="Invisible" pivot="0" table="0" count="0" xr9:uid="{844663FA-0553-438F-9FEC-5CBAC0230B6D}"/>
  </tableStyles>
  <colors>
    <mruColors>
      <color rgb="FFD2EFDF"/>
      <color rgb="FFDFE382"/>
      <color rgb="FFFFD2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1463675</xdr:colOff>
      <xdr:row>1</xdr:row>
      <xdr:rowOff>165100</xdr:rowOff>
    </xdr:from>
    <xdr:ext cx="1162050" cy="52070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7683500" y="355600"/>
          <a:ext cx="1162050" cy="520700"/>
        </a:xfrm>
        <a:prstGeom prst="rect">
          <a:avLst/>
        </a:prstGeom>
      </xdr:spPr>
    </xdr:pic>
    <xdr:clientData/>
  </xdr:oneCellAnchor>
  <xdr:twoCellAnchor>
    <xdr:from>
      <xdr:col>0</xdr:col>
      <xdr:colOff>50801</xdr:colOff>
      <xdr:row>1</xdr:row>
      <xdr:rowOff>546100</xdr:rowOff>
    </xdr:from>
    <xdr:to>
      <xdr:col>3</xdr:col>
      <xdr:colOff>847726</xdr:colOff>
      <xdr:row>2</xdr:row>
      <xdr:rowOff>551180</xdr:rowOff>
    </xdr:to>
    <xdr:sp macro="" textlink="">
      <xdr:nvSpPr>
        <xdr:cNvPr id="3" name="Diamond 2">
          <a:extLst>
            <a:ext uri="{FF2B5EF4-FFF2-40B4-BE49-F238E27FC236}">
              <a16:creationId xmlns:a16="http://schemas.microsoft.com/office/drawing/2014/main" id="{479FA1C4-1BD0-488A-87A9-8CA6A1D459DE}"/>
            </a:ext>
          </a:extLst>
        </xdr:cNvPr>
        <xdr:cNvSpPr/>
      </xdr:nvSpPr>
      <xdr:spPr>
        <a:xfrm>
          <a:off x="50801" y="736600"/>
          <a:ext cx="1492250" cy="1548130"/>
        </a:xfrm>
        <a:prstGeom prst="diamond">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lang="es-419" sz="1600" b="1">
              <a:latin typeface="Arial" panose="020B0604020202020204" pitchFamily="34" charset="0"/>
              <a:cs typeface="Arial" panose="020B0604020202020204" pitchFamily="34" charset="0"/>
            </a:rPr>
            <a:t>VCR</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1000">
              <a:latin typeface="Arial" panose="020B0604020202020204" pitchFamily="34" charset="0"/>
              <a:cs typeface="Arial" panose="020B0604020202020204" pitchFamily="34" charset="0"/>
            </a:rPr>
            <a:t>Costo o volumen más bajo</a:t>
          </a:r>
        </a:p>
      </xdr:txBody>
    </xdr:sp>
    <xdr:clientData/>
  </xdr:twoCellAnchor>
  <xdr:twoCellAnchor>
    <xdr:from>
      <xdr:col>2</xdr:col>
      <xdr:colOff>527176</xdr:colOff>
      <xdr:row>7</xdr:row>
      <xdr:rowOff>415712</xdr:rowOff>
    </xdr:from>
    <xdr:to>
      <xdr:col>3</xdr:col>
      <xdr:colOff>852296</xdr:colOff>
      <xdr:row>7</xdr:row>
      <xdr:rowOff>658071</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759076" y="1476162"/>
          <a:ext cx="706120" cy="0"/>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1000">
              <a:latin typeface="Arial" panose="020B0604020202020204" pitchFamily="34" charset="0"/>
              <a:cs typeface="Arial" panose="020B0604020202020204" pitchFamily="34" charset="0"/>
            </a:rPr>
            <a:t>Costo o volumen más alto</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231138</xdr:rowOff>
    </xdr:from>
    <xdr:to>
      <xdr:col>4</xdr:col>
      <xdr:colOff>76200</xdr:colOff>
      <xdr:row>5</xdr:row>
      <xdr:rowOff>569595</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201417" y="1688463"/>
          <a:ext cx="1246508" cy="338457"/>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800">
              <a:latin typeface="Arial" panose="020B0604020202020204" pitchFamily="34" charset="0"/>
              <a:cs typeface="Arial" panose="020B0604020202020204" pitchFamily="34" charset="0"/>
            </a:rPr>
            <a:t>Costo o volumen más bajo</a:t>
          </a:r>
        </a:p>
      </xdr:txBody>
    </xdr:sp>
    <xdr:clientData/>
  </xdr:twoCellAnchor>
  <xdr:twoCellAnchor>
    <xdr:from>
      <xdr:col>3</xdr:col>
      <xdr:colOff>243840</xdr:colOff>
      <xdr:row>5</xdr:row>
      <xdr:rowOff>751841</xdr:rowOff>
    </xdr:from>
    <xdr:to>
      <xdr:col>4</xdr:col>
      <xdr:colOff>57151</xdr:colOff>
      <xdr:row>5</xdr:row>
      <xdr:rowOff>1192530</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215390" y="2209166"/>
          <a:ext cx="1213486" cy="440689"/>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419" sz="800">
              <a:latin typeface="Arial" panose="020B0604020202020204" pitchFamily="34" charset="0"/>
              <a:cs typeface="Arial" panose="020B0604020202020204" pitchFamily="34" charset="0"/>
            </a:rPr>
            <a:t>Costo o volumen más alto</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immunizationeconomics.org/thinkwell-idcc/" TargetMode="External"/><Relationship Id="rId2" Type="http://schemas.openxmlformats.org/officeDocument/2006/relationships/hyperlink" Target="https://www.unicef.org/supply/documents/syringe-and-safety-box-bundles-price-data" TargetMode="External"/><Relationship Id="rId1" Type="http://schemas.openxmlformats.org/officeDocument/2006/relationships/hyperlink" Target="https://www.unicef.org/supply/handling-f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avi.org/our-alliance/market-shaping/product-information-vaccines-cold-chain-equipmen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S59"/>
  <sheetViews>
    <sheetView tabSelected="1" zoomScaleNormal="100" zoomScaleSheetLayoutView="70" workbookViewId="0"/>
  </sheetViews>
  <sheetFormatPr defaultColWidth="8.88671875" defaultRowHeight="15" x14ac:dyDescent="0.25"/>
  <cols>
    <col min="1" max="1" width="4.109375" style="12" customWidth="1"/>
    <col min="2" max="3" width="3.109375" style="12" customWidth="1"/>
    <col min="4" max="4" width="12.88671875" style="12" customWidth="1"/>
    <col min="5" max="6" width="7.109375" style="12" customWidth="1"/>
    <col min="7" max="11" width="8.88671875" style="12"/>
    <col min="12" max="12" width="11.44140625" style="12" customWidth="1"/>
    <col min="13" max="13" width="35.88671875" style="12" customWidth="1"/>
    <col min="14" max="15" width="3.109375" style="12" customWidth="1"/>
    <col min="16" max="16" width="4.109375" style="12" customWidth="1"/>
    <col min="17" max="16384" width="8.88671875" style="12"/>
  </cols>
  <sheetData>
    <row r="1" spans="1:19" ht="15" customHeight="1" x14ac:dyDescent="0.25">
      <c r="A1" s="13"/>
      <c r="B1" s="287"/>
      <c r="C1" s="287"/>
      <c r="D1" s="287"/>
      <c r="E1" s="287"/>
      <c r="F1" s="287"/>
      <c r="G1" s="287"/>
      <c r="H1" s="287"/>
      <c r="I1" s="287"/>
      <c r="J1" s="287"/>
      <c r="K1" s="287"/>
      <c r="L1" s="287"/>
      <c r="M1" s="287"/>
      <c r="N1" s="287"/>
      <c r="O1" s="287"/>
      <c r="P1" s="13"/>
    </row>
    <row r="2" spans="1:19" ht="121.5" customHeight="1" x14ac:dyDescent="0.25">
      <c r="A2" s="13"/>
      <c r="C2" s="54"/>
      <c r="D2" s="54"/>
      <c r="E2" s="360" t="s">
        <v>91</v>
      </c>
      <c r="F2" s="360"/>
      <c r="G2" s="360"/>
      <c r="H2" s="360"/>
      <c r="I2" s="360"/>
      <c r="J2" s="360"/>
      <c r="K2" s="360"/>
      <c r="L2" s="360"/>
      <c r="M2" s="53"/>
      <c r="N2" s="53"/>
      <c r="P2" s="13"/>
    </row>
    <row r="3" spans="1:19" ht="54" customHeight="1" x14ac:dyDescent="0.25">
      <c r="A3" s="13"/>
      <c r="C3" s="52"/>
      <c r="D3" s="52"/>
      <c r="E3" s="361" t="s">
        <v>97</v>
      </c>
      <c r="F3" s="362"/>
      <c r="G3" s="362"/>
      <c r="H3" s="362"/>
      <c r="I3" s="362"/>
      <c r="J3" s="362"/>
      <c r="K3" s="362"/>
      <c r="L3" s="362"/>
      <c r="M3" s="51" t="s">
        <v>120</v>
      </c>
      <c r="N3" s="51"/>
      <c r="P3" s="13"/>
    </row>
    <row r="4" spans="1:19" ht="34.65" customHeight="1" x14ac:dyDescent="0.25">
      <c r="A4" s="13"/>
      <c r="B4" s="13"/>
      <c r="C4" s="357" t="s">
        <v>89</v>
      </c>
      <c r="D4" s="357"/>
      <c r="E4" s="357"/>
      <c r="F4" s="357"/>
      <c r="G4" s="357"/>
      <c r="H4" s="357"/>
      <c r="I4" s="357"/>
      <c r="J4" s="357"/>
      <c r="K4" s="357"/>
      <c r="L4" s="357"/>
      <c r="M4" s="357"/>
      <c r="N4" s="50"/>
      <c r="O4" s="13"/>
      <c r="P4" s="13"/>
      <c r="S4" s="288"/>
    </row>
    <row r="5" spans="1:19" ht="8.1" customHeight="1" x14ac:dyDescent="0.25">
      <c r="A5" s="13"/>
      <c r="B5" s="13"/>
      <c r="C5" s="13"/>
      <c r="D5" s="49"/>
      <c r="E5" s="49"/>
      <c r="F5" s="49"/>
      <c r="G5" s="49"/>
      <c r="H5" s="49"/>
      <c r="I5" s="49"/>
      <c r="J5" s="49"/>
      <c r="K5" s="49"/>
      <c r="L5" s="49"/>
      <c r="M5" s="49"/>
      <c r="N5" s="49"/>
      <c r="O5" s="13"/>
      <c r="P5" s="13"/>
    </row>
    <row r="6" spans="1:19" ht="45.9" customHeight="1" x14ac:dyDescent="0.25">
      <c r="A6" s="13"/>
      <c r="B6" s="44"/>
      <c r="C6" s="48"/>
      <c r="D6" s="359" t="s">
        <v>0</v>
      </c>
      <c r="E6" s="359"/>
      <c r="F6" s="359"/>
      <c r="G6" s="359"/>
      <c r="H6" s="359"/>
      <c r="I6" s="359"/>
      <c r="J6" s="359"/>
      <c r="K6" s="359"/>
      <c r="L6" s="359"/>
      <c r="M6" s="359"/>
      <c r="N6" s="43"/>
      <c r="O6" s="48"/>
      <c r="P6" s="13"/>
    </row>
    <row r="7" spans="1:19" ht="7.65" customHeight="1" x14ac:dyDescent="0.25">
      <c r="A7" s="13"/>
      <c r="B7" s="13"/>
      <c r="C7" s="13"/>
      <c r="D7" s="13"/>
      <c r="E7" s="13"/>
      <c r="F7" s="13"/>
      <c r="G7" s="13"/>
      <c r="H7" s="13"/>
      <c r="I7" s="13"/>
      <c r="J7" s="13"/>
      <c r="K7" s="13"/>
      <c r="L7" s="13"/>
      <c r="M7" s="13"/>
      <c r="N7" s="13"/>
      <c r="O7" s="13"/>
      <c r="P7" s="13"/>
    </row>
    <row r="8" spans="1:19" ht="352.2" customHeight="1" x14ac:dyDescent="0.25">
      <c r="A8" s="13"/>
      <c r="B8" s="13"/>
      <c r="D8" s="363" t="s">
        <v>147</v>
      </c>
      <c r="E8" s="363"/>
      <c r="F8" s="363"/>
      <c r="G8" s="363"/>
      <c r="H8" s="363"/>
      <c r="I8" s="363"/>
      <c r="J8" s="363"/>
      <c r="K8" s="363"/>
      <c r="L8" s="363"/>
      <c r="M8" s="363"/>
      <c r="N8" s="47"/>
      <c r="O8" s="13"/>
      <c r="P8" s="13"/>
    </row>
    <row r="9" spans="1:19" ht="8.1" customHeight="1" x14ac:dyDescent="0.25">
      <c r="A9" s="13"/>
      <c r="B9" s="13"/>
      <c r="C9" s="13"/>
      <c r="D9" s="46"/>
      <c r="E9" s="46"/>
      <c r="F9" s="46"/>
      <c r="G9" s="46"/>
      <c r="H9" s="46"/>
      <c r="I9" s="46"/>
      <c r="J9" s="46"/>
      <c r="K9" s="46"/>
      <c r="L9" s="46"/>
      <c r="M9" s="46"/>
      <c r="N9" s="46"/>
      <c r="O9" s="13"/>
      <c r="P9" s="13"/>
    </row>
    <row r="10" spans="1:19" ht="113.25" customHeight="1" x14ac:dyDescent="0.25">
      <c r="A10" s="13"/>
      <c r="B10" s="13"/>
      <c r="C10" s="13"/>
      <c r="D10" s="364" t="s">
        <v>87</v>
      </c>
      <c r="E10" s="365"/>
      <c r="F10" s="365"/>
      <c r="G10" s="365"/>
      <c r="H10" s="365"/>
      <c r="I10" s="365"/>
      <c r="J10" s="365"/>
      <c r="K10" s="365"/>
      <c r="L10" s="365"/>
      <c r="M10" s="365"/>
      <c r="N10" s="45"/>
      <c r="O10" s="13"/>
      <c r="P10" s="13"/>
    </row>
    <row r="11" spans="1:19" ht="8.1" customHeight="1" x14ac:dyDescent="0.25">
      <c r="A11" s="13"/>
      <c r="B11" s="13"/>
      <c r="C11" s="13"/>
      <c r="D11" s="13"/>
      <c r="E11" s="13"/>
      <c r="F11" s="13"/>
      <c r="G11" s="13"/>
      <c r="H11" s="13"/>
      <c r="I11" s="13"/>
      <c r="J11" s="13"/>
      <c r="K11" s="13"/>
      <c r="L11" s="13"/>
      <c r="M11" s="13"/>
      <c r="N11" s="13"/>
      <c r="O11" s="13"/>
      <c r="P11" s="13"/>
    </row>
    <row r="12" spans="1:19" ht="48.9" customHeight="1" x14ac:dyDescent="0.25">
      <c r="A12" s="13"/>
      <c r="B12" s="44"/>
      <c r="C12" s="42"/>
      <c r="D12" s="359" t="s">
        <v>1</v>
      </c>
      <c r="E12" s="359"/>
      <c r="F12" s="359"/>
      <c r="G12" s="359"/>
      <c r="H12" s="359"/>
      <c r="I12" s="359"/>
      <c r="J12" s="359"/>
      <c r="K12" s="359"/>
      <c r="L12" s="359"/>
      <c r="M12" s="359"/>
      <c r="N12" s="43"/>
      <c r="O12" s="42"/>
      <c r="P12" s="13"/>
    </row>
    <row r="13" spans="1:19" ht="5.0999999999999996" customHeight="1" x14ac:dyDescent="0.25">
      <c r="A13" s="13"/>
      <c r="B13" s="13"/>
      <c r="C13" s="13"/>
      <c r="D13" s="13"/>
      <c r="E13" s="13"/>
      <c r="F13" s="13"/>
      <c r="G13" s="13"/>
      <c r="H13" s="13"/>
      <c r="I13" s="13"/>
      <c r="J13" s="13"/>
      <c r="K13" s="13"/>
      <c r="L13" s="13"/>
      <c r="M13" s="13"/>
      <c r="N13" s="13"/>
      <c r="O13" s="13"/>
      <c r="P13" s="13"/>
    </row>
    <row r="14" spans="1:19" ht="29.1" customHeight="1" x14ac:dyDescent="0.25">
      <c r="A14" s="13"/>
      <c r="B14" s="13"/>
      <c r="C14" s="41"/>
      <c r="D14" s="358" t="s">
        <v>92</v>
      </c>
      <c r="E14" s="358"/>
      <c r="F14" s="358"/>
      <c r="G14" s="358"/>
      <c r="H14" s="358"/>
      <c r="I14" s="358"/>
      <c r="J14" s="358"/>
      <c r="K14" s="358"/>
      <c r="L14" s="358"/>
      <c r="M14" s="358"/>
      <c r="N14" s="40"/>
      <c r="O14" s="13"/>
      <c r="P14" s="13"/>
    </row>
    <row r="15" spans="1:19" ht="8.1" customHeight="1" x14ac:dyDescent="0.25">
      <c r="A15" s="13"/>
      <c r="B15" s="13"/>
      <c r="O15" s="13"/>
      <c r="P15" s="13"/>
    </row>
    <row r="16" spans="1:19" ht="15.6" customHeight="1" x14ac:dyDescent="0.25">
      <c r="A16" s="13"/>
      <c r="B16" s="13"/>
      <c r="D16" s="39"/>
      <c r="E16" s="340" t="s">
        <v>2</v>
      </c>
      <c r="F16" s="340"/>
      <c r="G16" s="340"/>
      <c r="H16" s="340"/>
      <c r="I16" s="340"/>
      <c r="J16" s="340"/>
      <c r="K16" s="340"/>
      <c r="L16" s="340"/>
      <c r="M16" s="340"/>
      <c r="N16" s="38"/>
      <c r="O16" s="13"/>
      <c r="P16" s="13"/>
    </row>
    <row r="17" spans="1:16" ht="13.35" customHeight="1" x14ac:dyDescent="0.25">
      <c r="A17" s="13"/>
      <c r="B17" s="13"/>
      <c r="D17" s="36"/>
      <c r="E17" s="340"/>
      <c r="F17" s="340"/>
      <c r="G17" s="340"/>
      <c r="H17" s="340"/>
      <c r="I17" s="340"/>
      <c r="J17" s="340"/>
      <c r="K17" s="340"/>
      <c r="L17" s="340"/>
      <c r="M17" s="340"/>
      <c r="N17" s="38"/>
      <c r="O17" s="13"/>
      <c r="P17" s="13"/>
    </row>
    <row r="18" spans="1:16" ht="15.9" customHeight="1" x14ac:dyDescent="0.25">
      <c r="A18" s="13"/>
      <c r="B18" s="13"/>
      <c r="D18" s="36"/>
      <c r="E18" s="340"/>
      <c r="F18" s="340"/>
      <c r="G18" s="340"/>
      <c r="H18" s="340"/>
      <c r="I18" s="340"/>
      <c r="J18" s="340"/>
      <c r="K18" s="340"/>
      <c r="L18" s="340"/>
      <c r="M18" s="340"/>
      <c r="N18" s="38"/>
      <c r="O18" s="13"/>
      <c r="P18" s="13"/>
    </row>
    <row r="19" spans="1:16" ht="6" customHeight="1" x14ac:dyDescent="0.25">
      <c r="A19" s="13"/>
      <c r="B19" s="13"/>
      <c r="D19" s="36"/>
      <c r="E19" s="36"/>
      <c r="F19" s="23"/>
      <c r="G19" s="23"/>
      <c r="H19" s="23"/>
      <c r="I19" s="23"/>
      <c r="J19" s="23"/>
      <c r="K19" s="23"/>
      <c r="L19" s="23"/>
      <c r="M19" s="23"/>
      <c r="O19" s="13"/>
      <c r="P19" s="13"/>
    </row>
    <row r="20" spans="1:16" ht="15.6" customHeight="1" x14ac:dyDescent="0.25">
      <c r="A20" s="13"/>
      <c r="B20" s="13"/>
      <c r="D20" s="37"/>
      <c r="E20" s="340" t="s">
        <v>3</v>
      </c>
      <c r="F20" s="340"/>
      <c r="G20" s="340"/>
      <c r="H20" s="340"/>
      <c r="I20" s="340"/>
      <c r="J20" s="340"/>
      <c r="K20" s="340"/>
      <c r="L20" s="340"/>
      <c r="M20" s="340"/>
      <c r="N20" s="27"/>
      <c r="O20" s="13"/>
      <c r="P20" s="13"/>
    </row>
    <row r="21" spans="1:16" ht="16.350000000000001" customHeight="1" x14ac:dyDescent="0.25">
      <c r="A21" s="13"/>
      <c r="B21" s="13"/>
      <c r="D21" s="36"/>
      <c r="E21" s="340"/>
      <c r="F21" s="340"/>
      <c r="G21" s="340"/>
      <c r="H21" s="340"/>
      <c r="I21" s="340"/>
      <c r="J21" s="340"/>
      <c r="K21" s="340"/>
      <c r="L21" s="340"/>
      <c r="M21" s="340"/>
      <c r="N21" s="27"/>
      <c r="O21" s="13"/>
      <c r="P21" s="13"/>
    </row>
    <row r="22" spans="1:16" ht="7.35" customHeight="1" x14ac:dyDescent="0.25">
      <c r="A22" s="13"/>
      <c r="B22" s="13"/>
      <c r="D22" s="36"/>
      <c r="E22" s="36"/>
      <c r="F22" s="23"/>
      <c r="G22" s="23"/>
      <c r="H22" s="23"/>
      <c r="I22" s="23"/>
      <c r="J22" s="23"/>
      <c r="K22" s="23"/>
      <c r="L22" s="23"/>
      <c r="M22" s="23"/>
      <c r="O22" s="13"/>
      <c r="P22" s="13"/>
    </row>
    <row r="23" spans="1:16" x14ac:dyDescent="0.25">
      <c r="A23" s="13"/>
      <c r="B23" s="13"/>
      <c r="D23" s="35"/>
      <c r="E23" s="338" t="s">
        <v>4</v>
      </c>
      <c r="F23" s="339"/>
      <c r="G23" s="339"/>
      <c r="H23" s="339"/>
      <c r="I23" s="339"/>
      <c r="J23" s="339"/>
      <c r="K23" s="339"/>
      <c r="L23" s="339"/>
      <c r="M23" s="339"/>
      <c r="N23" s="27"/>
      <c r="O23" s="13"/>
      <c r="P23" s="13"/>
    </row>
    <row r="24" spans="1:16" ht="9.9" customHeight="1" x14ac:dyDescent="0.25">
      <c r="A24" s="13"/>
      <c r="B24" s="13"/>
      <c r="D24" s="23"/>
      <c r="E24" s="23"/>
      <c r="F24" s="23"/>
      <c r="G24" s="23"/>
      <c r="H24" s="23"/>
      <c r="I24" s="23"/>
      <c r="J24" s="23"/>
      <c r="K24" s="23"/>
      <c r="L24" s="23"/>
      <c r="M24" s="23"/>
      <c r="O24" s="13"/>
      <c r="P24" s="13"/>
    </row>
    <row r="25" spans="1:16" ht="45" customHeight="1" x14ac:dyDescent="0.25">
      <c r="A25" s="13"/>
      <c r="B25" s="13"/>
      <c r="D25" s="341" t="s">
        <v>5</v>
      </c>
      <c r="E25" s="341"/>
      <c r="F25" s="341"/>
      <c r="G25" s="342" t="s">
        <v>93</v>
      </c>
      <c r="H25" s="342"/>
      <c r="I25" s="342"/>
      <c r="J25" s="342"/>
      <c r="K25" s="342"/>
      <c r="L25" s="342"/>
      <c r="M25" s="342"/>
      <c r="N25" s="27"/>
      <c r="O25" s="13"/>
      <c r="P25" s="13"/>
    </row>
    <row r="26" spans="1:16" ht="8.1" customHeight="1" x14ac:dyDescent="0.25">
      <c r="A26" s="13"/>
      <c r="B26" s="13"/>
      <c r="D26" s="23"/>
      <c r="E26" s="23"/>
      <c r="F26" s="23"/>
      <c r="G26" s="23"/>
      <c r="H26" s="23"/>
      <c r="I26" s="23"/>
      <c r="J26" s="23"/>
      <c r="K26" s="23"/>
      <c r="L26" s="23"/>
      <c r="M26" s="23"/>
      <c r="O26" s="13"/>
      <c r="P26" s="13"/>
    </row>
    <row r="27" spans="1:16" ht="244.95" customHeight="1" x14ac:dyDescent="0.25">
      <c r="A27" s="13"/>
      <c r="B27" s="13"/>
      <c r="D27" s="341" t="s">
        <v>6</v>
      </c>
      <c r="E27" s="341"/>
      <c r="F27" s="341"/>
      <c r="G27" s="342" t="s">
        <v>122</v>
      </c>
      <c r="H27" s="342"/>
      <c r="I27" s="342"/>
      <c r="J27" s="342"/>
      <c r="K27" s="342"/>
      <c r="L27" s="342"/>
      <c r="M27" s="342"/>
      <c r="O27" s="13"/>
      <c r="P27" s="13"/>
    </row>
    <row r="28" spans="1:16" ht="8.1" customHeight="1" x14ac:dyDescent="0.25">
      <c r="A28" s="13"/>
      <c r="B28" s="13"/>
      <c r="D28" s="23"/>
      <c r="E28" s="23"/>
      <c r="F28" s="23"/>
      <c r="G28" s="23"/>
      <c r="H28" s="23"/>
      <c r="I28" s="23"/>
      <c r="J28" s="23"/>
      <c r="K28" s="23"/>
      <c r="L28" s="23"/>
      <c r="M28" s="23"/>
      <c r="O28" s="13"/>
      <c r="P28" s="13"/>
    </row>
    <row r="29" spans="1:16" ht="157.19999999999999" customHeight="1" x14ac:dyDescent="0.25">
      <c r="A29" s="13"/>
      <c r="B29" s="13"/>
      <c r="D29" s="341" t="s">
        <v>7</v>
      </c>
      <c r="E29" s="341"/>
      <c r="F29" s="341"/>
      <c r="G29" s="342" t="s">
        <v>8</v>
      </c>
      <c r="H29" s="342"/>
      <c r="I29" s="342"/>
      <c r="J29" s="342"/>
      <c r="K29" s="342"/>
      <c r="L29" s="342"/>
      <c r="M29" s="342"/>
      <c r="N29" s="27"/>
      <c r="O29" s="13"/>
      <c r="P29" s="13"/>
    </row>
    <row r="30" spans="1:16" ht="24.6" customHeight="1" x14ac:dyDescent="0.25">
      <c r="A30" s="13"/>
      <c r="B30" s="13"/>
      <c r="D30" s="352" t="s">
        <v>9</v>
      </c>
      <c r="E30" s="353"/>
      <c r="F30" s="353"/>
      <c r="G30" s="353"/>
      <c r="H30" s="353"/>
      <c r="I30" s="353"/>
      <c r="J30" s="353"/>
      <c r="K30" s="353"/>
      <c r="L30" s="353"/>
      <c r="M30" s="354"/>
      <c r="N30" s="34"/>
      <c r="O30" s="13"/>
      <c r="P30" s="13"/>
    </row>
    <row r="31" spans="1:16" ht="32.1" customHeight="1" x14ac:dyDescent="0.25">
      <c r="A31" s="13"/>
      <c r="B31" s="13"/>
      <c r="D31" s="350" t="s">
        <v>10</v>
      </c>
      <c r="E31" s="351"/>
      <c r="F31" s="351"/>
      <c r="G31" s="355" t="s">
        <v>10</v>
      </c>
      <c r="H31" s="355"/>
      <c r="I31" s="355"/>
      <c r="J31" s="355"/>
      <c r="K31" s="355"/>
      <c r="L31" s="355"/>
      <c r="M31" s="356"/>
      <c r="N31" s="33"/>
      <c r="O31" s="13"/>
      <c r="P31" s="13"/>
    </row>
    <row r="32" spans="1:16" ht="27.6" customHeight="1" x14ac:dyDescent="0.25">
      <c r="A32" s="13"/>
      <c r="B32" s="13"/>
      <c r="D32" s="350" t="s">
        <v>11</v>
      </c>
      <c r="E32" s="351"/>
      <c r="F32" s="351"/>
      <c r="G32" s="32" t="s">
        <v>12</v>
      </c>
      <c r="H32" s="31"/>
      <c r="I32" s="31"/>
      <c r="J32" s="31"/>
      <c r="K32" s="31"/>
      <c r="L32" s="31"/>
      <c r="M32" s="30"/>
      <c r="N32" s="27"/>
      <c r="O32" s="13"/>
      <c r="P32" s="13"/>
    </row>
    <row r="33" spans="1:16" ht="29.4" customHeight="1" x14ac:dyDescent="0.25">
      <c r="A33" s="13"/>
      <c r="B33" s="13"/>
      <c r="D33" s="322" t="s">
        <v>13</v>
      </c>
      <c r="E33" s="323"/>
      <c r="F33" s="323"/>
      <c r="G33" s="25" t="s">
        <v>14</v>
      </c>
      <c r="H33" s="29"/>
      <c r="I33" s="29"/>
      <c r="J33" s="29"/>
      <c r="K33" s="29"/>
      <c r="L33" s="29"/>
      <c r="M33" s="28"/>
      <c r="N33" s="27"/>
      <c r="O33" s="13"/>
      <c r="P33" s="13"/>
    </row>
    <row r="34" spans="1:16" ht="8.1" customHeight="1" x14ac:dyDescent="0.25">
      <c r="A34" s="13"/>
      <c r="B34" s="13"/>
      <c r="D34" s="23"/>
      <c r="E34" s="23"/>
      <c r="F34" s="23"/>
      <c r="G34" s="23"/>
      <c r="H34" s="23"/>
      <c r="I34" s="23"/>
      <c r="J34" s="23"/>
      <c r="K34" s="23"/>
      <c r="L34" s="23"/>
      <c r="M34" s="23"/>
      <c r="O34" s="13"/>
      <c r="P34" s="13"/>
    </row>
    <row r="35" spans="1:16" ht="160.5" customHeight="1" x14ac:dyDescent="0.25">
      <c r="A35" s="13"/>
      <c r="B35" s="13"/>
      <c r="D35" s="346" t="s">
        <v>15</v>
      </c>
      <c r="E35" s="346"/>
      <c r="F35" s="346"/>
      <c r="G35" s="347" t="s">
        <v>94</v>
      </c>
      <c r="H35" s="348"/>
      <c r="I35" s="348"/>
      <c r="J35" s="348"/>
      <c r="K35" s="348"/>
      <c r="L35" s="348"/>
      <c r="M35" s="349"/>
      <c r="N35" s="27"/>
      <c r="O35" s="13"/>
      <c r="P35" s="13"/>
    </row>
    <row r="36" spans="1:16" ht="18" customHeight="1" x14ac:dyDescent="0.25">
      <c r="A36" s="13"/>
      <c r="B36" s="13"/>
      <c r="D36" s="343" t="s">
        <v>9</v>
      </c>
      <c r="E36" s="344"/>
      <c r="F36" s="344"/>
      <c r="G36" s="344"/>
      <c r="H36" s="344"/>
      <c r="I36" s="344"/>
      <c r="J36" s="344"/>
      <c r="K36" s="344"/>
      <c r="L36" s="344"/>
      <c r="M36" s="345"/>
      <c r="N36" s="26"/>
      <c r="O36" s="13"/>
      <c r="P36" s="13"/>
    </row>
    <row r="37" spans="1:16" ht="36" customHeight="1" x14ac:dyDescent="0.25">
      <c r="A37" s="13"/>
      <c r="B37" s="13"/>
      <c r="D37" s="322" t="s">
        <v>16</v>
      </c>
      <c r="E37" s="323"/>
      <c r="F37" s="323"/>
      <c r="G37" s="324" t="s">
        <v>17</v>
      </c>
      <c r="H37" s="324"/>
      <c r="I37" s="324"/>
      <c r="J37" s="324"/>
      <c r="K37" s="324"/>
      <c r="L37" s="324"/>
      <c r="M37" s="325"/>
      <c r="N37" s="24"/>
      <c r="O37" s="13"/>
      <c r="P37" s="13"/>
    </row>
    <row r="38" spans="1:16" ht="8.1" customHeight="1" x14ac:dyDescent="0.25">
      <c r="A38" s="13"/>
      <c r="B38" s="13"/>
      <c r="D38" s="23"/>
      <c r="E38" s="23"/>
      <c r="F38" s="23"/>
      <c r="G38" s="23"/>
      <c r="H38" s="23"/>
      <c r="I38" s="23"/>
      <c r="J38" s="23"/>
      <c r="K38" s="23"/>
      <c r="L38" s="23"/>
      <c r="M38" s="23"/>
      <c r="O38" s="13"/>
      <c r="P38" s="13"/>
    </row>
    <row r="39" spans="1:16" ht="24.9" customHeight="1" x14ac:dyDescent="0.4">
      <c r="A39" s="13"/>
      <c r="B39" s="13"/>
      <c r="D39" s="330" t="s">
        <v>18</v>
      </c>
      <c r="E39" s="331"/>
      <c r="F39" s="331"/>
      <c r="G39" s="331"/>
      <c r="H39" s="331"/>
      <c r="I39" s="331"/>
      <c r="J39" s="331"/>
      <c r="K39" s="331"/>
      <c r="L39" s="331"/>
      <c r="M39" s="332"/>
      <c r="N39" s="15"/>
      <c r="O39" s="13"/>
      <c r="P39" s="13"/>
    </row>
    <row r="40" spans="1:16" ht="8.1" customHeight="1" x14ac:dyDescent="0.25">
      <c r="A40" s="13"/>
      <c r="B40" s="13"/>
      <c r="D40" s="23"/>
      <c r="E40" s="23"/>
      <c r="F40" s="23"/>
      <c r="G40" s="23"/>
      <c r="H40" s="23"/>
      <c r="I40" s="23"/>
      <c r="J40" s="23"/>
      <c r="K40" s="23"/>
      <c r="L40" s="23"/>
      <c r="M40" s="23"/>
      <c r="O40" s="13"/>
      <c r="P40" s="13"/>
    </row>
    <row r="41" spans="1:16" ht="87.6" customHeight="1" x14ac:dyDescent="0.25">
      <c r="A41" s="13"/>
      <c r="B41" s="13"/>
      <c r="D41" s="333" t="s">
        <v>95</v>
      </c>
      <c r="E41" s="334"/>
      <c r="F41" s="334"/>
      <c r="G41" s="334"/>
      <c r="H41" s="334"/>
      <c r="I41" s="334"/>
      <c r="J41" s="334"/>
      <c r="K41" s="334"/>
      <c r="L41" s="334"/>
      <c r="M41" s="335"/>
      <c r="N41" s="18"/>
      <c r="O41" s="13"/>
      <c r="P41" s="13"/>
    </row>
    <row r="42" spans="1:16" ht="8.1" customHeight="1" x14ac:dyDescent="0.25">
      <c r="A42" s="13"/>
      <c r="B42" s="13"/>
      <c r="O42" s="13"/>
      <c r="P42" s="13"/>
    </row>
    <row r="43" spans="1:16" ht="33.9" customHeight="1" x14ac:dyDescent="0.4">
      <c r="A43" s="13"/>
      <c r="B43" s="13"/>
      <c r="C43" s="22"/>
      <c r="D43" s="327" t="s">
        <v>19</v>
      </c>
      <c r="E43" s="327"/>
      <c r="F43" s="327"/>
      <c r="G43" s="327"/>
      <c r="H43" s="327"/>
      <c r="I43" s="327"/>
      <c r="J43" s="327"/>
      <c r="K43" s="327"/>
      <c r="L43" s="327"/>
      <c r="M43" s="327"/>
      <c r="N43" s="21"/>
      <c r="O43" s="13"/>
      <c r="P43" s="13"/>
    </row>
    <row r="44" spans="1:16" ht="8.1" customHeight="1" x14ac:dyDescent="0.25">
      <c r="A44" s="13"/>
      <c r="B44" s="13"/>
      <c r="O44" s="13"/>
      <c r="P44" s="13"/>
    </row>
    <row r="45" spans="1:16" ht="97.65" customHeight="1" x14ac:dyDescent="0.25">
      <c r="A45" s="13"/>
      <c r="B45" s="13"/>
      <c r="D45" s="336" t="s">
        <v>90</v>
      </c>
      <c r="E45" s="336"/>
      <c r="F45" s="336"/>
      <c r="G45" s="336"/>
      <c r="H45" s="336"/>
      <c r="I45" s="336"/>
      <c r="J45" s="336"/>
      <c r="K45" s="336"/>
      <c r="L45" s="336"/>
      <c r="M45" s="336"/>
      <c r="N45" s="18"/>
      <c r="O45" s="13"/>
      <c r="P45" s="13"/>
    </row>
    <row r="46" spans="1:16" ht="8.1" customHeight="1" x14ac:dyDescent="0.25">
      <c r="A46" s="13"/>
      <c r="B46" s="13"/>
      <c r="O46" s="13"/>
      <c r="P46" s="13"/>
    </row>
    <row r="47" spans="1:16" ht="35.1" customHeight="1" x14ac:dyDescent="0.3">
      <c r="A47" s="13"/>
      <c r="B47" s="13"/>
      <c r="C47" s="20"/>
      <c r="D47" s="328" t="s">
        <v>20</v>
      </c>
      <c r="E47" s="328"/>
      <c r="F47" s="328"/>
      <c r="G47" s="328"/>
      <c r="H47" s="328"/>
      <c r="I47" s="328"/>
      <c r="J47" s="328"/>
      <c r="K47" s="328"/>
      <c r="L47" s="328"/>
      <c r="M47" s="328"/>
      <c r="N47" s="19"/>
      <c r="O47" s="13"/>
      <c r="P47" s="13"/>
    </row>
    <row r="48" spans="1:16" ht="8.1" customHeight="1" x14ac:dyDescent="0.3">
      <c r="A48" s="13"/>
      <c r="B48" s="13"/>
      <c r="D48" s="15"/>
      <c r="E48" s="15"/>
      <c r="F48" s="15"/>
      <c r="G48" s="15"/>
      <c r="H48" s="15"/>
      <c r="I48" s="15"/>
      <c r="J48" s="15"/>
      <c r="K48" s="15"/>
      <c r="L48" s="15"/>
      <c r="M48" s="15"/>
      <c r="N48" s="15"/>
      <c r="O48" s="13"/>
      <c r="P48" s="13"/>
    </row>
    <row r="49" spans="1:16" ht="96" customHeight="1" x14ac:dyDescent="0.25">
      <c r="A49" s="13"/>
      <c r="B49" s="13"/>
      <c r="D49" s="337" t="s">
        <v>96</v>
      </c>
      <c r="E49" s="337"/>
      <c r="F49" s="337"/>
      <c r="G49" s="337"/>
      <c r="H49" s="337"/>
      <c r="I49" s="337"/>
      <c r="J49" s="337"/>
      <c r="K49" s="337"/>
      <c r="L49" s="337"/>
      <c r="M49" s="337"/>
      <c r="N49" s="18"/>
      <c r="O49" s="13"/>
      <c r="P49" s="13"/>
    </row>
    <row r="50" spans="1:16" ht="8.1" customHeight="1" x14ac:dyDescent="0.3">
      <c r="A50" s="13"/>
      <c r="B50" s="13"/>
      <c r="D50" s="15"/>
      <c r="E50" s="15"/>
      <c r="F50" s="15"/>
      <c r="G50" s="15"/>
      <c r="H50" s="15"/>
      <c r="I50" s="15"/>
      <c r="J50" s="15"/>
      <c r="K50" s="15"/>
      <c r="L50" s="15"/>
      <c r="M50" s="15"/>
      <c r="N50" s="15"/>
      <c r="O50" s="13"/>
      <c r="P50" s="13"/>
    </row>
    <row r="51" spans="1:16" ht="24.9" customHeight="1" x14ac:dyDescent="0.3">
      <c r="A51" s="13"/>
      <c r="B51" s="13"/>
      <c r="C51" s="17"/>
      <c r="D51" s="329" t="s">
        <v>21</v>
      </c>
      <c r="E51" s="329"/>
      <c r="F51" s="329"/>
      <c r="G51" s="329"/>
      <c r="H51" s="329"/>
      <c r="I51" s="329"/>
      <c r="J51" s="329"/>
      <c r="K51" s="329"/>
      <c r="L51" s="329"/>
      <c r="M51" s="329"/>
      <c r="N51" s="16"/>
      <c r="O51" s="13"/>
      <c r="P51" s="13"/>
    </row>
    <row r="52" spans="1:16" ht="8.1" customHeight="1" x14ac:dyDescent="0.3">
      <c r="A52" s="13"/>
      <c r="B52" s="13"/>
      <c r="D52" s="15"/>
      <c r="E52" s="15"/>
      <c r="F52" s="15"/>
      <c r="G52" s="15"/>
      <c r="H52" s="15"/>
      <c r="I52" s="15"/>
      <c r="J52" s="15"/>
      <c r="K52" s="15"/>
      <c r="L52" s="15"/>
      <c r="M52" s="15"/>
      <c r="N52" s="15"/>
      <c r="O52" s="13"/>
      <c r="P52" s="13"/>
    </row>
    <row r="53" spans="1:16" ht="316.2" customHeight="1" x14ac:dyDescent="0.25">
      <c r="A53" s="13"/>
      <c r="B53" s="13"/>
      <c r="D53" s="326" t="s">
        <v>148</v>
      </c>
      <c r="E53" s="326"/>
      <c r="F53" s="326"/>
      <c r="G53" s="326"/>
      <c r="H53" s="326"/>
      <c r="I53" s="326"/>
      <c r="J53" s="326"/>
      <c r="K53" s="326"/>
      <c r="L53" s="326"/>
      <c r="M53" s="326"/>
      <c r="N53" s="14"/>
      <c r="O53" s="13"/>
      <c r="P53" s="13"/>
    </row>
    <row r="54" spans="1:16" ht="8.1" customHeight="1" x14ac:dyDescent="0.25">
      <c r="A54" s="13"/>
      <c r="B54" s="13"/>
      <c r="C54" s="13"/>
      <c r="D54" s="13"/>
      <c r="E54" s="13"/>
      <c r="F54" s="13"/>
      <c r="G54" s="13"/>
      <c r="H54" s="13"/>
      <c r="I54" s="13"/>
      <c r="J54" s="13"/>
      <c r="K54" s="13"/>
      <c r="L54" s="13"/>
      <c r="M54" s="13"/>
      <c r="N54" s="13"/>
      <c r="O54" s="13"/>
      <c r="P54" s="13"/>
    </row>
    <row r="56" spans="1:16" x14ac:dyDescent="0.25">
      <c r="D56" s="6"/>
    </row>
    <row r="57" spans="1:16" x14ac:dyDescent="0.25">
      <c r="D57" s="6"/>
    </row>
    <row r="58" spans="1:16" x14ac:dyDescent="0.25">
      <c r="D58" s="6"/>
    </row>
    <row r="59" spans="1:16" x14ac:dyDescent="0.25">
      <c r="D59" s="6"/>
    </row>
  </sheetData>
  <sheetProtection algorithmName="SHA-512" hashValue="HYGcf4OON5yxSjSjFaNT67tEXZ7TBwaY95CUsg0xUTBPsOnN4TNI4I0uVbZLrTeckVg0eA/gNyE9+SQICk8cuw==" saltValue="smtDdlq0LhpIsO8LHYGHHw==" spinCount="100000" sheet="1" formatRows="0" insertHyperlinks="0"/>
  <mergeCells count="35">
    <mergeCell ref="C4:M4"/>
    <mergeCell ref="D14:M14"/>
    <mergeCell ref="D6:M6"/>
    <mergeCell ref="E2:L2"/>
    <mergeCell ref="E3:L3"/>
    <mergeCell ref="D12:M12"/>
    <mergeCell ref="D8:M8"/>
    <mergeCell ref="D10:M10"/>
    <mergeCell ref="D36:M36"/>
    <mergeCell ref="D25:F25"/>
    <mergeCell ref="G25:M25"/>
    <mergeCell ref="D29:F29"/>
    <mergeCell ref="G29:M29"/>
    <mergeCell ref="D35:F35"/>
    <mergeCell ref="G35:M35"/>
    <mergeCell ref="D32:F32"/>
    <mergeCell ref="D33:F33"/>
    <mergeCell ref="D31:F31"/>
    <mergeCell ref="D30:M30"/>
    <mergeCell ref="G31:M31"/>
    <mergeCell ref="E23:M23"/>
    <mergeCell ref="E16:M18"/>
    <mergeCell ref="E20:M21"/>
    <mergeCell ref="D27:F27"/>
    <mergeCell ref="G27:M27"/>
    <mergeCell ref="D37:F37"/>
    <mergeCell ref="G37:M37"/>
    <mergeCell ref="D53:M53"/>
    <mergeCell ref="D43:M43"/>
    <mergeCell ref="D47:M47"/>
    <mergeCell ref="D51:M51"/>
    <mergeCell ref="D39:M39"/>
    <mergeCell ref="D41:M41"/>
    <mergeCell ref="D45:M45"/>
    <mergeCell ref="D49:M49"/>
  </mergeCells>
  <hyperlinks>
    <hyperlink ref="G32" r:id="rId1" xr:uid="{87471D11-F6F7-4195-8440-65361C4D0DA4}"/>
    <hyperlink ref="G33" r:id="rId2" xr:uid="{F103155F-0ECD-42B8-BDF2-276001A1689B}"/>
    <hyperlink ref="G37:M37" r:id="rId3" display="Immunization Delivery Cost Catalogue (IDCC)" xr:uid="{0FC6E934-9AFB-46EB-A28E-9A236A6521A7}"/>
    <hyperlink ref="G31:M31" r:id="rId4" display="Gavi detailed product profiles" xr:uid="{A4B1911C-C227-4B1D-88EF-C0CDBC9B09CE}"/>
  </hyperlinks>
  <pageMargins left="0.25" right="0.25" top="0.75" bottom="0.75" header="0.3" footer="0.3"/>
  <pageSetup paperSize="9" scale="70" orientation="portrait" r:id="rId5"/>
  <rowBreaks count="1" manualBreakCount="1">
    <brk id="50" max="15"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O152"/>
  <sheetViews>
    <sheetView zoomScaleNormal="100" workbookViewId="0"/>
  </sheetViews>
  <sheetFormatPr defaultColWidth="8.88671875" defaultRowHeight="13.8" outlineLevelRow="1" x14ac:dyDescent="0.3"/>
  <cols>
    <col min="1" max="1" width="1.88671875" style="55" customWidth="1"/>
    <col min="2" max="2" width="3.109375" style="55" customWidth="1"/>
    <col min="3" max="3" width="4" style="55" customWidth="1"/>
    <col min="4" max="4" width="43.44140625" style="55" customWidth="1"/>
    <col min="5" max="5" width="22.88671875" style="55" customWidth="1"/>
    <col min="6" max="6" width="1.44140625" style="55" customWidth="1"/>
    <col min="7" max="7" width="22.88671875" style="55" customWidth="1"/>
    <col min="8" max="8" width="1.44140625" style="55" customWidth="1"/>
    <col min="9" max="9" width="22.88671875" style="55" customWidth="1"/>
    <col min="10" max="10" width="2.109375" style="55" customWidth="1"/>
    <col min="11" max="11" width="22.88671875" style="55" customWidth="1"/>
    <col min="12" max="12" width="4.109375" style="55" customWidth="1"/>
    <col min="13" max="13" width="3.88671875" style="55" customWidth="1"/>
    <col min="14" max="14" width="4.88671875" style="55" customWidth="1"/>
    <col min="15" max="16384" width="8.88671875" style="55"/>
  </cols>
  <sheetData>
    <row r="1" spans="1:14" ht="8.1" customHeight="1" x14ac:dyDescent="0.3">
      <c r="B1" s="292"/>
      <c r="C1" s="292"/>
      <c r="D1" s="292"/>
      <c r="E1" s="292"/>
      <c r="F1" s="292"/>
      <c r="G1" s="292"/>
      <c r="H1" s="292"/>
      <c r="I1" s="292"/>
      <c r="J1" s="292"/>
      <c r="K1" s="292"/>
      <c r="L1" s="292"/>
      <c r="M1" s="292"/>
    </row>
    <row r="2" spans="1:14" ht="18.899999999999999" customHeight="1" x14ac:dyDescent="0.3">
      <c r="B2" s="366" t="s">
        <v>88</v>
      </c>
      <c r="C2" s="366"/>
      <c r="D2" s="366"/>
      <c r="E2" s="366"/>
      <c r="F2" s="366"/>
      <c r="G2" s="366"/>
      <c r="H2" s="366"/>
      <c r="I2" s="366"/>
      <c r="J2" s="366"/>
      <c r="K2" s="366"/>
      <c r="L2" s="366"/>
      <c r="M2" s="366"/>
    </row>
    <row r="3" spans="1:14" ht="14.4" customHeight="1" x14ac:dyDescent="0.3">
      <c r="A3" s="190"/>
      <c r="B3" s="189"/>
      <c r="C3" s="60"/>
      <c r="D3" s="60"/>
      <c r="E3" s="60"/>
      <c r="F3" s="60"/>
      <c r="G3" s="60"/>
      <c r="H3" s="60"/>
      <c r="I3" s="60"/>
      <c r="J3" s="60"/>
      <c r="K3" s="188"/>
      <c r="L3" s="188"/>
      <c r="M3" s="60"/>
      <c r="N3" s="187"/>
    </row>
    <row r="4" spans="1:14" ht="60" customHeight="1" x14ac:dyDescent="0.3">
      <c r="B4" s="60"/>
      <c r="C4" s="186"/>
      <c r="D4" s="367" t="s">
        <v>92</v>
      </c>
      <c r="E4" s="367"/>
      <c r="F4" s="367"/>
      <c r="G4" s="367"/>
      <c r="H4" s="367"/>
      <c r="I4" s="367"/>
      <c r="J4" s="367"/>
      <c r="K4" s="367"/>
      <c r="L4" s="185"/>
      <c r="M4" s="183"/>
      <c r="N4" s="182"/>
    </row>
    <row r="5" spans="1:14" ht="8.1" customHeight="1" x14ac:dyDescent="0.3">
      <c r="B5" s="60"/>
      <c r="C5" s="60"/>
      <c r="D5" s="184"/>
      <c r="E5" s="183"/>
      <c r="F5" s="183"/>
      <c r="G5" s="60"/>
      <c r="H5" s="183"/>
      <c r="I5" s="60"/>
      <c r="J5" s="60"/>
      <c r="K5" s="60"/>
      <c r="L5" s="60"/>
      <c r="M5" s="183"/>
      <c r="N5" s="182"/>
    </row>
    <row r="6" spans="1:14" ht="45.9" customHeight="1" x14ac:dyDescent="0.3">
      <c r="B6" s="60"/>
      <c r="C6" s="60"/>
      <c r="D6" s="368" t="s">
        <v>5</v>
      </c>
      <c r="E6" s="368"/>
      <c r="F6" s="368"/>
      <c r="G6" s="368"/>
      <c r="H6" s="368"/>
      <c r="I6" s="368"/>
      <c r="J6" s="368"/>
      <c r="K6" s="368"/>
      <c r="L6" s="96"/>
      <c r="M6" s="167"/>
      <c r="N6" s="179"/>
    </row>
    <row r="7" spans="1:14" ht="8.1" customHeight="1" x14ac:dyDescent="0.3">
      <c r="B7" s="60"/>
      <c r="C7" s="60"/>
      <c r="D7" s="181"/>
      <c r="E7" s="181"/>
      <c r="F7" s="181"/>
      <c r="G7" s="181"/>
      <c r="H7" s="181"/>
      <c r="I7" s="181"/>
      <c r="J7" s="180"/>
      <c r="K7" s="167"/>
      <c r="L7" s="167"/>
      <c r="M7" s="167"/>
      <c r="N7" s="179"/>
    </row>
    <row r="8" spans="1:14" ht="42" customHeight="1" x14ac:dyDescent="0.3">
      <c r="B8" s="60"/>
      <c r="C8" s="60"/>
      <c r="D8" s="158" t="s">
        <v>23</v>
      </c>
      <c r="E8" s="178">
        <v>2026</v>
      </c>
      <c r="F8" s="177"/>
      <c r="G8" s="369" t="s">
        <v>24</v>
      </c>
      <c r="H8" s="369"/>
      <c r="I8" s="369"/>
      <c r="J8" s="369"/>
      <c r="K8" s="370"/>
      <c r="L8" s="176"/>
      <c r="M8" s="167"/>
      <c r="N8" s="175"/>
    </row>
    <row r="9" spans="1:14" ht="42" customHeight="1" x14ac:dyDescent="0.3">
      <c r="B9" s="60"/>
      <c r="C9" s="60"/>
      <c r="D9" s="66" t="s">
        <v>25</v>
      </c>
      <c r="E9" s="174">
        <v>400000</v>
      </c>
      <c r="F9" s="173"/>
      <c r="G9" s="376" t="s">
        <v>26</v>
      </c>
      <c r="H9" s="376"/>
      <c r="I9" s="376"/>
      <c r="J9" s="376"/>
      <c r="K9" s="377"/>
      <c r="L9" s="168"/>
      <c r="M9" s="167"/>
      <c r="N9" s="172"/>
    </row>
    <row r="10" spans="1:14" ht="42" customHeight="1" x14ac:dyDescent="0.3">
      <c r="B10" s="60"/>
      <c r="C10" s="60"/>
      <c r="D10" s="66" t="s">
        <v>27</v>
      </c>
      <c r="E10" s="115">
        <v>0.02</v>
      </c>
      <c r="F10" s="171"/>
      <c r="G10" s="376" t="s">
        <v>28</v>
      </c>
      <c r="H10" s="376"/>
      <c r="I10" s="376"/>
      <c r="J10" s="376"/>
      <c r="K10" s="377"/>
      <c r="L10" s="168"/>
      <c r="M10" s="167"/>
      <c r="N10" s="166"/>
    </row>
    <row r="11" spans="1:14" ht="42" customHeight="1" x14ac:dyDescent="0.3">
      <c r="B11" s="60"/>
      <c r="C11" s="60"/>
      <c r="D11" s="66" t="s">
        <v>29</v>
      </c>
      <c r="E11" s="115">
        <v>0.97</v>
      </c>
      <c r="F11" s="169"/>
      <c r="G11" s="376" t="s">
        <v>30</v>
      </c>
      <c r="H11" s="376"/>
      <c r="I11" s="376"/>
      <c r="J11" s="376"/>
      <c r="K11" s="377"/>
      <c r="L11" s="168"/>
      <c r="M11" s="167"/>
      <c r="N11" s="166"/>
    </row>
    <row r="12" spans="1:14" ht="42" customHeight="1" x14ac:dyDescent="0.3">
      <c r="B12" s="60"/>
      <c r="C12" s="170"/>
      <c r="D12" s="66" t="s">
        <v>31</v>
      </c>
      <c r="E12" s="115">
        <v>0.9</v>
      </c>
      <c r="F12" s="169"/>
      <c r="G12" s="376" t="s">
        <v>30</v>
      </c>
      <c r="H12" s="376"/>
      <c r="I12" s="376"/>
      <c r="J12" s="376"/>
      <c r="K12" s="377"/>
      <c r="L12" s="168"/>
      <c r="M12" s="167"/>
      <c r="N12" s="166"/>
    </row>
    <row r="13" spans="1:14" ht="42" customHeight="1" x14ac:dyDescent="0.3">
      <c r="B13" s="60"/>
      <c r="C13" s="170"/>
      <c r="D13" s="66" t="s">
        <v>32</v>
      </c>
      <c r="E13" s="115">
        <v>0.85</v>
      </c>
      <c r="F13" s="169"/>
      <c r="G13" s="376" t="s">
        <v>33</v>
      </c>
      <c r="H13" s="376"/>
      <c r="I13" s="376"/>
      <c r="J13" s="376"/>
      <c r="K13" s="377"/>
      <c r="L13" s="168"/>
      <c r="M13" s="167"/>
      <c r="N13" s="166"/>
    </row>
    <row r="14" spans="1:14" ht="8.1" customHeight="1" x14ac:dyDescent="0.3">
      <c r="B14" s="60"/>
      <c r="C14" s="60"/>
      <c r="D14" s="162"/>
      <c r="E14" s="162"/>
      <c r="F14" s="162"/>
      <c r="G14" s="165"/>
      <c r="H14" s="162"/>
      <c r="I14" s="164"/>
      <c r="J14" s="164"/>
      <c r="K14" s="163"/>
      <c r="L14" s="163"/>
      <c r="M14" s="162"/>
      <c r="N14" s="161"/>
    </row>
    <row r="15" spans="1:14" ht="45.9" customHeight="1" x14ac:dyDescent="0.3">
      <c r="B15" s="60"/>
      <c r="C15" s="60"/>
      <c r="D15" s="368" t="s">
        <v>6</v>
      </c>
      <c r="E15" s="368"/>
      <c r="F15" s="368"/>
      <c r="G15" s="368"/>
      <c r="H15" s="368"/>
      <c r="I15" s="368"/>
      <c r="J15" s="368"/>
      <c r="K15" s="368"/>
      <c r="L15" s="163"/>
      <c r="M15" s="162"/>
      <c r="N15" s="161"/>
    </row>
    <row r="16" spans="1:14" ht="8.1" customHeight="1" x14ac:dyDescent="0.3">
      <c r="B16" s="60"/>
      <c r="C16" s="60"/>
      <c r="D16" s="162"/>
      <c r="E16" s="162"/>
      <c r="F16" s="162"/>
      <c r="G16" s="165"/>
      <c r="H16" s="162"/>
      <c r="I16" s="164"/>
      <c r="J16" s="164"/>
      <c r="K16" s="163"/>
      <c r="L16" s="163"/>
      <c r="M16" s="162"/>
      <c r="N16" s="161"/>
    </row>
    <row r="17" spans="2:14" ht="42" customHeight="1" x14ac:dyDescent="0.3">
      <c r="B17" s="60"/>
      <c r="C17" s="60"/>
      <c r="D17" s="66" t="s">
        <v>34</v>
      </c>
      <c r="E17" s="282" t="s">
        <v>129</v>
      </c>
      <c r="F17" s="191"/>
      <c r="G17" s="373" t="s">
        <v>125</v>
      </c>
      <c r="H17" s="373"/>
      <c r="I17" s="373"/>
      <c r="J17" s="373"/>
      <c r="K17" s="374"/>
      <c r="L17" s="163"/>
      <c r="M17" s="162"/>
      <c r="N17" s="161"/>
    </row>
    <row r="18" spans="2:14" ht="42" customHeight="1" x14ac:dyDescent="0.3">
      <c r="B18" s="60"/>
      <c r="C18" s="60"/>
      <c r="D18" s="66" t="s">
        <v>123</v>
      </c>
      <c r="E18" s="282" t="s">
        <v>146</v>
      </c>
      <c r="F18" s="191"/>
      <c r="G18" s="373" t="s">
        <v>126</v>
      </c>
      <c r="H18" s="373"/>
      <c r="I18" s="373"/>
      <c r="J18" s="373"/>
      <c r="K18" s="374"/>
      <c r="L18" s="163"/>
      <c r="M18" s="162"/>
      <c r="N18" s="161"/>
    </row>
    <row r="19" spans="2:14" ht="92.55" customHeight="1" x14ac:dyDescent="0.3">
      <c r="B19" s="60"/>
      <c r="C19" s="60"/>
      <c r="D19" s="315" t="s">
        <v>124</v>
      </c>
      <c r="E19" s="316">
        <v>3</v>
      </c>
      <c r="F19" s="191"/>
      <c r="G19" s="373" t="s">
        <v>127</v>
      </c>
      <c r="H19" s="373"/>
      <c r="I19" s="373"/>
      <c r="J19" s="373"/>
      <c r="K19" s="374"/>
      <c r="L19" s="163"/>
      <c r="M19" s="162"/>
      <c r="N19" s="161"/>
    </row>
    <row r="20" spans="2:14" ht="8.1" customHeight="1" x14ac:dyDescent="0.3">
      <c r="B20" s="60"/>
      <c r="C20" s="60"/>
      <c r="D20" s="162"/>
      <c r="E20" s="162"/>
      <c r="F20" s="162"/>
      <c r="G20" s="165"/>
      <c r="H20" s="162"/>
      <c r="I20" s="164"/>
      <c r="J20" s="164"/>
      <c r="K20" s="163"/>
      <c r="L20" s="163"/>
      <c r="M20" s="162"/>
      <c r="N20" s="161"/>
    </row>
    <row r="21" spans="2:14" ht="42" customHeight="1" x14ac:dyDescent="0.3">
      <c r="B21" s="60"/>
      <c r="C21" s="60"/>
      <c r="D21" s="371" t="s">
        <v>35</v>
      </c>
      <c r="E21" s="372"/>
      <c r="F21" s="163"/>
      <c r="G21" s="375" t="s">
        <v>128</v>
      </c>
      <c r="H21" s="375"/>
      <c r="I21" s="375"/>
      <c r="J21" s="375"/>
      <c r="K21" s="375"/>
      <c r="L21" s="163"/>
      <c r="M21" s="162"/>
      <c r="N21" s="161"/>
    </row>
    <row r="22" spans="2:14" ht="60" customHeight="1" x14ac:dyDescent="0.3">
      <c r="B22" s="60"/>
      <c r="C22" s="60"/>
      <c r="D22" s="315" t="s">
        <v>144</v>
      </c>
      <c r="E22" s="320">
        <v>0.2</v>
      </c>
      <c r="F22" s="313"/>
      <c r="G22" s="385" t="s">
        <v>145</v>
      </c>
      <c r="H22" s="385"/>
      <c r="I22" s="385"/>
      <c r="J22" s="385"/>
      <c r="K22" s="385"/>
      <c r="L22" s="386"/>
      <c r="M22" s="162"/>
      <c r="N22" s="161"/>
    </row>
    <row r="23" spans="2:14" ht="24.9" customHeight="1" x14ac:dyDescent="0.3">
      <c r="B23" s="60"/>
      <c r="C23" s="60"/>
      <c r="D23" s="283">
        <f>E8</f>
        <v>2026</v>
      </c>
      <c r="E23" s="321" t="str">
        <f>IF($E$17="Transición preparatoria",MIN(0.8,E22),IF($E$17="Transición acelerada",_xlfn.XLOOKUP(D23,'Vaccine options'!$E$23:$E$27,'Vaccine options'!$F$23:$F$27), "vease abajo"))</f>
        <v>vease abajo</v>
      </c>
      <c r="F23" s="314"/>
      <c r="G23" s="387"/>
      <c r="H23" s="387"/>
      <c r="I23" s="387"/>
      <c r="J23" s="387"/>
      <c r="K23" s="387"/>
      <c r="L23" s="388"/>
      <c r="M23" s="162"/>
      <c r="N23" s="161"/>
    </row>
    <row r="24" spans="2:14" ht="24.9" customHeight="1" x14ac:dyDescent="0.3">
      <c r="B24" s="60"/>
      <c r="C24" s="60"/>
      <c r="D24" s="283">
        <f>$E$8+1</f>
        <v>2027</v>
      </c>
      <c r="E24" s="321" t="str">
        <f>IF($E$17="Transición preparatoria",MIN(0.8,E23*1.15),IF($E$17="Transición acelerada",_xlfn.XLOOKUP(D24,'Vaccine options'!$E$23:$E$27,'Vaccine options'!$F$23:$F$27),"vease abajo"))</f>
        <v>vease abajo</v>
      </c>
      <c r="F24" s="276"/>
      <c r="G24" s="387"/>
      <c r="H24" s="387"/>
      <c r="I24" s="387"/>
      <c r="J24" s="387"/>
      <c r="K24" s="387"/>
      <c r="L24" s="388"/>
      <c r="M24" s="162"/>
      <c r="N24" s="161"/>
    </row>
    <row r="25" spans="2:14" ht="24.9" customHeight="1" x14ac:dyDescent="0.3">
      <c r="B25" s="60"/>
      <c r="C25" s="60"/>
      <c r="D25" s="283">
        <f>$E$8+2</f>
        <v>2028</v>
      </c>
      <c r="E25" s="321" t="str">
        <f>IF($E$17="Transición preparatoria",MIN(0.8,E24*1.15),IF($E$17="Transición acelerada",_xlfn.XLOOKUP(D25,'Vaccine options'!$E$23:$E$27,'Vaccine options'!$F$23:$F$27),"vease abajo"))</f>
        <v>vease abajo</v>
      </c>
      <c r="F25" s="276"/>
      <c r="G25" s="387"/>
      <c r="H25" s="387"/>
      <c r="I25" s="387"/>
      <c r="J25" s="387"/>
      <c r="K25" s="387"/>
      <c r="L25" s="388"/>
      <c r="M25" s="162"/>
      <c r="N25" s="161"/>
    </row>
    <row r="26" spans="2:14" ht="24.9" customHeight="1" x14ac:dyDescent="0.3">
      <c r="B26" s="60"/>
      <c r="C26" s="60"/>
      <c r="D26" s="283">
        <f>$E$8+3</f>
        <v>2029</v>
      </c>
      <c r="E26" s="321" t="str">
        <f>IF($E$17="Transición preparatoria",MIN(0.8,E25*1.15),IF($E$17="Transición acelerada",_xlfn.XLOOKUP(D26,'Vaccine options'!$E$23:$E$27,'Vaccine options'!$F$23:$F$27),"vease abajo"))</f>
        <v>vease abajo</v>
      </c>
      <c r="F26" s="276"/>
      <c r="G26" s="387"/>
      <c r="H26" s="387"/>
      <c r="I26" s="387"/>
      <c r="J26" s="387"/>
      <c r="K26" s="387"/>
      <c r="L26" s="388"/>
      <c r="M26" s="162"/>
      <c r="N26" s="161"/>
    </row>
    <row r="27" spans="2:14" ht="24.9" customHeight="1" x14ac:dyDescent="0.3">
      <c r="B27" s="60"/>
      <c r="C27" s="60"/>
      <c r="D27" s="283">
        <f>$E$8+4</f>
        <v>2030</v>
      </c>
      <c r="E27" s="321" t="str">
        <f>IF($E$17="Transición preparatoria",MIN(0.8,E26*1.15),IF($E$17="Transición acelerada",_xlfn.XLOOKUP(D27,'Vaccine options'!$E$23:$E$27,'Vaccine options'!$F$23:$F$27),"vease abajo"))</f>
        <v>vease abajo</v>
      </c>
      <c r="F27" s="277"/>
      <c r="G27" s="389"/>
      <c r="H27" s="389"/>
      <c r="I27" s="389"/>
      <c r="J27" s="389"/>
      <c r="K27" s="389"/>
      <c r="L27" s="390"/>
      <c r="M27" s="162"/>
      <c r="N27" s="161"/>
    </row>
    <row r="28" spans="2:14" ht="8.1" customHeight="1" x14ac:dyDescent="0.3">
      <c r="B28" s="60"/>
      <c r="C28" s="60"/>
      <c r="D28" s="162"/>
      <c r="E28" s="162"/>
      <c r="F28" s="162"/>
      <c r="G28" s="165"/>
      <c r="H28" s="162"/>
      <c r="I28" s="164"/>
      <c r="J28" s="164"/>
      <c r="K28" s="163"/>
      <c r="L28" s="163"/>
      <c r="M28" s="162"/>
      <c r="N28" s="161"/>
    </row>
    <row r="29" spans="2:14" ht="45" customHeight="1" x14ac:dyDescent="0.3">
      <c r="B29" s="60"/>
      <c r="C29" s="60"/>
      <c r="D29" s="368" t="s">
        <v>7</v>
      </c>
      <c r="E29" s="368"/>
      <c r="F29" s="368"/>
      <c r="G29" s="368"/>
      <c r="H29" s="368"/>
      <c r="I29" s="368"/>
      <c r="J29" s="368"/>
      <c r="K29" s="368"/>
      <c r="L29" s="96"/>
      <c r="M29" s="95"/>
      <c r="N29" s="93"/>
    </row>
    <row r="30" spans="2:14" ht="8.1" customHeight="1" x14ac:dyDescent="0.3">
      <c r="B30" s="60"/>
      <c r="C30" s="60"/>
      <c r="D30" s="60"/>
      <c r="E30" s="60"/>
      <c r="F30" s="60"/>
      <c r="G30" s="60"/>
      <c r="H30" s="60"/>
      <c r="I30" s="60"/>
      <c r="J30" s="60"/>
      <c r="K30" s="60"/>
      <c r="L30" s="60"/>
      <c r="M30" s="60"/>
    </row>
    <row r="31" spans="2:14" ht="58.35" customHeight="1" x14ac:dyDescent="0.3">
      <c r="B31" s="60"/>
      <c r="C31" s="60"/>
      <c r="D31" s="160"/>
      <c r="E31" s="159" t="s">
        <v>36</v>
      </c>
      <c r="F31" s="157"/>
      <c r="G31" s="158" t="s">
        <v>37</v>
      </c>
      <c r="H31" s="157"/>
      <c r="I31" s="158" t="s">
        <v>38</v>
      </c>
      <c r="J31" s="157"/>
      <c r="K31" s="66" t="s">
        <v>39</v>
      </c>
      <c r="L31" s="152"/>
      <c r="M31" s="60"/>
    </row>
    <row r="32" spans="2:14" ht="147" customHeight="1" x14ac:dyDescent="0.3">
      <c r="B32" s="60"/>
      <c r="C32" s="60"/>
      <c r="D32" s="156" t="s">
        <v>40</v>
      </c>
      <c r="E32" s="155" t="s">
        <v>119</v>
      </c>
      <c r="F32" s="154"/>
      <c r="G32" s="155" t="s">
        <v>108</v>
      </c>
      <c r="H32" s="154"/>
      <c r="I32" s="155" t="s">
        <v>111</v>
      </c>
      <c r="J32" s="154"/>
      <c r="K32" s="155" t="s">
        <v>115</v>
      </c>
      <c r="L32" s="153"/>
      <c r="M32" s="152"/>
      <c r="N32" s="151"/>
    </row>
    <row r="33" spans="2:14" ht="93.75" customHeight="1" x14ac:dyDescent="0.3">
      <c r="B33" s="60"/>
      <c r="C33" s="60"/>
      <c r="D33" s="284" t="s">
        <v>41</v>
      </c>
      <c r="E33" s="289" t="str">
        <f>VLOOKUP(E32,'Vaccine options'!$A$3:$E$10,5,FALSE)</f>
        <v>Disponible con planificación</v>
      </c>
      <c r="F33" s="290"/>
      <c r="G33" s="289" t="str">
        <f>VLOOKUP(G32,'Vaccine options'!$A$3:$E$10,5,FALSE)</f>
        <v>Disponible con planificación</v>
      </c>
      <c r="H33" s="290"/>
      <c r="I33" s="289" t="str">
        <f>VLOOKUP(I32,'Vaccine options'!$A$3:$E$10,5,FALSE)</f>
        <v>Disponible con planificación</v>
      </c>
      <c r="J33" s="290"/>
      <c r="K33" s="289" t="str">
        <f>VLOOKUP(K32,'Vaccine options'!$A$3:$E$10,5,FALSE)</f>
        <v>Disponible con planificación</v>
      </c>
      <c r="L33" s="153"/>
      <c r="M33" s="152"/>
      <c r="N33" s="151"/>
    </row>
    <row r="34" spans="2:14" ht="8.25" customHeight="1" x14ac:dyDescent="0.3">
      <c r="B34" s="60"/>
      <c r="C34" s="60"/>
      <c r="D34" s="152"/>
      <c r="E34" s="149"/>
      <c r="F34" s="145"/>
      <c r="G34" s="149"/>
      <c r="H34" s="145"/>
      <c r="I34" s="149"/>
      <c r="J34" s="145"/>
      <c r="K34" s="149"/>
      <c r="L34" s="149"/>
      <c r="M34" s="148"/>
      <c r="N34" s="147"/>
    </row>
    <row r="35" spans="2:14" ht="39" customHeight="1" x14ac:dyDescent="0.3">
      <c r="B35" s="60"/>
      <c r="C35" s="60"/>
      <c r="D35" s="284" t="s">
        <v>42</v>
      </c>
      <c r="E35" s="148"/>
      <c r="F35" s="148"/>
      <c r="G35" s="148"/>
      <c r="H35" s="148"/>
      <c r="I35" s="148"/>
      <c r="J35" s="148"/>
      <c r="K35" s="148"/>
      <c r="L35" s="146"/>
      <c r="M35" s="145"/>
      <c r="N35" s="144"/>
    </row>
    <row r="36" spans="2:14" ht="24.9" customHeight="1" x14ac:dyDescent="0.3">
      <c r="B36" s="60"/>
      <c r="C36" s="60"/>
      <c r="D36" s="291">
        <f>D23</f>
        <v>2026</v>
      </c>
      <c r="E36" s="301" cm="1">
        <f t="array" ref="E36">INDEX('Vaccine prices'!$C$1:$C$168,MATCH(1,(E32='Vaccine prices'!$A$1:$A$168)*(D36='Vaccine prices'!$B$1:$B$168),0))</f>
        <v>2.04</v>
      </c>
      <c r="F36" s="279"/>
      <c r="G36" s="301" cm="1">
        <f t="array" ref="G36">INDEX('Vaccine prices'!$C$1:$C$168,MATCH(1,(G32='Vaccine prices'!$A$1:$A$168)*(D36='Vaccine prices'!$B$1:$B$168),0))</f>
        <v>0.7</v>
      </c>
      <c r="H36" s="279"/>
      <c r="I36" s="301" cm="1">
        <f t="array" ref="I36">INDEX('Vaccine prices'!$C$1:$C$168,MATCH(1,(I32='Vaccine prices'!$A$1:$A$168)*(D36='Vaccine prices'!$B$1:$B$168),0))</f>
        <v>1.1499999999999999</v>
      </c>
      <c r="J36" s="279"/>
      <c r="K36" s="301" cm="1">
        <f t="array" ref="K36">INDEX('Vaccine prices'!$C$1:$C$168,MATCH(1,(K32='Vaccine prices'!$A$1:$A$168)*(D36='Vaccine prices'!$B$1:$B$168),0))</f>
        <v>0.8</v>
      </c>
      <c r="L36" s="146"/>
      <c r="M36" s="145"/>
      <c r="N36" s="144"/>
    </row>
    <row r="37" spans="2:14" ht="24.9" customHeight="1" x14ac:dyDescent="0.3">
      <c r="B37" s="60"/>
      <c r="C37" s="60"/>
      <c r="D37" s="291">
        <f>D24</f>
        <v>2027</v>
      </c>
      <c r="E37" s="301" cm="1">
        <f t="array" ref="E37">INDEX('Vaccine prices'!$C$1:$C$168,MATCH(1,(E32='Vaccine prices'!$A$1:$A$168)*(D37='Vaccine prices'!$B$1:$B$168),0))</f>
        <v>2.0099999999999998</v>
      </c>
      <c r="F37" s="279"/>
      <c r="G37" s="301" cm="1">
        <f t="array" ref="G37">INDEX('Vaccine prices'!$C$1:$C$168,MATCH(1,(G32='Vaccine prices'!$A$1:$A$168)*(D37='Vaccine prices'!$B$1:$B$168),0))</f>
        <v>0.7</v>
      </c>
      <c r="H37" s="279"/>
      <c r="I37" s="301" cm="1">
        <f t="array" ref="I37">INDEX('Vaccine prices'!$C$1:$C$168,MATCH(1,(I32='Vaccine prices'!$A$1:$A$168)*(D37='Vaccine prices'!$B$1:$B$168),0))</f>
        <v>1.1499999999999999</v>
      </c>
      <c r="J37" s="279"/>
      <c r="K37" s="301" cm="1">
        <f t="array" ref="K37">INDEX('Vaccine prices'!$C$1:$C$168,MATCH(1,(K32='Vaccine prices'!$A$1:$A$168)*(D37='Vaccine prices'!$B$1:$B$168),0))</f>
        <v>0.8</v>
      </c>
      <c r="L37" s="146"/>
      <c r="M37" s="145"/>
      <c r="N37" s="144"/>
    </row>
    <row r="38" spans="2:14" ht="24.9" customHeight="1" x14ac:dyDescent="0.3">
      <c r="B38" s="60"/>
      <c r="C38" s="60"/>
      <c r="D38" s="291">
        <f>D25</f>
        <v>2028</v>
      </c>
      <c r="E38" s="301" cm="1">
        <f t="array" ref="E38">INDEX('Vaccine prices'!$C$1:$C$168,MATCH(1,(E32='Vaccine prices'!$A$1:$A$168)*(D38='Vaccine prices'!$B$1:$B$168),0))</f>
        <v>2.0099999999999998</v>
      </c>
      <c r="F38" s="279"/>
      <c r="G38" s="301" cm="1">
        <f t="array" ref="G38">INDEX('Vaccine prices'!$C$1:$C$168,MATCH(1,(G32='Vaccine prices'!$A$1:$A$168)*(D38='Vaccine prices'!$B$1:$B$168),0))</f>
        <v>0.7</v>
      </c>
      <c r="H38" s="279"/>
      <c r="I38" s="301" cm="1">
        <f t="array" ref="I38">INDEX('Vaccine prices'!$C$1:$C$168,MATCH(1,(I32='Vaccine prices'!$A$1:$A$168)*(D38='Vaccine prices'!$B$1:$B$168),0))</f>
        <v>1.1499999999999999</v>
      </c>
      <c r="J38" s="279"/>
      <c r="K38" s="301" cm="1">
        <f t="array" ref="K38">INDEX('Vaccine prices'!$C$1:$C$168,MATCH(1,(K32='Vaccine prices'!$A$1:$A$168)*(D38='Vaccine prices'!$B$1:$B$168),0))</f>
        <v>0.8</v>
      </c>
      <c r="L38" s="146"/>
      <c r="M38" s="145"/>
      <c r="N38" s="144"/>
    </row>
    <row r="39" spans="2:14" ht="24.9" customHeight="1" x14ac:dyDescent="0.3">
      <c r="B39" s="60"/>
      <c r="C39" s="60"/>
      <c r="D39" s="291">
        <f>D26</f>
        <v>2029</v>
      </c>
      <c r="E39" s="301" cm="1">
        <f t="array" ref="E39">INDEX('Vaccine prices'!$C$1:$C$168,MATCH(1,(E32='Vaccine prices'!$A$1:$A$168)*(D39='Vaccine prices'!$B$1:$B$168),0))</f>
        <v>2.0099999999999998</v>
      </c>
      <c r="F39" s="279"/>
      <c r="G39" s="301" cm="1">
        <f t="array" ref="G39">INDEX('Vaccine prices'!$C$1:$C$168,MATCH(1,(G32='Vaccine prices'!$A$1:$A$168)*(D39='Vaccine prices'!$B$1:$B$168),0))</f>
        <v>0.7</v>
      </c>
      <c r="H39" s="279"/>
      <c r="I39" s="301" cm="1">
        <f t="array" ref="I39">INDEX('Vaccine prices'!$C$1:$C$168,MATCH(1,(I32='Vaccine prices'!$A$1:$A$168)*(D39='Vaccine prices'!$B$1:$B$168),0))</f>
        <v>1.1499999999999999</v>
      </c>
      <c r="J39" s="279"/>
      <c r="K39" s="301" cm="1">
        <f t="array" ref="K39">INDEX('Vaccine prices'!$C$1:$C$168,MATCH(1,(K32='Vaccine prices'!$A$1:$A$168)*(D39='Vaccine prices'!$B$1:$B$168),0))</f>
        <v>0.8</v>
      </c>
      <c r="L39" s="146"/>
      <c r="M39" s="145"/>
      <c r="N39" s="144"/>
    </row>
    <row r="40" spans="2:14" ht="24.9" customHeight="1" x14ac:dyDescent="0.3">
      <c r="B40" s="60"/>
      <c r="C40" s="60"/>
      <c r="D40" s="291">
        <f>D27</f>
        <v>2030</v>
      </c>
      <c r="E40" s="301" cm="1">
        <f t="array" ref="E40">INDEX('Vaccine prices'!$C$1:$C$168,MATCH(1,(E32='Vaccine prices'!$A$1:$A$168)*(D40='Vaccine prices'!$B$1:$B$168),0))</f>
        <v>2.0099999999999998</v>
      </c>
      <c r="F40" s="279"/>
      <c r="G40" s="301" cm="1">
        <f t="array" ref="G40">INDEX('Vaccine prices'!$C$1:$C$168,MATCH(1,(G32='Vaccine prices'!$A$1:$A$168)*(D40='Vaccine prices'!$B$1:$B$168),0))</f>
        <v>0.7</v>
      </c>
      <c r="H40" s="279"/>
      <c r="I40" s="301" cm="1">
        <f t="array" ref="I40">INDEX('Vaccine prices'!$C$1:$C$168,MATCH(1,(I32='Vaccine prices'!$A$1:$A$168)*(D40='Vaccine prices'!$B$1:$B$168),0))</f>
        <v>1.1499999999999999</v>
      </c>
      <c r="J40" s="279"/>
      <c r="K40" s="301" cm="1">
        <f t="array" ref="K40">INDEX('Vaccine prices'!$C$1:$C$168,MATCH(1,(K32='Vaccine prices'!$A$1:$A$168)*(D40='Vaccine prices'!$B$1:$B$168),0))</f>
        <v>0.8</v>
      </c>
      <c r="L40" s="146"/>
      <c r="M40" s="145"/>
      <c r="N40" s="144"/>
    </row>
    <row r="41" spans="2:14" ht="8.25" customHeight="1" x14ac:dyDescent="0.3">
      <c r="B41" s="60"/>
      <c r="C41" s="60"/>
      <c r="D41" s="150"/>
      <c r="E41" s="150"/>
      <c r="F41" s="150"/>
      <c r="G41" s="150"/>
      <c r="H41" s="150"/>
      <c r="I41" s="150"/>
      <c r="J41" s="150"/>
      <c r="K41" s="150"/>
      <c r="L41" s="146"/>
      <c r="M41" s="145"/>
      <c r="N41" s="144"/>
    </row>
    <row r="42" spans="2:14" ht="42" customHeight="1" x14ac:dyDescent="0.3">
      <c r="B42" s="60"/>
      <c r="C42" s="60"/>
      <c r="D42" s="284" t="s">
        <v>43</v>
      </c>
      <c r="E42" s="412"/>
      <c r="F42" s="148"/>
      <c r="G42" s="148"/>
      <c r="H42" s="148"/>
      <c r="I42" s="148"/>
      <c r="J42" s="148"/>
      <c r="K42" s="148"/>
      <c r="L42" s="146"/>
      <c r="M42" s="145"/>
      <c r="N42" s="144"/>
    </row>
    <row r="43" spans="2:14" ht="24.9" customHeight="1" x14ac:dyDescent="0.3">
      <c r="B43" s="60"/>
      <c r="C43" s="60"/>
      <c r="D43" s="291">
        <f>D23</f>
        <v>2026</v>
      </c>
      <c r="E43" s="301">
        <f>IF(AND($E$17="Autofinanciamiento inicial",E$49=2),0.2,IF(AND($E$17="Autofinanciamiento inicial",E$49=3),0.13,E36*$E23))</f>
        <v>0.2</v>
      </c>
      <c r="F43" s="279"/>
      <c r="G43" s="301">
        <f>IF(AND($E$17="Autofinanciamiento inicial",G$49=2),0.2,IF(AND($E$17="Autofinanciamiento inicial",G$49=3),0.13,G36*$E23))</f>
        <v>0.13</v>
      </c>
      <c r="H43" s="279"/>
      <c r="I43" s="301">
        <f>IF(AND($E$17="Autofinanciamiento inicial",I$49=2),0.2,IF(AND($E$17="Autofinanciamiento inicial",I$49=3),0.13,I36*$E23))</f>
        <v>0.13</v>
      </c>
      <c r="J43" s="279"/>
      <c r="K43" s="301">
        <f>IF(AND($E$17="Autofinanciamiento inicial",K$49=2),0.2,IF(AND($E$17="Autofinanciamiento inicial",K$49=3),0.13,K36*$E23))</f>
        <v>0.13</v>
      </c>
      <c r="L43" s="146"/>
      <c r="M43" s="145"/>
      <c r="N43" s="144"/>
    </row>
    <row r="44" spans="2:14" ht="24.9" customHeight="1" x14ac:dyDescent="0.3">
      <c r="B44" s="60"/>
      <c r="C44" s="60"/>
      <c r="D44" s="291">
        <f>D24</f>
        <v>2027</v>
      </c>
      <c r="E44" s="301">
        <f>IF(AND($E$17="Autofinanciamiento inicial",E$49=2),0.2,IF(AND($E$17="Autofinanciamiento inicial",E$49=3),0.13,E37*$E24))</f>
        <v>0.2</v>
      </c>
      <c r="F44" s="279"/>
      <c r="G44" s="413">
        <f>IF(AND($E$17="Autofinanciamiento inicial",G$49=2),0.2,IF(AND($E$17="Autofinanciamiento inicial",G$49=3),0.13,G37*$E24))</f>
        <v>0.13</v>
      </c>
      <c r="H44" s="279"/>
      <c r="I44" s="301">
        <f>IF(AND($E$17="Autofinanciamiento inicial",I$49=2),0.2,IF(AND($E$17="Autofinanciamiento inicial",I$49=3),0.13,I37*$E24))</f>
        <v>0.13</v>
      </c>
      <c r="J44" s="279"/>
      <c r="K44" s="301">
        <f>IF(AND($E$17="Autofinanciamiento inicial",K$49=2),0.2,IF(AND($E$17="Autofinanciamiento inicial",K$49=3),0.13,K37*$E24))</f>
        <v>0.13</v>
      </c>
      <c r="L44" s="146"/>
      <c r="M44" s="145"/>
      <c r="N44" s="144"/>
    </row>
    <row r="45" spans="2:14" ht="24.9" customHeight="1" x14ac:dyDescent="0.3">
      <c r="B45" s="60"/>
      <c r="C45" s="60"/>
      <c r="D45" s="291">
        <f>D25</f>
        <v>2028</v>
      </c>
      <c r="E45" s="301">
        <f>IF(AND($E$17="Autofinanciamiento inicial",E$49=2),0.2,IF(AND($E$17="Autofinanciamiento inicial",E$49=3),0.13,E38*$E25))</f>
        <v>0.2</v>
      </c>
      <c r="F45" s="279"/>
      <c r="G45" s="413">
        <f>IF(AND($E$17="Autofinanciamiento inicial",G$49=2),0.2,IF(AND($E$17="Autofinanciamiento inicial",G$49=3),0.13,G38*$E25))</f>
        <v>0.13</v>
      </c>
      <c r="H45" s="279"/>
      <c r="I45" s="301">
        <f>IF(AND($E$17="Autofinanciamiento inicial",I$49=2),0.2,IF(AND($E$17="Autofinanciamiento inicial",I$49=3),0.13,I38*$E25))</f>
        <v>0.13</v>
      </c>
      <c r="J45" s="279"/>
      <c r="K45" s="301">
        <f>IF(AND($E$17="Autofinanciamiento inicial",K$49=2),0.2,IF(AND($E$17="Autofinanciamiento inicial",K$49=3),0.13,K38*$E25))</f>
        <v>0.13</v>
      </c>
      <c r="L45" s="146"/>
      <c r="M45" s="145"/>
      <c r="N45" s="144"/>
    </row>
    <row r="46" spans="2:14" ht="24.9" customHeight="1" x14ac:dyDescent="0.3">
      <c r="B46" s="60"/>
      <c r="C46" s="60"/>
      <c r="D46" s="291">
        <f>D26</f>
        <v>2029</v>
      </c>
      <c r="E46" s="301">
        <f>IF(AND($E$17="Autofinanciamiento inicial",E$49=2),0.2,IF(AND($E$17="Autofinanciamiento inicial",E$49=3),0.13,E39*$E26))</f>
        <v>0.2</v>
      </c>
      <c r="F46" s="279"/>
      <c r="G46" s="413">
        <f>IF(AND($E$17="Autofinanciamiento inicial",G$49=2),0.2,IF(AND($E$17="Autofinanciamiento inicial",G$49=3),0.13,G39*$E26))</f>
        <v>0.13</v>
      </c>
      <c r="H46" s="279"/>
      <c r="I46" s="301">
        <f>IF(AND($E$17="Autofinanciamiento inicial",I$49=2),0.2,IF(AND($E$17="Autofinanciamiento inicial",I$49=3),0.13,I39*$E26))</f>
        <v>0.13</v>
      </c>
      <c r="J46" s="279"/>
      <c r="K46" s="301">
        <f>IF(AND($E$17="Autofinanciamiento inicial",K$49=2),0.2,IF(AND($E$17="Autofinanciamiento inicial",K$49=3),0.13,K39*$E26))</f>
        <v>0.13</v>
      </c>
      <c r="L46" s="146"/>
      <c r="M46" s="145"/>
      <c r="N46" s="144"/>
    </row>
    <row r="47" spans="2:14" ht="24.9" customHeight="1" x14ac:dyDescent="0.3">
      <c r="B47" s="60"/>
      <c r="C47" s="60"/>
      <c r="D47" s="291">
        <f>D27</f>
        <v>2030</v>
      </c>
      <c r="E47" s="301">
        <f>IF(AND($E$17="Autofinanciamiento inicial",E$49=2),0.2,IF(AND($E$17="Autofinanciamiento inicial",E$49=3),0.13,E40*$E27))</f>
        <v>0.2</v>
      </c>
      <c r="F47" s="279"/>
      <c r="G47" s="413">
        <f>IF(AND($E$17="Autofinanciamiento inicial",G$49=2),0.2,IF(AND($E$17="Autofinanciamiento inicial",G$49=3),0.13,G40*$E27))</f>
        <v>0.13</v>
      </c>
      <c r="H47" s="279"/>
      <c r="I47" s="301">
        <f>IF(AND($E$17="Autofinanciamiento inicial",I$49=2),0.2,IF(AND($E$17="Autofinanciamiento inicial",I$49=3),0.13,I40*$E27))</f>
        <v>0.13</v>
      </c>
      <c r="J47" s="279"/>
      <c r="K47" s="301">
        <f>IF(AND($E$17="Autofinanciamiento inicial",K$49=2),0.2,IF(AND($E$17="Autofinanciamiento inicial",K$49=3),0.13,K40*$E27))</f>
        <v>0.13</v>
      </c>
      <c r="L47" s="146"/>
      <c r="M47" s="145"/>
      <c r="N47" s="144"/>
    </row>
    <row r="48" spans="2:14" ht="8.25" customHeight="1" x14ac:dyDescent="0.3">
      <c r="B48" s="60"/>
      <c r="C48" s="60"/>
      <c r="D48" s="150"/>
      <c r="E48" s="150"/>
      <c r="F48" s="150"/>
      <c r="G48" s="150"/>
      <c r="H48" s="150"/>
      <c r="I48" s="150"/>
      <c r="J48" s="150"/>
      <c r="K48" s="150"/>
      <c r="L48" s="146"/>
      <c r="M48" s="145"/>
      <c r="N48" s="144"/>
    </row>
    <row r="49" spans="2:15" ht="39" customHeight="1" x14ac:dyDescent="0.3">
      <c r="B49" s="60"/>
      <c r="C49" s="60"/>
      <c r="D49" s="66" t="s">
        <v>44</v>
      </c>
      <c r="E49" s="278">
        <f>IFERROR(INDEX('Vaccine options'!$A$3:$D$10,MATCH(E32,'Vaccine options'!$A$3:$A$10,0),2),"-")</f>
        <v>2</v>
      </c>
      <c r="F49" s="143"/>
      <c r="G49" s="278">
        <f>IFERROR(INDEX('Vaccine options'!$A$3:$D$10,MATCH(G32,'Vaccine options'!$A$3:$A$10,0),2),"-")</f>
        <v>3</v>
      </c>
      <c r="H49" s="143"/>
      <c r="I49" s="278">
        <f>IFERROR(INDEX('Vaccine options'!$A$3:$D$10,MATCH(I32,'Vaccine options'!$A$3:$A$10,0),2),"-")</f>
        <v>3</v>
      </c>
      <c r="J49" s="143"/>
      <c r="K49" s="280">
        <f>IFERROR(INDEX('Vaccine options'!$A$3:$D$10,MATCH(K32,'Vaccine options'!$A$3:$A$10,0),2),"-")</f>
        <v>3</v>
      </c>
      <c r="L49" s="100"/>
      <c r="M49" s="99"/>
      <c r="N49" s="98"/>
    </row>
    <row r="50" spans="2:15" ht="54" customHeight="1" x14ac:dyDescent="0.3">
      <c r="B50" s="60"/>
      <c r="C50" s="60"/>
      <c r="D50" s="66" t="s">
        <v>45</v>
      </c>
      <c r="E50" s="142">
        <f>IFERROR(INDEX('Vaccine options'!$A$3:$D$10,MATCH(E32,'Vaccine options'!$A$3:$A$10,0),4),"-")</f>
        <v>11.8</v>
      </c>
      <c r="F50" s="141"/>
      <c r="G50" s="142">
        <f>IFERROR(INDEX('Vaccine options'!$A$3:$D$10,MATCH(G32,'Vaccine options'!$A$3:$A$10,0),4),"-")</f>
        <v>4.2</v>
      </c>
      <c r="H50" s="141"/>
      <c r="I50" s="142">
        <f>IFERROR(INDEX('Vaccine options'!$A$3:$D$10,MATCH(I32,'Vaccine options'!$A$3:$A$10,0),4),"-")</f>
        <v>4.2</v>
      </c>
      <c r="J50" s="141"/>
      <c r="K50" s="142">
        <f>IFERROR(INDEX('Vaccine options'!$A$3:$D$10,MATCH(K32,'Vaccine options'!$A$3:$A$10,0),4),"-")</f>
        <v>14.3</v>
      </c>
      <c r="L50" s="140"/>
      <c r="M50" s="139"/>
      <c r="N50" s="138"/>
    </row>
    <row r="51" spans="2:15" ht="39" customHeight="1" x14ac:dyDescent="0.3">
      <c r="B51" s="60"/>
      <c r="C51" s="60"/>
      <c r="D51" s="88" t="s">
        <v>46</v>
      </c>
      <c r="E51" s="137">
        <v>0.04</v>
      </c>
      <c r="F51" s="113"/>
      <c r="G51" s="136">
        <v>0.05</v>
      </c>
      <c r="H51" s="113"/>
      <c r="I51" s="135">
        <v>0.05</v>
      </c>
      <c r="J51" s="113"/>
      <c r="K51" s="135">
        <v>0.04</v>
      </c>
      <c r="L51" s="111"/>
      <c r="M51" s="110"/>
      <c r="N51" s="109"/>
    </row>
    <row r="52" spans="2:15" ht="20.100000000000001" customHeight="1" x14ac:dyDescent="0.3">
      <c r="B52" s="60"/>
      <c r="C52" s="60"/>
      <c r="D52" s="134" t="s">
        <v>47</v>
      </c>
      <c r="E52" s="133">
        <f>IFERROR(INDEX('Vaccine options'!$A$3:$D$10,MATCH(E32,'Vaccine options'!$A$3:$A$10,0),3),"-")</f>
        <v>0.04</v>
      </c>
      <c r="F52" s="131"/>
      <c r="G52" s="132">
        <f>IFERROR(INDEX('Vaccine options'!$A$3:$D$10,MATCH(G32,'Vaccine options'!$A$3:$A$10,0),3),"-")</f>
        <v>0.05</v>
      </c>
      <c r="H52" s="131"/>
      <c r="I52" s="130">
        <f>IFERROR(INDEX('Vaccine options'!$A$3:$D$10,MATCH(I32,'Vaccine options'!$A$3:$A$10,0),3),"-")</f>
        <v>0.05</v>
      </c>
      <c r="J52" s="131"/>
      <c r="K52" s="130">
        <f>IFERROR(INDEX('Vaccine options'!$A$3:$D$10,MATCH(E32,'Vaccine options'!$A$3:$A$10,0),3),"-")</f>
        <v>0.04</v>
      </c>
      <c r="L52" s="129"/>
      <c r="M52" s="110"/>
      <c r="N52" s="109"/>
      <c r="O52" s="128"/>
    </row>
    <row r="53" spans="2:15" ht="39" customHeight="1" x14ac:dyDescent="0.3">
      <c r="B53" s="60"/>
      <c r="C53" s="60"/>
      <c r="D53" s="66" t="s">
        <v>48</v>
      </c>
      <c r="E53" s="126">
        <f>(1/(1-E51))</f>
        <v>1.0416666666666667</v>
      </c>
      <c r="F53" s="127"/>
      <c r="G53" s="126">
        <f>(1/(1-G51))</f>
        <v>1.0526315789473684</v>
      </c>
      <c r="H53" s="127"/>
      <c r="I53" s="126">
        <f>(1/(1-I51))</f>
        <v>1.0526315789473684</v>
      </c>
      <c r="J53" s="127"/>
      <c r="K53" s="126">
        <f>(1/(1-K51))</f>
        <v>1.0416666666666667</v>
      </c>
      <c r="L53" s="125"/>
      <c r="M53" s="124"/>
      <c r="N53" s="123"/>
    </row>
    <row r="54" spans="2:15" ht="39" customHeight="1" x14ac:dyDescent="0.3">
      <c r="B54" s="60"/>
      <c r="C54" s="60"/>
      <c r="D54" s="66" t="s">
        <v>49</v>
      </c>
      <c r="E54" s="122">
        <v>0.05</v>
      </c>
      <c r="F54" s="120"/>
      <c r="G54" s="121">
        <v>0.05</v>
      </c>
      <c r="H54" s="120"/>
      <c r="I54" s="119">
        <v>0.05</v>
      </c>
      <c r="J54" s="120"/>
      <c r="K54" s="119">
        <v>0.05</v>
      </c>
      <c r="L54" s="118"/>
      <c r="M54" s="117"/>
      <c r="N54" s="116"/>
    </row>
    <row r="55" spans="2:15" ht="39" customHeight="1" x14ac:dyDescent="0.3">
      <c r="B55" s="60"/>
      <c r="C55" s="60"/>
      <c r="D55" s="66" t="s">
        <v>50</v>
      </c>
      <c r="E55" s="115">
        <v>7.0000000000000007E-2</v>
      </c>
      <c r="F55" s="113"/>
      <c r="G55" s="114">
        <v>7.0000000000000007E-2</v>
      </c>
      <c r="H55" s="113"/>
      <c r="I55" s="112">
        <v>7.0000000000000007E-2</v>
      </c>
      <c r="J55" s="113"/>
      <c r="K55" s="112">
        <v>7.0000000000000007E-2</v>
      </c>
      <c r="L55" s="111"/>
      <c r="M55" s="110"/>
      <c r="N55" s="109"/>
    </row>
    <row r="56" spans="2:15" ht="39" customHeight="1" x14ac:dyDescent="0.3">
      <c r="B56" s="60"/>
      <c r="C56" s="60"/>
      <c r="D56" s="66" t="s">
        <v>51</v>
      </c>
      <c r="E56" s="115">
        <v>0.25</v>
      </c>
      <c r="F56" s="113"/>
      <c r="G56" s="114">
        <v>0.25</v>
      </c>
      <c r="H56" s="113"/>
      <c r="I56" s="112">
        <v>0.25</v>
      </c>
      <c r="J56" s="113"/>
      <c r="K56" s="112">
        <v>0.25</v>
      </c>
      <c r="L56" s="111"/>
      <c r="M56" s="110"/>
      <c r="N56" s="109"/>
    </row>
    <row r="57" spans="2:15" ht="39" customHeight="1" x14ac:dyDescent="0.3">
      <c r="B57" s="60"/>
      <c r="C57" s="60"/>
      <c r="D57" s="66" t="s">
        <v>52</v>
      </c>
      <c r="E57" s="302">
        <v>0.8</v>
      </c>
      <c r="F57" s="108"/>
      <c r="G57" s="303">
        <v>0.8</v>
      </c>
      <c r="H57" s="108"/>
      <c r="I57" s="304">
        <v>0.8</v>
      </c>
      <c r="J57" s="108"/>
      <c r="K57" s="304">
        <v>0.8</v>
      </c>
      <c r="L57" s="107"/>
      <c r="M57" s="106"/>
      <c r="N57" s="105"/>
    </row>
    <row r="58" spans="2:15" ht="39" customHeight="1" x14ac:dyDescent="0.3">
      <c r="B58" s="60"/>
      <c r="C58" s="60"/>
      <c r="D58" s="66" t="s">
        <v>53</v>
      </c>
      <c r="E58" s="104">
        <v>100</v>
      </c>
      <c r="F58" s="102"/>
      <c r="G58" s="103">
        <v>100</v>
      </c>
      <c r="H58" s="102"/>
      <c r="I58" s="101">
        <v>100</v>
      </c>
      <c r="J58" s="102"/>
      <c r="K58" s="101">
        <v>100</v>
      </c>
      <c r="L58" s="100"/>
      <c r="M58" s="99"/>
      <c r="N58" s="98"/>
    </row>
    <row r="59" spans="2:15" ht="8.1" customHeight="1" x14ac:dyDescent="0.3">
      <c r="B59" s="60"/>
      <c r="C59" s="60"/>
      <c r="D59" s="97"/>
      <c r="E59" s="60"/>
      <c r="F59" s="60"/>
      <c r="G59" s="60"/>
      <c r="H59" s="60"/>
      <c r="I59" s="60"/>
      <c r="J59" s="60"/>
      <c r="K59" s="97"/>
      <c r="L59" s="97"/>
      <c r="M59" s="60"/>
    </row>
    <row r="60" spans="2:15" ht="45" customHeight="1" x14ac:dyDescent="0.3">
      <c r="B60" s="60"/>
      <c r="C60" s="60"/>
      <c r="D60" s="368" t="s">
        <v>98</v>
      </c>
      <c r="E60" s="368"/>
      <c r="F60" s="368"/>
      <c r="G60" s="368"/>
      <c r="H60" s="368"/>
      <c r="I60" s="368"/>
      <c r="J60" s="368"/>
      <c r="K60" s="368"/>
      <c r="L60" s="96"/>
      <c r="M60" s="95"/>
      <c r="N60" s="93"/>
    </row>
    <row r="61" spans="2:15" ht="8.1" customHeight="1" x14ac:dyDescent="0.3">
      <c r="B61" s="60"/>
      <c r="C61" s="60"/>
      <c r="D61" s="94"/>
      <c r="E61" s="94"/>
      <c r="F61" s="94"/>
      <c r="G61" s="94"/>
      <c r="H61" s="94"/>
      <c r="I61" s="60"/>
      <c r="J61" s="60"/>
      <c r="K61" s="94"/>
      <c r="L61" s="94"/>
      <c r="M61" s="94"/>
      <c r="N61" s="93"/>
    </row>
    <row r="62" spans="2:15" ht="65.25" customHeight="1" x14ac:dyDescent="0.3">
      <c r="B62" s="60"/>
      <c r="C62" s="60"/>
      <c r="D62" s="66" t="s">
        <v>54</v>
      </c>
      <c r="E62" s="305">
        <v>0</v>
      </c>
      <c r="F62" s="92"/>
      <c r="G62" s="306">
        <v>0</v>
      </c>
      <c r="H62" s="92"/>
      <c r="I62" s="305">
        <v>0</v>
      </c>
      <c r="J62" s="92"/>
      <c r="K62" s="306">
        <v>0</v>
      </c>
      <c r="L62" s="91"/>
      <c r="M62" s="90"/>
      <c r="N62" s="89"/>
    </row>
    <row r="63" spans="2:15" ht="40.5" customHeight="1" x14ac:dyDescent="0.3">
      <c r="B63" s="60"/>
      <c r="C63" s="60"/>
      <c r="D63" s="88" t="s">
        <v>16</v>
      </c>
      <c r="E63" s="383">
        <v>1</v>
      </c>
      <c r="F63" s="86"/>
      <c r="G63" s="383">
        <v>1</v>
      </c>
      <c r="H63" s="86"/>
      <c r="I63" s="383">
        <v>1</v>
      </c>
      <c r="J63" s="86"/>
      <c r="K63" s="383">
        <v>1</v>
      </c>
      <c r="L63" s="85"/>
      <c r="M63" s="84"/>
      <c r="N63" s="83"/>
    </row>
    <row r="64" spans="2:15" ht="20.25" customHeight="1" x14ac:dyDescent="0.3">
      <c r="B64" s="60"/>
      <c r="C64" s="60"/>
      <c r="D64" s="87" t="s">
        <v>55</v>
      </c>
      <c r="E64" s="384"/>
      <c r="F64" s="86"/>
      <c r="G64" s="384"/>
      <c r="H64" s="86"/>
      <c r="I64" s="384"/>
      <c r="J64" s="86"/>
      <c r="K64" s="384"/>
      <c r="L64" s="85"/>
      <c r="M64" s="84"/>
      <c r="N64" s="83"/>
    </row>
    <row r="65" spans="2:14" ht="61.8" customHeight="1" x14ac:dyDescent="0.3">
      <c r="B65" s="60"/>
      <c r="C65" s="60"/>
      <c r="D65" s="60"/>
      <c r="E65" s="312" t="str">
        <f>IF(OR(E63&gt;1.38,E63&lt;0.48),"¡CONFIRMAR VALOR!
 Según el IDCC, este costo se encuentra entre USD 0,48 y USD 1,38","")</f>
        <v/>
      </c>
      <c r="F65" s="80"/>
      <c r="G65" s="312" t="str">
        <f>IF(OR(G63&gt;1.38,G63&lt;0.48),"¡CONFIRMAR VALOR!
 Según el IDCC, este costo se encuentra entre USD 0,48 y USD 1,38","")</f>
        <v/>
      </c>
      <c r="H65" s="80"/>
      <c r="I65" s="312" t="str">
        <f>IF(OR(I63&gt;1.38,I63&lt;0.48),"¡CONFIRMAR VALOR!
 Según el IDCC, este costo se encuentra entre USD 0,48 y USD 1,38","")</f>
        <v/>
      </c>
      <c r="J65" s="80"/>
      <c r="K65" s="312" t="str">
        <f>IF(OR(K63&gt;1.38,K63&lt;0.48),"¡CONFIRMAR VALOR!
 Según el IDCC, este costo se encuentra entre USD 0,48 y USD 1,38","")</f>
        <v/>
      </c>
      <c r="L65" s="60"/>
      <c r="M65" s="80"/>
      <c r="N65" s="76"/>
    </row>
    <row r="66" spans="2:14" ht="60" customHeight="1" x14ac:dyDescent="0.3">
      <c r="B66" s="60"/>
      <c r="C66" s="82"/>
      <c r="D66" s="382" t="s">
        <v>99</v>
      </c>
      <c r="E66" s="382"/>
      <c r="F66" s="382"/>
      <c r="G66" s="382"/>
      <c r="H66" s="382"/>
      <c r="I66" s="382"/>
      <c r="J66" s="382"/>
      <c r="K66" s="382"/>
      <c r="L66" s="81"/>
      <c r="M66" s="80"/>
      <c r="N66" s="76"/>
    </row>
    <row r="67" spans="2:14" ht="32.1" customHeight="1" x14ac:dyDescent="0.4">
      <c r="B67" s="60"/>
      <c r="C67" s="79"/>
      <c r="D67" s="391" t="s">
        <v>56</v>
      </c>
      <c r="E67" s="391"/>
      <c r="F67" s="391"/>
      <c r="G67" s="391"/>
      <c r="H67" s="391"/>
      <c r="I67" s="391"/>
      <c r="J67" s="391"/>
      <c r="K67" s="391"/>
      <c r="L67" s="78"/>
      <c r="M67" s="77"/>
      <c r="N67" s="76"/>
    </row>
    <row r="68" spans="2:14" ht="8.1" hidden="1" customHeight="1" outlineLevel="1" x14ac:dyDescent="0.3">
      <c r="B68" s="60"/>
      <c r="C68" s="60"/>
      <c r="D68" s="74"/>
      <c r="E68" s="73"/>
      <c r="F68" s="73"/>
      <c r="G68" s="75"/>
      <c r="H68" s="73"/>
      <c r="I68" s="60"/>
      <c r="J68" s="60"/>
      <c r="K68" s="74"/>
      <c r="L68" s="74"/>
      <c r="M68" s="73"/>
      <c r="N68" s="72"/>
    </row>
    <row r="69" spans="2:14" ht="24" hidden="1" customHeight="1" outlineLevel="1" x14ac:dyDescent="0.3">
      <c r="B69" s="60"/>
      <c r="C69" s="60"/>
      <c r="D69" s="379" t="s">
        <v>57</v>
      </c>
      <c r="E69" s="380"/>
      <c r="F69" s="380"/>
      <c r="G69" s="380"/>
      <c r="H69" s="380"/>
      <c r="I69" s="380"/>
      <c r="J69" s="380"/>
      <c r="K69" s="381"/>
      <c r="L69" s="71"/>
      <c r="M69" s="73"/>
      <c r="N69" s="72"/>
    </row>
    <row r="70" spans="2:14" ht="8.1" hidden="1" customHeight="1" outlineLevel="1" x14ac:dyDescent="0.3">
      <c r="B70" s="60"/>
      <c r="C70" s="60"/>
      <c r="D70" s="74"/>
      <c r="E70" s="73"/>
      <c r="F70" s="73"/>
      <c r="G70" s="75"/>
      <c r="H70" s="73"/>
      <c r="I70" s="60"/>
      <c r="J70" s="60"/>
      <c r="K70" s="74"/>
      <c r="L70" s="74"/>
      <c r="M70" s="73"/>
      <c r="N70" s="72"/>
    </row>
    <row r="71" spans="2:14" ht="50.4" hidden="1" customHeight="1" outlineLevel="1" x14ac:dyDescent="0.3">
      <c r="B71" s="60"/>
      <c r="C71" s="60"/>
      <c r="D71" s="66" t="s">
        <v>58</v>
      </c>
      <c r="E71" s="65">
        <v>0.2</v>
      </c>
      <c r="F71" s="64"/>
      <c r="G71" s="63">
        <v>0.3</v>
      </c>
      <c r="H71" s="64"/>
      <c r="I71" s="63">
        <v>0.25</v>
      </c>
      <c r="J71" s="64"/>
      <c r="K71" s="63">
        <v>0.25</v>
      </c>
      <c r="L71" s="62"/>
      <c r="M71" s="60"/>
    </row>
    <row r="72" spans="2:14" ht="8.1" hidden="1" customHeight="1" outlineLevel="1" x14ac:dyDescent="0.3">
      <c r="B72" s="60"/>
      <c r="C72" s="60"/>
      <c r="D72" s="60"/>
      <c r="E72" s="60"/>
      <c r="F72" s="60"/>
      <c r="G72" s="60"/>
      <c r="H72" s="60"/>
      <c r="I72" s="60"/>
      <c r="J72" s="60"/>
      <c r="K72" s="60"/>
      <c r="L72" s="60"/>
      <c r="M72" s="60"/>
    </row>
    <row r="73" spans="2:14" ht="24" hidden="1" customHeight="1" outlineLevel="1" x14ac:dyDescent="0.3">
      <c r="B73" s="60"/>
      <c r="C73" s="60"/>
      <c r="D73" s="379" t="s">
        <v>59</v>
      </c>
      <c r="E73" s="380"/>
      <c r="F73" s="380"/>
      <c r="G73" s="380"/>
      <c r="H73" s="380"/>
      <c r="I73" s="380"/>
      <c r="J73" s="380"/>
      <c r="K73" s="381"/>
      <c r="L73" s="71"/>
      <c r="M73" s="60"/>
    </row>
    <row r="74" spans="2:14" ht="8.1" hidden="1" customHeight="1" outlineLevel="1" x14ac:dyDescent="0.3">
      <c r="B74" s="60"/>
      <c r="C74" s="60"/>
      <c r="D74" s="60"/>
      <c r="E74" s="60"/>
      <c r="F74" s="60"/>
      <c r="G74" s="60"/>
      <c r="H74" s="60"/>
      <c r="I74" s="60"/>
      <c r="J74" s="60"/>
      <c r="K74" s="60"/>
      <c r="L74" s="60"/>
      <c r="M74" s="60"/>
    </row>
    <row r="75" spans="2:14" ht="50.4" hidden="1" customHeight="1" outlineLevel="1" x14ac:dyDescent="0.3">
      <c r="B75" s="60"/>
      <c r="C75" s="60"/>
      <c r="D75" s="66" t="s">
        <v>58</v>
      </c>
      <c r="E75" s="65">
        <v>0.2</v>
      </c>
      <c r="F75" s="64"/>
      <c r="G75" s="63">
        <v>0.3</v>
      </c>
      <c r="H75" s="64"/>
      <c r="I75" s="63">
        <v>0.5</v>
      </c>
      <c r="J75" s="64"/>
      <c r="K75" s="63">
        <v>0</v>
      </c>
      <c r="L75" s="62"/>
      <c r="M75" s="60"/>
    </row>
    <row r="76" spans="2:14" ht="8.1" hidden="1" customHeight="1" outlineLevel="1" x14ac:dyDescent="0.3">
      <c r="B76" s="60"/>
      <c r="C76" s="60"/>
      <c r="D76" s="70"/>
      <c r="E76" s="69"/>
      <c r="F76" s="68"/>
      <c r="G76" s="67"/>
      <c r="H76" s="68"/>
      <c r="I76" s="67"/>
      <c r="J76" s="68"/>
      <c r="K76" s="67"/>
      <c r="L76" s="67"/>
      <c r="M76" s="60"/>
    </row>
    <row r="77" spans="2:14" ht="24" hidden="1" customHeight="1" outlineLevel="1" x14ac:dyDescent="0.3">
      <c r="B77" s="60"/>
      <c r="C77" s="60"/>
      <c r="D77" s="379" t="s">
        <v>60</v>
      </c>
      <c r="E77" s="380"/>
      <c r="F77" s="380"/>
      <c r="G77" s="380"/>
      <c r="H77" s="380"/>
      <c r="I77" s="380"/>
      <c r="J77" s="380"/>
      <c r="K77" s="381"/>
      <c r="L77" s="71"/>
      <c r="M77" s="60"/>
    </row>
    <row r="78" spans="2:14" ht="8.1" hidden="1" customHeight="1" outlineLevel="1" x14ac:dyDescent="0.3">
      <c r="B78" s="60"/>
      <c r="C78" s="60"/>
      <c r="D78" s="70"/>
      <c r="E78" s="69"/>
      <c r="F78" s="68"/>
      <c r="G78" s="67"/>
      <c r="H78" s="68"/>
      <c r="I78" s="67"/>
      <c r="J78" s="68"/>
      <c r="K78" s="67"/>
      <c r="L78" s="67"/>
      <c r="M78" s="60"/>
    </row>
    <row r="79" spans="2:14" ht="50.4" hidden="1" customHeight="1" outlineLevel="1" x14ac:dyDescent="0.3">
      <c r="B79" s="60"/>
      <c r="C79" s="60"/>
      <c r="D79" s="66" t="s">
        <v>58</v>
      </c>
      <c r="E79" s="65">
        <v>0.5</v>
      </c>
      <c r="F79" s="64"/>
      <c r="G79" s="63">
        <v>0</v>
      </c>
      <c r="H79" s="64"/>
      <c r="I79" s="63">
        <v>0.5</v>
      </c>
      <c r="J79" s="64"/>
      <c r="K79" s="63">
        <v>0</v>
      </c>
      <c r="L79" s="62"/>
      <c r="M79" s="60"/>
    </row>
    <row r="80" spans="2:14" ht="28.35" hidden="1" customHeight="1" outlineLevel="1" x14ac:dyDescent="0.3">
      <c r="B80" s="60"/>
      <c r="C80" s="60"/>
      <c r="D80" s="378" t="s">
        <v>61</v>
      </c>
      <c r="E80" s="378"/>
      <c r="F80" s="378"/>
      <c r="G80" s="378"/>
      <c r="H80" s="378"/>
      <c r="I80" s="378"/>
      <c r="J80" s="378"/>
      <c r="K80" s="378"/>
      <c r="L80" s="61"/>
      <c r="M80" s="60"/>
    </row>
    <row r="81" spans="4:12" ht="14.4" customHeight="1" collapsed="1" x14ac:dyDescent="0.3">
      <c r="D81" s="59"/>
      <c r="E81" s="58"/>
      <c r="F81" s="57"/>
      <c r="G81" s="56"/>
      <c r="H81" s="57"/>
      <c r="I81" s="56"/>
      <c r="J81" s="57"/>
      <c r="K81" s="56"/>
      <c r="L81" s="56"/>
    </row>
    <row r="82" spans="4:12" ht="20.100000000000001" customHeight="1" x14ac:dyDescent="0.3"/>
    <row r="83" spans="4:12" ht="20.100000000000001" customHeight="1" x14ac:dyDescent="0.3"/>
    <row r="84" spans="4:12" ht="20.100000000000001" customHeight="1" x14ac:dyDescent="0.3"/>
    <row r="85" spans="4:12" ht="20.100000000000001" customHeight="1" x14ac:dyDescent="0.3"/>
    <row r="86" spans="4:12" ht="20.100000000000001" customHeight="1" x14ac:dyDescent="0.3"/>
    <row r="87" spans="4:12" ht="20.100000000000001" customHeight="1" x14ac:dyDescent="0.3"/>
    <row r="88" spans="4:12" ht="20.100000000000001" customHeight="1" x14ac:dyDescent="0.3"/>
    <row r="89" spans="4:12" ht="20.100000000000001" customHeight="1" x14ac:dyDescent="0.3"/>
    <row r="90" spans="4:12" ht="20.100000000000001" customHeight="1" x14ac:dyDescent="0.3"/>
    <row r="91" spans="4:12" ht="20.100000000000001" customHeight="1" x14ac:dyDescent="0.3"/>
    <row r="92" spans="4:12" ht="29.1" customHeight="1" x14ac:dyDescent="0.3"/>
    <row r="93" spans="4:12" ht="20.100000000000001" customHeight="1" x14ac:dyDescent="0.3"/>
    <row r="94" spans="4:12" ht="20.100000000000001" customHeight="1" x14ac:dyDescent="0.3"/>
    <row r="95" spans="4:12" ht="20.100000000000001" customHeight="1" x14ac:dyDescent="0.3"/>
    <row r="96" spans="4:12" ht="20.100000000000001" customHeight="1" x14ac:dyDescent="0.3"/>
    <row r="97" ht="20.100000000000001" customHeight="1" x14ac:dyDescent="0.3"/>
    <row r="98" ht="20.100000000000001" customHeight="1" x14ac:dyDescent="0.3"/>
    <row r="99" ht="20.100000000000001" customHeight="1" x14ac:dyDescent="0.3"/>
    <row r="100" ht="20.100000000000001" customHeight="1" x14ac:dyDescent="0.3"/>
    <row r="101" ht="20.100000000000001" customHeight="1" x14ac:dyDescent="0.3"/>
    <row r="102" ht="20.100000000000001" customHeight="1" x14ac:dyDescent="0.3"/>
    <row r="103" ht="18" customHeight="1" x14ac:dyDescent="0.3"/>
    <row r="104" ht="25.35" customHeight="1" x14ac:dyDescent="0.3"/>
    <row r="105" ht="18" customHeight="1" x14ac:dyDescent="0.3"/>
    <row r="107" ht="20.100000000000001" customHeight="1" x14ac:dyDescent="0.3"/>
    <row r="108" ht="20.100000000000001" customHeight="1" x14ac:dyDescent="0.3"/>
    <row r="109" ht="20.100000000000001" customHeight="1" x14ac:dyDescent="0.3"/>
    <row r="110" ht="20.100000000000001" customHeight="1" x14ac:dyDescent="0.3"/>
    <row r="111" ht="20.100000000000001" customHeight="1" x14ac:dyDescent="0.3"/>
    <row r="112"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8" ht="20.100000000000001" customHeight="1" x14ac:dyDescent="0.3"/>
    <row r="119"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9" ht="25.35" customHeight="1" x14ac:dyDescent="0.3"/>
    <row r="131" ht="36" customHeight="1" x14ac:dyDescent="0.3"/>
    <row r="132" ht="20.100000000000001" customHeight="1" x14ac:dyDescent="0.3"/>
    <row r="133" ht="20.100000000000001"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3" ht="20.100000000000001" customHeight="1" x14ac:dyDescent="0.3"/>
    <row r="144"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sheetData>
  <sheetProtection algorithmName="SHA-512" hashValue="Rb1J48sb4Gpv7SO+IYsuvaIl+qEGq11ASNIRGdeBqhMnrPsllaWiOBwI2geM0mcM9VTFDP66uF+DLJ3ubUEvIg==" saltValue="beYgNyL52dqifDiBTbLhfQ==" spinCount="100000" sheet="1" formatRows="0"/>
  <mergeCells count="28">
    <mergeCell ref="G22:L27"/>
    <mergeCell ref="D69:K69"/>
    <mergeCell ref="D73:K73"/>
    <mergeCell ref="D60:K60"/>
    <mergeCell ref="D67:K67"/>
    <mergeCell ref="D80:K80"/>
    <mergeCell ref="D77:K77"/>
    <mergeCell ref="D66:K66"/>
    <mergeCell ref="E63:E64"/>
    <mergeCell ref="G63:G64"/>
    <mergeCell ref="I63:I64"/>
    <mergeCell ref="K63:K64"/>
    <mergeCell ref="B2:M2"/>
    <mergeCell ref="D4:K4"/>
    <mergeCell ref="D6:K6"/>
    <mergeCell ref="D29:K29"/>
    <mergeCell ref="G8:K8"/>
    <mergeCell ref="D21:E21"/>
    <mergeCell ref="G17:K17"/>
    <mergeCell ref="G21:K21"/>
    <mergeCell ref="G9:K9"/>
    <mergeCell ref="G10:K10"/>
    <mergeCell ref="G11:K11"/>
    <mergeCell ref="G12:K12"/>
    <mergeCell ref="G13:K13"/>
    <mergeCell ref="D15:K15"/>
    <mergeCell ref="G18:K18"/>
    <mergeCell ref="G19:K19"/>
  </mergeCells>
  <hyperlinks>
    <hyperlink ref="D64" r:id="rId1" xr:uid="{ADAC4FE8-4F70-426A-99A6-F84A3D8EAE52}"/>
  </hyperlinks>
  <printOptions horizontalCentered="1" verticalCentered="1"/>
  <pageMargins left="0.25" right="0.25" top="0.75" bottom="0.75" header="0.3" footer="0.3"/>
  <pageSetup scale="70" orientation="landscape" r:id="rId2"/>
  <rowBreaks count="4" manualBreakCount="4">
    <brk id="28" min="2" max="12" man="1"/>
    <brk id="48" min="2" max="12" man="1"/>
    <brk id="64" min="2" max="11" man="1"/>
    <brk id="130"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8CFB619-553C-486A-94E5-B553B86BAF0D}">
          <x14:formula1>
            <xm:f>'Vaccine options'!$B$14:$B$34</xm:f>
          </x14:formula1>
          <xm:sqref>E71 G71 I71 K71 E75 G75 I75 K75 E79 G79 I79 K79</xm:sqref>
        </x14:dataValidation>
        <x14:dataValidation type="list" allowBlank="1" showInputMessage="1" showErrorMessage="1" xr:uid="{51D3A0CC-BFB7-4EF3-8967-6C16139CEA34}">
          <x14:formula1>
            <xm:f>'Vaccine options'!$A$3:$A$10</xm:f>
          </x14:formula1>
          <xm:sqref>E32 K32 I32 G32</xm:sqref>
        </x14:dataValidation>
        <x14:dataValidation type="list" allowBlank="1" showInputMessage="1" showErrorMessage="1" xr:uid="{B94E87D1-260C-4D54-888F-536D732B7D2D}">
          <x14:formula1>
            <xm:f>'Vaccine options'!$A$12:$A$14</xm:f>
          </x14:formula1>
          <xm:sqref>E17</xm:sqref>
        </x14:dataValidation>
        <x14:dataValidation type="list" allowBlank="1" showInputMessage="1" showErrorMessage="1" xr:uid="{5069BC37-DFF3-4446-99BC-6E6825C1702B}">
          <x14:formula1>
            <xm:f>'Vaccine options'!$B$11:$B$12</xm:f>
          </x14:formula1>
          <xm:sqref>E18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zoomScaleNormal="100" workbookViewId="0"/>
  </sheetViews>
  <sheetFormatPr defaultColWidth="8.88671875" defaultRowHeight="13.8" outlineLevelRow="1" x14ac:dyDescent="0.25"/>
  <cols>
    <col min="1" max="1" width="1.88671875" style="192" customWidth="1"/>
    <col min="2" max="2" width="5.109375" style="192" customWidth="1"/>
    <col min="3" max="3" width="22.6640625" style="192" customWidth="1"/>
    <col min="4" max="4" width="12.88671875" style="192" customWidth="1"/>
    <col min="5" max="5" width="2.44140625" style="192" customWidth="1"/>
    <col min="6" max="6" width="20.44140625" style="192" customWidth="1"/>
    <col min="7" max="7" width="7" style="192" customWidth="1"/>
    <col min="8" max="8" width="20.44140625" style="192" customWidth="1"/>
    <col min="9" max="9" width="6.88671875" style="192" customWidth="1"/>
    <col min="10" max="10" width="20.44140625" style="192" customWidth="1"/>
    <col min="11" max="11" width="6.88671875" style="192" customWidth="1"/>
    <col min="12" max="12" width="20.44140625" style="192" customWidth="1"/>
    <col min="13" max="13" width="8.88671875" style="192" bestFit="1" customWidth="1"/>
    <col min="14" max="16384" width="8.88671875" style="192"/>
  </cols>
  <sheetData>
    <row r="1" spans="2:15" ht="8.1" customHeight="1" x14ac:dyDescent="0.25">
      <c r="B1" s="292"/>
      <c r="C1" s="292"/>
      <c r="D1" s="292"/>
      <c r="E1" s="292"/>
      <c r="F1" s="292"/>
      <c r="G1" s="292"/>
      <c r="H1" s="292"/>
      <c r="I1" s="292"/>
      <c r="J1" s="292"/>
      <c r="K1" s="292"/>
      <c r="L1" s="292"/>
      <c r="M1" s="292"/>
    </row>
    <row r="2" spans="2:15" ht="18.899999999999999" customHeight="1" x14ac:dyDescent="0.25">
      <c r="B2" s="366" t="s">
        <v>22</v>
      </c>
      <c r="C2" s="366"/>
      <c r="D2" s="366"/>
      <c r="E2" s="366"/>
      <c r="F2" s="366"/>
      <c r="G2" s="366"/>
      <c r="H2" s="366"/>
      <c r="I2" s="366"/>
      <c r="J2" s="366"/>
      <c r="K2" s="366"/>
      <c r="L2" s="366"/>
      <c r="M2" s="366"/>
    </row>
    <row r="3" spans="2:15" ht="8.1" customHeight="1" x14ac:dyDescent="0.25">
      <c r="B3" s="240"/>
      <c r="C3" s="395"/>
      <c r="D3" s="395"/>
      <c r="E3" s="395"/>
      <c r="F3" s="395"/>
      <c r="G3" s="395"/>
      <c r="H3" s="395"/>
      <c r="I3" s="395"/>
      <c r="J3" s="395"/>
      <c r="K3" s="395"/>
      <c r="L3" s="395"/>
      <c r="M3" s="395"/>
    </row>
    <row r="4" spans="2:15" ht="60" customHeight="1" x14ac:dyDescent="0.25">
      <c r="B4" s="240"/>
      <c r="C4" s="399" t="s">
        <v>62</v>
      </c>
      <c r="D4" s="399"/>
      <c r="E4" s="399"/>
      <c r="F4" s="399"/>
      <c r="G4" s="399"/>
      <c r="H4" s="399"/>
      <c r="I4" s="399"/>
      <c r="J4" s="399"/>
      <c r="K4" s="399"/>
      <c r="L4" s="399"/>
      <c r="M4" s="242"/>
    </row>
    <row r="5" spans="2:15" ht="8.1" customHeight="1" x14ac:dyDescent="0.25">
      <c r="B5" s="241"/>
      <c r="C5" s="241"/>
      <c r="D5" s="241"/>
      <c r="E5" s="241"/>
      <c r="F5" s="240"/>
      <c r="G5" s="240"/>
      <c r="H5" s="240"/>
      <c r="I5" s="240"/>
      <c r="J5" s="240"/>
      <c r="K5" s="240"/>
      <c r="L5" s="240"/>
      <c r="M5" s="239"/>
    </row>
    <row r="6" spans="2:15" ht="45.9" customHeight="1" x14ac:dyDescent="0.25">
      <c r="B6" s="394"/>
      <c r="C6" s="202"/>
      <c r="D6" s="202"/>
      <c r="E6" s="198"/>
      <c r="F6" s="295" t="s">
        <v>36</v>
      </c>
      <c r="G6" s="238"/>
      <c r="H6" s="297" t="s">
        <v>37</v>
      </c>
      <c r="I6" s="237"/>
      <c r="J6" s="297" t="s">
        <v>38</v>
      </c>
      <c r="K6" s="237"/>
      <c r="L6" s="295" t="s">
        <v>39</v>
      </c>
      <c r="M6" s="234"/>
    </row>
    <row r="7" spans="2:15" ht="8.1" customHeight="1" x14ac:dyDescent="0.25">
      <c r="B7" s="394"/>
      <c r="C7" s="202"/>
      <c r="D7" s="202"/>
      <c r="E7" s="198"/>
      <c r="F7" s="235"/>
      <c r="G7" s="235"/>
      <c r="H7" s="236"/>
      <c r="I7" s="236"/>
      <c r="J7" s="236"/>
      <c r="K7" s="236"/>
      <c r="L7" s="235"/>
      <c r="M7" s="234"/>
    </row>
    <row r="8" spans="2:15" ht="137.4" customHeight="1" x14ac:dyDescent="0.25">
      <c r="B8" s="394"/>
      <c r="C8" s="233"/>
      <c r="D8" s="202"/>
      <c r="E8" s="198"/>
      <c r="F8" s="296" t="str">
        <f>Resultados!F6</f>
        <v>ROTARIX 
1 dosis/tubo de plástico, líquido
(multimonodosis de 5 tubos independientes conectados por una barra)</v>
      </c>
      <c r="G8" s="232"/>
      <c r="H8" s="296" t="str">
        <f>Resultados!H6</f>
        <v>ROTAVAC 
5 dosis/frasco, congelado</v>
      </c>
      <c r="I8" s="232"/>
      <c r="J8" s="296" t="str">
        <f>Resultados!J6</f>
        <v>ROTAVAC 5D 
5 dosis/frasco, líquido</v>
      </c>
      <c r="K8" s="232"/>
      <c r="L8" s="296" t="str">
        <f>Resultados!L6</f>
        <v>ROTASIIL-Liquid 
2 dosis/frasco, líquido</v>
      </c>
      <c r="M8" s="231"/>
    </row>
    <row r="9" spans="2:15" ht="8.1" customHeight="1" x14ac:dyDescent="0.25">
      <c r="B9" s="193"/>
      <c r="C9" s="229"/>
      <c r="D9" s="229"/>
      <c r="E9" s="229"/>
      <c r="F9" s="230" t="s">
        <v>63</v>
      </c>
      <c r="G9" s="229"/>
      <c r="H9" s="228" t="s">
        <v>63</v>
      </c>
      <c r="I9" s="229"/>
      <c r="J9" s="228" t="s">
        <v>63</v>
      </c>
      <c r="K9" s="229"/>
      <c r="L9" s="228" t="s">
        <v>63</v>
      </c>
      <c r="M9" s="227"/>
      <c r="O9" s="226"/>
    </row>
    <row r="10" spans="2:15" s="221" customFormat="1" ht="39.9" customHeight="1" x14ac:dyDescent="0.25">
      <c r="B10" s="193"/>
      <c r="C10" s="397" t="s">
        <v>64</v>
      </c>
      <c r="D10" s="199" t="s">
        <v>65</v>
      </c>
      <c r="E10" s="215"/>
      <c r="F10" s="298">
        <f>Resultados!F19/1000000</f>
        <v>4.2572294385866671</v>
      </c>
      <c r="G10" s="224"/>
      <c r="H10" s="298">
        <f>Resultados!H19/1000000</f>
        <v>6.2544170149726313</v>
      </c>
      <c r="I10" s="224"/>
      <c r="J10" s="298">
        <f>Resultados!J19/1000000</f>
        <v>6.2544170149726313</v>
      </c>
      <c r="K10" s="224"/>
      <c r="L10" s="298">
        <f>IF(Panel!L8&lt;&gt;0, Resultados!L19/1000000," " )</f>
        <v>6.1923337288533338</v>
      </c>
      <c r="M10" s="222"/>
    </row>
    <row r="11" spans="2:15" s="221" customFormat="1" ht="39.9" customHeight="1" x14ac:dyDescent="0.25">
      <c r="B11" s="193"/>
      <c r="C11" s="398"/>
      <c r="D11" s="199" t="s">
        <v>66</v>
      </c>
      <c r="E11" s="215"/>
      <c r="F11" s="299">
        <f>F10/5</f>
        <v>0.85144588771733343</v>
      </c>
      <c r="G11" s="225"/>
      <c r="H11" s="299">
        <f>H10/5</f>
        <v>1.2508834029945262</v>
      </c>
      <c r="I11" s="224"/>
      <c r="J11" s="299">
        <f>J10/5</f>
        <v>1.2508834029945262</v>
      </c>
      <c r="K11" s="224"/>
      <c r="L11" s="299">
        <f>IF(Panel!L8&lt;&gt;0,L10/5, " ")</f>
        <v>1.2384667457706668</v>
      </c>
      <c r="M11" s="222"/>
    </row>
    <row r="12" spans="2:15" s="221" customFormat="1" ht="8.1" customHeight="1" x14ac:dyDescent="0.25">
      <c r="B12" s="193"/>
      <c r="C12" s="198"/>
      <c r="D12" s="200"/>
      <c r="E12" s="215"/>
      <c r="F12" s="223"/>
      <c r="G12" s="225"/>
      <c r="H12" s="223"/>
      <c r="I12" s="224"/>
      <c r="J12" s="223"/>
      <c r="K12" s="224"/>
      <c r="L12" s="223"/>
      <c r="M12" s="222"/>
    </row>
    <row r="13" spans="2:15" ht="71.099999999999994" customHeight="1" x14ac:dyDescent="0.25">
      <c r="B13" s="193"/>
      <c r="C13" s="66" t="s">
        <v>67</v>
      </c>
      <c r="D13" s="199" t="s">
        <v>66</v>
      </c>
      <c r="E13" s="215"/>
      <c r="F13" s="300">
        <f>AVERAGE(Resultados!F28:F32)/1000000</f>
        <v>10.047061475064535</v>
      </c>
      <c r="G13" s="214"/>
      <c r="H13" s="300">
        <f>AVERAGE(Resultados!H28:H32)/1000000</f>
        <v>5.2537102925770105</v>
      </c>
      <c r="I13" s="213">
        <f>(H13-F13)/F13</f>
        <v>-0.4770898629797361</v>
      </c>
      <c r="J13" s="300">
        <f>AVERAGE(Resultados!J28:J32)/1000000</f>
        <v>5.2537102925770105</v>
      </c>
      <c r="K13" s="213">
        <f>(J13-F13)/F13</f>
        <v>-0.4770898629797361</v>
      </c>
      <c r="L13" s="300">
        <f>IF(Panel!L8&lt;&gt;0,AVERAGE(Resultados!L28:L32)/1000000," ")</f>
        <v>17.710074464520531</v>
      </c>
      <c r="M13" s="212">
        <f>(L13-F13)/F13</f>
        <v>0.76271186440677918</v>
      </c>
    </row>
    <row r="14" spans="2:15" ht="8.1" customHeight="1" x14ac:dyDescent="0.25">
      <c r="B14" s="193"/>
      <c r="C14" s="202"/>
      <c r="D14" s="200"/>
      <c r="E14" s="215"/>
      <c r="F14" s="217"/>
      <c r="G14" s="214"/>
      <c r="H14" s="217"/>
      <c r="I14" s="219"/>
      <c r="J14" s="217"/>
      <c r="K14" s="218"/>
      <c r="L14" s="217"/>
      <c r="M14" s="216"/>
    </row>
    <row r="15" spans="2:15" ht="39.9" customHeight="1" x14ac:dyDescent="0.25">
      <c r="B15" s="193"/>
      <c r="C15" s="397" t="s">
        <v>101</v>
      </c>
      <c r="D15" s="199" t="s">
        <v>65</v>
      </c>
      <c r="E15" s="215"/>
      <c r="F15" s="300">
        <f>Resultados!F38/1000000</f>
        <v>0.98476037056085353</v>
      </c>
      <c r="G15" s="220"/>
      <c r="H15" s="300">
        <f>Resultados!H38/1000000</f>
        <v>0.95593908293265495</v>
      </c>
      <c r="I15" s="213">
        <f>(H15-F15)/F15</f>
        <v>-2.9267310596367627E-2</v>
      </c>
      <c r="J15" s="300">
        <f>Resultados!J38/1000000</f>
        <v>0.95593908293265495</v>
      </c>
      <c r="K15" s="213">
        <f>(J15-F15)/F15</f>
        <v>-2.9267310596367627E-2</v>
      </c>
      <c r="L15" s="300">
        <f>IF(Panel!L8&lt;&gt;0,Resultados!L38/1000000," ")</f>
        <v>0.94689975647368541</v>
      </c>
      <c r="M15" s="212">
        <f>(L15-F15)/F15</f>
        <v>-3.8446524879555473E-2</v>
      </c>
    </row>
    <row r="16" spans="2:15" ht="54" customHeight="1" x14ac:dyDescent="0.25">
      <c r="B16" s="193"/>
      <c r="C16" s="398"/>
      <c r="D16" s="199" t="s">
        <v>66</v>
      </c>
      <c r="E16" s="215"/>
      <c r="F16" s="300">
        <f>F15/5</f>
        <v>0.19695207411217069</v>
      </c>
      <c r="G16" s="214"/>
      <c r="H16" s="300">
        <f>H15/5</f>
        <v>0.191187816586531</v>
      </c>
      <c r="I16" s="213">
        <f>(H16-F16)/F16</f>
        <v>-2.9267310596367516E-2</v>
      </c>
      <c r="J16" s="300">
        <f>J15/5</f>
        <v>0.191187816586531</v>
      </c>
      <c r="K16" s="213">
        <f>(J16-F16)/F16</f>
        <v>-2.9267310596367516E-2</v>
      </c>
      <c r="L16" s="300">
        <f>IF(Panel!L8&lt;&gt;0,L15/5," ")</f>
        <v>0.18937995129473709</v>
      </c>
      <c r="M16" s="212">
        <f>(L16-F16)/F16</f>
        <v>-3.844652487955539E-2</v>
      </c>
    </row>
    <row r="17" spans="2:13" ht="8.1" customHeight="1" x14ac:dyDescent="0.25">
      <c r="B17" s="193"/>
      <c r="C17" s="198"/>
      <c r="D17" s="200"/>
      <c r="E17" s="215"/>
      <c r="F17" s="217"/>
      <c r="G17" s="214"/>
      <c r="H17" s="217"/>
      <c r="I17" s="219"/>
      <c r="J17" s="217"/>
      <c r="K17" s="218"/>
      <c r="L17" s="217"/>
      <c r="M17" s="216"/>
    </row>
    <row r="18" spans="2:13" ht="60" customHeight="1" x14ac:dyDescent="0.25">
      <c r="B18" s="193"/>
      <c r="C18" s="397" t="s">
        <v>100</v>
      </c>
      <c r="D18" s="199" t="s">
        <v>65</v>
      </c>
      <c r="E18" s="215"/>
      <c r="F18" s="300">
        <f>Resultados!F47/1000000</f>
        <v>4.8773824102408536</v>
      </c>
      <c r="G18" s="214"/>
      <c r="H18" s="300">
        <f>Resultados!H47/1000000</f>
        <v>6.6179347770126551</v>
      </c>
      <c r="I18" s="213">
        <f>(H18-F18)/F18</f>
        <v>0.35686198464103003</v>
      </c>
      <c r="J18" s="300">
        <f>Resultados!J47/1000000</f>
        <v>6.6179347770126551</v>
      </c>
      <c r="K18" s="213">
        <f>(J18-F18)/F18</f>
        <v>0.35686198464103003</v>
      </c>
      <c r="L18" s="300">
        <f>IF(Panel!L8&lt;&gt;0,Resultados!L47/1000000," ")</f>
        <v>6.6088954505536854</v>
      </c>
      <c r="M18" s="212">
        <f>(L18-F18)/F18</f>
        <v>0.35500866954316318</v>
      </c>
    </row>
    <row r="19" spans="2:13" ht="60" customHeight="1" x14ac:dyDescent="0.25">
      <c r="B19" s="193"/>
      <c r="C19" s="398"/>
      <c r="D19" s="199" t="s">
        <v>66</v>
      </c>
      <c r="E19" s="215"/>
      <c r="F19" s="300">
        <f>F18/5</f>
        <v>0.97547648204817072</v>
      </c>
      <c r="G19" s="214"/>
      <c r="H19" s="300">
        <f>H18/5</f>
        <v>1.323586955402531</v>
      </c>
      <c r="I19" s="213">
        <f>(H19-F19)/F19</f>
        <v>0.35686198464103003</v>
      </c>
      <c r="J19" s="300">
        <f>J18/5</f>
        <v>1.323586955402531</v>
      </c>
      <c r="K19" s="213">
        <f>(J19-F19)/F19</f>
        <v>0.35686198464103003</v>
      </c>
      <c r="L19" s="300">
        <f>IF(Panel!L8&lt;&gt;0,L18/5," ")</f>
        <v>1.3217790901107371</v>
      </c>
      <c r="M19" s="212">
        <f>(L19-F19)/F19</f>
        <v>0.35500866954316318</v>
      </c>
    </row>
    <row r="20" spans="2:13" ht="21" customHeight="1" x14ac:dyDescent="0.25">
      <c r="B20" s="193"/>
      <c r="C20" s="396" t="s">
        <v>68</v>
      </c>
      <c r="D20" s="396"/>
      <c r="E20" s="396"/>
      <c r="F20" s="396"/>
      <c r="G20" s="396"/>
      <c r="H20" s="396"/>
      <c r="I20" s="396"/>
      <c r="J20" s="396"/>
      <c r="K20" s="396"/>
      <c r="L20" s="396"/>
      <c r="M20" s="396"/>
    </row>
    <row r="21" spans="2:13" ht="17.399999999999999" x14ac:dyDescent="0.25">
      <c r="C21" s="211"/>
      <c r="D21" s="211"/>
      <c r="E21" s="211"/>
      <c r="F21" s="211"/>
      <c r="G21" s="211"/>
      <c r="H21" s="211"/>
      <c r="I21" s="211"/>
      <c r="J21" s="128"/>
      <c r="K21" s="128"/>
      <c r="L21" s="211"/>
      <c r="M21" s="211"/>
    </row>
    <row r="22" spans="2:13" ht="15.6" x14ac:dyDescent="0.25">
      <c r="B22" s="193"/>
      <c r="C22" s="210"/>
      <c r="D22" s="210"/>
      <c r="E22" s="210"/>
      <c r="F22" s="209"/>
      <c r="G22" s="209"/>
      <c r="H22" s="209"/>
      <c r="I22" s="209"/>
      <c r="J22" s="209"/>
      <c r="K22" s="209"/>
      <c r="L22" s="209"/>
      <c r="M22" s="209"/>
    </row>
    <row r="23" spans="2:13" ht="32.1" customHeight="1" x14ac:dyDescent="0.25">
      <c r="B23" s="193"/>
      <c r="C23" s="400" t="s">
        <v>69</v>
      </c>
      <c r="D23" s="400"/>
      <c r="E23" s="400"/>
      <c r="F23" s="400"/>
      <c r="G23" s="400"/>
      <c r="H23" s="400"/>
      <c r="I23" s="400"/>
      <c r="J23" s="400"/>
      <c r="K23" s="400"/>
      <c r="L23" s="400"/>
      <c r="M23" s="195"/>
    </row>
    <row r="24" spans="2:13" ht="27" customHeight="1" x14ac:dyDescent="0.25">
      <c r="B24" s="193"/>
      <c r="C24" s="393" t="s">
        <v>70</v>
      </c>
      <c r="D24" s="393"/>
      <c r="E24" s="393"/>
      <c r="F24" s="393"/>
      <c r="G24" s="393"/>
      <c r="H24" s="393"/>
      <c r="I24" s="393"/>
      <c r="J24" s="393"/>
      <c r="K24" s="195"/>
      <c r="L24" s="194"/>
      <c r="M24" s="194"/>
    </row>
    <row r="25" spans="2:13" ht="33.9" hidden="1" customHeight="1" outlineLevel="1" x14ac:dyDescent="0.25">
      <c r="B25" s="193"/>
      <c r="C25" s="198"/>
      <c r="D25" s="198"/>
      <c r="E25" s="198"/>
      <c r="F25" s="205" t="s">
        <v>57</v>
      </c>
      <c r="G25" s="208"/>
      <c r="H25" s="207" t="s">
        <v>59</v>
      </c>
      <c r="I25" s="206"/>
      <c r="J25" s="205" t="s">
        <v>60</v>
      </c>
      <c r="K25" s="195"/>
      <c r="L25" s="194"/>
      <c r="M25" s="194"/>
    </row>
    <row r="26" spans="2:13" ht="8.1" hidden="1" customHeight="1" outlineLevel="1" x14ac:dyDescent="0.25">
      <c r="B26" s="193"/>
      <c r="C26" s="198"/>
      <c r="D26" s="198"/>
      <c r="E26" s="198"/>
      <c r="F26" s="195"/>
      <c r="G26" s="195"/>
      <c r="H26" s="194"/>
      <c r="I26" s="194"/>
      <c r="J26" s="195"/>
      <c r="K26" s="195"/>
      <c r="L26" s="194"/>
      <c r="M26" s="194"/>
    </row>
    <row r="27" spans="2:13" ht="39.9" hidden="1" customHeight="1" outlineLevel="1" x14ac:dyDescent="0.25">
      <c r="B27" s="193"/>
      <c r="C27" s="392" t="s">
        <v>64</v>
      </c>
      <c r="D27" s="199" t="s">
        <v>65</v>
      </c>
      <c r="E27" s="198"/>
      <c r="F27" s="204">
        <f>('Datos del modelo'!$E71*Resultados!$F19+'Datos del modelo'!$G71*Resultados!$H19+'Datos del modelo'!$I71*Resultados!$J19+'Datos del modelo'!$K71*Resultados!$L19)/1000000</f>
        <v>5.8394586781656139</v>
      </c>
      <c r="G27" s="197"/>
      <c r="H27" s="204">
        <f>('Datos del modelo'!$E75*Resultados!$F19+'Datos del modelo'!$G75*Resultados!$H19+'Datos del modelo'!$I75*Resultados!$J19+'Datos del modelo'!$K75*Resultados!$L19)/1000000</f>
        <v>5.8549794996954381</v>
      </c>
      <c r="I27" s="196"/>
      <c r="J27" s="204">
        <f>('Datos del modelo'!$E79*Resultados!$F19+'Datos del modelo'!$G79*Resultados!$H19+'Datos del modelo'!$I79*Resultados!$J19+'Datos del modelo'!$K79*Resultados!$L19)/1000000</f>
        <v>5.2558232267796487</v>
      </c>
      <c r="K27" s="195"/>
      <c r="L27" s="194"/>
      <c r="M27" s="194"/>
    </row>
    <row r="28" spans="2:13" ht="39.9" hidden="1" customHeight="1" outlineLevel="1" x14ac:dyDescent="0.25">
      <c r="B28" s="193"/>
      <c r="C28" s="392"/>
      <c r="D28" s="199" t="s">
        <v>66</v>
      </c>
      <c r="E28" s="198"/>
      <c r="F28" s="203">
        <f>F27/5</f>
        <v>1.1678917356331229</v>
      </c>
      <c r="G28" s="197"/>
      <c r="H28" s="203">
        <f>H27/5</f>
        <v>1.1709958999390877</v>
      </c>
      <c r="I28" s="196"/>
      <c r="J28" s="203">
        <f>J27/5</f>
        <v>1.0511646453559298</v>
      </c>
      <c r="K28" s="195"/>
      <c r="L28" s="194"/>
      <c r="M28" s="194"/>
    </row>
    <row r="29" spans="2:13" ht="8.1" hidden="1" customHeight="1" outlineLevel="1" x14ac:dyDescent="0.25">
      <c r="B29" s="193"/>
      <c r="C29" s="198"/>
      <c r="D29" s="200"/>
      <c r="E29" s="198"/>
      <c r="F29" s="201"/>
      <c r="G29" s="197"/>
      <c r="H29" s="201"/>
      <c r="I29" s="196"/>
      <c r="J29" s="201"/>
      <c r="K29" s="195"/>
      <c r="L29" s="194"/>
      <c r="M29" s="194"/>
    </row>
    <row r="30" spans="2:13" ht="72" hidden="1" customHeight="1" outlineLevel="1" x14ac:dyDescent="0.25">
      <c r="B30" s="193"/>
      <c r="C30" s="66" t="s">
        <v>67</v>
      </c>
      <c r="D30" s="199" t="s">
        <v>66</v>
      </c>
      <c r="E30" s="198"/>
      <c r="F30" s="203">
        <f>('Datos del modelo'!$E71*SUM(Resultados!$F28:$F32)/5+'Datos del modelo'!$G71*SUM(Resultados!$H28:$H32)/5+'Datos del modelo'!$I71*SUM(Resultados!$J28:$J32)/5+'Datos del modelo'!$K71*SUM(Resultados!$L28:$L32)/5)/1000000</f>
        <v>9.3264715720603952</v>
      </c>
      <c r="G30" s="197"/>
      <c r="H30" s="203">
        <f>('Datos del modelo'!$E75*SUM(Resultados!$F28:$F32)/5+'Datos del modelo'!$G75*SUM(Resultados!$H28:$H32)/5+'Datos del modelo'!$I75*SUM(Resultados!$J28:$J32)/5+'Datos del modelo'!$K75*SUM(Resultados!$L28:$L32)/5)/1000000</f>
        <v>6.2123805290745153</v>
      </c>
      <c r="I30" s="196"/>
      <c r="J30" s="203">
        <f>('Datos del modelo'!$E79*SUM(Resultados!$F28:$F32)/5+'Datos del modelo'!$G79*SUM(Resultados!$H28:$H32)/5+'Datos del modelo'!$I79*SUM(Resultados!$J28:$J32)/5+'Datos del modelo'!$K79*SUM(Resultados!$L28:$L32)/5)/1000000</f>
        <v>7.6503858838207721</v>
      </c>
      <c r="K30" s="195"/>
      <c r="L30" s="194"/>
      <c r="M30" s="194"/>
    </row>
    <row r="31" spans="2:13" ht="8.1" hidden="1" customHeight="1" outlineLevel="1" x14ac:dyDescent="0.25">
      <c r="B31" s="193"/>
      <c r="C31" s="202"/>
      <c r="D31" s="200"/>
      <c r="E31" s="198"/>
      <c r="F31" s="201"/>
      <c r="G31" s="197"/>
      <c r="H31" s="201"/>
      <c r="I31" s="196"/>
      <c r="J31" s="201"/>
      <c r="K31" s="195"/>
      <c r="L31" s="194"/>
      <c r="M31" s="194"/>
    </row>
    <row r="32" spans="2:13" ht="39.9" hidden="1" customHeight="1" outlineLevel="1" x14ac:dyDescent="0.25">
      <c r="B32" s="193"/>
      <c r="C32" s="392" t="s">
        <v>102</v>
      </c>
      <c r="D32" s="199" t="s">
        <v>65</v>
      </c>
      <c r="E32" s="198"/>
      <c r="F32" s="308">
        <f>('Datos del modelo'!$E71*Resultados!$F38+'Datos del modelo'!$G71*Resultados!$H38+'Datos del modelo'!$I71*Resultados!$J38+'Datos del modelo'!$K71*Resultados!$L38)/1000000</f>
        <v>0.95944350884355234</v>
      </c>
      <c r="G32" s="197"/>
      <c r="H32" s="308">
        <f>('Datos del modelo'!$E75*Resultados!$F38+'Datos del modelo'!$G75*Resultados!$H38+'Datos del modelo'!$I75*Resultados!$J38+'Datos del modelo'!$K75*Resultados!$L38)/1000000</f>
        <v>0.96170334045829475</v>
      </c>
      <c r="I32" s="196"/>
      <c r="J32" s="308">
        <f>('Datos del modelo'!$E79*Resultados!$F38+'Datos del modelo'!$G79*Resultados!$H38+'Datos del modelo'!$I79*Resultados!$J38+'Datos del modelo'!$K79*Resultados!$L38)/1000000</f>
        <v>0.97034972674675424</v>
      </c>
      <c r="K32" s="195"/>
      <c r="L32" s="194"/>
      <c r="M32" s="194"/>
    </row>
    <row r="33" spans="2:13" ht="39.9" hidden="1" customHeight="1" outlineLevel="1" x14ac:dyDescent="0.25">
      <c r="B33" s="193"/>
      <c r="C33" s="392"/>
      <c r="D33" s="199" t="s">
        <v>66</v>
      </c>
      <c r="E33" s="198"/>
      <c r="F33" s="307">
        <f>F32/5</f>
        <v>0.19188870176871048</v>
      </c>
      <c r="G33" s="197"/>
      <c r="H33" s="307">
        <f>H32/5</f>
        <v>0.19234066809165895</v>
      </c>
      <c r="I33" s="196"/>
      <c r="J33" s="307">
        <f>J32/5</f>
        <v>0.19406994534935085</v>
      </c>
      <c r="K33" s="195"/>
      <c r="L33" s="194"/>
      <c r="M33" s="194"/>
    </row>
    <row r="34" spans="2:13" ht="8.1" hidden="1" customHeight="1" outlineLevel="1" x14ac:dyDescent="0.25">
      <c r="B34" s="193"/>
      <c r="C34" s="198"/>
      <c r="D34" s="200"/>
      <c r="E34" s="198"/>
      <c r="F34" s="197"/>
      <c r="G34" s="197"/>
      <c r="H34" s="197"/>
      <c r="I34" s="196"/>
      <c r="J34" s="197"/>
      <c r="K34" s="195"/>
      <c r="L34" s="194"/>
      <c r="M34" s="194"/>
    </row>
    <row r="35" spans="2:13" ht="60" hidden="1" customHeight="1" outlineLevel="1" x14ac:dyDescent="0.25">
      <c r="B35" s="193"/>
      <c r="C35" s="392" t="s">
        <v>100</v>
      </c>
      <c r="D35" s="199" t="s">
        <v>65</v>
      </c>
      <c r="E35" s="198"/>
      <c r="F35" s="308">
        <f>('Datos del modelo'!$E71*Resultados!$F47+'Datos del modelo'!$G71*Resultados!$H47+'Datos del modelo'!$I71*Resultados!$J47+'Datos del modelo'!K$71*Resultados!$L47)/1000000</f>
        <v>6.2675644720435528</v>
      </c>
      <c r="G35" s="197"/>
      <c r="H35" s="308">
        <f>('Datos del modelo'!$E75*Resultados!$F47+'Datos del modelo'!$G75*Resultados!$H47+'Datos del modelo'!$I75*Resultados!$J47+'Datos del modelo'!$K75*Resultados!$L47)/1000000</f>
        <v>6.2698243036582957</v>
      </c>
      <c r="I35" s="196"/>
      <c r="J35" s="308">
        <f>('Datos del modelo'!$E79*Resultados!$F47+'Datos del modelo'!$G79*Resultados!$H47+'Datos del modelo'!$I79*Resultados!$J47+'Datos del modelo'!$K79*Resultados!$L47)/1000000</f>
        <v>5.7476585936267544</v>
      </c>
      <c r="K35" s="195"/>
      <c r="L35" s="194"/>
      <c r="M35" s="194"/>
    </row>
    <row r="36" spans="2:13" ht="60" hidden="1" customHeight="1" outlineLevel="1" x14ac:dyDescent="0.25">
      <c r="B36" s="193"/>
      <c r="C36" s="392"/>
      <c r="D36" s="199" t="s">
        <v>66</v>
      </c>
      <c r="E36" s="198"/>
      <c r="F36" s="307">
        <f>F35/5</f>
        <v>1.2535128944087106</v>
      </c>
      <c r="G36" s="197"/>
      <c r="H36" s="307">
        <f>H35/5</f>
        <v>1.2539648607316591</v>
      </c>
      <c r="I36" s="196"/>
      <c r="J36" s="307">
        <f>J35/5</f>
        <v>1.1495317187253509</v>
      </c>
      <c r="K36" s="195"/>
      <c r="L36" s="194"/>
      <c r="M36" s="194"/>
    </row>
    <row r="37" spans="2:13" hidden="1" outlineLevel="1" x14ac:dyDescent="0.25">
      <c r="B37" s="193"/>
      <c r="C37" s="193"/>
      <c r="D37" s="193"/>
      <c r="E37" s="193"/>
      <c r="F37" s="193"/>
      <c r="G37" s="193"/>
      <c r="H37" s="193"/>
      <c r="I37" s="193"/>
      <c r="J37" s="193"/>
      <c r="K37" s="193"/>
      <c r="L37" s="193"/>
      <c r="M37" s="193"/>
    </row>
    <row r="38" spans="2:13" collapsed="1" x14ac:dyDescent="0.25"/>
  </sheetData>
  <sheetProtection algorithmName="SHA-512" hashValue="1t2y9TkNx1q68bOhqGflUG6DZ7m34+96SuUjvZ5va+SD4B4MkpLUJDiAPKLv9Bk1HHCRHs+JrEclToBfl9b7Ew==" saltValue="7bbNTVnz5n7q3GerTfuamg=="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30 H30 J30">
    <cfRule type="colorScale" priority="3">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 F13 J13 L13">
    <cfRule type="colorScale" priority="6">
      <colorScale>
        <cfvo type="min"/>
        <cfvo type="percentile" val="50"/>
        <cfvo type="max"/>
        <color rgb="FF00BB6B"/>
        <color rgb="FFE2E278"/>
        <color theme="3"/>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B1:Q73"/>
  <sheetViews>
    <sheetView zoomScaleNormal="100" workbookViewId="0"/>
  </sheetViews>
  <sheetFormatPr defaultColWidth="8.88671875" defaultRowHeight="13.8" x14ac:dyDescent="0.25"/>
  <cols>
    <col min="1" max="1" width="2.44140625" style="243" customWidth="1"/>
    <col min="2" max="3" width="5.88671875" style="243" customWidth="1"/>
    <col min="4" max="4" width="20.44140625" style="243" customWidth="1"/>
    <col min="5" max="5" width="1.44140625" style="243" customWidth="1"/>
    <col min="6" max="6" width="22.44140625" style="243" customWidth="1"/>
    <col min="7" max="7" width="1.44140625" style="243" customWidth="1"/>
    <col min="8" max="8" width="22.44140625" style="243" customWidth="1"/>
    <col min="9" max="9" width="1.44140625" style="243" customWidth="1"/>
    <col min="10" max="10" width="22.44140625" style="243" customWidth="1"/>
    <col min="11" max="11" width="1.44140625" style="243" customWidth="1"/>
    <col min="12" max="12" width="22.44140625" style="243" customWidth="1"/>
    <col min="13" max="14" width="5.88671875" style="243" customWidth="1"/>
    <col min="15" max="17" width="10.5546875" style="243" bestFit="1" customWidth="1"/>
    <col min="18" max="16384" width="8.88671875" style="243"/>
  </cols>
  <sheetData>
    <row r="1" spans="2:15" ht="8.1" customHeight="1" x14ac:dyDescent="0.25">
      <c r="B1" s="402"/>
      <c r="C1" s="402"/>
      <c r="D1" s="402"/>
      <c r="E1" s="402"/>
      <c r="F1" s="402"/>
      <c r="G1" s="402"/>
      <c r="H1" s="402"/>
      <c r="I1" s="402"/>
      <c r="J1" s="402"/>
      <c r="K1" s="402"/>
      <c r="L1" s="402"/>
      <c r="M1" s="402"/>
      <c r="N1" s="286"/>
    </row>
    <row r="2" spans="2:15" ht="18.899999999999999" customHeight="1" x14ac:dyDescent="0.25">
      <c r="B2" s="366" t="s">
        <v>71</v>
      </c>
      <c r="C2" s="366"/>
      <c r="D2" s="366"/>
      <c r="E2" s="366"/>
      <c r="F2" s="366"/>
      <c r="G2" s="366"/>
      <c r="H2" s="366"/>
      <c r="I2" s="366"/>
      <c r="J2" s="366"/>
      <c r="K2" s="366"/>
      <c r="L2" s="366"/>
      <c r="M2" s="366"/>
      <c r="N2" s="366"/>
      <c r="O2" s="275"/>
    </row>
    <row r="3" spans="2:15" ht="14.4" customHeight="1" x14ac:dyDescent="0.25">
      <c r="B3" s="248"/>
      <c r="C3" s="248"/>
      <c r="D3" s="405"/>
      <c r="E3" s="405"/>
      <c r="F3" s="405"/>
      <c r="G3" s="405"/>
      <c r="H3" s="405"/>
      <c r="I3" s="405"/>
      <c r="J3" s="405"/>
      <c r="K3" s="405"/>
      <c r="L3" s="405"/>
      <c r="M3" s="274"/>
      <c r="N3" s="274"/>
    </row>
    <row r="4" spans="2:15" ht="60" customHeight="1" x14ac:dyDescent="0.25">
      <c r="B4" s="248"/>
      <c r="C4" s="293"/>
      <c r="D4" s="407" t="s">
        <v>72</v>
      </c>
      <c r="E4" s="407"/>
      <c r="F4" s="407"/>
      <c r="G4" s="407"/>
      <c r="H4" s="407"/>
      <c r="I4" s="407"/>
      <c r="J4" s="407"/>
      <c r="K4" s="407"/>
      <c r="L4" s="407"/>
      <c r="M4" s="294"/>
      <c r="N4" s="274"/>
    </row>
    <row r="5" spans="2:15" ht="14.4" customHeight="1" x14ac:dyDescent="0.25">
      <c r="B5" s="248"/>
      <c r="C5" s="248"/>
      <c r="D5" s="274"/>
      <c r="E5" s="274"/>
      <c r="F5" s="274"/>
      <c r="G5" s="274"/>
      <c r="H5" s="274"/>
      <c r="I5" s="274"/>
      <c r="J5" s="274"/>
      <c r="K5" s="274"/>
      <c r="L5" s="244"/>
      <c r="M5" s="244"/>
      <c r="N5" s="244"/>
    </row>
    <row r="6" spans="2:15" s="270" customFormat="1" ht="120.9" customHeight="1" x14ac:dyDescent="0.25">
      <c r="B6" s="273"/>
      <c r="C6" s="273"/>
      <c r="D6" s="272"/>
      <c r="E6" s="272"/>
      <c r="F6" s="66" t="str">
        <f>'Datos del modelo'!E32</f>
        <v>ROTARIX 
1 dosis/tubo de plástico, líquido
(multimonodosis de 5 tubos independientes conectados por una barra)</v>
      </c>
      <c r="G6" s="252"/>
      <c r="H6" s="66" t="str">
        <f>'Datos del modelo'!G32</f>
        <v>ROTAVAC 
5 dosis/frasco, congelado</v>
      </c>
      <c r="I6" s="252"/>
      <c r="J6" s="66" t="str">
        <f>'Datos del modelo'!I32</f>
        <v>ROTAVAC 5D 
5 dosis/frasco, líquido</v>
      </c>
      <c r="K6" s="252"/>
      <c r="L6" s="66" t="str">
        <f>'Datos del modelo'!K32</f>
        <v>ROTASIIL-Liquid 
2 dosis/frasco, líquido</v>
      </c>
      <c r="M6" s="271"/>
      <c r="N6" s="271"/>
    </row>
    <row r="7" spans="2:15" ht="15" customHeight="1" x14ac:dyDescent="0.25">
      <c r="B7" s="248"/>
      <c r="C7" s="248"/>
      <c r="D7" s="256"/>
      <c r="E7" s="256"/>
      <c r="F7" s="256"/>
      <c r="G7" s="256"/>
      <c r="H7" s="256"/>
      <c r="I7" s="256"/>
      <c r="J7" s="256"/>
      <c r="K7" s="256"/>
      <c r="L7" s="256"/>
      <c r="M7" s="244"/>
      <c r="N7" s="244"/>
    </row>
    <row r="8" spans="2:15" ht="41.1" customHeight="1" x14ac:dyDescent="0.25">
      <c r="B8" s="248"/>
      <c r="C8" s="248"/>
      <c r="D8" s="406" t="s">
        <v>73</v>
      </c>
      <c r="E8" s="406"/>
      <c r="F8" s="406"/>
      <c r="G8" s="406"/>
      <c r="H8" s="406"/>
      <c r="I8" s="406"/>
      <c r="J8" s="406"/>
      <c r="K8" s="406"/>
      <c r="L8" s="406"/>
      <c r="M8" s="244"/>
      <c r="N8" s="244"/>
    </row>
    <row r="9" spans="2:15" ht="8.1" customHeight="1" x14ac:dyDescent="0.25">
      <c r="B9" s="248"/>
      <c r="C9" s="248"/>
      <c r="D9" s="269"/>
      <c r="E9" s="269"/>
      <c r="F9" s="269"/>
      <c r="G9" s="269"/>
      <c r="H9" s="269"/>
      <c r="I9" s="269"/>
      <c r="J9" s="269"/>
      <c r="K9" s="269"/>
      <c r="L9" s="269"/>
      <c r="M9" s="244"/>
      <c r="N9" s="244"/>
    </row>
    <row r="10" spans="2:15" ht="35.1" customHeight="1" x14ac:dyDescent="0.25">
      <c r="B10" s="248"/>
      <c r="C10" s="248"/>
      <c r="D10" s="268" t="s">
        <v>74</v>
      </c>
      <c r="E10" s="267"/>
      <c r="F10" s="265">
        <f>SUM(F11:F15)</f>
        <v>3892622.0396799999</v>
      </c>
      <c r="G10" s="266"/>
      <c r="H10" s="265">
        <f>SUM(H11:H15)</f>
        <v>5661995.6940800007</v>
      </c>
      <c r="I10" s="266"/>
      <c r="J10" s="265">
        <f>SUM(J11:J15)</f>
        <v>5661995.6940800007</v>
      </c>
      <c r="K10" s="266"/>
      <c r="L10" s="265">
        <f>SUM(L11:L15)</f>
        <v>5661995.6940800007</v>
      </c>
      <c r="M10" s="244"/>
      <c r="N10" s="244"/>
    </row>
    <row r="11" spans="2:15" ht="15.6" x14ac:dyDescent="0.25">
      <c r="B11" s="248"/>
      <c r="C11" s="248"/>
      <c r="D11" s="247">
        <f>'Datos del modelo'!$E$8</f>
        <v>2026</v>
      </c>
      <c r="E11" s="246"/>
      <c r="F11" s="257">
        <f>IF('Datos del modelo'!E$49=3,(('Datos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748000</v>
      </c>
      <c r="G11" s="258"/>
      <c r="H11" s="257">
        <f>IF('Datos del modelo'!G$49=3,(('Datos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I11" s="258"/>
      <c r="J11" s="257">
        <f>IF('Datos del modelo'!I$49=3,(('Datos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K11" s="258"/>
      <c r="L11" s="257">
        <f>IF('Datos del modelo'!K$49=3,(('Datos del modelo'!$E$9*(1+'Datos del modelo'!$E$10)^(D11-'Datos del modelo'!$E$8))*'Datos del modelo'!$E$11+('Datos del modelo'!$E$9*(1+'Datos del modelo'!$E$10)^(D11-'Datos del modelo'!$E$8))*'Datos del modelo'!$E$12+('Datos del modelo'!$E$9*(1+'Datos del modelo'!$E$10)^(D11-'Datos del modelo'!$E$8))*'Datos del modelo'!$E$13),('Datos del modelo'!$E$9*(1+'Datos del modelo'!$E$10)^(D11-'Datos del modelo'!$E$8))*'Datos del modelo'!$E$11+('Datos del modelo'!$E$9*(1+'Datos del modelo'!$E$10)^(D11-'Datos del modelo'!$E$8))*'Datos del modelo'!$E$12)</f>
        <v>1088000</v>
      </c>
      <c r="M11" s="244"/>
      <c r="N11" s="244"/>
    </row>
    <row r="12" spans="2:15" ht="15.6" x14ac:dyDescent="0.25">
      <c r="B12" s="248"/>
      <c r="C12" s="248"/>
      <c r="D12" s="247">
        <f>'Datos del modelo'!$E$8+1</f>
        <v>2027</v>
      </c>
      <c r="E12" s="246"/>
      <c r="F12" s="257">
        <f>IF('Datos del modelo'!E$49=3,(('Datos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762960</v>
      </c>
      <c r="G12" s="258"/>
      <c r="H12" s="257">
        <f>IF('Datos del modelo'!G$49=3,(('Datos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I12" s="258"/>
      <c r="J12" s="257">
        <f>IF('Datos del modelo'!I$49=3,(('Datos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K12" s="258"/>
      <c r="L12" s="257">
        <f>IF('Datos del modelo'!K$49=3,(('Datos del modelo'!$E$9*(1+'Datos del modelo'!$E$10)^(D12-'Datos del modelo'!$E$8))*'Datos del modelo'!$E$11+('Datos del modelo'!$E$9*(1+'Datos del modelo'!$E$10)^(D12-'Datos del modelo'!$E$8))*'Datos del modelo'!$E$12+('Datos del modelo'!$E$9*(1+'Datos del modelo'!$E$10)^(D12-'Datos del modelo'!$E$8))*'Datos del modelo'!$E$13),('Datos del modelo'!$E$9*(1+'Datos del modelo'!$E$10)^(D12-'Datos del modelo'!$E$8))*'Datos del modelo'!$E$11+('Datos del modelo'!$E$9*(1+'Datos del modelo'!$E$10)^(D12-'Datos del modelo'!$E$8))*'Datos del modelo'!$E$12)</f>
        <v>1109760</v>
      </c>
      <c r="M12" s="244"/>
      <c r="N12" s="244"/>
    </row>
    <row r="13" spans="2:15" ht="15.6" x14ac:dyDescent="0.25">
      <c r="B13" s="248"/>
      <c r="C13" s="248"/>
      <c r="D13" s="247">
        <f>'Datos del modelo'!$E$8+2</f>
        <v>2028</v>
      </c>
      <c r="E13" s="246"/>
      <c r="F13" s="257">
        <f>IF('Datos del modelo'!E$49=3,(('Datos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778219.2</v>
      </c>
      <c r="G13" s="258"/>
      <c r="H13" s="257">
        <f>IF('Datos del modelo'!G$49=3,(('Datos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I13" s="258"/>
      <c r="J13" s="257">
        <f>IF('Datos del modelo'!I$49=3,(('Datos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K13" s="258"/>
      <c r="L13" s="257">
        <f>IF('Datos del modelo'!K$49=3,(('Datos del modelo'!$E$9*(1+'Datos del modelo'!$E$10)^(D13-'Datos del modelo'!$E$8))*'Datos del modelo'!$E$11+('Datos del modelo'!$E$9*(1+'Datos del modelo'!$E$10)^(D13-'Datos del modelo'!$E$8))*'Datos del modelo'!$E$12+('Datos del modelo'!$E$9*(1+'Datos del modelo'!$E$10)^(D13-'Datos del modelo'!$E$8))*'Datos del modelo'!$E$13),('Datos del modelo'!$E$9*(1+'Datos del modelo'!$E$10)^(D13-'Datos del modelo'!$E$8))*'Datos del modelo'!$E$11+('Datos del modelo'!$E$9*(1+'Datos del modelo'!$E$10)^(D13-'Datos del modelo'!$E$8))*'Datos del modelo'!$E$12)</f>
        <v>1131955.2</v>
      </c>
      <c r="M13" s="244"/>
      <c r="N13" s="244"/>
    </row>
    <row r="14" spans="2:15" ht="15.6" x14ac:dyDescent="0.25">
      <c r="B14" s="248"/>
      <c r="C14" s="248"/>
      <c r="D14" s="247">
        <f>'Datos del modelo'!$E$8+3</f>
        <v>2029</v>
      </c>
      <c r="E14" s="246"/>
      <c r="F14" s="257">
        <f>IF('Datos del modelo'!E$49=3,(('Datos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793783.58399999992</v>
      </c>
      <c r="G14" s="258"/>
      <c r="H14" s="257">
        <f>IF('Datos del modelo'!G$49=3,(('Datos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I14" s="258"/>
      <c r="J14" s="257">
        <f>IF('Datos del modelo'!I$49=3,(('Datos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K14" s="258"/>
      <c r="L14" s="257">
        <f>IF('Datos del modelo'!K$49=3,(('Datos del modelo'!$E$9*(1+'Datos del modelo'!$E$10)^(D14-'Datos del modelo'!$E$8))*'Datos del modelo'!$E$11+('Datos del modelo'!$E$9*(1+'Datos del modelo'!$E$10)^(D14-'Datos del modelo'!$E$8))*'Datos del modelo'!$E$12+('Datos del modelo'!$E$9*(1+'Datos del modelo'!$E$10)^(D14-'Datos del modelo'!$E$8))*'Datos del modelo'!$E$13),('Datos del modelo'!$E$9*(1+'Datos del modelo'!$E$10)^(D14-'Datos del modelo'!$E$8))*'Datos del modelo'!$E$11+('Datos del modelo'!$E$9*(1+'Datos del modelo'!$E$10)^(D14-'Datos del modelo'!$E$8))*'Datos del modelo'!$E$12)</f>
        <v>1154594.304</v>
      </c>
      <c r="M14" s="244"/>
      <c r="N14" s="244"/>
    </row>
    <row r="15" spans="2:15" ht="15.75" customHeight="1" x14ac:dyDescent="0.25">
      <c r="B15" s="248"/>
      <c r="C15" s="248"/>
      <c r="D15" s="247">
        <f>'Datos del modelo'!$E$8+4</f>
        <v>2030</v>
      </c>
      <c r="E15" s="246"/>
      <c r="F15" s="257">
        <f>IF('Datos del modelo'!E$49=3,(('Datos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809659.25567999994</v>
      </c>
      <c r="G15" s="258"/>
      <c r="H15" s="257">
        <f>IF('Datos del modelo'!G$49=3,(('Datos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I15" s="258"/>
      <c r="J15" s="257">
        <f>IF('Datos del modelo'!I$49=3,(('Datos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K15" s="258"/>
      <c r="L15" s="257">
        <f>IF('Datos del modelo'!K$49=3,(('Datos del modelo'!$E$9*(1+'Datos del modelo'!$E$10)^(D15-'Datos del modelo'!$E$8))*'Datos del modelo'!$E$11+('Datos del modelo'!$E$9*(1+'Datos del modelo'!$E$10)^(D15-'Datos del modelo'!$E$8))*'Datos del modelo'!$E$12+('Datos del modelo'!$E$9*(1+'Datos del modelo'!$E$10)^(D15-'Datos del modelo'!$E$8))*'Datos del modelo'!$E$13),('Datos del modelo'!$E$9*(1+'Datos del modelo'!$E$10)^(D15-'Datos del modelo'!$E$8))*'Datos del modelo'!$E$11+('Datos del modelo'!$E$9*(1+'Datos del modelo'!$E$10)^(D15-'Datos del modelo'!$E$8))*'Datos del modelo'!$E$12)</f>
        <v>1177686.1900799999</v>
      </c>
      <c r="M15" s="244"/>
      <c r="N15" s="244"/>
    </row>
    <row r="16" spans="2:15" ht="15" customHeight="1" x14ac:dyDescent="0.25">
      <c r="B16" s="248"/>
      <c r="C16" s="248"/>
      <c r="D16" s="255"/>
      <c r="E16" s="246"/>
      <c r="F16" s="264"/>
      <c r="G16" s="258"/>
      <c r="H16" s="264"/>
      <c r="I16" s="258"/>
      <c r="J16" s="264"/>
      <c r="K16" s="258"/>
      <c r="L16" s="264"/>
      <c r="M16" s="244"/>
      <c r="N16" s="244"/>
    </row>
    <row r="17" spans="2:14" ht="42" customHeight="1" x14ac:dyDescent="0.25">
      <c r="B17" s="248"/>
      <c r="C17" s="248"/>
      <c r="D17" s="404" t="s">
        <v>75</v>
      </c>
      <c r="E17" s="404"/>
      <c r="F17" s="404"/>
      <c r="G17" s="404"/>
      <c r="H17" s="404"/>
      <c r="I17" s="404"/>
      <c r="J17" s="404"/>
      <c r="K17" s="404"/>
      <c r="L17" s="404"/>
      <c r="M17" s="244"/>
      <c r="N17" s="244"/>
    </row>
    <row r="18" spans="2:14" ht="8.1" customHeight="1" x14ac:dyDescent="0.25">
      <c r="B18" s="248"/>
      <c r="C18" s="248"/>
      <c r="D18" s="252"/>
      <c r="E18" s="252"/>
      <c r="F18" s="252"/>
      <c r="G18" s="252"/>
      <c r="H18" s="252"/>
      <c r="I18" s="252"/>
      <c r="J18" s="252"/>
      <c r="K18" s="252"/>
      <c r="L18" s="252"/>
      <c r="M18" s="244"/>
      <c r="N18" s="244"/>
    </row>
    <row r="19" spans="2:14" ht="35.1" customHeight="1" x14ac:dyDescent="0.25">
      <c r="B19" s="248"/>
      <c r="C19" s="248"/>
      <c r="D19" s="268" t="s">
        <v>74</v>
      </c>
      <c r="E19" s="267"/>
      <c r="F19" s="265">
        <f>SUM(F20:F24)</f>
        <v>4257229.4385866672</v>
      </c>
      <c r="G19" s="266"/>
      <c r="H19" s="265">
        <f>SUM(H20:H24)</f>
        <v>6254417.0149726309</v>
      </c>
      <c r="I19" s="266"/>
      <c r="J19" s="265">
        <f>SUM(J20:J24)</f>
        <v>6254417.0149726309</v>
      </c>
      <c r="K19" s="266"/>
      <c r="L19" s="265">
        <f>SUM(L20:L24)</f>
        <v>6192333.7288533337</v>
      </c>
      <c r="M19" s="244"/>
      <c r="N19" s="244"/>
    </row>
    <row r="20" spans="2:14" ht="15.6" x14ac:dyDescent="0.25">
      <c r="B20" s="248"/>
      <c r="C20" s="248"/>
      <c r="D20" s="247">
        <f>'Datos del modelo'!$E$8</f>
        <v>2026</v>
      </c>
      <c r="E20" s="246"/>
      <c r="F20" s="257">
        <f>F11*'Datos del modelo'!E$53+F11*'Datos del modelo'!E$56</f>
        <v>966166.66666666674</v>
      </c>
      <c r="G20" s="258"/>
      <c r="H20" s="257">
        <f>H11*'Datos del modelo'!G$53+H11*'Datos del modelo'!G$56</f>
        <v>1417263.1578947369</v>
      </c>
      <c r="I20" s="258"/>
      <c r="J20" s="257">
        <f>J11*'Datos del modelo'!I$53+J11*'Datos del modelo'!I$56</f>
        <v>1417263.1578947369</v>
      </c>
      <c r="K20" s="258"/>
      <c r="L20" s="257">
        <f>L11*'Datos del modelo'!K$53+L11*'Datos del modelo'!K$56</f>
        <v>1405333.3333333335</v>
      </c>
      <c r="M20" s="244"/>
      <c r="N20" s="244"/>
    </row>
    <row r="21" spans="2:14" ht="15.6" x14ac:dyDescent="0.25">
      <c r="B21" s="248"/>
      <c r="C21" s="248"/>
      <c r="D21" s="247">
        <f>'Datos del modelo'!$E$8+1</f>
        <v>2027</v>
      </c>
      <c r="E21" s="246"/>
      <c r="F21" s="257">
        <f>F12*'Datos del modelo'!E$53+(F12*'Datos del modelo'!E$56-Resultados!F11*'Datos del modelo'!E$56)</f>
        <v>798490</v>
      </c>
      <c r="G21" s="258"/>
      <c r="H21" s="257">
        <f>H12*'Datos del modelo'!G$53+(H12*'Datos del modelo'!G$56-Resultados!H11*'Datos del modelo'!G$56)</f>
        <v>1173608.4210526315</v>
      </c>
      <c r="I21" s="258"/>
      <c r="J21" s="257">
        <f>J12*'Datos del modelo'!I$53+(J12*'Datos del modelo'!I$56-Resultados!J11*'Datos del modelo'!I$56)</f>
        <v>1173608.4210526315</v>
      </c>
      <c r="K21" s="258"/>
      <c r="L21" s="257">
        <f>L12*'Datos del modelo'!K$53+(L12*'Datos del modelo'!K$56-Resultados!L11*'Datos del modelo'!K$56)</f>
        <v>1161440</v>
      </c>
      <c r="M21" s="244"/>
      <c r="N21" s="244"/>
    </row>
    <row r="22" spans="2:14" ht="15.6" x14ac:dyDescent="0.25">
      <c r="B22" s="248"/>
      <c r="C22" s="248"/>
      <c r="D22" s="247">
        <f>'Datos del modelo'!$E$8+2</f>
        <v>2028</v>
      </c>
      <c r="E22" s="246"/>
      <c r="F22" s="257">
        <f>F13*'Datos del modelo'!E$53+(F13*'Datos del modelo'!E$56-Resultados!F12*'Datos del modelo'!E$56)</f>
        <v>814459.8</v>
      </c>
      <c r="G22" s="258"/>
      <c r="H22" s="257">
        <f>H13*'Datos del modelo'!G$53+(H13*'Datos del modelo'!G$56-Resultados!H12*'Datos del modelo'!G$56)</f>
        <v>1197080.5894736841</v>
      </c>
      <c r="I22" s="258"/>
      <c r="J22" s="257">
        <f>J13*'Datos del modelo'!I$53+(J13*'Datos del modelo'!I$56-Resultados!J12*'Datos del modelo'!I$56)</f>
        <v>1197080.5894736841</v>
      </c>
      <c r="K22" s="258"/>
      <c r="L22" s="257">
        <f>L13*'Datos del modelo'!K$53+(L13*'Datos del modelo'!K$56-Resultados!L12*'Datos del modelo'!K$56)</f>
        <v>1184668.8</v>
      </c>
      <c r="M22" s="244"/>
      <c r="N22" s="244"/>
    </row>
    <row r="23" spans="2:14" ht="15.6" x14ac:dyDescent="0.25">
      <c r="B23" s="248"/>
      <c r="C23" s="248"/>
      <c r="D23" s="247">
        <f>'Datos del modelo'!$E$8+3</f>
        <v>2029</v>
      </c>
      <c r="E23" s="246"/>
      <c r="F23" s="257">
        <f>F14*'Datos del modelo'!E$53+(F14*'Datos del modelo'!E$56-Resultados!F13*'Datos del modelo'!E$56)</f>
        <v>830748.99600000004</v>
      </c>
      <c r="G23" s="258"/>
      <c r="H23" s="257">
        <f>H14*'Datos del modelo'!G$53+(H14*'Datos del modelo'!G$56-Resultados!H13*'Datos del modelo'!G$56)</f>
        <v>1221022.2012631579</v>
      </c>
      <c r="I23" s="258"/>
      <c r="J23" s="257">
        <f>J14*'Datos del modelo'!I$53+(J14*'Datos del modelo'!I$56-Resultados!J13*'Datos del modelo'!I$56)</f>
        <v>1221022.2012631579</v>
      </c>
      <c r="K23" s="258"/>
      <c r="L23" s="257">
        <f>L14*'Datos del modelo'!K$53+(L14*'Datos del modelo'!K$56-Resultados!L13*'Datos del modelo'!K$56)</f>
        <v>1208362.1760000002</v>
      </c>
      <c r="M23" s="244"/>
      <c r="N23" s="244"/>
    </row>
    <row r="24" spans="2:14" ht="15.75" customHeight="1" x14ac:dyDescent="0.25">
      <c r="B24" s="248"/>
      <c r="C24" s="248"/>
      <c r="D24" s="247">
        <f>'Datos del modelo'!$E$8+4</f>
        <v>2030</v>
      </c>
      <c r="E24" s="246"/>
      <c r="F24" s="257">
        <f>F15*'Datos del modelo'!E$53+(F15*'Datos del modelo'!E$56-Resultados!F14*'Datos del modelo'!E$56)</f>
        <v>847363.97592</v>
      </c>
      <c r="G24" s="258"/>
      <c r="H24" s="257">
        <f>H15*'Datos del modelo'!G$53+(H15*'Datos del modelo'!G$56-Resultados!H14*'Datos del modelo'!G$56)</f>
        <v>1245442.6452884208</v>
      </c>
      <c r="I24" s="258"/>
      <c r="J24" s="257">
        <f>J15*'Datos del modelo'!I$53+(J15*'Datos del modelo'!I$56-Resultados!J14*'Datos del modelo'!I$56)</f>
        <v>1245442.6452884208</v>
      </c>
      <c r="K24" s="258"/>
      <c r="L24" s="257">
        <f>L15*'Datos del modelo'!K$53+(L15*'Datos del modelo'!K$56-Resultados!L14*'Datos del modelo'!K$56)</f>
        <v>1232529.4195199998</v>
      </c>
      <c r="M24" s="244"/>
      <c r="N24" s="244"/>
    </row>
    <row r="25" spans="2:14" ht="15" customHeight="1" x14ac:dyDescent="0.25">
      <c r="B25" s="248"/>
      <c r="C25" s="248"/>
      <c r="D25" s="255"/>
      <c r="E25" s="246"/>
      <c r="F25" s="264"/>
      <c r="G25" s="258"/>
      <c r="H25" s="264"/>
      <c r="I25" s="258"/>
      <c r="J25" s="264"/>
      <c r="K25" s="258"/>
      <c r="L25" s="264"/>
      <c r="M25" s="244"/>
      <c r="N25" s="244"/>
    </row>
    <row r="26" spans="2:14" s="261" customFormat="1" ht="42" customHeight="1" x14ac:dyDescent="0.25">
      <c r="B26" s="263"/>
      <c r="C26" s="263"/>
      <c r="D26" s="404" t="s">
        <v>76</v>
      </c>
      <c r="E26" s="404"/>
      <c r="F26" s="404"/>
      <c r="G26" s="404"/>
      <c r="H26" s="404"/>
      <c r="I26" s="404"/>
      <c r="J26" s="404"/>
      <c r="K26" s="404"/>
      <c r="L26" s="404"/>
      <c r="M26" s="262"/>
      <c r="N26" s="262"/>
    </row>
    <row r="27" spans="2:14" ht="8.1" customHeight="1" x14ac:dyDescent="0.25">
      <c r="B27" s="248"/>
      <c r="C27" s="248"/>
      <c r="D27" s="260"/>
      <c r="E27" s="252"/>
      <c r="F27" s="260"/>
      <c r="G27" s="252"/>
      <c r="H27" s="260"/>
      <c r="I27" s="252"/>
      <c r="J27" s="260"/>
      <c r="K27" s="252"/>
      <c r="L27" s="260"/>
      <c r="M27" s="259"/>
      <c r="N27" s="259"/>
    </row>
    <row r="28" spans="2:14" ht="15.6" x14ac:dyDescent="0.25">
      <c r="B28" s="248"/>
      <c r="C28" s="248"/>
      <c r="D28" s="247">
        <f>'Datos del modelo'!$E$8</f>
        <v>2026</v>
      </c>
      <c r="E28" s="246"/>
      <c r="F28" s="257">
        <f>F20*'Datos del modelo'!E$50</f>
        <v>11400766.666666668</v>
      </c>
      <c r="G28" s="258"/>
      <c r="H28" s="257">
        <f>H20*'Datos del modelo'!G$50</f>
        <v>5952505.2631578948</v>
      </c>
      <c r="I28" s="258"/>
      <c r="J28" s="257">
        <f>J20*'Datos del modelo'!I$50</f>
        <v>5952505.2631578948</v>
      </c>
      <c r="K28" s="258"/>
      <c r="L28" s="257">
        <f>L20*'Datos del modelo'!K$50</f>
        <v>20096266.666666672</v>
      </c>
      <c r="M28" s="244"/>
      <c r="N28" s="244"/>
    </row>
    <row r="29" spans="2:14" ht="15.6" x14ac:dyDescent="0.25">
      <c r="B29" s="248"/>
      <c r="C29" s="248"/>
      <c r="D29" s="247">
        <f>'Datos del modelo'!$E$8+1</f>
        <v>2027</v>
      </c>
      <c r="E29" s="246"/>
      <c r="F29" s="257">
        <f>F21*'Datos del modelo'!E$50</f>
        <v>9422182</v>
      </c>
      <c r="G29" s="258"/>
      <c r="H29" s="257">
        <f>H21*'Datos del modelo'!G$50</f>
        <v>4929155.3684210526</v>
      </c>
      <c r="I29" s="258"/>
      <c r="J29" s="257">
        <f>J21*'Datos del modelo'!I$50</f>
        <v>4929155.3684210526</v>
      </c>
      <c r="K29" s="258"/>
      <c r="L29" s="257">
        <f>L21*'Datos del modelo'!K$50</f>
        <v>16608592</v>
      </c>
      <c r="M29" s="244"/>
      <c r="N29" s="244"/>
    </row>
    <row r="30" spans="2:14" ht="15.6" x14ac:dyDescent="0.25">
      <c r="B30" s="248"/>
      <c r="C30" s="248"/>
      <c r="D30" s="247">
        <f>'Datos del modelo'!$E$8+2</f>
        <v>2028</v>
      </c>
      <c r="E30" s="246"/>
      <c r="F30" s="257">
        <f>F22*'Datos del modelo'!E$50</f>
        <v>9610625.6400000006</v>
      </c>
      <c r="G30" s="258"/>
      <c r="H30" s="257">
        <f>H22*'Datos del modelo'!G$50</f>
        <v>5027738.4757894734</v>
      </c>
      <c r="I30" s="258"/>
      <c r="J30" s="257">
        <f>J22*'Datos del modelo'!I$50</f>
        <v>5027738.4757894734</v>
      </c>
      <c r="K30" s="258"/>
      <c r="L30" s="257">
        <f>L22*'Datos del modelo'!K$50</f>
        <v>16940763.84</v>
      </c>
      <c r="M30" s="244"/>
      <c r="N30" s="244"/>
    </row>
    <row r="31" spans="2:14" ht="15.6" x14ac:dyDescent="0.25">
      <c r="B31" s="248"/>
      <c r="C31" s="248"/>
      <c r="D31" s="247">
        <f>'Datos del modelo'!$E$8+3</f>
        <v>2029</v>
      </c>
      <c r="E31" s="246"/>
      <c r="F31" s="257">
        <f>F23*'Datos del modelo'!E$50</f>
        <v>9802838.1528000012</v>
      </c>
      <c r="G31" s="258"/>
      <c r="H31" s="257">
        <f>H23*'Datos del modelo'!G$50</f>
        <v>5128293.2453052634</v>
      </c>
      <c r="I31" s="258"/>
      <c r="J31" s="257">
        <f>J23*'Datos del modelo'!I$50</f>
        <v>5128293.2453052634</v>
      </c>
      <c r="K31" s="258"/>
      <c r="L31" s="257">
        <f>L23*'Datos del modelo'!K$50</f>
        <v>17279579.116800003</v>
      </c>
      <c r="M31" s="244"/>
      <c r="N31" s="244"/>
    </row>
    <row r="32" spans="2:14" ht="15.6" x14ac:dyDescent="0.25">
      <c r="B32" s="248"/>
      <c r="C32" s="248"/>
      <c r="D32" s="247">
        <f>'Datos del modelo'!$E$8+4</f>
        <v>2030</v>
      </c>
      <c r="E32" s="246"/>
      <c r="F32" s="257">
        <f>F24*'Datos del modelo'!E$50</f>
        <v>9998894.915856</v>
      </c>
      <c r="G32" s="258"/>
      <c r="H32" s="257">
        <f>H24*'Datos del modelo'!G$50</f>
        <v>5230859.1102113677</v>
      </c>
      <c r="I32" s="258"/>
      <c r="J32" s="257">
        <f>J24*'Datos del modelo'!I$50</f>
        <v>5230859.1102113677</v>
      </c>
      <c r="K32" s="258"/>
      <c r="L32" s="257">
        <f>L24*'Datos del modelo'!K$50</f>
        <v>17625170.699135996</v>
      </c>
      <c r="M32" s="244"/>
      <c r="N32" s="244"/>
    </row>
    <row r="33" spans="2:17" ht="15" customHeight="1" x14ac:dyDescent="0.25">
      <c r="B33" s="248"/>
      <c r="C33" s="248"/>
      <c r="D33" s="403"/>
      <c r="E33" s="403"/>
      <c r="F33" s="403"/>
      <c r="G33" s="403"/>
      <c r="H33" s="403"/>
      <c r="I33" s="403"/>
      <c r="J33" s="403"/>
      <c r="K33" s="403"/>
      <c r="L33" s="403"/>
      <c r="M33" s="256"/>
      <c r="N33" s="256"/>
    </row>
    <row r="34" spans="2:17" ht="39.9" customHeight="1" x14ac:dyDescent="0.25">
      <c r="B34" s="248"/>
      <c r="C34" s="408" t="s">
        <v>77</v>
      </c>
      <c r="D34" s="409"/>
      <c r="E34" s="409"/>
      <c r="F34" s="409"/>
      <c r="G34" s="409"/>
      <c r="H34" s="409"/>
      <c r="I34" s="409"/>
      <c r="J34" s="409"/>
      <c r="K34" s="409"/>
      <c r="L34" s="409"/>
      <c r="M34" s="409"/>
      <c r="N34" s="256"/>
    </row>
    <row r="35" spans="2:17" ht="15" customHeight="1" x14ac:dyDescent="0.25">
      <c r="B35" s="248"/>
      <c r="C35" s="248"/>
      <c r="D35" s="256"/>
      <c r="E35" s="256"/>
      <c r="F35" s="256"/>
      <c r="G35" s="256"/>
      <c r="H35" s="256"/>
      <c r="I35" s="256"/>
      <c r="J35" s="256"/>
      <c r="K35" s="256"/>
      <c r="L35" s="256"/>
      <c r="M35" s="256"/>
      <c r="N35" s="256"/>
    </row>
    <row r="36" spans="2:17" ht="41.1" customHeight="1" x14ac:dyDescent="0.25">
      <c r="B36" s="248"/>
      <c r="C36" s="248"/>
      <c r="D36" s="404" t="s">
        <v>78</v>
      </c>
      <c r="E36" s="404"/>
      <c r="F36" s="404"/>
      <c r="G36" s="404"/>
      <c r="H36" s="404"/>
      <c r="I36" s="404"/>
      <c r="J36" s="404"/>
      <c r="K36" s="404"/>
      <c r="L36" s="404"/>
      <c r="M36" s="244"/>
      <c r="N36" s="244"/>
    </row>
    <row r="37" spans="2:17" ht="8.1" customHeight="1" x14ac:dyDescent="0.25">
      <c r="B37" s="248"/>
      <c r="C37" s="248"/>
      <c r="D37" s="252"/>
      <c r="E37" s="252"/>
      <c r="F37" s="252"/>
      <c r="G37" s="252"/>
      <c r="H37" s="252"/>
      <c r="I37" s="252"/>
      <c r="J37" s="252"/>
      <c r="K37" s="252"/>
      <c r="L37" s="252"/>
      <c r="M37" s="244"/>
      <c r="N37" s="244"/>
    </row>
    <row r="38" spans="2:17" ht="35.1" customHeight="1" x14ac:dyDescent="0.25">
      <c r="B38" s="248"/>
      <c r="C38" s="248"/>
      <c r="D38" s="251" t="s">
        <v>74</v>
      </c>
      <c r="E38" s="250"/>
      <c r="F38" s="309">
        <f>SUM(F39:F43)</f>
        <v>984760.37056085351</v>
      </c>
      <c r="G38" s="249"/>
      <c r="H38" s="309">
        <f>SUM(H39:H43)</f>
        <v>955939.082932655</v>
      </c>
      <c r="I38" s="249"/>
      <c r="J38" s="309">
        <f>SUM(J39:J43)</f>
        <v>955939.082932655</v>
      </c>
      <c r="K38" s="249"/>
      <c r="L38" s="309">
        <f>SUM(L39:L43)</f>
        <v>946899.75647368538</v>
      </c>
      <c r="M38" s="244"/>
      <c r="N38" s="244"/>
    </row>
    <row r="39" spans="2:17" ht="15.6" x14ac:dyDescent="0.25">
      <c r="B39" s="248"/>
      <c r="C39" s="248"/>
      <c r="D39" s="247">
        <f>'Datos del modelo'!$E$8</f>
        <v>2026</v>
      </c>
      <c r="E39" s="246"/>
      <c r="F39" s="311">
        <f>F20*('Datos del modelo'!E43+'Datos del modelo'!E43*'Datos del modelo'!E$54+'Datos del modelo'!E43*'Datos del modelo'!E$55)+(F11/'Datos del modelo'!E$58*'Datos del modelo'!E$57)</f>
        <v>222405.33333333337</v>
      </c>
      <c r="G39" s="254"/>
      <c r="H39" s="311">
        <f>H20*('Datos del modelo'!G43+'Datos del modelo'!G43*'Datos del modelo'!G$54+'Datos del modelo'!G43*'Datos del modelo'!G$55)+(H11/'Datos del modelo'!G$58*'Datos del modelo'!G$57)</f>
        <v>215057.51578947369</v>
      </c>
      <c r="I39" s="254"/>
      <c r="J39" s="311">
        <f>J20*('Datos del modelo'!I43+'Datos del modelo'!I43*'Datos del modelo'!I$54+'Datos del modelo'!I43*'Datos del modelo'!I$55)+(J11/'Datos del modelo'!I$58*'Datos del modelo'!I$57)</f>
        <v>215057.51578947369</v>
      </c>
      <c r="K39" s="254"/>
      <c r="L39" s="311">
        <f>L20*('Datos del modelo'!K43+'Datos del modelo'!K43*'Datos del modelo'!K$54+'Datos del modelo'!K43*'Datos del modelo'!K$55)+(L11/'Datos del modelo'!K$58*'Datos del modelo'!K$57)</f>
        <v>213320.53333333335</v>
      </c>
      <c r="M39" s="244"/>
      <c r="N39" s="244"/>
    </row>
    <row r="40" spans="2:17" ht="15.6" x14ac:dyDescent="0.25">
      <c r="B40" s="248"/>
      <c r="C40" s="248"/>
      <c r="D40" s="247">
        <f>'Datos del modelo'!$E$8+1</f>
        <v>2027</v>
      </c>
      <c r="E40" s="246"/>
      <c r="F40" s="311">
        <f>F21*('Datos del modelo'!E44+'Datos del modelo'!E44*'Datos del modelo'!E$54+'Datos del modelo'!E44*'Datos del modelo'!E$55)+(F12/'Datos del modelo'!E$58*'Datos del modelo'!E$57)</f>
        <v>184965.44000000003</v>
      </c>
      <c r="G40" s="254"/>
      <c r="H40" s="311">
        <f>H21*('Datos del modelo'!G44+'Datos del modelo'!G44*'Datos del modelo'!G$54+'Datos del modelo'!G44*'Datos del modelo'!G$55)+(H12/'Datos del modelo'!G$58*'Datos del modelo'!G$57)</f>
        <v>179755.46610526313</v>
      </c>
      <c r="I40" s="254"/>
      <c r="J40" s="311">
        <f>J21*('Datos del modelo'!I44+'Datos del modelo'!I44*'Datos del modelo'!I$54+'Datos del modelo'!I44*'Datos del modelo'!I$55)+(J12/'Datos del modelo'!I$58*'Datos del modelo'!I$57)</f>
        <v>179755.46610526313</v>
      </c>
      <c r="K40" s="254"/>
      <c r="L40" s="311">
        <f>L21*('Datos del modelo'!K44+'Datos del modelo'!K44*'Datos del modelo'!K$54+'Datos del modelo'!K44*'Datos del modelo'!K$55)+(L12/'Datos del modelo'!K$58*'Datos del modelo'!K$57)</f>
        <v>177983.74400000001</v>
      </c>
      <c r="M40" s="244"/>
      <c r="N40" s="244"/>
    </row>
    <row r="41" spans="2:17" ht="15.6" x14ac:dyDescent="0.25">
      <c r="B41" s="248"/>
      <c r="C41" s="248"/>
      <c r="D41" s="247">
        <f>'Datos del modelo'!$E$8+2</f>
        <v>2028</v>
      </c>
      <c r="E41" s="246"/>
      <c r="F41" s="311">
        <f>F22*('Datos del modelo'!E45+'Datos del modelo'!E45*'Datos del modelo'!E$54+'Datos del modelo'!E45*'Datos del modelo'!E$55)+(F13/'Datos del modelo'!E$58*'Datos del modelo'!E$57)</f>
        <v>188664.74880000003</v>
      </c>
      <c r="G41" s="254"/>
      <c r="H41" s="311">
        <f>H22*('Datos del modelo'!G45+'Datos del modelo'!G45*'Datos del modelo'!G$54+'Datos del modelo'!G45*'Datos del modelo'!G$55)+(H13/'Datos del modelo'!G$58*'Datos del modelo'!G$57)</f>
        <v>183350.5754273684</v>
      </c>
      <c r="I41" s="254"/>
      <c r="J41" s="311">
        <f>J22*('Datos del modelo'!I45+'Datos del modelo'!I45*'Datos del modelo'!I$54+'Datos del modelo'!I45*'Datos del modelo'!I$55)+(J13/'Datos del modelo'!I$58*'Datos del modelo'!I$57)</f>
        <v>183350.5754273684</v>
      </c>
      <c r="K41" s="254"/>
      <c r="L41" s="311">
        <f>L22*('Datos del modelo'!K45+'Datos del modelo'!K45*'Datos del modelo'!K$54+'Datos del modelo'!K45*'Datos del modelo'!K$55)+(L13/'Datos del modelo'!K$58*'Datos del modelo'!K$57)</f>
        <v>181543.41888000001</v>
      </c>
      <c r="M41" s="244"/>
      <c r="N41" s="244"/>
    </row>
    <row r="42" spans="2:17" ht="15.6" x14ac:dyDescent="0.25">
      <c r="B42" s="248"/>
      <c r="C42" s="248"/>
      <c r="D42" s="247">
        <f>'Datos del modelo'!$E$8+3</f>
        <v>2029</v>
      </c>
      <c r="E42" s="246"/>
      <c r="F42" s="311">
        <f>F23*('Datos del modelo'!E46+'Datos del modelo'!E46*'Datos del modelo'!E$54+'Datos del modelo'!E46*'Datos del modelo'!E$55)+(F14/'Datos del modelo'!E$58*'Datos del modelo'!E$57)</f>
        <v>192438.04377600003</v>
      </c>
      <c r="G42" s="254"/>
      <c r="H42" s="311">
        <f>H23*('Datos del modelo'!G46+'Datos del modelo'!G46*'Datos del modelo'!G$54+'Datos del modelo'!G46*'Datos del modelo'!G$55)+(H14/'Datos del modelo'!G$58*'Datos del modelo'!G$57)</f>
        <v>187017.58693591578</v>
      </c>
      <c r="I42" s="254"/>
      <c r="J42" s="311">
        <f>J23*('Datos del modelo'!I46+'Datos del modelo'!I46*'Datos del modelo'!I$54+'Datos del modelo'!I46*'Datos del modelo'!I$55)+(J14/'Datos del modelo'!I$58*'Datos del modelo'!I$57)</f>
        <v>187017.58693591578</v>
      </c>
      <c r="K42" s="254"/>
      <c r="L42" s="311">
        <f>L23*('Datos del modelo'!K46+'Datos del modelo'!K46*'Datos del modelo'!K$54+'Datos del modelo'!K46*'Datos del modelo'!K$55)+(L14/'Datos del modelo'!K$58*'Datos del modelo'!K$57)</f>
        <v>185174.28725760002</v>
      </c>
      <c r="M42" s="244"/>
      <c r="N42" s="244"/>
    </row>
    <row r="43" spans="2:17" ht="15.75" customHeight="1" x14ac:dyDescent="0.25">
      <c r="B43" s="248"/>
      <c r="C43" s="248"/>
      <c r="D43" s="247">
        <f>'Datos del modelo'!$E$8+4</f>
        <v>2030</v>
      </c>
      <c r="E43" s="246"/>
      <c r="F43" s="311">
        <f>F24*('Datos del modelo'!E47+'Datos del modelo'!E47*'Datos del modelo'!E$54+'Datos del modelo'!E47*'Datos del modelo'!E$55)+(F15/'Datos del modelo'!E$58*'Datos del modelo'!E$57)</f>
        <v>196286.80465152001</v>
      </c>
      <c r="G43" s="254"/>
      <c r="H43" s="311">
        <f>H24*('Datos del modelo'!G47+'Datos del modelo'!G47*'Datos del modelo'!G$54+'Datos del modelo'!G47*'Datos del modelo'!G$55)+(H15/'Datos del modelo'!G$58*'Datos del modelo'!G$57)</f>
        <v>190757.93867463409</v>
      </c>
      <c r="I43" s="254"/>
      <c r="J43" s="311">
        <f>J24*('Datos del modelo'!I47+'Datos del modelo'!I47*'Datos del modelo'!I$54+'Datos del modelo'!I47*'Datos del modelo'!I$55)+(J15/'Datos del modelo'!I$58*'Datos del modelo'!I$57)</f>
        <v>190757.93867463409</v>
      </c>
      <c r="K43" s="254"/>
      <c r="L43" s="311">
        <f>L24*('Datos del modelo'!K47+'Datos del modelo'!K47*'Datos del modelo'!K$54+'Datos del modelo'!K47*'Datos del modelo'!K$55)+(L15/'Datos del modelo'!K$58*'Datos del modelo'!K$57)</f>
        <v>188877.77300275196</v>
      </c>
      <c r="M43" s="244"/>
      <c r="N43" s="244"/>
    </row>
    <row r="44" spans="2:17" ht="15" customHeight="1" x14ac:dyDescent="0.25">
      <c r="B44" s="248"/>
      <c r="C44" s="248"/>
      <c r="D44" s="255"/>
      <c r="E44" s="246"/>
      <c r="F44" s="253"/>
      <c r="G44" s="254"/>
      <c r="H44" s="253"/>
      <c r="I44" s="254"/>
      <c r="J44" s="253"/>
      <c r="K44" s="254"/>
      <c r="L44" s="253"/>
      <c r="M44" s="244"/>
      <c r="N44" s="244"/>
    </row>
    <row r="45" spans="2:17" ht="42" customHeight="1" x14ac:dyDescent="0.25">
      <c r="B45" s="248"/>
      <c r="C45" s="248"/>
      <c r="D45" s="404" t="s">
        <v>103</v>
      </c>
      <c r="E45" s="404"/>
      <c r="F45" s="404"/>
      <c r="G45" s="404"/>
      <c r="H45" s="404"/>
      <c r="I45" s="404"/>
      <c r="J45" s="404"/>
      <c r="K45" s="404"/>
      <c r="L45" s="404"/>
      <c r="M45" s="244"/>
      <c r="N45" s="244"/>
    </row>
    <row r="46" spans="2:17" ht="8.1" customHeight="1" x14ac:dyDescent="0.25">
      <c r="B46" s="248"/>
      <c r="C46" s="248"/>
      <c r="D46" s="252"/>
      <c r="E46" s="252"/>
      <c r="F46" s="252"/>
      <c r="G46" s="252"/>
      <c r="H46" s="252"/>
      <c r="I46" s="252"/>
      <c r="J46" s="252"/>
      <c r="K46" s="252"/>
      <c r="L46" s="252"/>
      <c r="M46" s="244"/>
      <c r="N46" s="244"/>
    </row>
    <row r="47" spans="2:17" ht="35.1" customHeight="1" x14ac:dyDescent="0.25">
      <c r="B47" s="248"/>
      <c r="C47" s="248"/>
      <c r="D47" s="251" t="s">
        <v>74</v>
      </c>
      <c r="E47" s="250"/>
      <c r="F47" s="309">
        <f>SUM(F48:F52)</f>
        <v>4877382.4102408532</v>
      </c>
      <c r="G47" s="249"/>
      <c r="H47" s="309">
        <f>SUM(H48:H52)</f>
        <v>6617934.7770126555</v>
      </c>
      <c r="I47" s="249"/>
      <c r="J47" s="309">
        <f>SUM(J48:J52)</f>
        <v>6617934.7770126555</v>
      </c>
      <c r="K47" s="249"/>
      <c r="L47" s="309">
        <f>SUM(L48:L52)</f>
        <v>6608895.4505536854</v>
      </c>
      <c r="M47" s="244"/>
      <c r="N47" s="244"/>
    </row>
    <row r="48" spans="2:17" ht="15.6" x14ac:dyDescent="0.25">
      <c r="B48" s="248"/>
      <c r="C48" s="248"/>
      <c r="D48" s="247">
        <f>'Datos del modelo'!$E$8</f>
        <v>2026</v>
      </c>
      <c r="E48" s="246"/>
      <c r="F48" s="310">
        <f>F39+(F11*'Datos del modelo'!E$63)+'Datos del modelo'!E62</f>
        <v>970405.33333333337</v>
      </c>
      <c r="G48" s="245"/>
      <c r="H48" s="310">
        <f>H39+(H11*'Datos del modelo'!G$63)+'Datos del modelo'!G62</f>
        <v>1303057.5157894737</v>
      </c>
      <c r="I48" s="245"/>
      <c r="J48" s="310">
        <f>J39+(J11*'Datos del modelo'!I$63)+'Datos del modelo'!I62</f>
        <v>1303057.5157894737</v>
      </c>
      <c r="K48" s="245"/>
      <c r="L48" s="310">
        <f>L39+(L11*'Datos del modelo'!K$63)+'Datos del modelo'!K62</f>
        <v>1301320.5333333334</v>
      </c>
      <c r="M48" s="244"/>
      <c r="N48" s="244"/>
      <c r="O48" s="281"/>
      <c r="P48" s="281"/>
      <c r="Q48" s="281"/>
    </row>
    <row r="49" spans="2:14" ht="15.6" x14ac:dyDescent="0.25">
      <c r="B49" s="248"/>
      <c r="C49" s="248"/>
      <c r="D49" s="247">
        <f>'Datos del modelo'!$E$8+1</f>
        <v>2027</v>
      </c>
      <c r="E49" s="246"/>
      <c r="F49" s="310">
        <f>F40+F12*'Datos del modelo'!E$63</f>
        <v>947925.44000000006</v>
      </c>
      <c r="G49" s="245"/>
      <c r="H49" s="310">
        <f>H40+H12*'Datos del modelo'!G$63</f>
        <v>1289515.4661052632</v>
      </c>
      <c r="I49" s="245"/>
      <c r="J49" s="310">
        <f>J40+J12*'Datos del modelo'!I$63</f>
        <v>1289515.4661052632</v>
      </c>
      <c r="K49" s="245"/>
      <c r="L49" s="310">
        <f>L40+L12*'Datos del modelo'!K63</f>
        <v>1287743.7439999999</v>
      </c>
      <c r="M49" s="244"/>
      <c r="N49" s="244"/>
    </row>
    <row r="50" spans="2:14" ht="15.6" x14ac:dyDescent="0.25">
      <c r="B50" s="248"/>
      <c r="C50" s="248"/>
      <c r="D50" s="247">
        <f>'Datos del modelo'!$E$8+2</f>
        <v>2028</v>
      </c>
      <c r="E50" s="246"/>
      <c r="F50" s="310">
        <f>F41+F13*'Datos del modelo'!E$63</f>
        <v>966883.94880000001</v>
      </c>
      <c r="G50" s="245"/>
      <c r="H50" s="310">
        <f>H41+H13*'Datos del modelo'!G$63</f>
        <v>1315305.7754273685</v>
      </c>
      <c r="I50" s="245"/>
      <c r="J50" s="310">
        <f>J41+J13*'Datos del modelo'!I$63</f>
        <v>1315305.7754273685</v>
      </c>
      <c r="K50" s="245"/>
      <c r="L50" s="310">
        <f>L41+L13*'Datos del modelo'!K63</f>
        <v>1313498.61888</v>
      </c>
      <c r="M50" s="244"/>
      <c r="N50" s="244"/>
    </row>
    <row r="51" spans="2:14" ht="15.6" x14ac:dyDescent="0.25">
      <c r="B51" s="248"/>
      <c r="C51" s="248"/>
      <c r="D51" s="247">
        <f>'Datos del modelo'!$E$8+3</f>
        <v>2029</v>
      </c>
      <c r="E51" s="246"/>
      <c r="F51" s="310">
        <f>F42+F14*'Datos del modelo'!E$63</f>
        <v>986221.62777599995</v>
      </c>
      <c r="G51" s="245"/>
      <c r="H51" s="310">
        <f>H42+H14*'Datos del modelo'!G$63</f>
        <v>1341611.8909359158</v>
      </c>
      <c r="I51" s="245"/>
      <c r="J51" s="310">
        <f>J42+J14*'Datos del modelo'!I$63</f>
        <v>1341611.8909359158</v>
      </c>
      <c r="K51" s="245"/>
      <c r="L51" s="310">
        <f>L42+L14*'Datos del modelo'!K63</f>
        <v>1339768.5912576001</v>
      </c>
      <c r="M51" s="244"/>
      <c r="N51" s="244"/>
    </row>
    <row r="52" spans="2:14" ht="15.6" x14ac:dyDescent="0.25">
      <c r="B52" s="248"/>
      <c r="C52" s="248"/>
      <c r="D52" s="247">
        <f>'Datos del modelo'!$E$8+4</f>
        <v>2030</v>
      </c>
      <c r="E52" s="246"/>
      <c r="F52" s="310">
        <f>F43+F15*'Datos del modelo'!E$63</f>
        <v>1005946.0603315199</v>
      </c>
      <c r="G52" s="245"/>
      <c r="H52" s="310">
        <f>H43+H15*'Datos del modelo'!G$63</f>
        <v>1368444.1287546339</v>
      </c>
      <c r="I52" s="245"/>
      <c r="J52" s="310">
        <f>J43+J15*'Datos del modelo'!I$63</f>
        <v>1368444.1287546339</v>
      </c>
      <c r="K52" s="245"/>
      <c r="L52" s="310">
        <f>L43+L15*'Datos del modelo'!K63</f>
        <v>1366563.9630827517</v>
      </c>
      <c r="M52" s="244"/>
      <c r="N52" s="244"/>
    </row>
    <row r="53" spans="2:14" ht="15" customHeight="1" x14ac:dyDescent="0.25">
      <c r="B53" s="244"/>
      <c r="C53" s="244"/>
      <c r="D53" s="244"/>
      <c r="E53" s="244"/>
      <c r="F53" s="244"/>
      <c r="G53" s="244"/>
      <c r="H53" s="244"/>
      <c r="I53" s="244"/>
      <c r="J53" s="244"/>
      <c r="K53" s="244"/>
      <c r="L53" s="244"/>
      <c r="M53" s="244"/>
      <c r="N53" s="244"/>
    </row>
    <row r="54" spans="2:14" ht="39.9" customHeight="1" x14ac:dyDescent="0.25">
      <c r="B54" s="244"/>
      <c r="C54" s="410" t="s">
        <v>79</v>
      </c>
      <c r="D54" s="411"/>
      <c r="E54" s="411"/>
      <c r="F54" s="411"/>
      <c r="G54" s="411"/>
      <c r="H54" s="411"/>
      <c r="I54" s="411"/>
      <c r="J54" s="411"/>
      <c r="K54" s="411"/>
      <c r="L54" s="411"/>
      <c r="M54" s="411"/>
      <c r="N54" s="244"/>
    </row>
    <row r="55" spans="2:14" ht="15" customHeight="1" x14ac:dyDescent="0.25">
      <c r="B55" s="244"/>
      <c r="C55" s="244"/>
      <c r="D55" s="244"/>
      <c r="E55" s="244"/>
      <c r="F55" s="244"/>
      <c r="G55" s="244"/>
      <c r="H55" s="244"/>
      <c r="I55" s="244"/>
      <c r="J55" s="244"/>
      <c r="K55" s="244"/>
      <c r="L55" s="244"/>
      <c r="M55" s="244"/>
      <c r="N55" s="244"/>
    </row>
    <row r="56" spans="2:14" ht="42" customHeight="1" x14ac:dyDescent="0.25">
      <c r="B56" s="248"/>
      <c r="C56" s="248"/>
      <c r="D56" s="401" t="s">
        <v>105</v>
      </c>
      <c r="E56" s="401"/>
      <c r="F56" s="401"/>
      <c r="G56" s="401"/>
      <c r="H56" s="401"/>
      <c r="I56" s="401"/>
      <c r="J56" s="401"/>
      <c r="K56" s="401"/>
      <c r="L56" s="401"/>
      <c r="M56" s="244"/>
      <c r="N56" s="244"/>
    </row>
    <row r="57" spans="2:14" ht="15.6" x14ac:dyDescent="0.25">
      <c r="B57" s="248"/>
      <c r="C57" s="248"/>
      <c r="D57" s="252"/>
      <c r="E57" s="252"/>
      <c r="F57" s="252"/>
      <c r="G57" s="252"/>
      <c r="H57" s="252"/>
      <c r="I57" s="252"/>
      <c r="J57" s="252"/>
      <c r="K57" s="252"/>
      <c r="L57" s="252"/>
      <c r="M57" s="244"/>
      <c r="N57" s="244"/>
    </row>
    <row r="58" spans="2:14" ht="31.2" x14ac:dyDescent="0.25">
      <c r="B58" s="248"/>
      <c r="C58" s="248"/>
      <c r="D58" s="251" t="s">
        <v>74</v>
      </c>
      <c r="E58" s="250"/>
      <c r="F58" s="309">
        <f>SUM(F59:F63)</f>
        <v>9647479.0884637423</v>
      </c>
      <c r="G58" s="249"/>
      <c r="H58" s="309">
        <f>SUM(H59:H63)</f>
        <v>4948758.9052911829</v>
      </c>
      <c r="I58" s="249"/>
      <c r="J58" s="309">
        <f>SUM(J59:J63)</f>
        <v>8100985.0808373895</v>
      </c>
      <c r="K58" s="249"/>
      <c r="L58" s="309">
        <f>SUM(L59:L63)</f>
        <v>5593626.9866052279</v>
      </c>
      <c r="M58" s="244"/>
      <c r="N58" s="244"/>
    </row>
    <row r="59" spans="2:14" ht="15.6" x14ac:dyDescent="0.25">
      <c r="B59" s="248"/>
      <c r="C59" s="248"/>
      <c r="D59" s="247">
        <f>'Datos del modelo'!$E$8</f>
        <v>2026</v>
      </c>
      <c r="E59" s="246"/>
      <c r="F59" s="311">
        <f>F20*('Datos del modelo'!E36+'Datos del modelo'!E36*'Datos del modelo'!E$54+'Datos del modelo'!E36*'Datos del modelo'!E$55)+(F11/'Datos del modelo'!E$58*'Datos del modelo'!E$57)</f>
        <v>2213481.6</v>
      </c>
      <c r="G59" s="254"/>
      <c r="H59" s="311">
        <f>H20*('Datos del modelo'!G36+'Datos del modelo'!G36*'Datos del modelo'!G$54+'Datos del modelo'!G36*'Datos del modelo'!G$55)+(H11/'Datos del modelo'!G$58*'Datos del modelo'!G$57)</f>
        <v>1119838.3157894737</v>
      </c>
      <c r="I59" s="254"/>
      <c r="J59" s="311">
        <f>J20*('Datos del modelo'!I36+'Datos del modelo'!I36*'Datos del modelo'!I$54+'Datos del modelo'!I36*'Datos del modelo'!I$55)+(J11/'Datos del modelo'!I$58*'Datos del modelo'!I$57)</f>
        <v>1834138.9473684211</v>
      </c>
      <c r="K59" s="254"/>
      <c r="L59" s="311">
        <f>L20*('Datos del modelo'!K36+'Datos del modelo'!K36*'Datos del modelo'!K$54+'Datos del modelo'!K36*'Datos del modelo'!K$55)+(L11/'Datos del modelo'!K$58*'Datos del modelo'!K$57)</f>
        <v>1267882.666666667</v>
      </c>
      <c r="M59" s="244"/>
      <c r="N59" s="244"/>
    </row>
    <row r="60" spans="2:14" ht="15.6" x14ac:dyDescent="0.25">
      <c r="B60" s="248"/>
      <c r="C60" s="248"/>
      <c r="D60" s="247">
        <f>'Datos del modelo'!$E$8+1</f>
        <v>2027</v>
      </c>
      <c r="E60" s="246"/>
      <c r="F60" s="311">
        <f>F21*('Datos del modelo'!E37+'Datos del modelo'!E37*'Datos del modelo'!E$54+'Datos del modelo'!E37*'Datos del modelo'!E$55)+(F12/'Datos del modelo'!E$58*'Datos del modelo'!E$57)</f>
        <v>1803664.3679999996</v>
      </c>
      <c r="G60" s="254"/>
      <c r="H60" s="311">
        <f>H21*('Datos del modelo'!G37+'Datos del modelo'!G37*'Datos del modelo'!G$54+'Datos del modelo'!G37*'Datos del modelo'!G$55)+(H12/'Datos del modelo'!G$58*'Datos del modelo'!G$57)</f>
        <v>928987.08210526302</v>
      </c>
      <c r="I60" s="254"/>
      <c r="J60" s="311">
        <f>J21*('Datos del modelo'!I37+'Datos del modelo'!I37*'Datos del modelo'!I$54+'Datos del modelo'!I37*'Datos del modelo'!I$55)+(J12/'Datos del modelo'!I$58*'Datos del modelo'!I$57)</f>
        <v>1520485.7263157894</v>
      </c>
      <c r="K60" s="254"/>
      <c r="L60" s="311">
        <f>L21*('Datos del modelo'!K37+'Datos del modelo'!K37*'Datos del modelo'!K$54+'Datos del modelo'!K37*'Datos del modelo'!K$55)+(L12/'Datos del modelo'!K$58*'Datos del modelo'!K$57)</f>
        <v>1049528.3200000001</v>
      </c>
      <c r="M60" s="244"/>
      <c r="N60" s="244"/>
    </row>
    <row r="61" spans="2:14" ht="15.6" x14ac:dyDescent="0.25">
      <c r="B61" s="248"/>
      <c r="C61" s="248"/>
      <c r="D61" s="247">
        <f>'Datos del modelo'!$E$8+2</f>
        <v>2028</v>
      </c>
      <c r="E61" s="246"/>
      <c r="F61" s="311">
        <f>F22*('Datos del modelo'!E38+'Datos del modelo'!E38*'Datos del modelo'!E$54+'Datos del modelo'!E38*'Datos del modelo'!E$55)+(F13/'Datos del modelo'!E$58*'Datos del modelo'!E$57)</f>
        <v>1839737.6553599995</v>
      </c>
      <c r="G61" s="254"/>
      <c r="H61" s="311">
        <f>H22*('Datos del modelo'!G38+'Datos del modelo'!G38*'Datos del modelo'!G$54+'Datos del modelo'!G38*'Datos del modelo'!G$55)+(H13/'Datos del modelo'!G$58*'Datos del modelo'!G$57)</f>
        <v>947566.8237473683</v>
      </c>
      <c r="I61" s="254"/>
      <c r="J61" s="311">
        <f>J22*('Datos del modelo'!I38+'Datos del modelo'!I38*'Datos del modelo'!I$54+'Datos del modelo'!I38*'Datos del modelo'!I$55)+(J13/'Datos del modelo'!I$58*'Datos del modelo'!I$57)</f>
        <v>1550895.4408421051</v>
      </c>
      <c r="K61" s="254"/>
      <c r="L61" s="311">
        <f>L22*('Datos del modelo'!K38+'Datos del modelo'!K38*'Datos del modelo'!K$54+'Datos del modelo'!K38*'Datos del modelo'!K$55)+(L13/'Datos del modelo'!K$58*'Datos del modelo'!K$57)</f>
        <v>1070518.8864000002</v>
      </c>
      <c r="M61" s="244"/>
      <c r="N61" s="244"/>
    </row>
    <row r="62" spans="2:14" ht="15.6" x14ac:dyDescent="0.25">
      <c r="B62" s="248"/>
      <c r="C62" s="248"/>
      <c r="D62" s="247">
        <f>'Datos del modelo'!$E$8+3</f>
        <v>2029</v>
      </c>
      <c r="E62" s="246"/>
      <c r="F62" s="311">
        <f>F23*('Datos del modelo'!E39+'Datos del modelo'!E39*'Datos del modelo'!E$54+'Datos del modelo'!E39*'Datos del modelo'!E$55)+(F14/'Datos del modelo'!E$58*'Datos del modelo'!E$57)</f>
        <v>1876532.4084671994</v>
      </c>
      <c r="G62" s="254"/>
      <c r="H62" s="311">
        <f>H23*('Datos del modelo'!G39+'Datos del modelo'!G39*'Datos del modelo'!G$54+'Datos del modelo'!G39*'Datos del modelo'!G$55)+(H14/'Datos del modelo'!G$58*'Datos del modelo'!G$57)</f>
        <v>966518.16022231581</v>
      </c>
      <c r="I62" s="254"/>
      <c r="J62" s="311">
        <f>J23*('Datos del modelo'!I39+'Datos del modelo'!I39*'Datos del modelo'!I$54+'Datos del modelo'!I39*'Datos del modelo'!I$55)+(J14/'Datos del modelo'!I$58*'Datos del modelo'!I$57)</f>
        <v>1581913.3496589474</v>
      </c>
      <c r="K62" s="254"/>
      <c r="L62" s="311">
        <f>L23*('Datos del modelo'!K39+'Datos del modelo'!K39*'Datos del modelo'!K$54+'Datos del modelo'!K39*'Datos del modelo'!K$55)+(L14/'Datos del modelo'!K$58*'Datos del modelo'!K$57)</f>
        <v>1091929.2641280002</v>
      </c>
      <c r="M62" s="244"/>
      <c r="N62" s="244"/>
    </row>
    <row r="63" spans="2:14" ht="15.6" x14ac:dyDescent="0.25">
      <c r="B63" s="248"/>
      <c r="C63" s="248"/>
      <c r="D63" s="247">
        <f>'Datos del modelo'!$E$8+4</f>
        <v>2030</v>
      </c>
      <c r="E63" s="246"/>
      <c r="F63" s="311">
        <f>F24*('Datos del modelo'!E40+'Datos del modelo'!E40*'Datos del modelo'!E$54+'Datos del modelo'!E40*'Datos del modelo'!E$55)+(F15/'Datos del modelo'!E$58*'Datos del modelo'!E$57)</f>
        <v>1914063.0566365435</v>
      </c>
      <c r="G63" s="254"/>
      <c r="H63" s="311">
        <f>H24*('Datos del modelo'!G40+'Datos del modelo'!G40*'Datos del modelo'!G$54+'Datos del modelo'!G40*'Datos del modelo'!G$55)+(H15/'Datos del modelo'!G$58*'Datos del modelo'!G$57)</f>
        <v>985848.52342676197</v>
      </c>
      <c r="I63" s="254"/>
      <c r="J63" s="311">
        <f>J24*('Datos del modelo'!I40+'Datos del modelo'!I40*'Datos del modelo'!I$54+'Datos del modelo'!I40*'Datos del modelo'!I$55)+(J15/'Datos del modelo'!I$58*'Datos del modelo'!I$57)</f>
        <v>1613551.6166521262</v>
      </c>
      <c r="K63" s="254"/>
      <c r="L63" s="311">
        <f>L24*('Datos del modelo'!K40+'Datos del modelo'!K40*'Datos del modelo'!K$54+'Datos del modelo'!K40*'Datos del modelo'!K$55)+(L15/'Datos del modelo'!K$58*'Datos del modelo'!K$57)</f>
        <v>1113767.84941056</v>
      </c>
      <c r="M63" s="244"/>
      <c r="N63" s="244"/>
    </row>
    <row r="64" spans="2:14" ht="15.6" x14ac:dyDescent="0.25">
      <c r="B64" s="248"/>
      <c r="C64" s="248"/>
      <c r="D64" s="255"/>
      <c r="E64" s="246"/>
      <c r="F64" s="253"/>
      <c r="G64" s="254"/>
      <c r="H64" s="253"/>
      <c r="I64" s="254"/>
      <c r="J64" s="253"/>
      <c r="K64" s="254"/>
      <c r="L64" s="253"/>
      <c r="M64" s="244"/>
      <c r="N64" s="244"/>
    </row>
    <row r="65" spans="2:14" ht="42" customHeight="1" x14ac:dyDescent="0.25">
      <c r="B65" s="248"/>
      <c r="C65" s="248"/>
      <c r="D65" s="401" t="s">
        <v>104</v>
      </c>
      <c r="E65" s="401"/>
      <c r="F65" s="401"/>
      <c r="G65" s="401"/>
      <c r="H65" s="401"/>
      <c r="I65" s="401"/>
      <c r="J65" s="401"/>
      <c r="K65" s="401"/>
      <c r="L65" s="401"/>
      <c r="M65" s="244"/>
      <c r="N65" s="244"/>
    </row>
    <row r="66" spans="2:14" ht="15.6" x14ac:dyDescent="0.25">
      <c r="B66" s="248"/>
      <c r="C66" s="248"/>
      <c r="D66" s="252"/>
      <c r="E66" s="252"/>
      <c r="F66" s="252"/>
      <c r="G66" s="252"/>
      <c r="H66" s="252"/>
      <c r="I66" s="252"/>
      <c r="J66" s="252"/>
      <c r="K66" s="252"/>
      <c r="L66" s="252"/>
      <c r="M66" s="244"/>
      <c r="N66" s="244"/>
    </row>
    <row r="67" spans="2:14" ht="31.2" x14ac:dyDescent="0.25">
      <c r="B67" s="248"/>
      <c r="C67" s="248"/>
      <c r="D67" s="251" t="s">
        <v>74</v>
      </c>
      <c r="E67" s="250"/>
      <c r="F67" s="309">
        <f>SUM(F68:F72)</f>
        <v>59882786.463786408</v>
      </c>
      <c r="G67" s="249"/>
      <c r="H67" s="309">
        <f>SUM(H68:H72)</f>
        <v>32240660.262913078</v>
      </c>
      <c r="I67" s="249"/>
      <c r="J67" s="309">
        <f>SUM(J68:J72)</f>
        <v>34369536.543722443</v>
      </c>
      <c r="K67" s="249"/>
      <c r="L67" s="309">
        <f>SUM(L68:L72)</f>
        <v>94143999.309207886</v>
      </c>
      <c r="M67" s="244"/>
      <c r="N67" s="244"/>
    </row>
    <row r="68" spans="2:14" ht="15.6" x14ac:dyDescent="0.25">
      <c r="B68" s="248"/>
      <c r="C68" s="248"/>
      <c r="D68" s="247">
        <f>'Datos del modelo'!$E$8</f>
        <v>2026</v>
      </c>
      <c r="E68" s="246"/>
      <c r="F68" s="310">
        <f>F59+(F28*'Datos del modelo'!E$63)+'Datos del modelo'!E62</f>
        <v>13614248.266666668</v>
      </c>
      <c r="G68" s="245"/>
      <c r="H68" s="310">
        <f>H59+(H28*'Datos del modelo'!G$63)+'Datos del modelo'!G62</f>
        <v>7072343.578947369</v>
      </c>
      <c r="I68" s="245"/>
      <c r="J68" s="310">
        <f>J59+(J28*'Datos del modelo'!I$63)+'Datos del modelo'!I62</f>
        <v>7786644.2105263155</v>
      </c>
      <c r="K68" s="245"/>
      <c r="L68" s="310">
        <f>L59+(L28*'Datos del modelo'!K$63)+'Datos del modelo'!K62</f>
        <v>21364149.33333334</v>
      </c>
      <c r="M68" s="244"/>
      <c r="N68" s="244"/>
    </row>
    <row r="69" spans="2:14" ht="15.6" x14ac:dyDescent="0.25">
      <c r="B69" s="248"/>
      <c r="C69" s="248"/>
      <c r="D69" s="247">
        <f>'Datos del modelo'!$E$8+1</f>
        <v>2027</v>
      </c>
      <c r="E69" s="246"/>
      <c r="F69" s="310">
        <f>F60+F29*'Datos del modelo'!E$63</f>
        <v>11225846.367999999</v>
      </c>
      <c r="G69" s="245"/>
      <c r="H69" s="310">
        <f>H60+H28*'Datos del modelo'!G$63</f>
        <v>6881492.345263158</v>
      </c>
      <c r="I69" s="245"/>
      <c r="J69" s="310">
        <f>J60+J29*'Datos del modelo'!I$63</f>
        <v>6449641.0947368424</v>
      </c>
      <c r="K69" s="245"/>
      <c r="L69" s="310">
        <f>L60+L29*'Datos del modelo'!K$63</f>
        <v>17658120.32</v>
      </c>
      <c r="M69" s="244"/>
      <c r="N69" s="244"/>
    </row>
    <row r="70" spans="2:14" ht="15.6" x14ac:dyDescent="0.25">
      <c r="B70" s="248"/>
      <c r="C70" s="248"/>
      <c r="D70" s="247">
        <f>'Datos del modelo'!$E$8+2</f>
        <v>2028</v>
      </c>
      <c r="E70" s="246"/>
      <c r="F70" s="310">
        <f>F61+F30*'Datos del modelo'!E$63</f>
        <v>11450363.295360001</v>
      </c>
      <c r="G70" s="245"/>
      <c r="H70" s="310">
        <f>H61+H30*'Datos del modelo'!G$63</f>
        <v>5975305.2995368419</v>
      </c>
      <c r="I70" s="245"/>
      <c r="J70" s="310">
        <f>J61+J30*'Datos del modelo'!I$63</f>
        <v>6578633.9166315785</v>
      </c>
      <c r="K70" s="245"/>
      <c r="L70" s="310">
        <f>L61+L30*'Datos del modelo'!K$63</f>
        <v>18011282.726399999</v>
      </c>
      <c r="M70" s="244"/>
      <c r="N70" s="244"/>
    </row>
    <row r="71" spans="2:14" ht="15.6" x14ac:dyDescent="0.25">
      <c r="B71" s="248"/>
      <c r="C71" s="248"/>
      <c r="D71" s="247">
        <f>'Datos del modelo'!$E$8+3</f>
        <v>2029</v>
      </c>
      <c r="E71" s="246"/>
      <c r="F71" s="310">
        <f>F62+F31*'Datos del modelo'!E$63</f>
        <v>11679370.561267201</v>
      </c>
      <c r="G71" s="245"/>
      <c r="H71" s="310">
        <f>H62+H31*'Datos del modelo'!G$63</f>
        <v>6094811.4055275796</v>
      </c>
      <c r="I71" s="245"/>
      <c r="J71" s="310">
        <f>J62+J31*'Datos del modelo'!I$63</f>
        <v>6710206.5949642109</v>
      </c>
      <c r="K71" s="245"/>
      <c r="L71" s="310">
        <f>L62+L31*'Datos del modelo'!K$63</f>
        <v>18371508.380928002</v>
      </c>
      <c r="M71" s="244"/>
      <c r="N71" s="244"/>
    </row>
    <row r="72" spans="2:14" ht="15.6" x14ac:dyDescent="0.25">
      <c r="B72" s="248"/>
      <c r="C72" s="248"/>
      <c r="D72" s="247">
        <f>'Datos del modelo'!$E$8+4</f>
        <v>2030</v>
      </c>
      <c r="E72" s="246"/>
      <c r="F72" s="310">
        <f>F63+F32*'Datos del modelo'!E$63</f>
        <v>11912957.972492544</v>
      </c>
      <c r="G72" s="245"/>
      <c r="H72" s="310">
        <f>H63+H32*'Datos del modelo'!G$63</f>
        <v>6216707.6336381296</v>
      </c>
      <c r="I72" s="245"/>
      <c r="J72" s="310">
        <f>J63+J32*'Datos del modelo'!I$63</f>
        <v>6844410.7268634941</v>
      </c>
      <c r="K72" s="245"/>
      <c r="L72" s="310">
        <f>L63+L32*'Datos del modelo'!K$63</f>
        <v>18738938.548546556</v>
      </c>
      <c r="M72" s="244"/>
      <c r="N72" s="244"/>
    </row>
    <row r="73" spans="2:14" x14ac:dyDescent="0.25">
      <c r="B73" s="244"/>
      <c r="C73" s="244"/>
      <c r="D73" s="244"/>
      <c r="E73" s="244"/>
      <c r="F73" s="244"/>
      <c r="G73" s="244"/>
      <c r="H73" s="244"/>
      <c r="I73" s="244"/>
      <c r="J73" s="244"/>
      <c r="K73" s="244"/>
      <c r="L73" s="244"/>
      <c r="M73" s="244"/>
      <c r="N73" s="244"/>
    </row>
  </sheetData>
  <sheetProtection algorithmName="SHA-512" hashValue="u6sQ1nBeEHfBNC5pEcREwU9Rfhd8KYZaThaedHuT2cyTTxtKUBhZ3UxDBa6848Nl/7j8HyzmqvwsW0Wyi/a07g==" saltValue="8sGyojlphxSUOGWeZaLlaQ=="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34:M34"/>
    <mergeCell ref="C54:M54"/>
    <mergeCell ref="B2:N2"/>
  </mergeCells>
  <conditionalFormatting sqref="F38 H38 J38 L38">
    <cfRule type="colorScale" priority="13">
      <colorScale>
        <cfvo type="min"/>
        <cfvo type="percentile" val="50"/>
        <cfvo type="max"/>
        <color theme="6"/>
        <color rgb="FFDFE382"/>
        <color theme="3"/>
      </colorScale>
    </cfRule>
  </conditionalFormatting>
  <conditionalFormatting sqref="F47:K47">
    <cfRule type="colorScale" priority="16">
      <colorScale>
        <cfvo type="min"/>
        <cfvo type="max"/>
        <color rgb="FF63BE7B"/>
        <color rgb="FFFFEF9C"/>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38 F38 J38">
    <cfRule type="colorScale" priority="14">
      <colorScale>
        <cfvo type="min"/>
        <cfvo type="percentile" val="50"/>
        <cfvo type="max"/>
        <color theme="6"/>
        <color rgb="FFDFE382"/>
        <color theme="3"/>
      </colorScale>
    </cfRule>
  </conditionalFormatting>
  <conditionalFormatting sqref="H47 F47 J47 L47">
    <cfRule type="colorScale" priority="12">
      <colorScale>
        <cfvo type="min"/>
        <cfvo type="percentile" val="50"/>
        <cfvo type="max"/>
        <color theme="6"/>
        <color rgb="FFDFE382"/>
        <color theme="3"/>
      </colorScale>
    </cfRule>
  </conditionalFormatting>
  <conditionalFormatting sqref="H58 F58 J58 L58">
    <cfRule type="colorScale" priority="2">
      <colorScale>
        <cfvo type="min"/>
        <cfvo type="percentile" val="50"/>
        <cfvo type="max"/>
        <color theme="6"/>
        <color rgb="FFDFE382"/>
        <color theme="3"/>
      </colorScale>
    </cfRule>
  </conditionalFormatting>
  <conditionalFormatting sqref="H58 F58 J58">
    <cfRule type="colorScale" priority="3">
      <colorScale>
        <cfvo type="min"/>
        <cfvo type="percentile" val="50"/>
        <cfvo type="max"/>
        <color theme="6"/>
        <color rgb="FFDFE382"/>
        <color theme="3"/>
      </colorScale>
    </cfRule>
  </conditionalFormatting>
  <conditionalFormatting sqref="H67 F67 J67 L67">
    <cfRule type="colorScale" priority="1">
      <colorScale>
        <cfvo type="min"/>
        <cfvo type="percentile" val="50"/>
        <cfvo type="max"/>
        <color theme="6"/>
        <color rgb="FFDFE382"/>
        <color theme="3"/>
      </colorScale>
    </cfRule>
  </conditionalFormatting>
  <conditionalFormatting sqref="J38 L38 H38 F38">
    <cfRule type="colorScale" priority="15">
      <colorScale>
        <cfvo type="min"/>
        <cfvo type="max"/>
        <color rgb="FF63BE7B"/>
        <color rgb="FFFFEF9C"/>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J58 L58 H58 F58">
    <cfRule type="colorScale" priority="4">
      <colorScale>
        <cfvo type="min"/>
        <cfvo type="max"/>
        <color theme="6"/>
        <color rgb="FFDFE382"/>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G38"/>
  <sheetViews>
    <sheetView topLeftCell="A11" workbookViewId="0">
      <selection activeCell="F23" sqref="F23"/>
    </sheetView>
  </sheetViews>
  <sheetFormatPr defaultColWidth="8.88671875" defaultRowHeight="14.4" x14ac:dyDescent="0.3"/>
  <cols>
    <col min="1" max="1" width="52" customWidth="1"/>
    <col min="2" max="27" width="20.5546875" customWidth="1"/>
  </cols>
  <sheetData>
    <row r="1" spans="1:6" ht="16.2" x14ac:dyDescent="0.3">
      <c r="A1" s="4" t="s">
        <v>80</v>
      </c>
      <c r="B1" s="4" t="s">
        <v>81</v>
      </c>
      <c r="C1" s="4" t="s">
        <v>82</v>
      </c>
      <c r="D1" s="4" t="s">
        <v>83</v>
      </c>
      <c r="E1" s="4" t="s">
        <v>84</v>
      </c>
    </row>
    <row r="2" spans="1:6" x14ac:dyDescent="0.3">
      <c r="A2" s="4"/>
      <c r="B2" s="4"/>
      <c r="C2" s="4"/>
      <c r="D2" s="4"/>
      <c r="E2" s="4"/>
    </row>
    <row r="3" spans="1:6" ht="28.8" x14ac:dyDescent="0.3">
      <c r="A3" s="8" t="s">
        <v>106</v>
      </c>
      <c r="B3" s="5">
        <v>2</v>
      </c>
      <c r="C3" s="3">
        <v>0.04</v>
      </c>
      <c r="D3" s="1">
        <v>17.12</v>
      </c>
      <c r="E3" s="10" t="s">
        <v>85</v>
      </c>
    </row>
    <row r="4" spans="1:6" ht="39" x14ac:dyDescent="0.3">
      <c r="A4" s="8" t="s">
        <v>107</v>
      </c>
      <c r="B4" s="5">
        <v>2</v>
      </c>
      <c r="C4" s="3">
        <v>0.04</v>
      </c>
      <c r="D4" s="1">
        <v>11.8</v>
      </c>
      <c r="E4" s="10" t="s">
        <v>85</v>
      </c>
    </row>
    <row r="5" spans="1:6" ht="28.8" x14ac:dyDescent="0.3">
      <c r="A5" s="8" t="s">
        <v>108</v>
      </c>
      <c r="B5" s="5">
        <v>3</v>
      </c>
      <c r="C5" s="3">
        <v>0.05</v>
      </c>
      <c r="D5" s="1">
        <v>4.2</v>
      </c>
      <c r="E5" s="9" t="s">
        <v>85</v>
      </c>
    </row>
    <row r="6" spans="1:6" ht="28.8" x14ac:dyDescent="0.3">
      <c r="A6" s="8" t="s">
        <v>109</v>
      </c>
      <c r="B6" s="5">
        <v>3</v>
      </c>
      <c r="C6" s="3">
        <v>0.06</v>
      </c>
      <c r="D6" s="1">
        <v>3.2</v>
      </c>
      <c r="E6" s="9" t="s">
        <v>85</v>
      </c>
    </row>
    <row r="7" spans="1:6" ht="28.8" x14ac:dyDescent="0.3">
      <c r="A7" s="8" t="s">
        <v>110</v>
      </c>
      <c r="B7" s="5">
        <v>3</v>
      </c>
      <c r="C7" s="3">
        <v>0.04</v>
      </c>
      <c r="D7" s="1">
        <v>14.45</v>
      </c>
      <c r="E7" s="10" t="s">
        <v>118</v>
      </c>
    </row>
    <row r="8" spans="1:6" ht="28.8" x14ac:dyDescent="0.3">
      <c r="A8" s="8" t="s">
        <v>111</v>
      </c>
      <c r="B8" s="5">
        <v>3</v>
      </c>
      <c r="C8" s="3">
        <v>0.05</v>
      </c>
      <c r="D8" s="1">
        <v>4.2</v>
      </c>
      <c r="E8" s="10" t="s">
        <v>85</v>
      </c>
    </row>
    <row r="9" spans="1:6" ht="28.8" x14ac:dyDescent="0.3">
      <c r="A9" s="8" t="s">
        <v>114</v>
      </c>
      <c r="B9" s="5">
        <v>3</v>
      </c>
      <c r="C9" s="3">
        <v>0.04</v>
      </c>
      <c r="D9" s="1">
        <v>20.059999999999999</v>
      </c>
      <c r="E9" s="10" t="s">
        <v>121</v>
      </c>
    </row>
    <row r="10" spans="1:6" ht="28.8" x14ac:dyDescent="0.3">
      <c r="A10" s="8" t="s">
        <v>115</v>
      </c>
      <c r="B10" s="5">
        <v>3</v>
      </c>
      <c r="C10" s="3">
        <v>0.09</v>
      </c>
      <c r="D10" s="1">
        <v>14.3</v>
      </c>
      <c r="E10" s="9" t="s">
        <v>85</v>
      </c>
    </row>
    <row r="11" spans="1:6" x14ac:dyDescent="0.3">
      <c r="A11" s="4" t="s">
        <v>34</v>
      </c>
      <c r="B11" t="s">
        <v>146</v>
      </c>
    </row>
    <row r="12" spans="1:6" x14ac:dyDescent="0.3">
      <c r="A12" t="s">
        <v>129</v>
      </c>
      <c r="B12" t="s">
        <v>132</v>
      </c>
    </row>
    <row r="13" spans="1:6" x14ac:dyDescent="0.3">
      <c r="A13" t="s">
        <v>130</v>
      </c>
    </row>
    <row r="14" spans="1:6" x14ac:dyDescent="0.3">
      <c r="A14" t="s">
        <v>131</v>
      </c>
      <c r="D14" s="8" t="s">
        <v>133</v>
      </c>
      <c r="F14" t="s">
        <v>134</v>
      </c>
    </row>
    <row r="15" spans="1:6" x14ac:dyDescent="0.3">
      <c r="A15" s="7"/>
      <c r="B15" s="285">
        <v>0</v>
      </c>
      <c r="D15" s="317">
        <v>7.0000000000000007E-2</v>
      </c>
      <c r="E15" s="318">
        <v>1</v>
      </c>
      <c r="F15" s="317">
        <f>'Datos del modelo'!E22</f>
        <v>0.2</v>
      </c>
    </row>
    <row r="16" spans="1:6" x14ac:dyDescent="0.3">
      <c r="B16" s="285">
        <v>0.05</v>
      </c>
      <c r="D16" s="317">
        <f>D15*1.15</f>
        <v>8.0500000000000002E-2</v>
      </c>
      <c r="E16" s="318">
        <v>2</v>
      </c>
      <c r="F16" s="317">
        <v>0.4</v>
      </c>
    </row>
    <row r="17" spans="2:7" x14ac:dyDescent="0.3">
      <c r="B17" s="285">
        <v>0.1</v>
      </c>
      <c r="D17" s="317">
        <f t="shared" ref="D17:D38" si="0">D16*1.15</f>
        <v>9.2574999999999991E-2</v>
      </c>
      <c r="E17" s="318">
        <v>3</v>
      </c>
      <c r="F17" s="317">
        <v>0.5</v>
      </c>
    </row>
    <row r="18" spans="2:7" x14ac:dyDescent="0.3">
      <c r="B18" s="285">
        <v>0.15</v>
      </c>
      <c r="D18" s="317">
        <f t="shared" si="0"/>
        <v>0.10646124999999998</v>
      </c>
      <c r="E18" s="318">
        <v>4</v>
      </c>
      <c r="F18" s="317">
        <v>0.6</v>
      </c>
    </row>
    <row r="19" spans="2:7" x14ac:dyDescent="0.3">
      <c r="B19" s="285">
        <v>0.2</v>
      </c>
      <c r="D19" s="317">
        <f t="shared" si="0"/>
        <v>0.12243043749999996</v>
      </c>
      <c r="E19" s="318">
        <v>5</v>
      </c>
      <c r="F19" s="317">
        <v>0.7</v>
      </c>
    </row>
    <row r="20" spans="2:7" x14ac:dyDescent="0.3">
      <c r="B20" s="285">
        <v>0.25</v>
      </c>
      <c r="D20" s="317">
        <f t="shared" si="0"/>
        <v>0.14079500312499996</v>
      </c>
      <c r="E20" s="318">
        <v>6</v>
      </c>
      <c r="F20" s="317">
        <v>0.8</v>
      </c>
    </row>
    <row r="21" spans="2:7" x14ac:dyDescent="0.3">
      <c r="B21" s="285">
        <v>0.3</v>
      </c>
      <c r="D21" s="317">
        <f t="shared" si="0"/>
        <v>0.16191425359374995</v>
      </c>
      <c r="E21" s="318">
        <v>7</v>
      </c>
      <c r="F21" s="317">
        <v>0.9</v>
      </c>
    </row>
    <row r="22" spans="2:7" x14ac:dyDescent="0.3">
      <c r="B22" s="285">
        <v>0.35</v>
      </c>
      <c r="D22" s="317">
        <f t="shared" si="0"/>
        <v>0.18620139163281244</v>
      </c>
      <c r="E22" s="318">
        <v>8</v>
      </c>
      <c r="F22" s="317">
        <v>0.9</v>
      </c>
    </row>
    <row r="23" spans="2:7" x14ac:dyDescent="0.3">
      <c r="B23" s="285">
        <v>0.4</v>
      </c>
      <c r="D23" s="317">
        <f t="shared" si="0"/>
        <v>0.21413160037773429</v>
      </c>
      <c r="E23" s="318">
        <f>'Datos del modelo'!D23</f>
        <v>2026</v>
      </c>
      <c r="F23" s="317" cm="1">
        <f t="array" ref="F23">IF('Datos del modelo'!E18=B11,INDEX($F$15:$F$22,MATCH('Datos del modelo'!E19,$E$15:$E$22),0),'Datos del modelo'!E22)</f>
        <v>0.5</v>
      </c>
      <c r="G23" t="s">
        <v>135</v>
      </c>
    </row>
    <row r="24" spans="2:7" x14ac:dyDescent="0.3">
      <c r="B24" s="285">
        <v>0.45</v>
      </c>
      <c r="D24" s="317">
        <f t="shared" si="0"/>
        <v>0.24625134043439442</v>
      </c>
      <c r="E24" s="318">
        <f>'Datos del modelo'!D24</f>
        <v>2027</v>
      </c>
      <c r="F24" s="317">
        <f>MIN(1,F23+(1-$F$23)/(9-'Datos del modelo'!$E$19))</f>
        <v>0.58333333333333337</v>
      </c>
      <c r="G24" s="319" t="s">
        <v>136</v>
      </c>
    </row>
    <row r="25" spans="2:7" x14ac:dyDescent="0.3">
      <c r="B25" s="285">
        <v>0.5</v>
      </c>
      <c r="D25" s="317">
        <f t="shared" si="0"/>
        <v>0.28318904149955354</v>
      </c>
      <c r="E25" s="318">
        <f>'Datos del modelo'!D25</f>
        <v>2028</v>
      </c>
      <c r="F25" s="317">
        <f>MIN(1,F24+(1-$F$23)/(9-'Datos del modelo'!$E$19))</f>
        <v>0.66666666666666674</v>
      </c>
      <c r="G25" t="s">
        <v>137</v>
      </c>
    </row>
    <row r="26" spans="2:7" x14ac:dyDescent="0.3">
      <c r="B26" s="285">
        <v>0.55000000000000004</v>
      </c>
      <c r="D26" s="317">
        <f t="shared" si="0"/>
        <v>0.32566739772448655</v>
      </c>
      <c r="E26" s="318">
        <f>'Datos del modelo'!D26</f>
        <v>2029</v>
      </c>
      <c r="F26" s="317">
        <f>MIN(1,F25+(1-$F$23)/(9-'Datos del modelo'!$E$19))</f>
        <v>0.75000000000000011</v>
      </c>
      <c r="G26" s="319" t="s">
        <v>138</v>
      </c>
    </row>
    <row r="27" spans="2:7" x14ac:dyDescent="0.3">
      <c r="B27" s="285">
        <v>0.6</v>
      </c>
      <c r="D27" s="317">
        <f t="shared" si="0"/>
        <v>0.37451750738315953</v>
      </c>
      <c r="E27" s="318">
        <f>'Datos del modelo'!D27</f>
        <v>2030</v>
      </c>
      <c r="F27" s="317">
        <f>MIN(1,F26+(1-$F$23)/(9-'Datos del modelo'!$E$19))</f>
        <v>0.83333333333333348</v>
      </c>
      <c r="G27" t="s">
        <v>139</v>
      </c>
    </row>
    <row r="28" spans="2:7" x14ac:dyDescent="0.3">
      <c r="B28" s="285">
        <v>0.65</v>
      </c>
      <c r="D28" s="317">
        <f t="shared" si="0"/>
        <v>0.43069513349063343</v>
      </c>
      <c r="E28" s="318"/>
      <c r="F28" s="317">
        <f>MIN(1,F27+(1-$F$23)/(9-'Datos del modelo'!$E$19))</f>
        <v>0.91666666666666685</v>
      </c>
      <c r="G28" s="319" t="s">
        <v>140</v>
      </c>
    </row>
    <row r="29" spans="2:7" x14ac:dyDescent="0.3">
      <c r="B29" s="285">
        <v>0.7</v>
      </c>
      <c r="D29" s="317">
        <f t="shared" si="0"/>
        <v>0.49529940351422841</v>
      </c>
      <c r="E29" s="318"/>
      <c r="F29" s="317">
        <f>MIN(1,F28+(1-$F$23)/(9-'Datos del modelo'!$E$19))</f>
        <v>1</v>
      </c>
      <c r="G29" t="s">
        <v>141</v>
      </c>
    </row>
    <row r="30" spans="2:7" x14ac:dyDescent="0.3">
      <c r="B30" s="285">
        <v>0.75</v>
      </c>
      <c r="D30" s="317">
        <f t="shared" si="0"/>
        <v>0.56959431404136263</v>
      </c>
      <c r="E30" s="318"/>
      <c r="F30" s="317">
        <f>MIN(1,F29+(1-$F$23)/(9-'Datos del modelo'!$E$19))</f>
        <v>1</v>
      </c>
      <c r="G30" s="319" t="s">
        <v>142</v>
      </c>
    </row>
    <row r="31" spans="2:7" x14ac:dyDescent="0.3">
      <c r="B31" s="285">
        <v>0.8</v>
      </c>
      <c r="D31" s="317">
        <f t="shared" si="0"/>
        <v>0.655033461147567</v>
      </c>
      <c r="E31" s="318"/>
      <c r="F31" s="317">
        <f>MIN(1,F30+(1-$F$23)/(9-'Datos del modelo'!$E$19))</f>
        <v>1</v>
      </c>
      <c r="G31" t="s">
        <v>143</v>
      </c>
    </row>
    <row r="32" spans="2:7" x14ac:dyDescent="0.3">
      <c r="B32" s="285">
        <v>0.85</v>
      </c>
      <c r="D32" s="317">
        <f t="shared" si="0"/>
        <v>0.75328848031970197</v>
      </c>
      <c r="E32" s="317"/>
      <c r="F32" s="317"/>
    </row>
    <row r="33" spans="2:6" x14ac:dyDescent="0.3">
      <c r="B33" s="285">
        <v>0.9</v>
      </c>
      <c r="D33" s="317">
        <f t="shared" si="0"/>
        <v>0.86628175236765714</v>
      </c>
      <c r="E33" s="317"/>
      <c r="F33" s="317"/>
    </row>
    <row r="34" spans="2:6" x14ac:dyDescent="0.3">
      <c r="B34" s="285">
        <v>0.95</v>
      </c>
      <c r="D34" s="317">
        <f t="shared" si="0"/>
        <v>0.99622401522280568</v>
      </c>
      <c r="E34" s="317"/>
      <c r="F34" s="317"/>
    </row>
    <row r="35" spans="2:6" x14ac:dyDescent="0.3">
      <c r="B35" s="285">
        <v>1</v>
      </c>
      <c r="D35" s="317">
        <f t="shared" si="0"/>
        <v>1.1456576175062265</v>
      </c>
      <c r="E35" s="317"/>
    </row>
    <row r="36" spans="2:6" x14ac:dyDescent="0.3">
      <c r="D36" s="317">
        <f>D35*1.15</f>
        <v>1.3175062601321603</v>
      </c>
    </row>
    <row r="37" spans="2:6" x14ac:dyDescent="0.3">
      <c r="D37" s="317">
        <f t="shared" si="0"/>
        <v>1.5151321991519842</v>
      </c>
    </row>
    <row r="38" spans="2:6" x14ac:dyDescent="0.3">
      <c r="D38" s="317">
        <f t="shared" si="0"/>
        <v>1.7424020290247817</v>
      </c>
    </row>
  </sheetData>
  <pageMargins left="0.7" right="0.7" top="0.75" bottom="0.75" header="0.3" footer="0.3"/>
  <pageSetup paperSize="9" orientation="portrait" r:id="rId1"/>
  <headerFooter>
    <oddHeader>&amp;L&amp;&amp;«Calibri»&amp;10&amp;K000000Clasificado como interno&amp;K000000&amp;1#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168"/>
  <sheetViews>
    <sheetView topLeftCell="A25" workbookViewId="0">
      <selection activeCell="C1" sqref="C1:C28"/>
    </sheetView>
  </sheetViews>
  <sheetFormatPr defaultColWidth="8.88671875" defaultRowHeight="14.4" x14ac:dyDescent="0.3"/>
  <cols>
    <col min="1" max="1" width="59.44140625" customWidth="1"/>
    <col min="2" max="3" width="8.88671875" style="1"/>
  </cols>
  <sheetData>
    <row r="1" spans="1:3" ht="28.8" x14ac:dyDescent="0.3">
      <c r="A1" s="8" t="s">
        <v>106</v>
      </c>
      <c r="B1" s="1">
        <v>2022</v>
      </c>
      <c r="C1" s="11">
        <v>2.36</v>
      </c>
    </row>
    <row r="2" spans="1:3" ht="28.8" x14ac:dyDescent="0.3">
      <c r="A2" s="8" t="s">
        <v>106</v>
      </c>
      <c r="B2" s="1">
        <v>2023</v>
      </c>
      <c r="C2" s="11">
        <v>2.36</v>
      </c>
    </row>
    <row r="3" spans="1:3" ht="28.8" x14ac:dyDescent="0.3">
      <c r="A3" s="8" t="s">
        <v>106</v>
      </c>
      <c r="B3" s="1">
        <v>2024</v>
      </c>
      <c r="C3" s="11">
        <v>2.36</v>
      </c>
    </row>
    <row r="4" spans="1:3" ht="28.8" x14ac:dyDescent="0.3">
      <c r="A4" s="8" t="s">
        <v>106</v>
      </c>
      <c r="B4" s="1">
        <v>2025</v>
      </c>
      <c r="C4" s="11">
        <v>2.38</v>
      </c>
    </row>
    <row r="5" spans="1:3" ht="28.8" x14ac:dyDescent="0.3">
      <c r="A5" s="8" t="s">
        <v>106</v>
      </c>
      <c r="B5" s="1">
        <v>2026</v>
      </c>
      <c r="C5" s="11">
        <v>2.46</v>
      </c>
    </row>
    <row r="6" spans="1:3" ht="28.8" x14ac:dyDescent="0.3">
      <c r="A6" s="8" t="s">
        <v>106</v>
      </c>
      <c r="B6" s="1">
        <v>2027</v>
      </c>
      <c r="C6" s="11" t="s">
        <v>86</v>
      </c>
    </row>
    <row r="7" spans="1:3" ht="28.8" x14ac:dyDescent="0.3">
      <c r="A7" s="8" t="s">
        <v>106</v>
      </c>
      <c r="B7" s="1">
        <v>2028</v>
      </c>
      <c r="C7" s="11" t="s">
        <v>86</v>
      </c>
    </row>
    <row r="8" spans="1:3" ht="28.8" x14ac:dyDescent="0.3">
      <c r="A8" s="8" t="s">
        <v>106</v>
      </c>
      <c r="B8" s="1">
        <v>2029</v>
      </c>
      <c r="C8" s="11" t="s">
        <v>86</v>
      </c>
    </row>
    <row r="9" spans="1:3" ht="28.8" x14ac:dyDescent="0.3">
      <c r="A9" s="8" t="s">
        <v>106</v>
      </c>
      <c r="B9" s="1">
        <v>2030</v>
      </c>
      <c r="C9" s="11" t="s">
        <v>86</v>
      </c>
    </row>
    <row r="10" spans="1:3" ht="28.8" x14ac:dyDescent="0.3">
      <c r="A10" s="8" t="s">
        <v>106</v>
      </c>
      <c r="B10" s="1">
        <v>2031</v>
      </c>
      <c r="C10" s="11" t="s">
        <v>86</v>
      </c>
    </row>
    <row r="11" spans="1:3" ht="28.8" x14ac:dyDescent="0.3">
      <c r="A11" s="8" t="s">
        <v>106</v>
      </c>
      <c r="B11" s="1">
        <v>2032</v>
      </c>
      <c r="C11" s="11" t="s">
        <v>86</v>
      </c>
    </row>
    <row r="12" spans="1:3" ht="28.8" x14ac:dyDescent="0.3">
      <c r="A12" s="8" t="s">
        <v>106</v>
      </c>
      <c r="B12" s="1">
        <v>2033</v>
      </c>
      <c r="C12" s="11" t="s">
        <v>86</v>
      </c>
    </row>
    <row r="13" spans="1:3" ht="28.8" x14ac:dyDescent="0.3">
      <c r="A13" s="8" t="s">
        <v>106</v>
      </c>
      <c r="B13" s="1">
        <v>2034</v>
      </c>
      <c r="C13" s="11" t="s">
        <v>86</v>
      </c>
    </row>
    <row r="14" spans="1:3" ht="28.8" x14ac:dyDescent="0.3">
      <c r="A14" s="8" t="s">
        <v>106</v>
      </c>
      <c r="B14" s="1">
        <v>2035</v>
      </c>
      <c r="C14" s="11" t="s">
        <v>86</v>
      </c>
    </row>
    <row r="15" spans="1:3" ht="39" x14ac:dyDescent="0.3">
      <c r="A15" s="8" t="s">
        <v>107</v>
      </c>
      <c r="B15" s="1">
        <v>2022</v>
      </c>
      <c r="C15" s="2" t="s">
        <v>86</v>
      </c>
    </row>
    <row r="16" spans="1:3" ht="39" x14ac:dyDescent="0.3">
      <c r="A16" s="8" t="s">
        <v>107</v>
      </c>
      <c r="B16" s="1">
        <v>2023</v>
      </c>
      <c r="C16" s="2" t="s">
        <v>86</v>
      </c>
    </row>
    <row r="17" spans="1:3" ht="39" x14ac:dyDescent="0.3">
      <c r="A17" s="8" t="s">
        <v>107</v>
      </c>
      <c r="B17" s="1">
        <v>2024</v>
      </c>
      <c r="C17" s="2">
        <v>2.06</v>
      </c>
    </row>
    <row r="18" spans="1:3" ht="39" x14ac:dyDescent="0.3">
      <c r="A18" s="8" t="s">
        <v>107</v>
      </c>
      <c r="B18" s="1">
        <v>2025</v>
      </c>
      <c r="C18" s="2">
        <v>2.08</v>
      </c>
    </row>
    <row r="19" spans="1:3" ht="39" x14ac:dyDescent="0.3">
      <c r="A19" s="8" t="s">
        <v>107</v>
      </c>
      <c r="B19" s="1">
        <v>2026</v>
      </c>
      <c r="C19" s="2">
        <v>2.04</v>
      </c>
    </row>
    <row r="20" spans="1:3" ht="39" x14ac:dyDescent="0.3">
      <c r="A20" s="8" t="s">
        <v>107</v>
      </c>
      <c r="B20" s="1">
        <v>2027</v>
      </c>
      <c r="C20" s="2">
        <v>2.0099999999999998</v>
      </c>
    </row>
    <row r="21" spans="1:3" ht="39" x14ac:dyDescent="0.3">
      <c r="A21" s="8" t="s">
        <v>107</v>
      </c>
      <c r="B21" s="1">
        <v>2028</v>
      </c>
      <c r="C21" s="2">
        <v>2.0099999999999998</v>
      </c>
    </row>
    <row r="22" spans="1:3" ht="39" x14ac:dyDescent="0.3">
      <c r="A22" s="8" t="s">
        <v>107</v>
      </c>
      <c r="B22" s="1">
        <v>2029</v>
      </c>
      <c r="C22" s="2">
        <v>2.0099999999999998</v>
      </c>
    </row>
    <row r="23" spans="1:3" ht="39" x14ac:dyDescent="0.3">
      <c r="A23" s="8" t="s">
        <v>107</v>
      </c>
      <c r="B23" s="1">
        <v>2030</v>
      </c>
      <c r="C23" s="2">
        <v>2.0099999999999998</v>
      </c>
    </row>
    <row r="24" spans="1:3" ht="39" x14ac:dyDescent="0.3">
      <c r="A24" s="8" t="s">
        <v>107</v>
      </c>
      <c r="B24" s="1">
        <v>2031</v>
      </c>
      <c r="C24" s="2">
        <v>2.0099999999999998</v>
      </c>
    </row>
    <row r="25" spans="1:3" ht="39" x14ac:dyDescent="0.3">
      <c r="A25" s="8" t="s">
        <v>107</v>
      </c>
      <c r="B25" s="1">
        <v>2032</v>
      </c>
      <c r="C25" s="2">
        <v>2.0099999999999998</v>
      </c>
    </row>
    <row r="26" spans="1:3" ht="39" x14ac:dyDescent="0.3">
      <c r="A26" s="8" t="s">
        <v>107</v>
      </c>
      <c r="B26" s="1">
        <v>2033</v>
      </c>
      <c r="C26" s="2">
        <v>2.0099999999999998</v>
      </c>
    </row>
    <row r="27" spans="1:3" ht="39" x14ac:dyDescent="0.3">
      <c r="A27" s="8" t="s">
        <v>107</v>
      </c>
      <c r="B27" s="1">
        <v>2034</v>
      </c>
      <c r="C27" s="2">
        <v>2.0099999999999998</v>
      </c>
    </row>
    <row r="28" spans="1:3" ht="39" x14ac:dyDescent="0.3">
      <c r="A28" s="8" t="s">
        <v>107</v>
      </c>
      <c r="B28" s="1">
        <v>2035</v>
      </c>
      <c r="C28" s="2">
        <v>2.0099999999999998</v>
      </c>
    </row>
    <row r="29" spans="1:3" ht="28.8" x14ac:dyDescent="0.3">
      <c r="A29" s="8" t="s">
        <v>108</v>
      </c>
      <c r="B29" s="1">
        <v>2022</v>
      </c>
      <c r="C29" s="2">
        <v>0.85</v>
      </c>
    </row>
    <row r="30" spans="1:3" ht="28.8" x14ac:dyDescent="0.3">
      <c r="A30" s="8" t="s">
        <v>108</v>
      </c>
      <c r="B30" s="1">
        <v>2023</v>
      </c>
      <c r="C30" s="2">
        <v>0.85</v>
      </c>
    </row>
    <row r="31" spans="1:3" ht="28.8" x14ac:dyDescent="0.3">
      <c r="A31" s="8" t="s">
        <v>108</v>
      </c>
      <c r="B31" s="1">
        <v>2024</v>
      </c>
      <c r="C31" s="2">
        <v>0.85</v>
      </c>
    </row>
    <row r="32" spans="1:3" ht="28.8" x14ac:dyDescent="0.3">
      <c r="A32" s="8" t="s">
        <v>108</v>
      </c>
      <c r="B32" s="1">
        <v>2025</v>
      </c>
      <c r="C32" s="2">
        <v>0.7</v>
      </c>
    </row>
    <row r="33" spans="1:3" ht="28.8" x14ac:dyDescent="0.3">
      <c r="A33" s="8" t="s">
        <v>108</v>
      </c>
      <c r="B33" s="1">
        <v>2026</v>
      </c>
      <c r="C33" s="2">
        <v>0.7</v>
      </c>
    </row>
    <row r="34" spans="1:3" ht="28.8" x14ac:dyDescent="0.3">
      <c r="A34" s="8" t="s">
        <v>108</v>
      </c>
      <c r="B34" s="1">
        <v>2027</v>
      </c>
      <c r="C34" s="2">
        <v>0.7</v>
      </c>
    </row>
    <row r="35" spans="1:3" ht="28.8" x14ac:dyDescent="0.3">
      <c r="A35" s="8" t="s">
        <v>108</v>
      </c>
      <c r="B35" s="1">
        <v>2028</v>
      </c>
      <c r="C35" s="2">
        <v>0.7</v>
      </c>
    </row>
    <row r="36" spans="1:3" ht="28.8" x14ac:dyDescent="0.3">
      <c r="A36" s="8" t="s">
        <v>108</v>
      </c>
      <c r="B36" s="1">
        <v>2029</v>
      </c>
      <c r="C36" s="2">
        <v>0.7</v>
      </c>
    </row>
    <row r="37" spans="1:3" ht="28.8" x14ac:dyDescent="0.3">
      <c r="A37" s="8" t="s">
        <v>108</v>
      </c>
      <c r="B37" s="1">
        <v>2030</v>
      </c>
      <c r="C37" s="2">
        <v>0.7</v>
      </c>
    </row>
    <row r="38" spans="1:3" ht="28.8" x14ac:dyDescent="0.3">
      <c r="A38" s="8" t="s">
        <v>108</v>
      </c>
      <c r="B38" s="1">
        <v>2031</v>
      </c>
      <c r="C38" s="2">
        <v>0.7</v>
      </c>
    </row>
    <row r="39" spans="1:3" ht="28.8" x14ac:dyDescent="0.3">
      <c r="A39" s="8" t="s">
        <v>108</v>
      </c>
      <c r="B39" s="1">
        <v>2032</v>
      </c>
      <c r="C39" s="2">
        <v>0.7</v>
      </c>
    </row>
    <row r="40" spans="1:3" ht="28.8" x14ac:dyDescent="0.3">
      <c r="A40" s="8" t="s">
        <v>108</v>
      </c>
      <c r="B40" s="1">
        <v>2033</v>
      </c>
      <c r="C40" s="2">
        <v>0.7</v>
      </c>
    </row>
    <row r="41" spans="1:3" ht="28.8" x14ac:dyDescent="0.3">
      <c r="A41" s="8" t="s">
        <v>108</v>
      </c>
      <c r="B41" s="1">
        <v>2034</v>
      </c>
      <c r="C41" s="2">
        <v>0.7</v>
      </c>
    </row>
    <row r="42" spans="1:3" ht="28.8" x14ac:dyDescent="0.3">
      <c r="A42" s="8" t="s">
        <v>108</v>
      </c>
      <c r="B42" s="1">
        <v>2035</v>
      </c>
      <c r="C42" s="2">
        <v>0.7</v>
      </c>
    </row>
    <row r="43" spans="1:3" ht="28.8" x14ac:dyDescent="0.3">
      <c r="A43" s="8" t="s">
        <v>109</v>
      </c>
      <c r="B43" s="1">
        <v>2022</v>
      </c>
      <c r="C43" s="2">
        <v>0.6</v>
      </c>
    </row>
    <row r="44" spans="1:3" ht="28.8" x14ac:dyDescent="0.3">
      <c r="A44" s="8" t="s">
        <v>109</v>
      </c>
      <c r="B44" s="1">
        <v>2023</v>
      </c>
      <c r="C44" s="2">
        <v>0.6</v>
      </c>
    </row>
    <row r="45" spans="1:3" ht="28.8" x14ac:dyDescent="0.3">
      <c r="A45" s="8" t="s">
        <v>109</v>
      </c>
      <c r="B45" s="1">
        <v>2024</v>
      </c>
      <c r="C45" s="2">
        <v>0.6</v>
      </c>
    </row>
    <row r="46" spans="1:3" ht="28.8" x14ac:dyDescent="0.3">
      <c r="A46" s="8" t="s">
        <v>109</v>
      </c>
      <c r="B46" s="1">
        <v>2025</v>
      </c>
      <c r="C46" s="2">
        <v>0.5</v>
      </c>
    </row>
    <row r="47" spans="1:3" ht="28.8" x14ac:dyDescent="0.3">
      <c r="A47" s="8" t="s">
        <v>109</v>
      </c>
      <c r="B47" s="1">
        <v>2026</v>
      </c>
      <c r="C47" s="2">
        <v>0.5</v>
      </c>
    </row>
    <row r="48" spans="1:3" ht="28.8" x14ac:dyDescent="0.3">
      <c r="A48" s="8" t="s">
        <v>109</v>
      </c>
      <c r="B48" s="1">
        <v>2027</v>
      </c>
      <c r="C48" s="2">
        <v>0.5</v>
      </c>
    </row>
    <row r="49" spans="1:3" ht="28.8" x14ac:dyDescent="0.3">
      <c r="A49" s="8" t="s">
        <v>109</v>
      </c>
      <c r="B49" s="1">
        <v>2028</v>
      </c>
      <c r="C49" s="2">
        <v>0.5</v>
      </c>
    </row>
    <row r="50" spans="1:3" ht="28.8" x14ac:dyDescent="0.3">
      <c r="A50" s="8" t="s">
        <v>109</v>
      </c>
      <c r="B50" s="1">
        <v>2029</v>
      </c>
      <c r="C50" s="2">
        <v>0.5</v>
      </c>
    </row>
    <row r="51" spans="1:3" ht="28.8" x14ac:dyDescent="0.3">
      <c r="A51" s="8" t="s">
        <v>109</v>
      </c>
      <c r="B51" s="1">
        <v>2030</v>
      </c>
      <c r="C51" s="2">
        <v>0.5</v>
      </c>
    </row>
    <row r="52" spans="1:3" ht="28.8" x14ac:dyDescent="0.3">
      <c r="A52" s="8" t="s">
        <v>109</v>
      </c>
      <c r="B52" s="1">
        <v>2031</v>
      </c>
      <c r="C52" s="2">
        <v>0.5</v>
      </c>
    </row>
    <row r="53" spans="1:3" ht="28.8" x14ac:dyDescent="0.3">
      <c r="A53" s="8" t="s">
        <v>109</v>
      </c>
      <c r="B53" s="1">
        <v>2032</v>
      </c>
      <c r="C53" s="2">
        <v>0.5</v>
      </c>
    </row>
    <row r="54" spans="1:3" ht="28.8" x14ac:dyDescent="0.3">
      <c r="A54" s="8" t="s">
        <v>109</v>
      </c>
      <c r="B54" s="1">
        <v>2033</v>
      </c>
      <c r="C54" s="2">
        <v>0.5</v>
      </c>
    </row>
    <row r="55" spans="1:3" ht="28.8" x14ac:dyDescent="0.3">
      <c r="A55" s="8" t="s">
        <v>109</v>
      </c>
      <c r="B55" s="1">
        <v>2034</v>
      </c>
      <c r="C55" s="2">
        <v>0.5</v>
      </c>
    </row>
    <row r="56" spans="1:3" ht="28.8" x14ac:dyDescent="0.3">
      <c r="A56" s="8" t="s">
        <v>109</v>
      </c>
      <c r="B56" s="1">
        <v>2035</v>
      </c>
      <c r="C56" s="2">
        <v>0.5</v>
      </c>
    </row>
    <row r="57" spans="1:3" ht="28.8" x14ac:dyDescent="0.3">
      <c r="A57" s="8" t="s">
        <v>110</v>
      </c>
      <c r="B57" s="1">
        <v>2022</v>
      </c>
      <c r="C57" s="11">
        <v>1.35</v>
      </c>
    </row>
    <row r="58" spans="1:3" ht="28.8" x14ac:dyDescent="0.3">
      <c r="A58" s="8" t="s">
        <v>110</v>
      </c>
      <c r="B58" s="1">
        <v>2023</v>
      </c>
      <c r="C58" s="11">
        <v>1.35</v>
      </c>
    </row>
    <row r="59" spans="1:3" ht="28.8" x14ac:dyDescent="0.3">
      <c r="A59" s="8" t="s">
        <v>110</v>
      </c>
      <c r="B59" s="1">
        <v>2024</v>
      </c>
      <c r="C59" s="11">
        <v>1.35</v>
      </c>
    </row>
    <row r="60" spans="1:3" ht="28.8" x14ac:dyDescent="0.3">
      <c r="A60" s="8" t="s">
        <v>110</v>
      </c>
      <c r="B60" s="1">
        <v>2025</v>
      </c>
      <c r="C60" s="11">
        <v>1.35</v>
      </c>
    </row>
    <row r="61" spans="1:3" ht="28.8" x14ac:dyDescent="0.3">
      <c r="A61" s="8" t="s">
        <v>110</v>
      </c>
      <c r="B61" s="1">
        <v>2026</v>
      </c>
      <c r="C61" s="11">
        <v>1.35</v>
      </c>
    </row>
    <row r="62" spans="1:3" ht="28.8" x14ac:dyDescent="0.3">
      <c r="A62" s="8" t="s">
        <v>110</v>
      </c>
      <c r="B62" s="1">
        <v>2027</v>
      </c>
      <c r="C62" s="11">
        <v>1.35</v>
      </c>
    </row>
    <row r="63" spans="1:3" ht="28.8" x14ac:dyDescent="0.3">
      <c r="A63" s="8" t="s">
        <v>110</v>
      </c>
      <c r="B63" s="1">
        <v>2028</v>
      </c>
      <c r="C63" s="11">
        <v>1.35</v>
      </c>
    </row>
    <row r="64" spans="1:3" ht="28.8" x14ac:dyDescent="0.3">
      <c r="A64" s="8" t="s">
        <v>110</v>
      </c>
      <c r="B64" s="1">
        <v>2029</v>
      </c>
      <c r="C64" s="11">
        <v>1.35</v>
      </c>
    </row>
    <row r="65" spans="1:3" ht="28.8" x14ac:dyDescent="0.3">
      <c r="A65" s="8" t="s">
        <v>110</v>
      </c>
      <c r="B65" s="1">
        <v>2030</v>
      </c>
      <c r="C65" s="11">
        <v>1.35</v>
      </c>
    </row>
    <row r="66" spans="1:3" ht="28.8" x14ac:dyDescent="0.3">
      <c r="A66" s="8" t="s">
        <v>110</v>
      </c>
      <c r="B66" s="1">
        <v>2031</v>
      </c>
      <c r="C66" s="11">
        <v>1.35</v>
      </c>
    </row>
    <row r="67" spans="1:3" ht="28.8" x14ac:dyDescent="0.3">
      <c r="A67" s="8" t="s">
        <v>110</v>
      </c>
      <c r="B67" s="1">
        <v>2032</v>
      </c>
      <c r="C67" s="11">
        <v>1.35</v>
      </c>
    </row>
    <row r="68" spans="1:3" ht="28.8" x14ac:dyDescent="0.3">
      <c r="A68" s="8" t="s">
        <v>110</v>
      </c>
      <c r="B68" s="1">
        <v>2033</v>
      </c>
      <c r="C68" s="11">
        <v>1.35</v>
      </c>
    </row>
    <row r="69" spans="1:3" ht="28.8" x14ac:dyDescent="0.3">
      <c r="A69" s="8" t="s">
        <v>110</v>
      </c>
      <c r="B69" s="1">
        <v>2034</v>
      </c>
      <c r="C69" s="11">
        <v>1.35</v>
      </c>
    </row>
    <row r="70" spans="1:3" ht="28.8" x14ac:dyDescent="0.3">
      <c r="A70" s="8" t="s">
        <v>110</v>
      </c>
      <c r="B70" s="1">
        <v>2035</v>
      </c>
      <c r="C70" s="11">
        <v>1.35</v>
      </c>
    </row>
    <row r="71" spans="1:3" ht="28.8" x14ac:dyDescent="0.3">
      <c r="A71" s="8" t="s">
        <v>111</v>
      </c>
      <c r="B71" s="1">
        <v>2022</v>
      </c>
      <c r="C71" s="11">
        <v>1.1499999999999999</v>
      </c>
    </row>
    <row r="72" spans="1:3" ht="28.8" x14ac:dyDescent="0.3">
      <c r="A72" s="8" t="s">
        <v>111</v>
      </c>
      <c r="B72" s="1">
        <v>2023</v>
      </c>
      <c r="C72" s="11">
        <v>1.1499999999999999</v>
      </c>
    </row>
    <row r="73" spans="1:3" ht="28.8" x14ac:dyDescent="0.3">
      <c r="A73" s="8" t="s">
        <v>111</v>
      </c>
      <c r="B73" s="1">
        <v>2024</v>
      </c>
      <c r="C73" s="11">
        <v>1.1499999999999999</v>
      </c>
    </row>
    <row r="74" spans="1:3" ht="28.8" x14ac:dyDescent="0.3">
      <c r="A74" s="8" t="s">
        <v>111</v>
      </c>
      <c r="B74" s="1">
        <v>2025</v>
      </c>
      <c r="C74" s="11">
        <v>1.1499999999999999</v>
      </c>
    </row>
    <row r="75" spans="1:3" ht="28.8" x14ac:dyDescent="0.3">
      <c r="A75" s="8" t="s">
        <v>111</v>
      </c>
      <c r="B75" s="1">
        <v>2026</v>
      </c>
      <c r="C75" s="11">
        <v>1.1499999999999999</v>
      </c>
    </row>
    <row r="76" spans="1:3" ht="28.8" x14ac:dyDescent="0.3">
      <c r="A76" s="8" t="s">
        <v>111</v>
      </c>
      <c r="B76" s="1">
        <v>2027</v>
      </c>
      <c r="C76" s="11">
        <v>1.1499999999999999</v>
      </c>
    </row>
    <row r="77" spans="1:3" ht="28.8" x14ac:dyDescent="0.3">
      <c r="A77" s="8" t="s">
        <v>111</v>
      </c>
      <c r="B77" s="1">
        <v>2028</v>
      </c>
      <c r="C77" s="11">
        <v>1.1499999999999999</v>
      </c>
    </row>
    <row r="78" spans="1:3" ht="28.8" x14ac:dyDescent="0.3">
      <c r="A78" s="8" t="s">
        <v>111</v>
      </c>
      <c r="B78" s="1">
        <v>2029</v>
      </c>
      <c r="C78" s="11">
        <v>1.1499999999999999</v>
      </c>
    </row>
    <row r="79" spans="1:3" ht="28.8" x14ac:dyDescent="0.3">
      <c r="A79" s="8" t="s">
        <v>111</v>
      </c>
      <c r="B79" s="1">
        <v>2030</v>
      </c>
      <c r="C79" s="11">
        <v>1.1499999999999999</v>
      </c>
    </row>
    <row r="80" spans="1:3" ht="28.8" x14ac:dyDescent="0.3">
      <c r="A80" s="8" t="s">
        <v>111</v>
      </c>
      <c r="B80" s="1">
        <v>2031</v>
      </c>
      <c r="C80" s="11">
        <v>1.1499999999999999</v>
      </c>
    </row>
    <row r="81" spans="1:3" ht="28.8" x14ac:dyDescent="0.3">
      <c r="A81" s="8" t="s">
        <v>111</v>
      </c>
      <c r="B81" s="1">
        <v>2032</v>
      </c>
      <c r="C81" s="11">
        <v>1.1499999999999999</v>
      </c>
    </row>
    <row r="82" spans="1:3" ht="28.8" x14ac:dyDescent="0.3">
      <c r="A82" s="8" t="s">
        <v>111</v>
      </c>
      <c r="B82" s="1">
        <v>2033</v>
      </c>
      <c r="C82" s="11">
        <v>1.1499999999999999</v>
      </c>
    </row>
    <row r="83" spans="1:3" ht="28.8" x14ac:dyDescent="0.3">
      <c r="A83" s="8" t="s">
        <v>111</v>
      </c>
      <c r="B83" s="1">
        <v>2034</v>
      </c>
      <c r="C83" s="11">
        <v>1.1499999999999999</v>
      </c>
    </row>
    <row r="84" spans="1:3" ht="28.8" x14ac:dyDescent="0.3">
      <c r="A84" s="8" t="s">
        <v>111</v>
      </c>
      <c r="B84" s="1">
        <v>2035</v>
      </c>
      <c r="C84" s="11">
        <v>1.1499999999999999</v>
      </c>
    </row>
    <row r="85" spans="1:3" ht="28.8" x14ac:dyDescent="0.3">
      <c r="A85" s="8" t="s">
        <v>112</v>
      </c>
      <c r="B85" s="1">
        <v>2022</v>
      </c>
      <c r="C85" s="11">
        <v>1.55</v>
      </c>
    </row>
    <row r="86" spans="1:3" ht="28.8" x14ac:dyDescent="0.3">
      <c r="A86" s="8" t="s">
        <v>112</v>
      </c>
      <c r="B86" s="1">
        <v>2023</v>
      </c>
      <c r="C86" s="11">
        <v>1.55</v>
      </c>
    </row>
    <row r="87" spans="1:3" ht="28.8" x14ac:dyDescent="0.3">
      <c r="A87" s="8" t="s">
        <v>112</v>
      </c>
      <c r="B87" s="1">
        <v>2024</v>
      </c>
      <c r="C87" s="11">
        <v>1.55</v>
      </c>
    </row>
    <row r="88" spans="1:3" ht="28.8" x14ac:dyDescent="0.3">
      <c r="A88" s="8" t="s">
        <v>112</v>
      </c>
      <c r="B88" s="1">
        <v>2025</v>
      </c>
      <c r="C88" s="11">
        <v>1.55</v>
      </c>
    </row>
    <row r="89" spans="1:3" ht="28.8" x14ac:dyDescent="0.3">
      <c r="A89" s="8" t="s">
        <v>112</v>
      </c>
      <c r="B89" s="1">
        <v>2026</v>
      </c>
      <c r="C89" s="11">
        <v>1.55</v>
      </c>
    </row>
    <row r="90" spans="1:3" ht="28.8" x14ac:dyDescent="0.3">
      <c r="A90" s="8" t="s">
        <v>112</v>
      </c>
      <c r="B90" s="1">
        <v>2027</v>
      </c>
      <c r="C90" s="11">
        <v>1.55</v>
      </c>
    </row>
    <row r="91" spans="1:3" ht="28.8" x14ac:dyDescent="0.3">
      <c r="A91" s="8" t="s">
        <v>112</v>
      </c>
      <c r="B91" s="1">
        <v>2028</v>
      </c>
      <c r="C91" s="11">
        <v>1.55</v>
      </c>
    </row>
    <row r="92" spans="1:3" ht="28.8" x14ac:dyDescent="0.3">
      <c r="A92" s="8" t="s">
        <v>112</v>
      </c>
      <c r="B92" s="1">
        <v>2029</v>
      </c>
      <c r="C92" s="11">
        <v>1.55</v>
      </c>
    </row>
    <row r="93" spans="1:3" ht="28.8" x14ac:dyDescent="0.3">
      <c r="A93" s="8" t="s">
        <v>112</v>
      </c>
      <c r="B93" s="1">
        <v>2030</v>
      </c>
      <c r="C93" s="11">
        <v>1.55</v>
      </c>
    </row>
    <row r="94" spans="1:3" ht="28.8" x14ac:dyDescent="0.3">
      <c r="A94" s="8" t="s">
        <v>112</v>
      </c>
      <c r="B94" s="1">
        <v>2031</v>
      </c>
      <c r="C94" s="11">
        <v>1.55</v>
      </c>
    </row>
    <row r="95" spans="1:3" ht="28.8" x14ac:dyDescent="0.3">
      <c r="A95" s="8" t="s">
        <v>112</v>
      </c>
      <c r="B95" s="1">
        <v>2032</v>
      </c>
      <c r="C95" s="11">
        <v>1.55</v>
      </c>
    </row>
    <row r="96" spans="1:3" ht="28.8" x14ac:dyDescent="0.3">
      <c r="A96" s="8" t="s">
        <v>112</v>
      </c>
      <c r="B96" s="1">
        <v>2033</v>
      </c>
      <c r="C96" s="11">
        <v>1.55</v>
      </c>
    </row>
    <row r="97" spans="1:3" ht="28.8" x14ac:dyDescent="0.3">
      <c r="A97" s="8" t="s">
        <v>112</v>
      </c>
      <c r="B97" s="1">
        <v>2034</v>
      </c>
      <c r="C97" s="11">
        <v>1.55</v>
      </c>
    </row>
    <row r="98" spans="1:3" ht="28.8" x14ac:dyDescent="0.3">
      <c r="A98" s="8" t="s">
        <v>112</v>
      </c>
      <c r="B98" s="1">
        <v>2035</v>
      </c>
      <c r="C98" s="11">
        <v>1.55</v>
      </c>
    </row>
    <row r="99" spans="1:3" ht="28.8" x14ac:dyDescent="0.3">
      <c r="A99" s="8" t="s">
        <v>113</v>
      </c>
      <c r="B99" s="1">
        <v>2022</v>
      </c>
      <c r="C99" s="11">
        <v>0.95</v>
      </c>
    </row>
    <row r="100" spans="1:3" ht="28.8" x14ac:dyDescent="0.3">
      <c r="A100" s="8" t="s">
        <v>113</v>
      </c>
      <c r="B100" s="1">
        <v>2023</v>
      </c>
      <c r="C100" s="11">
        <v>0.95</v>
      </c>
    </row>
    <row r="101" spans="1:3" ht="28.8" x14ac:dyDescent="0.3">
      <c r="A101" s="8" t="s">
        <v>113</v>
      </c>
      <c r="B101" s="1">
        <v>2024</v>
      </c>
      <c r="C101" s="11">
        <v>0.95</v>
      </c>
    </row>
    <row r="102" spans="1:3" ht="28.8" x14ac:dyDescent="0.3">
      <c r="A102" s="8" t="s">
        <v>113</v>
      </c>
      <c r="B102" s="1">
        <v>2025</v>
      </c>
      <c r="C102" s="11">
        <v>0.95</v>
      </c>
    </row>
    <row r="103" spans="1:3" ht="28.8" x14ac:dyDescent="0.3">
      <c r="A103" s="8" t="s">
        <v>113</v>
      </c>
      <c r="B103" s="1">
        <v>2026</v>
      </c>
      <c r="C103" s="11">
        <v>0.95</v>
      </c>
    </row>
    <row r="104" spans="1:3" ht="28.8" x14ac:dyDescent="0.3">
      <c r="A104" s="8" t="s">
        <v>113</v>
      </c>
      <c r="B104" s="1">
        <v>2027</v>
      </c>
      <c r="C104" s="11">
        <v>0.95</v>
      </c>
    </row>
    <row r="105" spans="1:3" ht="28.8" x14ac:dyDescent="0.3">
      <c r="A105" s="8" t="s">
        <v>113</v>
      </c>
      <c r="B105" s="1">
        <v>2028</v>
      </c>
      <c r="C105" s="11">
        <v>0.95</v>
      </c>
    </row>
    <row r="106" spans="1:3" ht="28.8" x14ac:dyDescent="0.3">
      <c r="A106" s="8" t="s">
        <v>113</v>
      </c>
      <c r="B106" s="1">
        <v>2029</v>
      </c>
      <c r="C106" s="11">
        <v>0.95</v>
      </c>
    </row>
    <row r="107" spans="1:3" ht="28.8" x14ac:dyDescent="0.3">
      <c r="A107" s="8" t="s">
        <v>113</v>
      </c>
      <c r="B107" s="1">
        <v>2030</v>
      </c>
      <c r="C107" s="11">
        <v>0.95</v>
      </c>
    </row>
    <row r="108" spans="1:3" ht="28.8" x14ac:dyDescent="0.3">
      <c r="A108" s="8" t="s">
        <v>113</v>
      </c>
      <c r="B108" s="1">
        <v>2031</v>
      </c>
      <c r="C108" s="11">
        <v>0.95</v>
      </c>
    </row>
    <row r="109" spans="1:3" ht="28.8" x14ac:dyDescent="0.3">
      <c r="A109" s="8" t="s">
        <v>113</v>
      </c>
      <c r="B109" s="1">
        <v>2032</v>
      </c>
      <c r="C109" s="11">
        <v>0.95</v>
      </c>
    </row>
    <row r="110" spans="1:3" ht="28.8" x14ac:dyDescent="0.3">
      <c r="A110" s="8" t="s">
        <v>113</v>
      </c>
      <c r="B110" s="1">
        <v>2033</v>
      </c>
      <c r="C110" s="11">
        <v>0.95</v>
      </c>
    </row>
    <row r="111" spans="1:3" ht="28.8" x14ac:dyDescent="0.3">
      <c r="A111" s="8" t="s">
        <v>113</v>
      </c>
      <c r="B111" s="1">
        <v>2034</v>
      </c>
      <c r="C111" s="11">
        <v>0.95</v>
      </c>
    </row>
    <row r="112" spans="1:3" ht="28.8" x14ac:dyDescent="0.3">
      <c r="A112" s="8" t="s">
        <v>113</v>
      </c>
      <c r="B112" s="1">
        <v>2035</v>
      </c>
      <c r="C112" s="11">
        <v>0.95</v>
      </c>
    </row>
    <row r="113" spans="1:3" ht="28.8" x14ac:dyDescent="0.3">
      <c r="A113" s="8" t="s">
        <v>114</v>
      </c>
      <c r="B113" s="1">
        <v>2022</v>
      </c>
      <c r="C113" s="2" t="s">
        <v>86</v>
      </c>
    </row>
    <row r="114" spans="1:3" ht="28.8" x14ac:dyDescent="0.3">
      <c r="A114" s="8" t="s">
        <v>114</v>
      </c>
      <c r="B114" s="1">
        <v>2023</v>
      </c>
      <c r="C114" s="2" t="s">
        <v>86</v>
      </c>
    </row>
    <row r="115" spans="1:3" ht="28.8" x14ac:dyDescent="0.3">
      <c r="A115" s="8" t="s">
        <v>114</v>
      </c>
      <c r="B115" s="1">
        <v>2024</v>
      </c>
      <c r="C115" s="2" t="s">
        <v>86</v>
      </c>
    </row>
    <row r="116" spans="1:3" ht="28.8" x14ac:dyDescent="0.3">
      <c r="A116" s="8" t="s">
        <v>114</v>
      </c>
      <c r="B116" s="1">
        <v>2025</v>
      </c>
      <c r="C116" s="2" t="s">
        <v>86</v>
      </c>
    </row>
    <row r="117" spans="1:3" ht="28.8" x14ac:dyDescent="0.3">
      <c r="A117" s="8" t="s">
        <v>114</v>
      </c>
      <c r="B117" s="1">
        <v>2026</v>
      </c>
      <c r="C117" s="2" t="s">
        <v>86</v>
      </c>
    </row>
    <row r="118" spans="1:3" ht="28.8" x14ac:dyDescent="0.3">
      <c r="A118" s="8" t="s">
        <v>114</v>
      </c>
      <c r="B118" s="1">
        <v>2027</v>
      </c>
      <c r="C118" s="2" t="s">
        <v>86</v>
      </c>
    </row>
    <row r="119" spans="1:3" ht="28.8" x14ac:dyDescent="0.3">
      <c r="A119" s="8" t="s">
        <v>114</v>
      </c>
      <c r="B119" s="1">
        <v>2028</v>
      </c>
      <c r="C119" s="2" t="s">
        <v>86</v>
      </c>
    </row>
    <row r="120" spans="1:3" ht="28.8" x14ac:dyDescent="0.3">
      <c r="A120" s="8" t="s">
        <v>114</v>
      </c>
      <c r="B120" s="1">
        <v>2029</v>
      </c>
      <c r="C120" s="2" t="s">
        <v>86</v>
      </c>
    </row>
    <row r="121" spans="1:3" ht="28.8" x14ac:dyDescent="0.3">
      <c r="A121" s="8" t="s">
        <v>114</v>
      </c>
      <c r="B121" s="1">
        <v>2030</v>
      </c>
      <c r="C121" s="2" t="s">
        <v>86</v>
      </c>
    </row>
    <row r="122" spans="1:3" ht="28.8" x14ac:dyDescent="0.3">
      <c r="A122" s="8" t="s">
        <v>114</v>
      </c>
      <c r="B122" s="1">
        <v>2031</v>
      </c>
      <c r="C122" s="2" t="s">
        <v>86</v>
      </c>
    </row>
    <row r="123" spans="1:3" ht="28.8" x14ac:dyDescent="0.3">
      <c r="A123" s="8" t="s">
        <v>114</v>
      </c>
      <c r="B123" s="1">
        <v>2032</v>
      </c>
      <c r="C123" s="2" t="s">
        <v>86</v>
      </c>
    </row>
    <row r="124" spans="1:3" ht="28.8" x14ac:dyDescent="0.3">
      <c r="A124" s="8" t="s">
        <v>114</v>
      </c>
      <c r="B124" s="1">
        <v>2033</v>
      </c>
      <c r="C124" s="2" t="s">
        <v>86</v>
      </c>
    </row>
    <row r="125" spans="1:3" ht="28.8" x14ac:dyDescent="0.3">
      <c r="A125" s="8" t="s">
        <v>114</v>
      </c>
      <c r="B125" s="1">
        <v>2034</v>
      </c>
      <c r="C125" s="2" t="s">
        <v>86</v>
      </c>
    </row>
    <row r="126" spans="1:3" ht="28.8" x14ac:dyDescent="0.3">
      <c r="A126" s="8" t="s">
        <v>114</v>
      </c>
      <c r="B126" s="1">
        <v>2035</v>
      </c>
      <c r="C126" s="2" t="s">
        <v>86</v>
      </c>
    </row>
    <row r="127" spans="1:3" ht="28.8" x14ac:dyDescent="0.3">
      <c r="A127" s="8" t="s">
        <v>115</v>
      </c>
      <c r="B127" s="1">
        <v>2022</v>
      </c>
      <c r="C127" s="11">
        <v>0.8</v>
      </c>
    </row>
    <row r="128" spans="1:3" ht="28.8" x14ac:dyDescent="0.3">
      <c r="A128" s="8" t="s">
        <v>115</v>
      </c>
      <c r="B128" s="1">
        <v>2023</v>
      </c>
      <c r="C128" s="11">
        <v>0.8</v>
      </c>
    </row>
    <row r="129" spans="1:3" ht="28.8" x14ac:dyDescent="0.3">
      <c r="A129" s="8" t="s">
        <v>115</v>
      </c>
      <c r="B129" s="1">
        <v>2024</v>
      </c>
      <c r="C129" s="11">
        <v>0.8</v>
      </c>
    </row>
    <row r="130" spans="1:3" ht="28.8" x14ac:dyDescent="0.3">
      <c r="A130" s="8" t="s">
        <v>115</v>
      </c>
      <c r="B130" s="1">
        <v>2025</v>
      </c>
      <c r="C130" s="11">
        <v>0.8</v>
      </c>
    </row>
    <row r="131" spans="1:3" ht="28.8" x14ac:dyDescent="0.3">
      <c r="A131" s="8" t="s">
        <v>115</v>
      </c>
      <c r="B131" s="1">
        <v>2026</v>
      </c>
      <c r="C131" s="11">
        <v>0.8</v>
      </c>
    </row>
    <row r="132" spans="1:3" ht="28.8" x14ac:dyDescent="0.3">
      <c r="A132" s="8" t="s">
        <v>115</v>
      </c>
      <c r="B132" s="1">
        <v>2027</v>
      </c>
      <c r="C132" s="11">
        <v>0.8</v>
      </c>
    </row>
    <row r="133" spans="1:3" ht="28.8" x14ac:dyDescent="0.3">
      <c r="A133" s="8" t="s">
        <v>115</v>
      </c>
      <c r="B133" s="1">
        <v>2028</v>
      </c>
      <c r="C133" s="11">
        <v>0.8</v>
      </c>
    </row>
    <row r="134" spans="1:3" ht="28.8" x14ac:dyDescent="0.3">
      <c r="A134" s="8" t="s">
        <v>115</v>
      </c>
      <c r="B134" s="1">
        <v>2029</v>
      </c>
      <c r="C134" s="11">
        <v>0.8</v>
      </c>
    </row>
    <row r="135" spans="1:3" ht="28.8" x14ac:dyDescent="0.3">
      <c r="A135" s="8" t="s">
        <v>115</v>
      </c>
      <c r="B135" s="1">
        <v>2030</v>
      </c>
      <c r="C135" s="11">
        <v>0.8</v>
      </c>
    </row>
    <row r="136" spans="1:3" ht="28.8" x14ac:dyDescent="0.3">
      <c r="A136" s="8" t="s">
        <v>115</v>
      </c>
      <c r="B136" s="1">
        <v>2031</v>
      </c>
      <c r="C136" s="11">
        <v>0.8</v>
      </c>
    </row>
    <row r="137" spans="1:3" ht="28.8" x14ac:dyDescent="0.3">
      <c r="A137" s="8" t="s">
        <v>115</v>
      </c>
      <c r="B137" s="1">
        <v>2032</v>
      </c>
      <c r="C137" s="11">
        <v>0.8</v>
      </c>
    </row>
    <row r="138" spans="1:3" ht="28.8" x14ac:dyDescent="0.3">
      <c r="A138" s="8" t="s">
        <v>115</v>
      </c>
      <c r="B138" s="1">
        <v>2033</v>
      </c>
      <c r="C138" s="11">
        <v>0.8</v>
      </c>
    </row>
    <row r="139" spans="1:3" ht="28.8" x14ac:dyDescent="0.3">
      <c r="A139" s="8" t="s">
        <v>115</v>
      </c>
      <c r="B139" s="1">
        <v>2034</v>
      </c>
      <c r="C139" s="11">
        <v>0.8</v>
      </c>
    </row>
    <row r="140" spans="1:3" ht="28.8" x14ac:dyDescent="0.3">
      <c r="A140" s="8" t="s">
        <v>115</v>
      </c>
      <c r="B140" s="1">
        <v>2035</v>
      </c>
      <c r="C140" s="11">
        <v>0.8</v>
      </c>
    </row>
    <row r="141" spans="1:3" ht="28.8" x14ac:dyDescent="0.3">
      <c r="A141" s="8" t="s">
        <v>116</v>
      </c>
      <c r="B141" s="1">
        <v>2022</v>
      </c>
      <c r="C141" s="11">
        <v>1.85</v>
      </c>
    </row>
    <row r="142" spans="1:3" ht="28.8" x14ac:dyDescent="0.3">
      <c r="A142" s="8" t="s">
        <v>116</v>
      </c>
      <c r="B142" s="1">
        <v>2023</v>
      </c>
      <c r="C142" s="11">
        <v>1.85</v>
      </c>
    </row>
    <row r="143" spans="1:3" ht="28.8" x14ac:dyDescent="0.3">
      <c r="A143" s="8" t="s">
        <v>116</v>
      </c>
      <c r="B143" s="1">
        <v>2024</v>
      </c>
      <c r="C143" s="11">
        <v>1.85</v>
      </c>
    </row>
    <row r="144" spans="1:3" ht="28.8" x14ac:dyDescent="0.3">
      <c r="A144" s="8" t="s">
        <v>116</v>
      </c>
      <c r="B144" s="1">
        <v>2025</v>
      </c>
      <c r="C144" s="11">
        <v>1.85</v>
      </c>
    </row>
    <row r="145" spans="1:3" ht="28.8" x14ac:dyDescent="0.3">
      <c r="A145" s="8" t="s">
        <v>116</v>
      </c>
      <c r="B145" s="1">
        <v>2026</v>
      </c>
      <c r="C145" s="11">
        <v>1.85</v>
      </c>
    </row>
    <row r="146" spans="1:3" ht="28.8" x14ac:dyDescent="0.3">
      <c r="A146" s="8" t="s">
        <v>116</v>
      </c>
      <c r="B146" s="1">
        <v>2027</v>
      </c>
      <c r="C146" s="11">
        <v>1.85</v>
      </c>
    </row>
    <row r="147" spans="1:3" ht="28.8" x14ac:dyDescent="0.3">
      <c r="A147" s="8" t="s">
        <v>116</v>
      </c>
      <c r="B147" s="1">
        <v>2028</v>
      </c>
      <c r="C147" s="11">
        <v>1.85</v>
      </c>
    </row>
    <row r="148" spans="1:3" ht="28.8" x14ac:dyDescent="0.3">
      <c r="A148" s="8" t="s">
        <v>116</v>
      </c>
      <c r="B148" s="1">
        <v>2029</v>
      </c>
      <c r="C148" s="11">
        <v>1.85</v>
      </c>
    </row>
    <row r="149" spans="1:3" ht="28.8" x14ac:dyDescent="0.3">
      <c r="A149" s="8" t="s">
        <v>116</v>
      </c>
      <c r="B149" s="1">
        <v>2030</v>
      </c>
      <c r="C149" s="11">
        <v>1.85</v>
      </c>
    </row>
    <row r="150" spans="1:3" ht="28.8" x14ac:dyDescent="0.3">
      <c r="A150" s="8" t="s">
        <v>116</v>
      </c>
      <c r="B150" s="1">
        <v>2031</v>
      </c>
      <c r="C150" s="11">
        <v>1.85</v>
      </c>
    </row>
    <row r="151" spans="1:3" ht="28.8" x14ac:dyDescent="0.3">
      <c r="A151" s="8" t="s">
        <v>116</v>
      </c>
      <c r="B151" s="1">
        <v>2032</v>
      </c>
      <c r="C151" s="11">
        <v>1.85</v>
      </c>
    </row>
    <row r="152" spans="1:3" ht="28.8" x14ac:dyDescent="0.3">
      <c r="A152" s="8" t="s">
        <v>116</v>
      </c>
      <c r="B152" s="1">
        <v>2033</v>
      </c>
      <c r="C152" s="11">
        <v>1.85</v>
      </c>
    </row>
    <row r="153" spans="1:3" ht="28.8" x14ac:dyDescent="0.3">
      <c r="A153" s="8" t="s">
        <v>116</v>
      </c>
      <c r="B153" s="1">
        <v>2034</v>
      </c>
      <c r="C153" s="11">
        <v>1.85</v>
      </c>
    </row>
    <row r="154" spans="1:3" ht="28.8" x14ac:dyDescent="0.3">
      <c r="A154" s="8" t="s">
        <v>116</v>
      </c>
      <c r="B154" s="1">
        <v>2035</v>
      </c>
      <c r="C154" s="11">
        <v>1.85</v>
      </c>
    </row>
    <row r="155" spans="1:3" ht="28.8" x14ac:dyDescent="0.3">
      <c r="A155" s="8" t="s">
        <v>117</v>
      </c>
      <c r="B155" s="1">
        <v>2022</v>
      </c>
      <c r="C155" s="11">
        <v>1.25</v>
      </c>
    </row>
    <row r="156" spans="1:3" ht="28.8" x14ac:dyDescent="0.3">
      <c r="A156" s="8" t="s">
        <v>117</v>
      </c>
      <c r="B156" s="1">
        <v>2023</v>
      </c>
      <c r="C156" s="11">
        <v>1.25</v>
      </c>
    </row>
    <row r="157" spans="1:3" ht="28.8" x14ac:dyDescent="0.3">
      <c r="A157" s="8" t="s">
        <v>117</v>
      </c>
      <c r="B157" s="1">
        <v>2024</v>
      </c>
      <c r="C157" s="11">
        <v>1.25</v>
      </c>
    </row>
    <row r="158" spans="1:3" ht="28.8" x14ac:dyDescent="0.3">
      <c r="A158" s="8" t="s">
        <v>117</v>
      </c>
      <c r="B158" s="1">
        <v>2025</v>
      </c>
      <c r="C158" s="11">
        <v>1.25</v>
      </c>
    </row>
    <row r="159" spans="1:3" ht="28.8" x14ac:dyDescent="0.3">
      <c r="A159" s="8" t="s">
        <v>117</v>
      </c>
      <c r="B159" s="1">
        <v>2026</v>
      </c>
      <c r="C159" s="11">
        <v>1.25</v>
      </c>
    </row>
    <row r="160" spans="1:3" ht="28.8" x14ac:dyDescent="0.3">
      <c r="A160" s="8" t="s">
        <v>117</v>
      </c>
      <c r="B160" s="1">
        <v>2027</v>
      </c>
      <c r="C160" s="11">
        <v>1.25</v>
      </c>
    </row>
    <row r="161" spans="1:3" ht="28.8" x14ac:dyDescent="0.3">
      <c r="A161" s="8" t="s">
        <v>117</v>
      </c>
      <c r="B161" s="1">
        <v>2028</v>
      </c>
      <c r="C161" s="11">
        <v>1.25</v>
      </c>
    </row>
    <row r="162" spans="1:3" ht="28.8" x14ac:dyDescent="0.3">
      <c r="A162" s="8" t="s">
        <v>117</v>
      </c>
      <c r="B162" s="1">
        <v>2029</v>
      </c>
      <c r="C162" s="11">
        <v>1.25</v>
      </c>
    </row>
    <row r="163" spans="1:3" ht="28.8" x14ac:dyDescent="0.3">
      <c r="A163" s="8" t="s">
        <v>117</v>
      </c>
      <c r="B163" s="1">
        <v>2030</v>
      </c>
      <c r="C163" s="11">
        <v>1.25</v>
      </c>
    </row>
    <row r="164" spans="1:3" ht="28.8" x14ac:dyDescent="0.3">
      <c r="A164" s="8" t="s">
        <v>117</v>
      </c>
      <c r="B164" s="1">
        <v>2031</v>
      </c>
      <c r="C164" s="11">
        <v>1.25</v>
      </c>
    </row>
    <row r="165" spans="1:3" ht="28.8" x14ac:dyDescent="0.3">
      <c r="A165" s="8" t="s">
        <v>117</v>
      </c>
      <c r="B165" s="1">
        <v>2032</v>
      </c>
      <c r="C165" s="11">
        <v>1.25</v>
      </c>
    </row>
    <row r="166" spans="1:3" ht="28.8" x14ac:dyDescent="0.3">
      <c r="A166" s="8" t="s">
        <v>117</v>
      </c>
      <c r="B166" s="1">
        <v>2033</v>
      </c>
      <c r="C166" s="11">
        <v>1.25</v>
      </c>
    </row>
    <row r="167" spans="1:3" ht="28.8" x14ac:dyDescent="0.3">
      <c r="A167" s="8" t="s">
        <v>117</v>
      </c>
      <c r="B167" s="1">
        <v>2034</v>
      </c>
      <c r="C167" s="11">
        <v>1.25</v>
      </c>
    </row>
    <row r="168" spans="1:3" ht="28.8" x14ac:dyDescent="0.3">
      <c r="A168" s="8" t="s">
        <v>117</v>
      </c>
      <c r="B168" s="1">
        <v>2035</v>
      </c>
      <c r="C168" s="11">
        <v>1.25</v>
      </c>
    </row>
  </sheetData>
  <pageMargins left="0.7" right="0.7" top="0.75" bottom="0.75" header="0.3" footer="0.3"/>
  <pageSetup orientation="portrait" r:id="rId1"/>
  <headerFooter>
    <oddHeader>&amp;L&amp;&amp;«Calibri»&amp;10&amp;K000000Clasificado como interno&amp;K000000&amp;1#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69E5AC5-64B2-4B7B-9D75-A7C00E9C1AC0}">
  <ds:schemaRefs>
    <ds:schemaRef ds:uri="http://schemas.microsoft.com/sharepoint/v3/contenttype/forms"/>
  </ds:schemaRefs>
</ds:datastoreItem>
</file>

<file path=customXml/itemProps2.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C1983F-F266-4005-8EC6-D5065FD7537B}">
  <ds:schemaRefs>
    <ds:schemaRef ds:uri="http://schemas.openxmlformats.org/package/2006/metadata/core-properties"/>
    <ds:schemaRef ds:uri="http://schemas.microsoft.com/office/2006/metadata/properties"/>
    <ds:schemaRef ds:uri="http://www.w3.org/XML/1998/namespace"/>
    <ds:schemaRef ds:uri="http://purl.org/dc/dcmitype/"/>
    <ds:schemaRef ds:uri="http://schemas.microsoft.com/office/2006/documentManagement/types"/>
    <ds:schemaRef ds:uri="http://purl.org/dc/elements/1.1/"/>
    <ds:schemaRef ds:uri="http://purl.org/dc/terms/"/>
    <ds:schemaRef ds:uri="6f211968-1ce9-4ce8-bc32-9c87e03ae60e"/>
    <ds:schemaRef ds:uri="http://schemas.microsoft.com/office/infopath/2007/PartnerControls"/>
    <ds:schemaRef ds:uri="6825cbcc-075a-4232-9296-e9bac03f9e0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INSTRUCCIONES</vt:lpstr>
      <vt:lpstr>Datos del modelo</vt:lpstr>
      <vt:lpstr>Panel</vt:lpstr>
      <vt:lpstr>Resultados</vt:lpstr>
      <vt:lpstr>Vaccine options</vt:lpstr>
      <vt:lpstr>Vaccine prices</vt:lpstr>
      <vt:lpstr>'Datos del modelo'!Print_Area</vt:lpstr>
      <vt:lpstr>INSTRUCCIONES!Print_Area</vt:lpstr>
      <vt:lpstr>Panel!Print_Area</vt:lpstr>
      <vt:lpstr>Resultados!Print_Area</vt:lpstr>
    </vt:vector>
  </TitlesOfParts>
  <Company>PATH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Allison Clifford</cp:lastModifiedBy>
  <cp:lastPrinted>2024-08-05T23:00:24Z</cp:lastPrinted>
  <dcterms:created xsi:type="dcterms:W3CDTF">2018-05-24T13:25:57Z</dcterms:created>
  <dcterms:modified xsi:type="dcterms:W3CDTF">2026-01-27T20:10:44Z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