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pi.box.com/wopi/files/2115751696789/WOPIServiceId_TP_BOX_2/WOPIUserId_-/"/>
    </mc:Choice>
  </mc:AlternateContent>
  <xr:revisionPtr revIDLastSave="4" documentId="8_{4D2B2F62-51DB-4D4D-97F3-7E1149041E41}" xr6:coauthVersionLast="47" xr6:coauthVersionMax="47" xr10:uidLastSave="{26B4C831-BBCA-42B3-A639-03D38E06F71A}"/>
  <workbookProtection workbookAlgorithmName="SHA-512" workbookHashValue="kTYh6rsDOiwTfYausEFRNnoZF09ydKD2jBR5abfPn37U2zA6ZG130NO9aULlPWgNL/defD6YuxIDD1frVsVWeQ==" workbookSaltValue="3gdLuSHUnYnpi3Od8l+jNg==" workbookSpinCount="100000" lockStructure="1"/>
  <bookViews>
    <workbookView xWindow="28680" yWindow="-4290" windowWidth="29040" windowHeight="15720" xr2:uid="{00000000-000D-0000-FFFF-FFFF00000000}"/>
  </bookViews>
  <sheets>
    <sheet name="READ ME FIRST" sheetId="15" r:id="rId1"/>
    <sheet name="Inputs" sheetId="16" r:id="rId2"/>
    <sheet name="Dashboard" sheetId="17" r:id="rId3"/>
    <sheet name="Results" sheetId="18" r:id="rId4"/>
    <sheet name="Data" sheetId="3" state="hidden" r:id="rId5"/>
    <sheet name="Version" sheetId="14" state="hidden" r:id="rId6"/>
  </sheets>
  <definedNames>
    <definedName name="_xlnm.Print_Area" localSheetId="2">Dashboard!$B$3:$M$37</definedName>
    <definedName name="_xlnm.Print_Area" localSheetId="1">Inputs!$E$3:$Q$80</definedName>
    <definedName name="_xlnm.Print_Area" localSheetId="3">Results!$B$3:$M$51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 l="1"/>
  <c r="M43" i="16"/>
  <c r="K43" i="16"/>
  <c r="G43" i="16"/>
  <c r="E47" i="3"/>
  <c r="D47" i="3"/>
  <c r="C47" i="3"/>
  <c r="B47" i="3"/>
  <c r="H15" i="16" l="1"/>
  <c r="I15" i="16"/>
  <c r="P44" i="16" l="1"/>
  <c r="M45" i="16"/>
  <c r="K45" i="16"/>
  <c r="G45" i="16"/>
  <c r="A65" i="3" l="1"/>
  <c r="A63" i="3"/>
  <c r="A62" i="3"/>
  <c r="A61" i="3"/>
  <c r="A60" i="3"/>
  <c r="A59" i="3"/>
  <c r="A55" i="3" l="1"/>
  <c r="A53" i="3"/>
  <c r="A52" i="3"/>
  <c r="A51" i="3"/>
  <c r="A50" i="3"/>
  <c r="A49" i="3"/>
  <c r="A47" i="3"/>
  <c r="E40" i="3"/>
  <c r="K57" i="3" s="1"/>
  <c r="D40" i="3"/>
  <c r="H57" i="3" s="1"/>
  <c r="C40" i="3"/>
  <c r="E57" i="3" s="1"/>
  <c r="B40" i="3"/>
  <c r="B57" i="3" s="1"/>
  <c r="A45" i="3"/>
  <c r="A44" i="3"/>
  <c r="A43" i="3"/>
  <c r="A42" i="3"/>
  <c r="A41" i="3"/>
  <c r="G15" i="16"/>
  <c r="G26" i="16"/>
  <c r="C45" i="3" l="1"/>
  <c r="E45" i="3"/>
  <c r="B45" i="3"/>
  <c r="D45" i="3"/>
  <c r="D41" i="3"/>
  <c r="B41" i="3"/>
  <c r="E41" i="3"/>
  <c r="C41" i="3"/>
  <c r="E42" i="3"/>
  <c r="C42" i="3"/>
  <c r="B42" i="3"/>
  <c r="D42" i="3"/>
  <c r="E43" i="3"/>
  <c r="C43" i="3"/>
  <c r="B43" i="3"/>
  <c r="D43" i="3"/>
  <c r="C44" i="3"/>
  <c r="E44" i="3"/>
  <c r="B44" i="3"/>
  <c r="D44" i="3"/>
  <c r="D50" i="18"/>
  <c r="D49" i="18"/>
  <c r="D48" i="18"/>
  <c r="D47" i="18"/>
  <c r="D46" i="18"/>
  <c r="D41" i="18"/>
  <c r="D40" i="18"/>
  <c r="D39" i="18"/>
  <c r="D38" i="18"/>
  <c r="D37" i="18"/>
  <c r="M49" i="16"/>
  <c r="K49" i="16"/>
  <c r="M48" i="16"/>
  <c r="K48" i="16"/>
  <c r="G48" i="16"/>
  <c r="K46" i="16"/>
  <c r="M46" i="16"/>
  <c r="G46" i="16"/>
  <c r="F6" i="18"/>
  <c r="F8" i="17" s="1"/>
  <c r="H6" i="18"/>
  <c r="H8" i="17" s="1"/>
  <c r="J6" i="18"/>
  <c r="J8" i="17" s="1"/>
  <c r="L6" i="18"/>
  <c r="L8" i="17" s="1"/>
  <c r="D11" i="18"/>
  <c r="D12" i="18"/>
  <c r="D13" i="18"/>
  <c r="D14" i="18"/>
  <c r="D15" i="18"/>
  <c r="D20" i="18"/>
  <c r="D21" i="18"/>
  <c r="D22" i="18"/>
  <c r="D23" i="18"/>
  <c r="D24" i="18"/>
  <c r="D28" i="18"/>
  <c r="D29" i="18"/>
  <c r="D30" i="18"/>
  <c r="D31" i="18"/>
  <c r="D32" i="18"/>
  <c r="G49" i="16"/>
  <c r="O49" i="16"/>
  <c r="J12" i="18" l="1"/>
  <c r="L12" i="18"/>
  <c r="F11" i="18"/>
  <c r="J11" i="18"/>
  <c r="L11" i="18"/>
  <c r="H11" i="18"/>
  <c r="L15" i="18"/>
  <c r="H15" i="18"/>
  <c r="J15" i="18"/>
  <c r="L14" i="18"/>
  <c r="H14" i="18"/>
  <c r="J14" i="18"/>
  <c r="H13" i="18"/>
  <c r="L13" i="18"/>
  <c r="J13" i="18"/>
  <c r="H12" i="18"/>
  <c r="F12" i="18"/>
  <c r="F15" i="18"/>
  <c r="F14" i="18"/>
  <c r="F13" i="18"/>
  <c r="I63" i="3"/>
  <c r="H60" i="3"/>
  <c r="J65" i="3"/>
  <c r="J62" i="3"/>
  <c r="H62" i="3"/>
  <c r="I60" i="3"/>
  <c r="I59" i="3"/>
  <c r="I65" i="3"/>
  <c r="J63" i="3"/>
  <c r="H63" i="3"/>
  <c r="H65" i="3"/>
  <c r="J59" i="3"/>
  <c r="I61" i="3"/>
  <c r="I62" i="3"/>
  <c r="H59" i="3"/>
  <c r="J60" i="3"/>
  <c r="J61" i="3"/>
  <c r="H61" i="3"/>
  <c r="M65" i="3"/>
  <c r="L62" i="3"/>
  <c r="K59" i="3"/>
  <c r="L65" i="3"/>
  <c r="K65" i="3"/>
  <c r="M61" i="3"/>
  <c r="K61" i="3"/>
  <c r="M63" i="3"/>
  <c r="M59" i="3"/>
  <c r="M62" i="3"/>
  <c r="K62" i="3"/>
  <c r="K63" i="3"/>
  <c r="L60" i="3"/>
  <c r="L61" i="3"/>
  <c r="L59" i="3"/>
  <c r="L63" i="3"/>
  <c r="M60" i="3"/>
  <c r="K60" i="3"/>
  <c r="E65" i="3"/>
  <c r="G60" i="3"/>
  <c r="F63" i="3"/>
  <c r="F59" i="3"/>
  <c r="G63" i="3"/>
  <c r="E61" i="3"/>
  <c r="F60" i="3"/>
  <c r="E59" i="3"/>
  <c r="G59" i="3"/>
  <c r="E62" i="3"/>
  <c r="E63" i="3"/>
  <c r="G65" i="3"/>
  <c r="F61" i="3"/>
  <c r="F65" i="3"/>
  <c r="F62" i="3"/>
  <c r="C49" i="3"/>
  <c r="G61" i="3"/>
  <c r="G62" i="3"/>
  <c r="E60" i="3"/>
  <c r="D65" i="3"/>
  <c r="B65" i="3"/>
  <c r="B55" i="3"/>
  <c r="C61" i="3"/>
  <c r="C62" i="3"/>
  <c r="C63" i="3"/>
  <c r="C59" i="3"/>
  <c r="D60" i="3"/>
  <c r="B60" i="3"/>
  <c r="D61" i="3"/>
  <c r="B61" i="3"/>
  <c r="D59" i="3"/>
  <c r="B62" i="3"/>
  <c r="C65" i="3"/>
  <c r="D63" i="3"/>
  <c r="B63" i="3"/>
  <c r="C60" i="3"/>
  <c r="B49" i="3"/>
  <c r="B59" i="3"/>
  <c r="D62" i="3"/>
  <c r="C55" i="3"/>
  <c r="D55" i="3"/>
  <c r="D49" i="3"/>
  <c r="E49" i="3"/>
  <c r="E55" i="3"/>
  <c r="H24" i="18" l="1"/>
  <c r="H41" i="18" s="1"/>
  <c r="B50" i="3"/>
  <c r="C53" i="3"/>
  <c r="D52" i="3"/>
  <c r="C52" i="3"/>
  <c r="C51" i="3"/>
  <c r="E52" i="3"/>
  <c r="B51" i="3"/>
  <c r="E51" i="3"/>
  <c r="E50" i="3"/>
  <c r="H21" i="18"/>
  <c r="H38" i="18" s="1"/>
  <c r="D51" i="3"/>
  <c r="E53" i="3"/>
  <c r="B52" i="3"/>
  <c r="B53" i="3"/>
  <c r="D50" i="3"/>
  <c r="D53" i="3"/>
  <c r="C50" i="3"/>
  <c r="L20" i="18"/>
  <c r="L21" i="18"/>
  <c r="L38" i="18" s="1"/>
  <c r="J21" i="18"/>
  <c r="J38" i="18" s="1"/>
  <c r="J20" i="18"/>
  <c r="J24" i="18"/>
  <c r="J41" i="18" s="1"/>
  <c r="F21" i="18"/>
  <c r="F38" i="18" s="1"/>
  <c r="L24" i="18"/>
  <c r="H20" i="18"/>
  <c r="L23" i="18"/>
  <c r="L40" i="18" s="1"/>
  <c r="F24" i="18"/>
  <c r="F41" i="18" s="1"/>
  <c r="F20" i="18"/>
  <c r="J22" i="18"/>
  <c r="J39" i="18" s="1"/>
  <c r="F22" i="18"/>
  <c r="F39" i="18" s="1"/>
  <c r="H23" i="18"/>
  <c r="H40" i="18" s="1"/>
  <c r="H22" i="18"/>
  <c r="H39" i="18" s="1"/>
  <c r="L22" i="18"/>
  <c r="F23" i="18"/>
  <c r="F40" i="18" s="1"/>
  <c r="J23" i="18"/>
  <c r="J40" i="18" s="1"/>
  <c r="L10" i="18"/>
  <c r="J10" i="18"/>
  <c r="F10" i="18"/>
  <c r="H10" i="18"/>
  <c r="J28" i="18" l="1"/>
  <c r="J37" i="18"/>
  <c r="J46" i="18" s="1"/>
  <c r="L28" i="18"/>
  <c r="L37" i="18"/>
  <c r="L46" i="18" s="1"/>
  <c r="L39" i="18"/>
  <c r="L48" i="18" s="1"/>
  <c r="H28" i="18"/>
  <c r="H37" i="18"/>
  <c r="H46" i="18" s="1"/>
  <c r="F37" i="18"/>
  <c r="F46" i="18" s="1"/>
  <c r="L41" i="18"/>
  <c r="L50" i="18" s="1"/>
  <c r="F28" i="18"/>
  <c r="L49" i="18"/>
  <c r="L47" i="18"/>
  <c r="F48" i="18"/>
  <c r="H47" i="18"/>
  <c r="F50" i="18"/>
  <c r="J49" i="18"/>
  <c r="H49" i="18"/>
  <c r="H50" i="18"/>
  <c r="F47" i="18"/>
  <c r="H48" i="18"/>
  <c r="J50" i="18"/>
  <c r="J47" i="18"/>
  <c r="F49" i="18"/>
  <c r="J48" i="18"/>
  <c r="J29" i="18"/>
  <c r="J30" i="18"/>
  <c r="L19" i="18"/>
  <c r="L10" i="17" s="1"/>
  <c r="L11" i="17" s="1"/>
  <c r="J31" i="18"/>
  <c r="F29" i="18"/>
  <c r="J32" i="18"/>
  <c r="L29" i="18"/>
  <c r="J19" i="18"/>
  <c r="J10" i="17" s="1"/>
  <c r="J11" i="17" s="1"/>
  <c r="F19" i="18"/>
  <c r="F10" i="17" s="1"/>
  <c r="F11" i="17" s="1"/>
  <c r="F31" i="18"/>
  <c r="H31" i="18"/>
  <c r="F32" i="18"/>
  <c r="H30" i="18"/>
  <c r="H29" i="18"/>
  <c r="F30" i="18"/>
  <c r="L31" i="18"/>
  <c r="H32" i="18"/>
  <c r="L32" i="18"/>
  <c r="H19" i="18"/>
  <c r="H10" i="17" s="1"/>
  <c r="H11" i="17" s="1"/>
  <c r="L30" i="18"/>
  <c r="J13" i="17" l="1"/>
  <c r="L36" i="18"/>
  <c r="L15" i="17" s="1"/>
  <c r="L16" i="17" s="1"/>
  <c r="F13" i="17"/>
  <c r="H13" i="17"/>
  <c r="L13" i="17"/>
  <c r="J27" i="17"/>
  <c r="J28" i="17" s="1"/>
  <c r="H27" i="17"/>
  <c r="H28" i="17" s="1"/>
  <c r="H30" i="17"/>
  <c r="J30" i="17"/>
  <c r="F30" i="17"/>
  <c r="F27" i="17"/>
  <c r="F28" i="17" s="1"/>
  <c r="K13" i="17" l="1"/>
  <c r="L45" i="18"/>
  <c r="L18" i="17" s="1"/>
  <c r="L19" i="17" s="1"/>
  <c r="I13" i="17"/>
  <c r="M13" i="17"/>
  <c r="J36" i="18"/>
  <c r="J45" i="18"/>
  <c r="H36" i="18"/>
  <c r="H15" i="17" s="1"/>
  <c r="H45" i="18"/>
  <c r="H18" i="17" s="1"/>
  <c r="F36" i="18"/>
  <c r="F15" i="17" s="1"/>
  <c r="F16" i="17" s="1"/>
  <c r="M16" i="17" s="1"/>
  <c r="F45" i="18"/>
  <c r="F18" i="17" s="1"/>
  <c r="F19" i="17" s="1"/>
  <c r="M19" i="17" l="1"/>
  <c r="J32" i="17"/>
  <c r="J33" i="17" s="1"/>
  <c r="F32" i="17"/>
  <c r="F33" i="17" s="1"/>
  <c r="J15" i="17"/>
  <c r="K15" i="17" s="1"/>
  <c r="H32" i="17"/>
  <c r="H33" i="17" s="1"/>
  <c r="J35" i="17"/>
  <c r="J36" i="17" s="1"/>
  <c r="H35" i="17"/>
  <c r="H36" i="17" s="1"/>
  <c r="F35" i="17"/>
  <c r="F36" i="17" s="1"/>
  <c r="J18" i="17"/>
  <c r="J19" i="17" s="1"/>
  <c r="K19" i="17" s="1"/>
  <c r="M15" i="17"/>
  <c r="M18" i="17"/>
  <c r="I18" i="17"/>
  <c r="H19" i="17"/>
  <c r="I19" i="17" s="1"/>
  <c r="H16" i="17"/>
  <c r="I16" i="17" s="1"/>
  <c r="I15" i="17"/>
  <c r="J16" i="17" l="1"/>
  <c r="K16" i="17" s="1"/>
  <c r="K18" i="17"/>
</calcChain>
</file>

<file path=xl/sharedStrings.xml><?xml version="1.0" encoding="utf-8"?>
<sst xmlns="http://schemas.openxmlformats.org/spreadsheetml/2006/main" count="225" uniqueCount="154">
  <si>
    <t>For middle-income countries</t>
  </si>
  <si>
    <r>
      <t xml:space="preserve">For questions or support, contact PATH's Health Economics &amp; Outcomes Research team: </t>
    </r>
    <r>
      <rPr>
        <u/>
        <sz val="12"/>
        <color rgb="FF000000"/>
        <rFont val="Arial"/>
        <family val="2"/>
      </rPr>
      <t>HEOR@path.org</t>
    </r>
  </si>
  <si>
    <t>Overview</t>
  </si>
  <si>
    <t>User guide</t>
  </si>
  <si>
    <t>Inputs</t>
  </si>
  <si>
    <t>Purple boxes indicate a dropdown menu from which the user can select a pre-specified choice. Click on the box and a dropdown arrow will appear. Clicking on the arrow will allow the user to select from a menu of options.</t>
  </si>
  <si>
    <t>Green boxes require user inputs. Example data are included in the model, but this information should be revised to reflect the local immunization program and inputs.</t>
  </si>
  <si>
    <t>White cells include information that is fixed and cannot be changed by the user.</t>
  </si>
  <si>
    <t>Immunization program</t>
  </si>
  <si>
    <t>HPV vaccine    options and cost</t>
  </si>
  <si>
    <t>► Select your vaccines of interest from the dropdown menu (option 1 to 3) or enter product characteristics directly (option 4). 
► Enter the anticipated price per dose. Indicative prices are provided but this should be confirmed with your procurement agency or the manufacturer.
► Enter the expected wastage rate for each presentation and, where applicable, the expected cost of handling, international transportation, and supplies.
► Enter a buffer rate if applicable.</t>
  </si>
  <si>
    <t>Resources</t>
  </si>
  <si>
    <t>Vaccine price</t>
  </si>
  <si>
    <t>WHO MI4A Vaccine Purchase Database</t>
  </si>
  <si>
    <t>UNICEF Human Papilloma Virus (HPV) vaccine price data</t>
  </si>
  <si>
    <t>Handling fees</t>
  </si>
  <si>
    <t>UNICEF website - handling fees</t>
  </si>
  <si>
    <t>Supplies cost</t>
  </si>
  <si>
    <t>UNICEF website - pricing data</t>
  </si>
  <si>
    <t>Vaccination    program costs</t>
  </si>
  <si>
    <t>Vaccination program costs include vaccine costs and cost of delivery. Cost of delivery should capture additional expenditures required to administer vaccines, other than the direct cost of vaccine procurement and commodities. This encompasses expenditures such as per diem, travel allowances, cold chain equipment, vehicles, transport, and fuel, and can vary by delivery location. Any cost already incurred by the immunization system (shared costs) can be excluded. For example, the cost of transporting HPV vaccine should not be included if this is part of the same transport used to deliver other vaccines. You can separately enter introduction or switch costs (lump sum in the first year) and/or a cost per dose delivered (applied every year).</t>
  </si>
  <si>
    <t>Incremental cost of delivery per dose</t>
  </si>
  <si>
    <t>Immunization Delivery Cost Catalogue</t>
  </si>
  <si>
    <t>Optional scenario analysis for multi-vaccine use</t>
  </si>
  <si>
    <t>This option allows for analyzing the cost of programs involving multiple HPV vaccine products used at once in the country by adjusting the proportion for a number of options. For countries using or anticipating using more than one product, the calculator offers the possibility to define three scenarios (A, B, and C) with different combinations of proportion of vaccine use. Each scenario should involve a combination of two or more products with a total proportion that equals 100%.</t>
  </si>
  <si>
    <t>Dashboard</t>
  </si>
  <si>
    <t>Results</t>
  </si>
  <si>
    <t>Calculation formulas*</t>
  </si>
  <si>
    <r>
      <rPr>
        <b/>
        <sz val="12"/>
        <color theme="1"/>
        <rFont val="Arial"/>
        <family val="2"/>
      </rPr>
      <t xml:space="preserve">Number of doses delivered </t>
    </r>
    <r>
      <rPr>
        <sz val="12"/>
        <color theme="1"/>
        <rFont val="Arial"/>
        <family val="2"/>
      </rPr>
      <t xml:space="preserve">= Target SAC/MAC population x coverage D1 of each delivery option x proportion of each delivery option + target SAC/MAC population x coverage D2 of each delivery option x proportion of each delivery option (if applicable)
</t>
    </r>
    <r>
      <rPr>
        <b/>
        <sz val="12"/>
        <color theme="1"/>
        <rFont val="Arial"/>
        <family val="2"/>
      </rPr>
      <t>Total doses required</t>
    </r>
    <r>
      <rPr>
        <sz val="12"/>
        <color theme="1"/>
        <rFont val="Arial"/>
        <family val="2"/>
      </rPr>
      <t xml:space="preserve"> = Number of doses delivered x wastage factor + optional buffer doses
</t>
    </r>
    <r>
      <rPr>
        <b/>
        <sz val="12"/>
        <color theme="1"/>
        <rFont val="Arial"/>
        <family val="2"/>
      </rPr>
      <t>Total cold chain volume required</t>
    </r>
    <r>
      <rPr>
        <sz val="12"/>
        <color theme="1"/>
        <rFont val="Arial"/>
        <family val="2"/>
      </rPr>
      <t xml:space="preserve"> = Cold chain volume per dose in cm</t>
    </r>
    <r>
      <rPr>
        <vertAlign val="superscript"/>
        <sz val="12"/>
        <color theme="1"/>
        <rFont val="Arial"/>
        <family val="2"/>
      </rPr>
      <t>3</t>
    </r>
    <r>
      <rPr>
        <sz val="12"/>
        <color theme="1"/>
        <rFont val="Arial"/>
        <family val="2"/>
      </rPr>
      <t xml:space="preserve"> x total doses required
</t>
    </r>
    <r>
      <rPr>
        <b/>
        <sz val="12"/>
        <color theme="1"/>
        <rFont val="Arial"/>
        <family val="2"/>
      </rPr>
      <t>Wastage factor</t>
    </r>
    <r>
      <rPr>
        <sz val="12"/>
        <color theme="1"/>
        <rFont val="Arial"/>
        <family val="2"/>
      </rPr>
      <t xml:space="preserve"> = (1 / (1 - wastage rate))
</t>
    </r>
    <r>
      <rPr>
        <b/>
        <sz val="12"/>
        <color theme="1"/>
        <rFont val="Arial"/>
        <family val="2"/>
      </rPr>
      <t xml:space="preserve">Vaccine cost </t>
    </r>
    <r>
      <rPr>
        <sz val="12"/>
        <color theme="1"/>
        <rFont val="Arial"/>
        <family val="2"/>
      </rPr>
      <t xml:space="preserve">= Total doses required x (price per dose + price per dose x international handling + price per dose x international transportation) + (number of doses delivered / volume of safety box/bag x price of safety box/bag) + (number of doses administered x price of a syringe)
</t>
    </r>
    <r>
      <rPr>
        <b/>
        <sz val="12"/>
        <color theme="1"/>
        <rFont val="Arial"/>
        <family val="2"/>
      </rPr>
      <t xml:space="preserve">Vaccination program cost </t>
    </r>
    <r>
      <rPr>
        <sz val="12"/>
        <color theme="1"/>
        <rFont val="Arial"/>
        <family val="2"/>
      </rPr>
      <t>= Vaccine cost + number of doses delivered x incremental cost of delivery per dose + introduction or switching costs (only in Year 1)
* x = multiply</t>
    </r>
  </si>
  <si>
    <t>Start year</t>
  </si>
  <si>
    <t>Expected introduction or switch year</t>
  </si>
  <si>
    <r>
      <t xml:space="preserve">Target population - routine
</t>
    </r>
    <r>
      <rPr>
        <sz val="12"/>
        <color theme="1"/>
        <rFont val="Arial"/>
        <family val="2"/>
      </rPr>
      <t>Single-age cohort (SAC)</t>
    </r>
  </si>
  <si>
    <t>persons per year</t>
  </si>
  <si>
    <t>Girls 9-14 years old</t>
  </si>
  <si>
    <t>Boys</t>
  </si>
  <si>
    <t>Girls 15+ and women</t>
  </si>
  <si>
    <t>Annual population growth rate</t>
  </si>
  <si>
    <t>%, applied to the single-aged cohort only</t>
  </si>
  <si>
    <t>Girls
9-14</t>
  </si>
  <si>
    <t>Girls
15+</t>
  </si>
  <si>
    <t>Delivery options - routine</t>
  </si>
  <si>
    <r>
      <t xml:space="preserve">Must total 100% by completing % delivered at each </t>
    </r>
    <r>
      <rPr>
        <b/>
        <i/>
        <sz val="12"/>
        <color theme="4"/>
        <rFont val="Arial"/>
        <family val="2"/>
      </rPr>
      <t xml:space="preserve">location </t>
    </r>
    <r>
      <rPr>
        <sz val="12"/>
        <color theme="1"/>
        <rFont val="Arial"/>
        <family val="2"/>
      </rPr>
      <t xml:space="preserve">using fields in </t>
    </r>
    <r>
      <rPr>
        <b/>
        <i/>
        <sz val="12"/>
        <color theme="1"/>
        <rFont val="Arial"/>
        <family val="2"/>
      </rPr>
      <t>bold</t>
    </r>
    <r>
      <rPr>
        <sz val="12"/>
        <color theme="1"/>
        <rFont val="Arial"/>
        <family val="2"/>
      </rPr>
      <t xml:space="preserve"> below </t>
    </r>
    <r>
      <rPr>
        <b/>
        <sz val="12"/>
        <color theme="1"/>
        <rFont val="Arial"/>
        <family val="2"/>
      </rPr>
      <t>(NOTE: Dose 2 coverage fields must be completed if assessing a vaccine not yet approved for single-dose use)</t>
    </r>
    <r>
      <rPr>
        <sz val="12"/>
        <color theme="1"/>
        <rFont val="Arial"/>
        <family val="2"/>
      </rPr>
      <t>.</t>
    </r>
  </si>
  <si>
    <r>
      <t xml:space="preserve">% delivered at </t>
    </r>
    <r>
      <rPr>
        <b/>
        <i/>
        <sz val="12"/>
        <color theme="4"/>
        <rFont val="Arial"/>
        <family val="2"/>
      </rPr>
      <t>School</t>
    </r>
    <r>
      <rPr>
        <b/>
        <i/>
        <sz val="12"/>
        <color theme="1"/>
        <rFont val="Arial"/>
        <family val="2"/>
      </rPr>
      <t xml:space="preserve"> - routine</t>
    </r>
  </si>
  <si>
    <t>% reached through the location</t>
  </si>
  <si>
    <t>Expected coverage dose 1 from School - routine</t>
  </si>
  <si>
    <t>annual coverage</t>
  </si>
  <si>
    <t>Expected coverage dose 2 from School - routine</t>
  </si>
  <si>
    <r>
      <t xml:space="preserve">% delivered at </t>
    </r>
    <r>
      <rPr>
        <b/>
        <i/>
        <sz val="12"/>
        <color theme="4"/>
        <rFont val="Arial"/>
        <family val="2"/>
      </rPr>
      <t>Facility</t>
    </r>
    <r>
      <rPr>
        <b/>
        <i/>
        <sz val="12"/>
        <color theme="1"/>
        <rFont val="Arial"/>
        <family val="2"/>
      </rPr>
      <t xml:space="preserve"> - routine</t>
    </r>
  </si>
  <si>
    <t>Expected coverage dose 1 from Facility - routine</t>
  </si>
  <si>
    <t>Expected coverage dose 2 from Facility - routine</t>
  </si>
  <si>
    <r>
      <t xml:space="preserve">% delivered in </t>
    </r>
    <r>
      <rPr>
        <b/>
        <i/>
        <sz val="12"/>
        <color theme="4"/>
        <rFont val="Arial"/>
        <family val="2"/>
      </rPr>
      <t>Outreach</t>
    </r>
    <r>
      <rPr>
        <b/>
        <i/>
        <sz val="12"/>
        <color theme="1"/>
        <rFont val="Arial"/>
        <family val="2"/>
      </rPr>
      <t xml:space="preserve"> - routine</t>
    </r>
  </si>
  <si>
    <t>Expected coverage dose 1 from Outreach - routine</t>
  </si>
  <si>
    <t>Expected coverage dose 2 from Outreach - routine</t>
  </si>
  <si>
    <r>
      <t xml:space="preserve">Target population - campaign
</t>
    </r>
    <r>
      <rPr>
        <sz val="12"/>
        <color theme="1"/>
        <rFont val="Arial"/>
        <family val="2"/>
      </rPr>
      <t>Multi-age cohort (MAC)</t>
    </r>
  </si>
  <si>
    <t xml:space="preserve">persons </t>
  </si>
  <si>
    <t>Delivery options - campaign</t>
  </si>
  <si>
    <r>
      <t xml:space="preserve">% delivered at </t>
    </r>
    <r>
      <rPr>
        <b/>
        <i/>
        <sz val="12"/>
        <color theme="4"/>
        <rFont val="Arial"/>
        <family val="2"/>
      </rPr>
      <t>School</t>
    </r>
    <r>
      <rPr>
        <b/>
        <i/>
        <sz val="12"/>
        <color theme="1"/>
        <rFont val="Arial"/>
        <family val="2"/>
      </rPr>
      <t xml:space="preserve"> - campaign</t>
    </r>
  </si>
  <si>
    <t>Expected coverage dose 1 from School - campaign</t>
  </si>
  <si>
    <t>campaign coverage</t>
  </si>
  <si>
    <t>Expected coverage dose 2 from School - campaign</t>
  </si>
  <si>
    <r>
      <t xml:space="preserve">% delivered at </t>
    </r>
    <r>
      <rPr>
        <b/>
        <i/>
        <sz val="12"/>
        <color theme="4"/>
        <rFont val="Arial"/>
        <family val="2"/>
      </rPr>
      <t>Facility</t>
    </r>
    <r>
      <rPr>
        <b/>
        <i/>
        <sz val="12"/>
        <color theme="1"/>
        <rFont val="Arial"/>
        <family val="2"/>
      </rPr>
      <t xml:space="preserve"> - campaign</t>
    </r>
  </si>
  <si>
    <t>Expected coverage dose 1 from Facility - campaign</t>
  </si>
  <si>
    <t>Expected coverage dose 2 from Facility - campaign</t>
  </si>
  <si>
    <r>
      <t xml:space="preserve">% delivered at </t>
    </r>
    <r>
      <rPr>
        <b/>
        <i/>
        <sz val="12"/>
        <color theme="4"/>
        <rFont val="Arial"/>
        <family val="2"/>
      </rPr>
      <t>Outreach</t>
    </r>
    <r>
      <rPr>
        <b/>
        <i/>
        <sz val="12"/>
        <color theme="1"/>
        <rFont val="Arial"/>
        <family val="2"/>
      </rPr>
      <t xml:space="preserve"> - campaign</t>
    </r>
  </si>
  <si>
    <t>Expected coverage dose 1 from Outreach - campaign</t>
  </si>
  <si>
    <t>Expected coverage dose 2 from Outreach - campaign</t>
  </si>
  <si>
    <t>HPV vaccine options and cost</t>
  </si>
  <si>
    <t>CURRENT or PREFERRED OPTION</t>
  </si>
  <si>
    <t>OPTION 2</t>
  </si>
  <si>
    <t>OPTION 3</t>
  </si>
  <si>
    <t>OPTION 4</t>
  </si>
  <si>
    <t>Select vaccine / presentation &gt;&gt;&gt;</t>
  </si>
  <si>
    <t>CECOLIN 
2 valent, 1 dose/vial, liquid</t>
  </si>
  <si>
    <t>WALRINVAX 
2 valent, 1 dose/vial, liquid</t>
  </si>
  <si>
    <t>GARDASIL4
 4 valent, 1 dose/vial, liquid</t>
  </si>
  <si>
    <t>Price per dose</t>
  </si>
  <si>
    <t>Indicative price per dose</t>
  </si>
  <si>
    <t>N/A</t>
  </si>
  <si>
    <t>Number of doses in schedule</t>
  </si>
  <si>
    <t>Indicative number of doses in schedule</t>
  </si>
  <si>
    <r>
      <t>Cold chain volume per dose
(in cm</t>
    </r>
    <r>
      <rPr>
        <b/>
        <vertAlign val="superscript"/>
        <sz val="12"/>
        <color theme="1"/>
        <rFont val="Arial"/>
        <family val="2"/>
      </rPr>
      <t>3</t>
    </r>
    <r>
      <rPr>
        <b/>
        <sz val="12"/>
        <color theme="1"/>
        <rFont val="Arial"/>
        <family val="2"/>
      </rPr>
      <t>)</t>
    </r>
  </si>
  <si>
    <t>Wastage rate</t>
  </si>
  <si>
    <t>Indicative wastage rate</t>
  </si>
  <si>
    <t>Wastage factor</t>
  </si>
  <si>
    <t>International handling
(% of vaccine price)</t>
  </si>
  <si>
    <t>International transportation
(% of vaccine price)</t>
  </si>
  <si>
    <t>Buffer rate</t>
  </si>
  <si>
    <t>Safety box/bag price</t>
  </si>
  <si>
    <t>Safety box/bag volume</t>
  </si>
  <si>
    <t>Syringe price</t>
  </si>
  <si>
    <t>Vaccination program costs</t>
  </si>
  <si>
    <t>One-time introduction or switch costs for both SAC and MAC cohort
(lump sum or budget in first year)</t>
  </si>
  <si>
    <t>School</t>
  </si>
  <si>
    <t>Facility</t>
  </si>
  <si>
    <t>Outreach</t>
  </si>
  <si>
    <t>IDCC</t>
  </si>
  <si>
    <t>Click on the + symbol to the left to display</t>
  </si>
  <si>
    <t>SCENARIO A</t>
  </si>
  <si>
    <t>Proportion of vaccine option in use in the program (%)*</t>
  </si>
  <si>
    <t>SCENARIO B</t>
  </si>
  <si>
    <t>SCENARIO C</t>
  </si>
  <si>
    <t>* Reminder: Each scenario must involve a combination of two or more products with a total proportion that equals 100%.</t>
  </si>
  <si>
    <r>
      <t xml:space="preserve">Dashboard </t>
    </r>
    <r>
      <rPr>
        <b/>
        <sz val="24"/>
        <color theme="0"/>
        <rFont val="Aptos Narrow"/>
        <family val="2"/>
      </rPr>
      <t>—</t>
    </r>
    <r>
      <rPr>
        <b/>
        <sz val="24"/>
        <color theme="0"/>
        <rFont val="Arial"/>
        <family val="2"/>
      </rPr>
      <t xml:space="preserve"> Main analysis</t>
    </r>
  </si>
  <si>
    <t xml:space="preserve"> </t>
  </si>
  <si>
    <t>Million doses required</t>
  </si>
  <si>
    <t>5 years</t>
  </si>
  <si>
    <t>Average per year</t>
  </si>
  <si>
    <r>
      <t>Cold chain volume
(in million cm</t>
    </r>
    <r>
      <rPr>
        <b/>
        <vertAlign val="superscript"/>
        <sz val="12"/>
        <color theme="1"/>
        <rFont val="Arial"/>
        <family val="2"/>
      </rPr>
      <t>3</t>
    </r>
    <r>
      <rPr>
        <b/>
        <sz val="12"/>
        <color theme="1"/>
        <rFont val="Arial"/>
        <family val="2"/>
      </rPr>
      <t>)</t>
    </r>
  </si>
  <si>
    <t>Total vaccine cost 
(in million US$)</t>
  </si>
  <si>
    <t>Total vaccination program cost 
(in million US$)</t>
  </si>
  <si>
    <t>Percentages indicate the increase or decrease in cold chain volume or cost compared to the current or preferred option.</t>
  </si>
  <si>
    <t>Dashboard - Optional scenario analysis</t>
  </si>
  <si>
    <t xml:space="preserve">Click on the + symbol to the left to display </t>
  </si>
  <si>
    <t>Total vaccine cost
(in million US$)</t>
  </si>
  <si>
    <t>Total vaccination program cost
(in million US$)</t>
  </si>
  <si>
    <t>Results - Main analysis</t>
  </si>
  <si>
    <t>Number of doses delivered</t>
  </si>
  <si>
    <t>Total
for 5 years</t>
  </si>
  <si>
    <r>
      <rPr>
        <b/>
        <sz val="20"/>
        <color theme="0"/>
        <rFont val="Arial"/>
        <family val="2"/>
      </rPr>
      <t>Number of doses required</t>
    </r>
    <r>
      <rPr>
        <b/>
        <sz val="12"/>
        <color theme="0"/>
        <rFont val="Arial"/>
        <family val="2"/>
      </rPr>
      <t xml:space="preserve">
</t>
    </r>
    <r>
      <rPr>
        <i/>
        <sz val="10"/>
        <color theme="0"/>
        <rFont val="Arial"/>
        <family val="2"/>
      </rPr>
      <t>Includes buffer doses and doses wasted</t>
    </r>
    <r>
      <rPr>
        <b/>
        <sz val="12"/>
        <color theme="0"/>
        <rFont val="Arial"/>
        <family val="2"/>
      </rPr>
      <t xml:space="preserve"> </t>
    </r>
  </si>
  <si>
    <r>
      <rPr>
        <b/>
        <sz val="20"/>
        <color theme="0"/>
        <rFont val="Arial"/>
        <family val="2"/>
      </rPr>
      <t>Cold chain volume required</t>
    </r>
    <r>
      <rPr>
        <b/>
        <sz val="12"/>
        <color theme="0"/>
        <rFont val="Arial"/>
        <family val="2"/>
      </rPr>
      <t xml:space="preserve">
</t>
    </r>
    <r>
      <rPr>
        <i/>
        <sz val="10"/>
        <color theme="0"/>
        <rFont val="Arial"/>
        <family val="2"/>
      </rPr>
      <t>cm</t>
    </r>
    <r>
      <rPr>
        <i/>
        <vertAlign val="superscript"/>
        <sz val="10"/>
        <color theme="0"/>
        <rFont val="Arial"/>
        <family val="2"/>
      </rPr>
      <t>3</t>
    </r>
  </si>
  <si>
    <r>
      <rPr>
        <b/>
        <sz val="20"/>
        <color theme="0"/>
        <rFont val="Arial"/>
        <family val="2"/>
      </rPr>
      <t>Vaccine cost</t>
    </r>
    <r>
      <rPr>
        <b/>
        <sz val="12"/>
        <color theme="0"/>
        <rFont val="Arial"/>
        <family val="2"/>
      </rPr>
      <t xml:space="preserve">
</t>
    </r>
    <r>
      <rPr>
        <i/>
        <sz val="10"/>
        <color theme="0"/>
        <rFont val="Arial"/>
        <family val="2"/>
      </rPr>
      <t>Cost of vaccines and supplies procurement</t>
    </r>
  </si>
  <si>
    <r>
      <rPr>
        <b/>
        <sz val="20"/>
        <color theme="0"/>
        <rFont val="Arial"/>
        <family val="2"/>
      </rPr>
      <t xml:space="preserve">Vaccination program cost </t>
    </r>
    <r>
      <rPr>
        <b/>
        <sz val="12"/>
        <color theme="0"/>
        <rFont val="Arial"/>
        <family val="2"/>
      </rPr>
      <t xml:space="preserve">
</t>
    </r>
    <r>
      <rPr>
        <i/>
        <sz val="10"/>
        <color theme="0"/>
        <rFont val="Arial"/>
        <family val="2"/>
      </rPr>
      <t>Vaccine cost + cost of delivery</t>
    </r>
  </si>
  <si>
    <t>Vaccine and presentation</t>
  </si>
  <si>
    <t>Doses in schedule</t>
  </si>
  <si>
    <t>Wastage</t>
  </si>
  <si>
    <t>Cold chain volume (cm3) per dose</t>
  </si>
  <si>
    <t>Indicative price</t>
  </si>
  <si>
    <t>$2.90 - $9.50</t>
  </si>
  <si>
    <t>CERVARIX 
2 valent, 2 doses/vial, liquid</t>
  </si>
  <si>
    <t>$10.25 - $14.14</t>
  </si>
  <si>
    <t>$4.50 - $26.75</t>
  </si>
  <si>
    <t>GARDASIL9
 9 valent, 1 dose/vial, liquid</t>
  </si>
  <si>
    <t>$13.50 - $33.25</t>
  </si>
  <si>
    <t>Number of doses delivered - routine</t>
  </si>
  <si>
    <t>Number of doses delivered - campaign</t>
  </si>
  <si>
    <t>Number of doses required - routine</t>
  </si>
  <si>
    <t>Number of doses required - campaign</t>
  </si>
  <si>
    <t>Number of doses delivered - routine - by delivery options</t>
  </si>
  <si>
    <t>Number of doses delivered - campaign - by delivery options</t>
  </si>
  <si>
    <t>Version</t>
  </si>
  <si>
    <t xml:space="preserve">Date </t>
  </si>
  <si>
    <t>Comment</t>
  </si>
  <si>
    <t>The results worksheet presents cost information annually, as well as a total over five years, for each vaccine option indicated in the inputs worksheet for the main scenario. Results are provided separately for cold chain volume requirements, for vaccine cost (i.e., vaccine and supplies procurement and international shipping), and for vaccination program costs (i.e., vaccine cost plus cost of delivery).</t>
  </si>
  <si>
    <t>Enter data related to your immunization program: annual target population for single-age cohort (SAC), annual population growth rate, and expected coverage for each dose in the vaccine schedule. If there is no plan for a multi-age cohort (MAC) campaign, please put zero for the MAC population.</t>
  </si>
  <si>
    <t>2 or 3</t>
  </si>
  <si>
    <t>Version 1.0 / January 2026</t>
  </si>
  <si>
    <r>
      <t xml:space="preserve">The </t>
    </r>
    <r>
      <rPr>
        <b/>
        <sz val="14"/>
        <color rgb="FF20242B"/>
        <rFont val="Arial"/>
        <family val="2"/>
      </rPr>
      <t xml:space="preserve">Human papillomavirus (HPV) vaccine cost calculator </t>
    </r>
    <r>
      <rPr>
        <sz val="14"/>
        <color rgb="FF20242B"/>
        <rFont val="Arial"/>
        <family val="2"/>
      </rPr>
      <t>for middle-income countries is a simple tool for assessing and comparing financial costs of HPV vaccination programs with each HPV vaccine product available in the global market. It aims to help national-level policymakers in middle-income countries and/or countries no longer eligible for support from Gavi, the Vaccine Alliance, compare products and estimate vaccination program costs for different HPV vaccines, exploring up to four different product options at a time. 
The tool calculates costs and cold chain volume annually and for a total period of five years.  Cost estimates are composed of vaccine cost (i.e., vaccine and supplies procurement and international shipping) and vaccination program costs (i.e., vaccine cost plus cost of delivery).  Cold chain volume estimates are calculated from total doses required and World Health Organization prequalification information on cold chain volume per dose, which account for buffer and wastage but not necessarily "dead" space or space needed at different levels.</t>
    </r>
  </si>
  <si>
    <r>
      <rPr>
        <b/>
        <i/>
        <u/>
        <sz val="12"/>
        <color theme="1" tint="-0.499984740745262"/>
        <rFont val="Arial"/>
        <family val="2"/>
      </rPr>
      <t>Disclaimer:</t>
    </r>
    <r>
      <rPr>
        <b/>
        <i/>
        <sz val="12"/>
        <color theme="1" tint="-0.499984740745262"/>
        <rFont val="Arial"/>
        <family val="2"/>
      </rPr>
      <t xml:space="preserve"> The HPV vaccine cost calculator for middle-income countries</t>
    </r>
    <r>
      <rPr>
        <i/>
        <sz val="12"/>
        <color theme="1" tint="-0.499984740745262"/>
        <rFont val="Arial"/>
        <family val="2"/>
      </rPr>
      <t xml:space="preserve"> is a tool that aims to inform vaccine introduction or switch decision-making and product selection. It is important to note that cost is only one consideration, and users involved in decision-making around new vaccine introduction/switch or product selection should always consider other dimensions as well. This model is meant to provide insights into the </t>
    </r>
    <r>
      <rPr>
        <b/>
        <i/>
        <sz val="12"/>
        <color theme="1" tint="-0.499984740745262"/>
        <rFont val="Arial"/>
        <family val="2"/>
      </rPr>
      <t>potential</t>
    </r>
    <r>
      <rPr>
        <i/>
        <sz val="12"/>
        <color theme="1" tint="-0.499984740745262"/>
        <rFont val="Arial"/>
        <family val="2"/>
      </rPr>
      <t xml:space="preserve"> costs of alternative product choices and should not replace detailed budget planning once a product has been selected.</t>
    </r>
  </si>
  <si>
    <t>The dashboard provides summary results for the main analysis and for scenarios A, B, and C if the optional scenario analysis for multi-vaccine use is populated. Conditional formatting is used to highlight potential savings (green color) and potential losses (red color). Summary results are provided separately for vaccine cost (i.e., vaccine and supplies procurement and international shipping), for vaccination program costs (i.e., vaccine cost plus cost of delivery), and for cold chain volume requirements.</t>
  </si>
  <si>
    <t>Fully customizable option - insert name here</t>
  </si>
  <si>
    <r>
      <rPr>
        <b/>
        <sz val="32"/>
        <color rgb="FFAE0012"/>
        <rFont val="Arial"/>
        <family val="2"/>
      </rPr>
      <t>Human papillomavirus vaccine</t>
    </r>
    <r>
      <rPr>
        <b/>
        <sz val="36"/>
        <color rgb="FFAE0012"/>
        <rFont val="Arial"/>
        <family val="2"/>
      </rPr>
      <t xml:space="preserve"> </t>
    </r>
    <r>
      <rPr>
        <b/>
        <sz val="36"/>
        <color rgb="FFC00000"/>
        <rFont val="Arial"/>
        <family val="2"/>
      </rPr>
      <t xml:space="preserve">
</t>
    </r>
    <r>
      <rPr>
        <sz val="26"/>
        <rFont val="Arial"/>
        <family val="2"/>
      </rPr>
      <t>Cost calculator</t>
    </r>
  </si>
  <si>
    <r>
      <rPr>
        <b/>
        <sz val="11"/>
        <color rgb="FFAE0012"/>
        <rFont val="Arial"/>
        <family val="2"/>
      </rPr>
      <t>Human papillomavirus vaccine</t>
    </r>
    <r>
      <rPr>
        <sz val="11"/>
        <color theme="1"/>
        <rFont val="Arial"/>
        <family val="2"/>
      </rPr>
      <t xml:space="preserve"> cost calculator</t>
    </r>
    <r>
      <rPr>
        <sz val="11"/>
        <color theme="5"/>
        <rFont val="Arial"/>
        <family val="2"/>
      </rPr>
      <t xml:space="preserve"> </t>
    </r>
    <r>
      <rPr>
        <sz val="11"/>
        <color rgb="FFC00000"/>
        <rFont val="Arial"/>
        <family val="2"/>
      </rPr>
      <t>f</t>
    </r>
    <r>
      <rPr>
        <sz val="11"/>
        <color rgb="FFAE0012"/>
        <rFont val="Arial"/>
        <family val="2"/>
      </rPr>
      <t>or middle-income countries</t>
    </r>
  </si>
  <si>
    <r>
      <rPr>
        <b/>
        <sz val="11"/>
        <color rgb="FFAE0012"/>
        <rFont val="Arial"/>
        <family val="2"/>
      </rPr>
      <t>Human papillomavirus vaccine</t>
    </r>
    <r>
      <rPr>
        <sz val="11"/>
        <color theme="5"/>
        <rFont val="Arial"/>
        <family val="2"/>
      </rPr>
      <t xml:space="preserve"> </t>
    </r>
    <r>
      <rPr>
        <sz val="11"/>
        <color theme="1"/>
        <rFont val="Arial"/>
        <family val="2"/>
      </rPr>
      <t>cost calculator</t>
    </r>
    <r>
      <rPr>
        <sz val="11"/>
        <color theme="5"/>
        <rFont val="Arial"/>
        <family val="2"/>
      </rPr>
      <t xml:space="preserve"> </t>
    </r>
    <r>
      <rPr>
        <sz val="11"/>
        <color rgb="FFAE0012"/>
        <rFont val="Arial"/>
        <family val="2"/>
      </rPr>
      <t>for middle-income countries</t>
    </r>
  </si>
  <si>
    <r>
      <rPr>
        <b/>
        <sz val="11"/>
        <color rgb="FFAE0012"/>
        <rFont val="Arial"/>
        <family val="2"/>
      </rPr>
      <t>Human papillomavirus vaccine</t>
    </r>
    <r>
      <rPr>
        <sz val="11"/>
        <color theme="5"/>
        <rFont val="Arial"/>
        <family val="2"/>
      </rPr>
      <t xml:space="preserve"> </t>
    </r>
    <r>
      <rPr>
        <sz val="11"/>
        <color theme="1"/>
        <rFont val="Arial"/>
        <family val="2"/>
      </rPr>
      <t xml:space="preserve">cost calculator </t>
    </r>
    <r>
      <rPr>
        <sz val="11"/>
        <color rgb="FFAE0012"/>
        <rFont val="Arial"/>
        <family val="2"/>
      </rPr>
      <t>for middle-income countries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</si>
</sst>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0.0%"/>
    <numFmt numFmtId="167" formatCode="[$$-409]#,##0.00"/>
    <numFmt numFmtId="168" formatCode="0.0"/>
  </numFmts>
  <fonts count="100" x14ac:knownFonts="1">
    <font>
      <sz val="11"/>
      <color theme="1"/>
      <name val="Calibri"/>
      <family val="2"/>
      <scheme val="minor"/>
    </font>
    <font>
      <b/>
      <sz val="11"/>
      <color theme="1"/>
      <name val="Calibri"/>
      <family val="2"/>
      <scheme val="minor"/>
    </font>
    <font>
      <sz val="11"/>
      <color theme="1"/>
      <name val="Calibri"/>
      <family val="2"/>
      <scheme val="minor"/>
    </font>
    <font>
      <u/>
      <sz val="11"/>
      <color rgb="FF0000FF"/>
      <name val="Calibri"/>
      <family val="2"/>
      <scheme val="minor"/>
    </font>
    <font>
      <u/>
      <sz val="11"/>
      <color theme="1"/>
      <name val="Calibri"/>
      <family val="2"/>
      <scheme val="minor"/>
    </font>
    <font>
      <b/>
      <sz val="11"/>
      <color rgb="FFFF0000"/>
      <name val="Calibri"/>
      <family val="2"/>
      <scheme val="minor"/>
    </font>
    <font>
      <sz val="12"/>
      <color theme="1"/>
      <name val="Arial"/>
      <family val="2"/>
    </font>
    <font>
      <b/>
      <sz val="12"/>
      <color theme="1"/>
      <name val="Arial"/>
      <family val="2"/>
    </font>
    <font>
      <b/>
      <sz val="14"/>
      <color theme="1"/>
      <name val="Arial"/>
      <family val="2"/>
    </font>
    <font>
      <b/>
      <sz val="14"/>
      <color theme="0"/>
      <name val="Arial"/>
      <family val="2"/>
    </font>
    <font>
      <b/>
      <sz val="18"/>
      <color theme="0"/>
      <name val="Arial"/>
      <family val="2"/>
    </font>
    <font>
      <u/>
      <sz val="12"/>
      <color rgb="FF0000FF"/>
      <name val="Arial"/>
      <family val="2"/>
    </font>
    <font>
      <u/>
      <sz val="12"/>
      <color theme="1"/>
      <name val="Arial"/>
      <family val="2"/>
    </font>
    <font>
      <b/>
      <sz val="12"/>
      <color theme="4"/>
      <name val="Arial"/>
      <family val="2"/>
    </font>
    <font>
      <sz val="12"/>
      <color theme="0"/>
      <name val="Arial"/>
      <family val="2"/>
    </font>
    <font>
      <b/>
      <sz val="22"/>
      <color theme="0"/>
      <name val="Arial"/>
      <family val="2"/>
    </font>
    <font>
      <b/>
      <sz val="12"/>
      <color rgb="FFFF0000"/>
      <name val="Arial"/>
      <family val="2"/>
    </font>
    <font>
      <b/>
      <sz val="12"/>
      <color theme="1" tint="-0.499984740745262"/>
      <name val="Arial"/>
      <family val="2"/>
    </font>
    <font>
      <b/>
      <i/>
      <sz val="12"/>
      <color theme="1" tint="-0.499984740745262"/>
      <name val="Arial"/>
      <family val="2"/>
    </font>
    <font>
      <sz val="12"/>
      <color rgb="FF000000"/>
      <name val="Arial"/>
      <family val="2"/>
    </font>
    <font>
      <sz val="14"/>
      <color rgb="FF000000"/>
      <name val="Arial"/>
      <family val="2"/>
    </font>
    <font>
      <sz val="14"/>
      <color theme="1" tint="-0.499984740745262"/>
      <name val="Arial"/>
      <family val="2"/>
    </font>
    <font>
      <b/>
      <sz val="14"/>
      <color theme="1" tint="-0.499984740745262"/>
      <name val="Arial"/>
      <family val="2"/>
    </font>
    <font>
      <sz val="18"/>
      <color theme="0"/>
      <name val="Arial"/>
      <family val="2"/>
    </font>
    <font>
      <u/>
      <sz val="12"/>
      <color rgb="FF000000"/>
      <name val="Arial"/>
      <family val="2"/>
    </font>
    <font>
      <b/>
      <sz val="11"/>
      <color rgb="FF000000"/>
      <name val="Arial"/>
      <family val="2"/>
    </font>
    <font>
      <b/>
      <sz val="18"/>
      <color rgb="FFAD0012"/>
      <name val="Arial"/>
      <family val="2"/>
    </font>
    <font>
      <b/>
      <sz val="20"/>
      <color rgb="FF000000"/>
      <name val="Arial"/>
      <family val="2"/>
    </font>
    <font>
      <b/>
      <sz val="26"/>
      <color rgb="FF000000"/>
      <name val="Arial"/>
      <family val="2"/>
    </font>
    <font>
      <sz val="11"/>
      <color theme="1"/>
      <name val="Arial"/>
      <family val="2"/>
    </font>
    <font>
      <sz val="16"/>
      <color theme="1"/>
      <name val="Arial"/>
      <family val="2"/>
    </font>
    <font>
      <b/>
      <sz val="16"/>
      <name val="Arial"/>
      <family val="2"/>
    </font>
    <font>
      <b/>
      <sz val="14"/>
      <name val="Arial"/>
      <family val="2"/>
    </font>
    <font>
      <b/>
      <sz val="10"/>
      <color theme="1"/>
      <name val="Arial"/>
      <family val="2"/>
    </font>
    <font>
      <sz val="14"/>
      <color theme="1"/>
      <name val="Arial"/>
      <family val="2"/>
    </font>
    <font>
      <b/>
      <sz val="14"/>
      <color rgb="FFFF0000"/>
      <name val="Arial"/>
      <family val="2"/>
    </font>
    <font>
      <b/>
      <sz val="11"/>
      <color theme="1"/>
      <name val="Arial"/>
      <family val="2"/>
    </font>
    <font>
      <i/>
      <sz val="10"/>
      <color theme="1"/>
      <name val="Arial"/>
      <family val="2"/>
    </font>
    <font>
      <b/>
      <sz val="18"/>
      <color theme="1"/>
      <name val="Arial"/>
      <family val="2"/>
    </font>
    <font>
      <b/>
      <sz val="20"/>
      <color theme="0"/>
      <name val="Arial"/>
      <family val="2"/>
    </font>
    <font>
      <b/>
      <sz val="16"/>
      <color theme="1"/>
      <name val="Arial"/>
      <family val="2"/>
    </font>
    <font>
      <b/>
      <sz val="28"/>
      <color theme="8"/>
      <name val="Arial"/>
      <family val="2"/>
    </font>
    <font>
      <i/>
      <sz val="16"/>
      <color theme="1"/>
      <name val="Arial"/>
      <family val="2"/>
    </font>
    <font>
      <i/>
      <sz val="14"/>
      <color theme="1"/>
      <name val="Arial"/>
      <family val="2"/>
    </font>
    <font>
      <b/>
      <i/>
      <sz val="12"/>
      <color theme="1"/>
      <name val="Arial"/>
      <family val="2"/>
    </font>
    <font>
      <b/>
      <vertAlign val="superscript"/>
      <sz val="12"/>
      <color theme="1"/>
      <name val="Arial"/>
      <family val="2"/>
    </font>
    <font>
      <b/>
      <sz val="10"/>
      <color rgb="FFFF0000"/>
      <name val="Arial"/>
      <family val="2"/>
    </font>
    <font>
      <i/>
      <sz val="10"/>
      <name val="Arial"/>
      <family val="2"/>
    </font>
    <font>
      <sz val="11"/>
      <name val="Arial"/>
      <family val="2"/>
    </font>
    <font>
      <b/>
      <sz val="11"/>
      <name val="Arial"/>
      <family val="2"/>
    </font>
    <font>
      <sz val="16"/>
      <name val="Arial"/>
      <family val="2"/>
    </font>
    <font>
      <b/>
      <sz val="36"/>
      <color theme="0"/>
      <name val="Arial"/>
      <family val="2"/>
    </font>
    <font>
      <b/>
      <sz val="24"/>
      <color theme="0"/>
      <name val="Arial"/>
      <family val="2"/>
    </font>
    <font>
      <sz val="10"/>
      <color theme="1"/>
      <name val="Arial"/>
      <family val="2"/>
    </font>
    <font>
      <b/>
      <sz val="20"/>
      <color theme="1"/>
      <name val="Arial"/>
      <family val="2"/>
    </font>
    <font>
      <i/>
      <sz val="12"/>
      <color theme="1"/>
      <name val="Arial"/>
      <family val="2"/>
    </font>
    <font>
      <b/>
      <sz val="12"/>
      <name val="Arial"/>
      <family val="2"/>
    </font>
    <font>
      <i/>
      <sz val="11"/>
      <name val="Arial"/>
      <family val="2"/>
    </font>
    <font>
      <b/>
      <sz val="10"/>
      <color theme="1" tint="-0.499984740745262"/>
      <name val="Arial"/>
      <family val="2"/>
    </font>
    <font>
      <b/>
      <sz val="10"/>
      <name val="Arial"/>
      <family val="2"/>
    </font>
    <font>
      <sz val="12"/>
      <color theme="9" tint="0.79998168889431442"/>
      <name val="Arial"/>
      <family val="2"/>
    </font>
    <font>
      <b/>
      <sz val="12"/>
      <color theme="9" tint="0.79998168889431442"/>
      <name val="Arial"/>
      <family val="2"/>
    </font>
    <font>
      <b/>
      <u/>
      <sz val="12"/>
      <color theme="1"/>
      <name val="Arial"/>
      <family val="2"/>
    </font>
    <font>
      <b/>
      <sz val="14"/>
      <color theme="9" tint="0.79998168889431442"/>
      <name val="Arial"/>
      <family val="2"/>
    </font>
    <font>
      <b/>
      <sz val="15"/>
      <color theme="9" tint="0.79998168889431442"/>
      <name val="Arial"/>
      <family val="2"/>
    </font>
    <font>
      <b/>
      <sz val="15"/>
      <color theme="1"/>
      <name val="Arial"/>
      <family val="2"/>
    </font>
    <font>
      <b/>
      <sz val="20"/>
      <color theme="9" tint="0.79998168889431442"/>
      <name val="Arial"/>
      <family val="2"/>
    </font>
    <font>
      <b/>
      <sz val="12"/>
      <color theme="0"/>
      <name val="Arial"/>
      <family val="2"/>
    </font>
    <font>
      <i/>
      <sz val="10"/>
      <color theme="0"/>
      <name val="Arial"/>
      <family val="2"/>
    </font>
    <font>
      <sz val="12"/>
      <name val="Arial"/>
      <family val="2"/>
    </font>
    <font>
      <sz val="11"/>
      <color theme="9"/>
      <name val="Arial"/>
      <family val="2"/>
    </font>
    <font>
      <b/>
      <sz val="12"/>
      <color theme="9"/>
      <name val="Arial"/>
      <family val="2"/>
    </font>
    <font>
      <i/>
      <vertAlign val="superscript"/>
      <sz val="10"/>
      <color theme="0"/>
      <name val="Arial"/>
      <family val="2"/>
    </font>
    <font>
      <b/>
      <sz val="14"/>
      <color theme="9"/>
      <name val="Arial"/>
      <family val="2"/>
    </font>
    <font>
      <b/>
      <i/>
      <sz val="12"/>
      <color theme="9"/>
      <name val="Arial"/>
      <family val="2"/>
    </font>
    <font>
      <b/>
      <i/>
      <u/>
      <sz val="12"/>
      <color theme="1" tint="-0.499984740745262"/>
      <name val="Arial"/>
      <family val="2"/>
    </font>
    <font>
      <i/>
      <sz val="12"/>
      <color theme="1" tint="-0.499984740745262"/>
      <name val="Arial"/>
      <family val="2"/>
    </font>
    <font>
      <sz val="11"/>
      <color theme="5"/>
      <name val="Arial"/>
      <family val="2"/>
    </font>
    <font>
      <sz val="11"/>
      <color theme="4" tint="-0.249977111117893"/>
      <name val="Arial"/>
      <family val="2"/>
    </font>
    <font>
      <sz val="8"/>
      <name val="Calibri"/>
      <family val="2"/>
      <scheme val="minor"/>
    </font>
    <font>
      <u/>
      <sz val="11"/>
      <color rgb="FF0000FF"/>
      <name val="Arial"/>
      <family val="2"/>
    </font>
    <font>
      <i/>
      <sz val="11"/>
      <color theme="1"/>
      <name val="Calibri"/>
      <family val="2"/>
      <scheme val="minor"/>
    </font>
    <font>
      <b/>
      <sz val="8"/>
      <color rgb="FFFF0000"/>
      <name val="Arial"/>
      <family val="2"/>
    </font>
    <font>
      <b/>
      <i/>
      <sz val="12"/>
      <color theme="4"/>
      <name val="Arial"/>
      <family val="2"/>
    </font>
    <font>
      <b/>
      <i/>
      <sz val="14"/>
      <color theme="1"/>
      <name val="Arial"/>
      <family val="2"/>
    </font>
    <font>
      <sz val="10"/>
      <name val="Arial"/>
      <family val="2"/>
    </font>
    <font>
      <i/>
      <sz val="16"/>
      <name val="Arial"/>
      <family val="2"/>
    </font>
    <font>
      <b/>
      <sz val="24"/>
      <color theme="0"/>
      <name val="Aptos Narrow"/>
      <family val="2"/>
    </font>
    <font>
      <vertAlign val="superscript"/>
      <sz val="12"/>
      <color theme="1"/>
      <name val="Arial"/>
      <family val="2"/>
    </font>
    <font>
      <b/>
      <sz val="26"/>
      <color rgb="FFC00000"/>
      <name val="Arial"/>
      <family val="2"/>
    </font>
    <font>
      <b/>
      <sz val="36"/>
      <color rgb="FFC00000"/>
      <name val="Arial"/>
      <family val="2"/>
    </font>
    <font>
      <sz val="26"/>
      <name val="Arial"/>
      <family val="2"/>
    </font>
    <font>
      <sz val="11"/>
      <color rgb="FFC00000"/>
      <name val="Arial"/>
      <family val="2"/>
    </font>
    <font>
      <sz val="14"/>
      <color rgb="FF20242B"/>
      <name val="Arial"/>
      <family val="2"/>
    </font>
    <font>
      <b/>
      <sz val="14"/>
      <color rgb="FF20242B"/>
      <name val="Arial"/>
      <family val="2"/>
    </font>
    <font>
      <b/>
      <sz val="32"/>
      <color rgb="FFAE0012"/>
      <name val="Arial"/>
      <family val="2"/>
    </font>
    <font>
      <b/>
      <sz val="36"/>
      <color rgb="FFAE0012"/>
      <name val="Arial"/>
      <family val="2"/>
    </font>
    <font>
      <b/>
      <sz val="18"/>
      <color rgb="FFAE0012"/>
      <name val="Arial"/>
      <family val="2"/>
    </font>
    <font>
      <b/>
      <sz val="11"/>
      <color rgb="FFAE0012"/>
      <name val="Arial"/>
      <family val="2"/>
    </font>
    <font>
      <sz val="11"/>
      <color rgb="FFAE0012"/>
      <name val="Arial"/>
      <family val="2"/>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E8EBEB"/>
        <bgColor indexed="64"/>
      </patternFill>
    </fill>
    <fill>
      <patternFill patternType="solid">
        <fgColor theme="1"/>
        <bgColor indexed="64"/>
      </patternFill>
    </fill>
    <fill>
      <patternFill patternType="solid">
        <fgColor rgb="FFD7EDEF"/>
        <bgColor indexed="64"/>
      </patternFill>
    </fill>
    <fill>
      <patternFill patternType="solid">
        <fgColor theme="4"/>
        <bgColor indexed="64"/>
      </patternFill>
    </fill>
    <fill>
      <patternFill patternType="solid">
        <fgColor rgb="FF66BAC3"/>
        <bgColor indexed="64"/>
      </patternFill>
    </fill>
    <fill>
      <patternFill patternType="solid">
        <fgColor rgb="FFD2EFDF"/>
        <bgColor indexed="64"/>
      </patternFill>
    </fill>
    <fill>
      <patternFill patternType="solid">
        <fgColor theme="4" tint="-0.249977111117893"/>
        <bgColor indexed="64"/>
      </patternFill>
    </fill>
    <fill>
      <patternFill patternType="solid">
        <fgColor theme="3"/>
        <bgColor indexed="64"/>
      </patternFill>
    </fill>
    <fill>
      <patternFill patternType="solid">
        <fgColor theme="1" tint="0.39997558519241921"/>
        <bgColor indexed="64"/>
      </patternFill>
    </fill>
    <fill>
      <patternFill patternType="solid">
        <fgColor theme="9" tint="0.39997558519241921"/>
        <bgColor indexed="64"/>
      </patternFill>
    </fill>
    <fill>
      <patternFill patternType="solid">
        <fgColor rgb="FFD4EAEC"/>
        <bgColor indexed="64"/>
      </patternFill>
    </fill>
    <fill>
      <patternFill patternType="solid">
        <fgColor rgb="FFD2F0DF"/>
        <bgColor indexed="64"/>
      </patternFill>
    </fill>
    <fill>
      <patternFill patternType="solid">
        <fgColor rgb="FFAE0012"/>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indexed="64"/>
      </top>
      <bottom style="thin">
        <color indexed="64"/>
      </bottom>
      <diagonal/>
    </border>
    <border>
      <left style="thin">
        <color theme="1"/>
      </left>
      <right style="thin">
        <color theme="0"/>
      </right>
      <top style="thin">
        <color theme="1"/>
      </top>
      <bottom/>
      <diagonal/>
    </border>
    <border>
      <left/>
      <right style="thin">
        <color theme="0"/>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indexed="64"/>
      </bottom>
      <diagonal/>
    </border>
    <border>
      <left style="thin">
        <color theme="1"/>
      </left>
      <right/>
      <top style="thin">
        <color indexed="64"/>
      </top>
      <bottom style="thin">
        <color indexed="64"/>
      </bottom>
      <diagonal/>
    </border>
    <border>
      <left style="thin">
        <color indexed="64"/>
      </left>
      <right style="thin">
        <color theme="0"/>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512">
    <xf numFmtId="0" fontId="0" fillId="0" borderId="0" xfId="0"/>
    <xf numFmtId="0" fontId="0" fillId="0" borderId="0" xfId="0" applyAlignment="1">
      <alignment horizontal="center" vertical="center"/>
    </xf>
    <xf numFmtId="9" fontId="0" fillId="0" borderId="0" xfId="0" applyNumberFormat="1" applyAlignment="1">
      <alignment horizontal="center" vertical="center"/>
    </xf>
    <xf numFmtId="0" fontId="1" fillId="0" borderId="0" xfId="0" applyFont="1" applyAlignment="1">
      <alignment horizontal="center" vertical="center"/>
    </xf>
    <xf numFmtId="37" fontId="0" fillId="0" borderId="0" xfId="1" applyNumberFormat="1" applyFont="1" applyAlignment="1">
      <alignment horizontal="center" vertical="center"/>
    </xf>
    <xf numFmtId="0" fontId="4" fillId="2" borderId="0" xfId="0" applyFont="1" applyFill="1" applyAlignment="1">
      <alignment vertical="center" wrapText="1"/>
    </xf>
    <xf numFmtId="0" fontId="1" fillId="0" borderId="0" xfId="0" applyFont="1" applyAlignment="1">
      <alignment horizontal="center"/>
    </xf>
    <xf numFmtId="0" fontId="0" fillId="0" borderId="0" xfId="0" applyAlignment="1">
      <alignment horizontal="left" vertical="center" wrapText="1"/>
    </xf>
    <xf numFmtId="0" fontId="5" fillId="0" borderId="0" xfId="0" applyFont="1"/>
    <xf numFmtId="0" fontId="6" fillId="2" borderId="0" xfId="0" applyFont="1" applyFill="1"/>
    <xf numFmtId="0" fontId="6" fillId="4" borderId="0" xfId="0" applyFont="1" applyFill="1"/>
    <xf numFmtId="0" fontId="6" fillId="2" borderId="0" xfId="0" applyFont="1" applyFill="1" applyAlignment="1">
      <alignment horizontal="left" wrapText="1"/>
    </xf>
    <xf numFmtId="0" fontId="8" fillId="2" borderId="0" xfId="0" applyFont="1" applyFill="1" applyAlignment="1">
      <alignment horizontal="center"/>
    </xf>
    <xf numFmtId="0" fontId="8" fillId="6" borderId="0" xfId="0" applyFont="1" applyFill="1" applyAlignment="1">
      <alignment horizontal="center"/>
    </xf>
    <xf numFmtId="0" fontId="6" fillId="6" borderId="0" xfId="0" applyFont="1" applyFill="1"/>
    <xf numFmtId="0" fontId="6" fillId="2" borderId="0" xfId="0" applyFont="1" applyFill="1" applyAlignment="1">
      <alignment horizontal="center" vertical="center" wrapText="1"/>
    </xf>
    <xf numFmtId="0" fontId="9" fillId="7" borderId="0" xfId="0" applyFont="1" applyFill="1" applyAlignment="1">
      <alignment horizontal="center"/>
    </xf>
    <xf numFmtId="0" fontId="6" fillId="7" borderId="0" xfId="0" applyFont="1" applyFill="1"/>
    <xf numFmtId="0" fontId="10" fillId="9" borderId="0" xfId="0" applyFont="1" applyFill="1" applyAlignment="1">
      <alignment horizontal="center"/>
    </xf>
    <xf numFmtId="0" fontId="6" fillId="9" borderId="0" xfId="0" applyFont="1" applyFill="1"/>
    <xf numFmtId="0" fontId="6" fillId="10" borderId="0" xfId="0" applyFont="1" applyFill="1"/>
    <xf numFmtId="0" fontId="11" fillId="2" borderId="0" xfId="3" applyFont="1" applyFill="1" applyBorder="1" applyAlignment="1">
      <alignment horizontal="left" vertical="center"/>
    </xf>
    <xf numFmtId="0" fontId="12" fillId="2" borderId="0" xfId="0" applyFont="1" applyFill="1" applyAlignment="1">
      <alignment horizontal="center" vertical="center"/>
    </xf>
    <xf numFmtId="0" fontId="6" fillId="2" borderId="0" xfId="0" applyFont="1" applyFill="1" applyAlignment="1">
      <alignment horizontal="left" vertical="center" wrapText="1"/>
    </xf>
    <xf numFmtId="0" fontId="11" fillId="2" borderId="0" xfId="3" applyFont="1" applyFill="1" applyBorder="1" applyAlignment="1">
      <alignment horizontal="left" vertical="center" wrapText="1"/>
    </xf>
    <xf numFmtId="0" fontId="12" fillId="2" borderId="0" xfId="0" applyFont="1" applyFill="1" applyAlignment="1">
      <alignment horizontal="center" vertical="center" wrapText="1"/>
    </xf>
    <xf numFmtId="0" fontId="6" fillId="2" borderId="1" xfId="0" applyFont="1" applyFill="1" applyBorder="1" applyAlignment="1">
      <alignment vertical="center" wrapText="1"/>
    </xf>
    <xf numFmtId="0" fontId="6" fillId="10" borderId="0" xfId="0" applyFont="1" applyFill="1" applyAlignment="1">
      <alignment vertical="center" wrapText="1"/>
    </xf>
    <xf numFmtId="0" fontId="6" fillId="13" borderId="1" xfId="0" applyFont="1" applyFill="1" applyBorder="1" applyAlignment="1">
      <alignment vertical="center" wrapText="1"/>
    </xf>
    <xf numFmtId="0" fontId="6" fillId="5" borderId="1" xfId="0" applyFont="1" applyFill="1" applyBorder="1" applyAlignment="1">
      <alignment vertical="center" wrapText="1"/>
    </xf>
    <xf numFmtId="0" fontId="6" fillId="14" borderId="0" xfId="0" applyFont="1" applyFill="1"/>
    <xf numFmtId="0" fontId="14" fillId="15" borderId="0" xfId="0" applyFont="1" applyFill="1"/>
    <xf numFmtId="0" fontId="6" fillId="15" borderId="0" xfId="0" applyFont="1" applyFill="1"/>
    <xf numFmtId="0" fontId="16" fillId="4" borderId="0" xfId="0" applyFont="1" applyFill="1" applyAlignment="1">
      <alignment horizontal="left" vertical="center" wrapText="1"/>
    </xf>
    <xf numFmtId="0" fontId="19" fillId="4" borderId="0" xfId="0" applyFont="1" applyFill="1" applyAlignment="1">
      <alignment vertical="center" wrapText="1"/>
    </xf>
    <xf numFmtId="0" fontId="20" fillId="2" borderId="0" xfId="0" applyFont="1" applyFill="1" applyAlignment="1">
      <alignment horizontal="left" vertical="center" wrapText="1"/>
    </xf>
    <xf numFmtId="0" fontId="23" fillId="15" borderId="0" xfId="0" applyFont="1" applyFill="1" applyAlignment="1">
      <alignment vertical="center"/>
    </xf>
    <xf numFmtId="0" fontId="19" fillId="4" borderId="0" xfId="0" applyFont="1" applyFill="1" applyAlignment="1">
      <alignment vertical="center"/>
    </xf>
    <xf numFmtId="0" fontId="26" fillId="2" borderId="0" xfId="0" applyFont="1" applyFill="1" applyAlignment="1">
      <alignment vertical="center" wrapText="1"/>
    </xf>
    <xf numFmtId="0" fontId="27" fillId="2" borderId="0" xfId="0" applyFont="1" applyFill="1" applyAlignment="1">
      <alignment horizontal="center" vertical="center" wrapText="1"/>
    </xf>
    <xf numFmtId="0" fontId="28" fillId="2" borderId="0" xfId="0" applyFont="1" applyFill="1" applyAlignment="1">
      <alignment vertical="center" wrapText="1"/>
    </xf>
    <xf numFmtId="0" fontId="29" fillId="2" borderId="0" xfId="0" applyFont="1" applyFill="1" applyAlignment="1" applyProtection="1">
      <alignment horizontal="center" vertical="center"/>
      <protection hidden="1"/>
    </xf>
    <xf numFmtId="9" fontId="30" fillId="2" borderId="0" xfId="0" applyNumberFormat="1"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9" fontId="30" fillId="2" borderId="0" xfId="2" applyFont="1" applyFill="1" applyBorder="1" applyAlignment="1" applyProtection="1">
      <alignment horizontal="center" vertical="center"/>
      <protection hidden="1"/>
    </xf>
    <xf numFmtId="0" fontId="31" fillId="2" borderId="0" xfId="0" applyFont="1" applyFill="1" applyAlignment="1" applyProtection="1">
      <alignment horizontal="center" vertical="center" wrapText="1"/>
      <protection hidden="1"/>
    </xf>
    <xf numFmtId="0" fontId="29" fillId="10" borderId="0" xfId="0" applyFont="1" applyFill="1" applyAlignment="1" applyProtection="1">
      <alignment horizontal="center" vertical="center"/>
      <protection hidden="1"/>
    </xf>
    <xf numFmtId="0" fontId="32" fillId="10" borderId="0" xfId="0" applyFont="1" applyFill="1" applyAlignment="1" applyProtection="1">
      <alignment horizontal="left" vertical="center" wrapText="1"/>
      <protection hidden="1"/>
    </xf>
    <xf numFmtId="9" fontId="34" fillId="5" borderId="1" xfId="0" applyNumberFormat="1" applyFont="1" applyFill="1" applyBorder="1" applyAlignment="1" applyProtection="1">
      <alignment horizontal="center" vertical="center"/>
      <protection locked="0"/>
    </xf>
    <xf numFmtId="0" fontId="34" fillId="10" borderId="0" xfId="0" applyFont="1" applyFill="1" applyAlignment="1" applyProtection="1">
      <alignment horizontal="center" vertical="center"/>
      <protection hidden="1"/>
    </xf>
    <xf numFmtId="9" fontId="30" fillId="10" borderId="0" xfId="0" applyNumberFormat="1" applyFont="1" applyFill="1" applyAlignment="1" applyProtection="1">
      <alignment horizontal="center" vertical="center"/>
      <protection hidden="1"/>
    </xf>
    <xf numFmtId="0" fontId="30" fillId="10" borderId="0" xfId="0" applyFont="1" applyFill="1" applyAlignment="1" applyProtection="1">
      <alignment horizontal="center" vertical="center"/>
      <protection hidden="1"/>
    </xf>
    <xf numFmtId="9" fontId="30" fillId="10" borderId="0" xfId="2" applyFont="1" applyFill="1" applyBorder="1" applyAlignment="1" applyProtection="1">
      <alignment horizontal="center" vertical="center"/>
      <protection hidden="1"/>
    </xf>
    <xf numFmtId="0" fontId="3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protection hidden="1"/>
    </xf>
    <xf numFmtId="164" fontId="29" fillId="2" borderId="0" xfId="0" applyNumberFormat="1" applyFont="1" applyFill="1" applyAlignment="1" applyProtection="1">
      <alignment horizontal="center" vertical="center"/>
      <protection hidden="1"/>
    </xf>
    <xf numFmtId="164" fontId="29" fillId="10" borderId="0" xfId="0" applyNumberFormat="1" applyFont="1" applyFill="1" applyAlignment="1" applyProtection="1">
      <alignment horizontal="center" vertical="center"/>
      <protection hidden="1"/>
    </xf>
    <xf numFmtId="0" fontId="36" fillId="10" borderId="0" xfId="0" applyFont="1" applyFill="1" applyAlignment="1" applyProtection="1">
      <alignment horizontal="center" vertical="center"/>
      <protection hidden="1"/>
    </xf>
    <xf numFmtId="0" fontId="37" fillId="10" borderId="0" xfId="0" applyFont="1" applyFill="1" applyAlignment="1" applyProtection="1">
      <alignment horizontal="center" vertical="center" wrapText="1"/>
      <protection hidden="1"/>
    </xf>
    <xf numFmtId="164" fontId="16" fillId="2" borderId="0" xfId="0" applyNumberFormat="1" applyFont="1" applyFill="1" applyAlignment="1" applyProtection="1">
      <alignment vertical="center" wrapText="1"/>
      <protection hidden="1"/>
    </xf>
    <xf numFmtId="164" fontId="16" fillId="10" borderId="2" xfId="0" applyNumberFormat="1" applyFont="1" applyFill="1" applyBorder="1" applyAlignment="1" applyProtection="1">
      <alignment vertical="center" wrapText="1"/>
      <protection hidden="1"/>
    </xf>
    <xf numFmtId="0" fontId="38" fillId="10" borderId="2" xfId="0" applyFont="1" applyFill="1" applyBorder="1" applyAlignment="1" applyProtection="1">
      <alignment horizontal="left"/>
      <protection hidden="1"/>
    </xf>
    <xf numFmtId="0" fontId="29" fillId="10" borderId="2" xfId="0" applyFont="1" applyFill="1" applyBorder="1" applyAlignment="1" applyProtection="1">
      <alignment horizontal="center" vertical="center"/>
      <protection hidden="1"/>
    </xf>
    <xf numFmtId="164" fontId="16" fillId="10" borderId="0" xfId="0" applyNumberFormat="1" applyFont="1" applyFill="1" applyAlignment="1" applyProtection="1">
      <alignment vertical="center" wrapText="1"/>
      <protection hidden="1"/>
    </xf>
    <xf numFmtId="0" fontId="39" fillId="11" borderId="0" xfId="0" applyFont="1" applyFill="1" applyAlignment="1" applyProtection="1">
      <alignment horizontal="center" vertical="center"/>
      <protection hidden="1"/>
    </xf>
    <xf numFmtId="0" fontId="29" fillId="11" borderId="0" xfId="0" applyFont="1" applyFill="1" applyAlignment="1" applyProtection="1">
      <alignment horizontal="center" vertical="center"/>
      <protection hidden="1"/>
    </xf>
    <xf numFmtId="164" fontId="6" fillId="2" borderId="0" xfId="0" applyNumberFormat="1" applyFont="1" applyFill="1" applyAlignment="1" applyProtection="1">
      <alignment horizontal="center" vertical="center"/>
      <protection hidden="1"/>
    </xf>
    <xf numFmtId="164" fontId="6" fillId="10" borderId="0" xfId="0" applyNumberFormat="1" applyFont="1" applyFill="1" applyAlignment="1" applyProtection="1">
      <alignment horizontal="center" vertical="center"/>
      <protection hidden="1"/>
    </xf>
    <xf numFmtId="164" fontId="30" fillId="10" borderId="0" xfId="0" applyNumberFormat="1" applyFont="1" applyFill="1" applyAlignment="1" applyProtection="1">
      <alignment horizontal="center" vertical="center"/>
      <protection locked="0"/>
    </xf>
    <xf numFmtId="164" fontId="8" fillId="10" borderId="0" xfId="0" applyNumberFormat="1" applyFont="1" applyFill="1" applyAlignment="1" applyProtection="1">
      <alignment horizontal="center" vertical="center"/>
      <protection hidden="1"/>
    </xf>
    <xf numFmtId="165" fontId="6" fillId="2" borderId="0" xfId="0" applyNumberFormat="1" applyFont="1" applyFill="1" applyAlignment="1" applyProtection="1">
      <alignment horizontal="center" vertical="center" wrapText="1"/>
      <protection hidden="1"/>
    </xf>
    <xf numFmtId="165" fontId="6" fillId="10" borderId="0" xfId="0" applyNumberFormat="1" applyFont="1" applyFill="1" applyAlignment="1" applyProtection="1">
      <alignment horizontal="center" vertical="center" wrapText="1"/>
      <protection hidden="1"/>
    </xf>
    <xf numFmtId="165" fontId="30" fillId="10" borderId="0" xfId="0" applyNumberFormat="1" applyFont="1" applyFill="1" applyAlignment="1" applyProtection="1">
      <alignment horizontal="center" vertical="center" wrapText="1"/>
      <protection locked="0"/>
    </xf>
    <xf numFmtId="165" fontId="8" fillId="13" borderId="6" xfId="0" applyNumberFormat="1" applyFont="1" applyFill="1" applyBorder="1" applyAlignment="1" applyProtection="1">
      <alignment horizontal="center" vertical="center" wrapText="1"/>
      <protection locked="0"/>
    </xf>
    <xf numFmtId="165" fontId="8" fillId="10" borderId="0" xfId="0" applyNumberFormat="1" applyFont="1" applyFill="1" applyAlignment="1" applyProtection="1">
      <alignment horizontal="center" vertical="center" wrapText="1"/>
      <protection hidden="1"/>
    </xf>
    <xf numFmtId="165" fontId="8" fillId="13" borderId="1" xfId="0"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protection hidden="1"/>
    </xf>
    <xf numFmtId="0" fontId="8" fillId="10" borderId="0" xfId="0" applyFont="1" applyFill="1" applyAlignment="1" applyProtection="1">
      <alignment horizontal="center" vertical="center"/>
      <protection hidden="1"/>
    </xf>
    <xf numFmtId="0" fontId="40" fillId="10" borderId="0" xfId="0" applyFont="1" applyFill="1" applyAlignment="1" applyProtection="1">
      <alignment vertical="center"/>
      <protection hidden="1"/>
    </xf>
    <xf numFmtId="0" fontId="41" fillId="10" borderId="0" xfId="0" applyFont="1" applyFill="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1" fontId="6" fillId="2" borderId="0" xfId="2" applyNumberFormat="1" applyFont="1" applyFill="1" applyBorder="1" applyAlignment="1" applyProtection="1">
      <alignment horizontal="center" vertical="center"/>
      <protection hidden="1"/>
    </xf>
    <xf numFmtId="1" fontId="6" fillId="10" borderId="0" xfId="2" applyNumberFormat="1" applyFont="1" applyFill="1" applyBorder="1" applyAlignment="1" applyProtection="1">
      <alignment horizontal="center" vertical="center"/>
      <protection hidden="1"/>
    </xf>
    <xf numFmtId="1" fontId="30" fillId="10" borderId="12" xfId="2" applyNumberFormat="1" applyFont="1" applyFill="1" applyBorder="1" applyAlignment="1" applyProtection="1">
      <alignment horizontal="center" vertical="center"/>
      <protection locked="0"/>
    </xf>
    <xf numFmtId="1" fontId="8" fillId="13" borderId="1" xfId="2" applyNumberFormat="1" applyFont="1" applyFill="1" applyBorder="1" applyAlignment="1" applyProtection="1">
      <alignment horizontal="center" vertical="center"/>
      <protection locked="0"/>
    </xf>
    <xf numFmtId="1" fontId="8" fillId="10" borderId="7" xfId="2" applyNumberFormat="1" applyFont="1" applyFill="1" applyBorder="1" applyAlignment="1" applyProtection="1">
      <alignment horizontal="center" vertical="center"/>
      <protection hidden="1"/>
    </xf>
    <xf numFmtId="164" fontId="6" fillId="2" borderId="0" xfId="2" applyNumberFormat="1" applyFont="1" applyFill="1" applyBorder="1" applyAlignment="1" applyProtection="1">
      <alignment horizontal="center" vertical="center"/>
      <protection hidden="1"/>
    </xf>
    <xf numFmtId="164" fontId="6" fillId="10" borderId="0" xfId="2" applyNumberFormat="1" applyFont="1" applyFill="1" applyBorder="1" applyAlignment="1" applyProtection="1">
      <alignment horizontal="center" vertical="center"/>
      <protection hidden="1"/>
    </xf>
    <xf numFmtId="164" fontId="30" fillId="10" borderId="12" xfId="2" applyNumberFormat="1" applyFont="1" applyFill="1" applyBorder="1" applyAlignment="1" applyProtection="1">
      <alignment horizontal="center" vertical="center"/>
      <protection locked="0"/>
    </xf>
    <xf numFmtId="164" fontId="8" fillId="13" borderId="1" xfId="2" applyNumberFormat="1" applyFont="1" applyFill="1" applyBorder="1" applyAlignment="1" applyProtection="1">
      <alignment horizontal="center" vertical="center"/>
      <protection locked="0"/>
    </xf>
    <xf numFmtId="164" fontId="8" fillId="10" borderId="7" xfId="2" applyNumberFormat="1" applyFont="1" applyFill="1" applyBorder="1" applyAlignment="1" applyProtection="1">
      <alignment horizontal="center" vertical="center"/>
      <protection hidden="1"/>
    </xf>
    <xf numFmtId="9" fontId="6" fillId="2" borderId="0" xfId="2" applyFont="1" applyFill="1" applyBorder="1" applyAlignment="1" applyProtection="1">
      <alignment horizontal="center" vertical="center"/>
      <protection hidden="1"/>
    </xf>
    <xf numFmtId="9" fontId="6" fillId="10" borderId="0" xfId="2" applyFont="1" applyFill="1" applyBorder="1" applyAlignment="1" applyProtection="1">
      <alignment horizontal="center" vertical="center"/>
      <protection hidden="1"/>
    </xf>
    <xf numFmtId="9" fontId="30" fillId="10" borderId="12" xfId="2" applyFont="1" applyFill="1" applyBorder="1" applyAlignment="1" applyProtection="1">
      <alignment horizontal="center" vertical="center"/>
      <protection locked="0"/>
    </xf>
    <xf numFmtId="9" fontId="8" fillId="13" borderId="1" xfId="2" applyFont="1" applyFill="1" applyBorder="1" applyAlignment="1" applyProtection="1">
      <alignment horizontal="center" vertical="center"/>
      <protection locked="0"/>
    </xf>
    <xf numFmtId="9" fontId="8" fillId="10" borderId="7" xfId="2" applyFont="1" applyFill="1" applyBorder="1" applyAlignment="1" applyProtection="1">
      <alignment horizontal="center" vertical="center"/>
      <protection hidden="1"/>
    </xf>
    <xf numFmtId="166" fontId="6" fillId="2" borderId="0" xfId="2" applyNumberFormat="1" applyFont="1" applyFill="1" applyBorder="1" applyAlignment="1" applyProtection="1">
      <alignment horizontal="center" vertical="center"/>
      <protection hidden="1"/>
    </xf>
    <xf numFmtId="166" fontId="6" fillId="10" borderId="0" xfId="2" applyNumberFormat="1" applyFont="1" applyFill="1" applyBorder="1" applyAlignment="1" applyProtection="1">
      <alignment horizontal="center" vertical="center"/>
      <protection hidden="1"/>
    </xf>
    <xf numFmtId="166" fontId="30" fillId="10" borderId="12" xfId="2" applyNumberFormat="1" applyFont="1" applyFill="1" applyBorder="1" applyAlignment="1" applyProtection="1">
      <alignment horizontal="center" vertical="center"/>
      <protection locked="0"/>
    </xf>
    <xf numFmtId="166" fontId="8" fillId="13" borderId="1" xfId="2" applyNumberFormat="1" applyFont="1" applyFill="1" applyBorder="1" applyAlignment="1" applyProtection="1">
      <alignment horizontal="center" vertical="center"/>
      <protection locked="0"/>
    </xf>
    <xf numFmtId="166" fontId="8" fillId="10" borderId="7" xfId="2" applyNumberFormat="1" applyFont="1" applyFill="1" applyBorder="1" applyAlignment="1" applyProtection="1">
      <alignment horizontal="center" vertical="center"/>
      <protection hidden="1"/>
    </xf>
    <xf numFmtId="0" fontId="8" fillId="2" borderId="0" xfId="0" applyFont="1" applyFill="1" applyAlignment="1" applyProtection="1">
      <alignment vertical="center"/>
      <protection hidden="1"/>
    </xf>
    <xf numFmtId="0" fontId="8" fillId="10" borderId="0" xfId="0" applyFont="1" applyFill="1" applyAlignment="1" applyProtection="1">
      <alignment vertical="center"/>
      <protection hidden="1"/>
    </xf>
    <xf numFmtId="2" fontId="30" fillId="10" borderId="0" xfId="0" applyNumberFormat="1" applyFont="1" applyFill="1" applyAlignment="1" applyProtection="1">
      <alignment horizontal="center" vertical="center"/>
      <protection hidden="1"/>
    </xf>
    <xf numFmtId="2" fontId="34" fillId="2" borderId="1" xfId="0" applyNumberFormat="1" applyFont="1" applyFill="1" applyBorder="1" applyAlignment="1" applyProtection="1">
      <alignment horizontal="center" vertical="center"/>
      <protection hidden="1"/>
    </xf>
    <xf numFmtId="2" fontId="34" fillId="10" borderId="0" xfId="0" applyNumberFormat="1" applyFont="1" applyFill="1" applyAlignment="1" applyProtection="1">
      <alignment horizontal="center" vertical="center"/>
      <protection hidden="1"/>
    </xf>
    <xf numFmtId="0" fontId="29" fillId="0" borderId="0" xfId="0" applyFont="1" applyAlignment="1" applyProtection="1">
      <alignment horizontal="center" vertical="center"/>
      <protection hidden="1"/>
    </xf>
    <xf numFmtId="9" fontId="42" fillId="10" borderId="12" xfId="2" applyFont="1" applyFill="1" applyBorder="1" applyAlignment="1" applyProtection="1">
      <alignment horizontal="center" vertical="center"/>
      <protection hidden="1"/>
    </xf>
    <xf numFmtId="9" fontId="43" fillId="0" borderId="8" xfId="2" applyFont="1" applyFill="1" applyBorder="1" applyAlignment="1" applyProtection="1">
      <alignment horizontal="center" vertical="center"/>
      <protection hidden="1"/>
    </xf>
    <xf numFmtId="9" fontId="43" fillId="10" borderId="7" xfId="2" applyFont="1" applyFill="1" applyBorder="1" applyAlignment="1" applyProtection="1">
      <alignment horizontal="center" vertical="center"/>
      <protection hidden="1"/>
    </xf>
    <xf numFmtId="0" fontId="44" fillId="2" borderId="8" xfId="0" applyFont="1" applyFill="1" applyBorder="1" applyAlignment="1" applyProtection="1">
      <alignment horizontal="center" vertical="center" wrapText="1"/>
      <protection hidden="1"/>
    </xf>
    <xf numFmtId="9" fontId="8" fillId="13" borderId="6" xfId="2" applyFont="1" applyFill="1" applyBorder="1" applyAlignment="1" applyProtection="1">
      <alignment horizontal="center" vertical="center"/>
      <protection locked="0"/>
    </xf>
    <xf numFmtId="2" fontId="6" fillId="2" borderId="0" xfId="2" applyNumberFormat="1" applyFont="1" applyFill="1" applyBorder="1" applyAlignment="1" applyProtection="1">
      <alignment horizontal="center" vertical="center"/>
      <protection hidden="1"/>
    </xf>
    <xf numFmtId="2" fontId="6" fillId="10" borderId="0" xfId="2" applyNumberFormat="1" applyFont="1" applyFill="1" applyBorder="1" applyAlignment="1" applyProtection="1">
      <alignment horizontal="center" vertical="center"/>
      <protection hidden="1"/>
    </xf>
    <xf numFmtId="2" fontId="30" fillId="10" borderId="12" xfId="2" applyNumberFormat="1" applyFont="1" applyFill="1" applyBorder="1" applyAlignment="1" applyProtection="1">
      <alignment horizontal="center" vertical="center"/>
      <protection locked="0"/>
    </xf>
    <xf numFmtId="2" fontId="34" fillId="10" borderId="7" xfId="2" applyNumberFormat="1" applyFont="1" applyFill="1" applyBorder="1" applyAlignment="1" applyProtection="1">
      <alignment horizontal="center" vertical="center"/>
      <protection hidden="1"/>
    </xf>
    <xf numFmtId="1" fontId="34" fillId="10" borderId="7" xfId="2" applyNumberFormat="1" applyFont="1" applyFill="1" applyBorder="1" applyAlignment="1" applyProtection="1">
      <alignment horizontal="center" vertical="center"/>
      <protection hidden="1"/>
    </xf>
    <xf numFmtId="0" fontId="16" fillId="2" borderId="0" xfId="0" applyFont="1" applyFill="1" applyAlignment="1" applyProtection="1">
      <alignment vertical="center" wrapText="1"/>
      <protection hidden="1"/>
    </xf>
    <xf numFmtId="0" fontId="16" fillId="10" borderId="0" xfId="0" applyFont="1" applyFill="1" applyAlignment="1" applyProtection="1">
      <alignment vertical="center" wrapText="1"/>
      <protection hidden="1"/>
    </xf>
    <xf numFmtId="7" fontId="30" fillId="10" borderId="0" xfId="1" applyNumberFormat="1" applyFont="1" applyFill="1" applyBorder="1" applyAlignment="1" applyProtection="1">
      <alignment horizontal="center" vertical="center"/>
      <protection locked="0"/>
    </xf>
    <xf numFmtId="0" fontId="6" fillId="2" borderId="0" xfId="0" applyFont="1" applyFill="1" applyAlignment="1" applyProtection="1">
      <alignment vertical="center" wrapText="1"/>
      <protection hidden="1"/>
    </xf>
    <xf numFmtId="0" fontId="6" fillId="10" borderId="0" xfId="0" applyFont="1" applyFill="1" applyAlignment="1" applyProtection="1">
      <alignment vertical="center" wrapText="1"/>
      <protection hidden="1"/>
    </xf>
    <xf numFmtId="0" fontId="46" fillId="10" borderId="0" xfId="0" applyFont="1" applyFill="1" applyAlignment="1" applyProtection="1">
      <alignment horizontal="center" vertical="center" wrapText="1"/>
      <protection hidden="1"/>
    </xf>
    <xf numFmtId="0" fontId="40" fillId="10"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30" fillId="10" borderId="0" xfId="0" applyFont="1" applyFill="1" applyAlignment="1" applyProtection="1">
      <alignment horizontal="center" vertical="center" wrapText="1"/>
      <protection locked="0"/>
    </xf>
    <xf numFmtId="0" fontId="34" fillId="10" borderId="0" xfId="0" applyFont="1" applyFill="1" applyAlignment="1" applyProtection="1">
      <alignment vertical="center" wrapText="1"/>
      <protection hidden="1"/>
    </xf>
    <xf numFmtId="0" fontId="34" fillId="5" borderId="1" xfId="0" applyFont="1" applyFill="1" applyBorder="1" applyAlignment="1" applyProtection="1">
      <alignment horizontal="center" vertical="center" wrapText="1"/>
      <protection locked="0"/>
    </xf>
    <xf numFmtId="0" fontId="39" fillId="11" borderId="14" xfId="0" applyFont="1" applyFill="1" applyBorder="1" applyAlignment="1" applyProtection="1">
      <alignment horizontal="center" vertical="center" wrapText="1"/>
      <protection hidden="1"/>
    </xf>
    <xf numFmtId="0" fontId="7" fillId="10" borderId="0" xfId="0" applyFont="1" applyFill="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8" fillId="10" borderId="15" xfId="0" applyFont="1" applyFill="1" applyBorder="1" applyAlignment="1" applyProtection="1">
      <alignment vertical="center"/>
      <protection hidden="1"/>
    </xf>
    <xf numFmtId="0" fontId="29" fillId="2" borderId="0" xfId="0" applyFont="1" applyFill="1" applyAlignment="1" applyProtection="1">
      <alignment vertical="center" wrapText="1"/>
      <protection hidden="1"/>
    </xf>
    <xf numFmtId="0" fontId="29" fillId="10" borderId="0" xfId="0" applyFont="1" applyFill="1" applyAlignment="1" applyProtection="1">
      <alignment vertical="center" wrapText="1"/>
      <protection hidden="1"/>
    </xf>
    <xf numFmtId="0" fontId="47" fillId="10" borderId="0" xfId="0" applyFont="1" applyFill="1" applyAlignment="1" applyProtection="1">
      <alignment horizontal="center" vertical="center" wrapText="1"/>
      <protection hidden="1"/>
    </xf>
    <xf numFmtId="9" fontId="48" fillId="10" borderId="0" xfId="2" applyFont="1" applyFill="1" applyBorder="1" applyAlignment="1" applyProtection="1">
      <alignment horizontal="center" vertical="center"/>
      <protection hidden="1"/>
    </xf>
    <xf numFmtId="0" fontId="49" fillId="10"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10" borderId="0" xfId="0" applyFont="1" applyFill="1" applyAlignment="1" applyProtection="1">
      <alignment vertical="center"/>
      <protection hidden="1"/>
    </xf>
    <xf numFmtId="0" fontId="30" fillId="10" borderId="0" xfId="0" applyFont="1" applyFill="1" applyAlignment="1" applyProtection="1">
      <alignment horizontal="left" vertical="center" wrapText="1"/>
      <protection hidden="1"/>
    </xf>
    <xf numFmtId="9" fontId="30" fillId="2" borderId="3" xfId="2" applyFont="1" applyFill="1" applyBorder="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3" fontId="30" fillId="2" borderId="9" xfId="0" applyNumberFormat="1" applyFont="1" applyFill="1" applyBorder="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30" fillId="10" borderId="0" xfId="0" applyFont="1" applyFill="1" applyAlignment="1" applyProtection="1">
      <alignment horizontal="left" vertical="center"/>
      <protection hidden="1"/>
    </xf>
    <xf numFmtId="0" fontId="30" fillId="2" borderId="3" xfId="0" applyFont="1" applyFill="1" applyBorder="1" applyAlignment="1" applyProtection="1">
      <alignment horizontal="center" vertical="center"/>
      <protection hidden="1"/>
    </xf>
    <xf numFmtId="0" fontId="40" fillId="2" borderId="0" xfId="0" applyFont="1" applyFill="1" applyAlignment="1" applyProtection="1">
      <alignment horizontal="center" vertical="center"/>
      <protection hidden="1"/>
    </xf>
    <xf numFmtId="0" fontId="40" fillId="10" borderId="0" xfId="0" applyFont="1" applyFill="1" applyAlignment="1" applyProtection="1">
      <alignment horizontal="center" vertical="center"/>
      <protection hidden="1"/>
    </xf>
    <xf numFmtId="0" fontId="40" fillId="10" borderId="0" xfId="0" applyFont="1" applyFill="1" applyAlignment="1" applyProtection="1">
      <alignment horizontal="left" vertical="center"/>
      <protection hidden="1"/>
    </xf>
    <xf numFmtId="0" fontId="35" fillId="2" borderId="0" xfId="0" applyFont="1" applyFill="1" applyAlignment="1" applyProtection="1">
      <alignment horizontal="right" vertical="center"/>
      <protection hidden="1"/>
    </xf>
    <xf numFmtId="0" fontId="35" fillId="10" borderId="0" xfId="0" applyFont="1" applyFill="1" applyAlignment="1" applyProtection="1">
      <alignment horizontal="right" vertical="center"/>
      <protection hidden="1"/>
    </xf>
    <xf numFmtId="0" fontId="35" fillId="10" borderId="0" xfId="0" applyFont="1" applyFill="1" applyAlignment="1" applyProtection="1">
      <alignment vertical="center"/>
      <protection hidden="1"/>
    </xf>
    <xf numFmtId="0" fontId="51" fillId="14" borderId="0" xfId="0" applyFont="1" applyFill="1" applyAlignment="1" applyProtection="1">
      <alignment horizontal="center" vertical="center"/>
      <protection hidden="1"/>
    </xf>
    <xf numFmtId="0" fontId="29" fillId="14" borderId="0" xfId="0" applyFont="1" applyFill="1" applyAlignment="1" applyProtection="1">
      <alignment horizontal="center" vertical="center"/>
      <protection hidden="1"/>
    </xf>
    <xf numFmtId="0" fontId="53" fillId="2" borderId="0" xfId="0" applyFont="1" applyFill="1" applyAlignment="1" applyProtection="1">
      <alignment horizontal="left" vertical="center" wrapText="1"/>
      <protection hidden="1"/>
    </xf>
    <xf numFmtId="0" fontId="54" fillId="10" borderId="0" xfId="0" applyFont="1" applyFill="1" applyAlignment="1" applyProtection="1">
      <alignment vertical="center"/>
      <protection hidden="1"/>
    </xf>
    <xf numFmtId="0" fontId="43" fillId="10" borderId="0" xfId="0" applyFont="1" applyFill="1" applyAlignment="1" applyProtection="1">
      <alignment horizontal="left" vertical="center"/>
      <protection hidden="1"/>
    </xf>
    <xf numFmtId="0" fontId="43" fillId="2" borderId="0" xfId="0" applyFont="1" applyFill="1" applyAlignment="1" applyProtection="1">
      <alignment horizontal="left" vertical="center"/>
      <protection hidden="1"/>
    </xf>
    <xf numFmtId="164" fontId="6" fillId="8" borderId="0" xfId="0" applyNumberFormat="1" applyFont="1" applyFill="1" applyAlignment="1" applyProtection="1">
      <alignment horizontal="center" vertical="center"/>
      <protection hidden="1"/>
    </xf>
    <xf numFmtId="164" fontId="22" fillId="8" borderId="0" xfId="0" applyNumberFormat="1" applyFont="1" applyFill="1" applyAlignment="1" applyProtection="1">
      <alignment horizontal="center" vertical="center"/>
      <protection hidden="1"/>
    </xf>
    <xf numFmtId="0" fontId="7" fillId="8" borderId="0" xfId="0" applyFont="1" applyFill="1" applyAlignment="1" applyProtection="1">
      <alignment horizontal="center" vertical="center" wrapText="1"/>
      <protection hidden="1"/>
    </xf>
    <xf numFmtId="0" fontId="55" fillId="2" borderId="1" xfId="0" applyFont="1" applyFill="1" applyBorder="1" applyAlignment="1" applyProtection="1">
      <alignment horizontal="center" vertical="center" wrapText="1"/>
      <protection hidden="1"/>
    </xf>
    <xf numFmtId="0" fontId="55" fillId="8" borderId="0" xfId="0" applyFont="1" applyFill="1" applyAlignment="1" applyProtection="1">
      <alignment horizontal="center" vertical="center" wrapText="1"/>
      <protection hidden="1"/>
    </xf>
    <xf numFmtId="0" fontId="7" fillId="8" borderId="0" xfId="0" applyFont="1" applyFill="1" applyAlignment="1" applyProtection="1">
      <alignment vertical="center" wrapText="1"/>
      <protection hidden="1"/>
    </xf>
    <xf numFmtId="164" fontId="36" fillId="8" borderId="0" xfId="0" applyNumberFormat="1" applyFont="1" applyFill="1" applyAlignment="1" applyProtection="1">
      <alignment horizontal="center" vertical="center"/>
      <protection hidden="1"/>
    </xf>
    <xf numFmtId="164" fontId="36" fillId="2" borderId="0" xfId="0" applyNumberFormat="1" applyFont="1" applyFill="1" applyAlignment="1" applyProtection="1">
      <alignment horizontal="center" vertical="center"/>
      <protection hidden="1"/>
    </xf>
    <xf numFmtId="0" fontId="56" fillId="8" borderId="0" xfId="0" applyFont="1" applyFill="1" applyAlignment="1" applyProtection="1">
      <alignment horizontal="center" vertical="center" wrapText="1"/>
      <protection hidden="1"/>
    </xf>
    <xf numFmtId="0" fontId="8" fillId="0" borderId="0" xfId="0" applyFont="1" applyAlignment="1" applyProtection="1">
      <alignment horizontal="center" vertical="center"/>
      <protection hidden="1"/>
    </xf>
    <xf numFmtId="9" fontId="58" fillId="8" borderId="0" xfId="2" applyFont="1" applyFill="1" applyBorder="1" applyAlignment="1" applyProtection="1">
      <alignment horizontal="left" vertical="center"/>
      <protection hidden="1"/>
    </xf>
    <xf numFmtId="9" fontId="59" fillId="8" borderId="0" xfId="2" applyFont="1" applyFill="1" applyBorder="1" applyAlignment="1" applyProtection="1">
      <alignment horizontal="left" vertical="center"/>
      <protection hidden="1"/>
    </xf>
    <xf numFmtId="0" fontId="55" fillId="8" borderId="0" xfId="0" applyFont="1" applyFill="1" applyAlignment="1" applyProtection="1">
      <alignment horizontal="right" vertical="center" wrapText="1"/>
      <protection hidden="1"/>
    </xf>
    <xf numFmtId="2" fontId="32" fillId="8" borderId="0" xfId="0" applyNumberFormat="1" applyFont="1" applyFill="1" applyAlignment="1" applyProtection="1">
      <alignment horizontal="center" vertical="center"/>
      <protection hidden="1"/>
    </xf>
    <xf numFmtId="2" fontId="6" fillId="8" borderId="0" xfId="0" applyNumberFormat="1" applyFont="1" applyFill="1" applyAlignment="1" applyProtection="1">
      <alignment horizontal="center" vertical="center"/>
      <protection hidden="1"/>
    </xf>
    <xf numFmtId="0" fontId="61" fillId="8" borderId="0" xfId="0" applyFont="1" applyFill="1" applyAlignment="1" applyProtection="1">
      <alignment vertical="center"/>
      <protection hidden="1"/>
    </xf>
    <xf numFmtId="0" fontId="16" fillId="8" borderId="0" xfId="0" applyFont="1" applyFill="1" applyAlignment="1" applyProtection="1">
      <alignment vertical="center" wrapText="1"/>
      <protection hidden="1"/>
    </xf>
    <xf numFmtId="0" fontId="13" fillId="8" borderId="0" xfId="0" applyFont="1" applyFill="1" applyAlignment="1" applyProtection="1">
      <alignment vertical="center"/>
      <protection hidden="1"/>
    </xf>
    <xf numFmtId="0" fontId="16" fillId="8" borderId="0" xfId="0" applyFont="1" applyFill="1" applyAlignment="1" applyProtection="1">
      <alignment horizontal="center" vertical="center" wrapText="1"/>
      <protection hidden="1"/>
    </xf>
    <xf numFmtId="0" fontId="62" fillId="8" borderId="0" xfId="0" applyFont="1" applyFill="1" applyAlignment="1" applyProtection="1">
      <alignment horizontal="center" vertical="center" wrapText="1"/>
      <protection hidden="1"/>
    </xf>
    <xf numFmtId="0" fontId="63"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wrapText="1"/>
      <protection hidden="1"/>
    </xf>
    <xf numFmtId="0" fontId="64" fillId="8" borderId="0" xfId="0" applyFont="1" applyFill="1" applyAlignment="1" applyProtection="1">
      <alignment vertical="center" wrapText="1"/>
      <protection hidden="1"/>
    </xf>
    <xf numFmtId="0" fontId="65" fillId="8" borderId="0" xfId="0" applyFont="1" applyFill="1" applyAlignment="1" applyProtection="1">
      <alignment vertical="center" wrapText="1"/>
      <protection hidden="1"/>
    </xf>
    <xf numFmtId="0" fontId="65" fillId="8" borderId="0" xfId="0" applyFont="1" applyFill="1" applyAlignment="1" applyProtection="1">
      <alignment horizontal="center" vertical="center" wrapText="1"/>
      <protection hidden="1"/>
    </xf>
    <xf numFmtId="0" fontId="66" fillId="8" borderId="0" xfId="0" applyFont="1" applyFill="1" applyAlignment="1" applyProtection="1">
      <alignment horizontal="left" vertical="center" wrapText="1"/>
      <protection hidden="1"/>
    </xf>
    <xf numFmtId="0" fontId="29" fillId="2" borderId="0" xfId="0" applyFont="1" applyFill="1" applyProtection="1">
      <protection hidden="1"/>
    </xf>
    <xf numFmtId="0" fontId="29" fillId="3" borderId="0" xfId="0" applyFont="1" applyFill="1" applyProtection="1">
      <protection hidden="1"/>
    </xf>
    <xf numFmtId="165" fontId="6" fillId="2" borderId="1" xfId="0" applyNumberFormat="1" applyFont="1" applyFill="1" applyBorder="1" applyAlignment="1" applyProtection="1">
      <alignment horizontal="center" vertical="center"/>
      <protection hidden="1"/>
    </xf>
    <xf numFmtId="165" fontId="6" fillId="3" borderId="0" xfId="0" applyNumberFormat="1" applyFont="1" applyFill="1" applyAlignment="1" applyProtection="1">
      <alignment horizontal="center" vertical="center"/>
      <protection hidden="1"/>
    </xf>
    <xf numFmtId="0" fontId="55" fillId="3" borderId="0" xfId="0" applyFont="1" applyFill="1" applyAlignment="1" applyProtection="1">
      <alignment horizontal="right" vertical="center" wrapText="1"/>
      <protection hidden="1"/>
    </xf>
    <xf numFmtId="0" fontId="55" fillId="2" borderId="1" xfId="0" applyFont="1" applyFill="1" applyBorder="1" applyAlignment="1" applyProtection="1">
      <alignment horizontal="right" vertical="center" wrapText="1"/>
      <protection hidden="1"/>
    </xf>
    <xf numFmtId="0" fontId="29" fillId="3" borderId="0" xfId="0" applyFont="1" applyFill="1" applyAlignment="1" applyProtection="1">
      <alignment horizontal="center" vertical="center"/>
      <protection hidden="1"/>
    </xf>
    <xf numFmtId="165" fontId="8" fillId="2" borderId="1" xfId="0" applyNumberFormat="1" applyFont="1" applyFill="1" applyBorder="1" applyAlignment="1" applyProtection="1">
      <alignment horizontal="center" vertical="center"/>
      <protection hidden="1"/>
    </xf>
    <xf numFmtId="165" fontId="8" fillId="3" borderId="0" xfId="0" applyNumberFormat="1" applyFont="1" applyFill="1" applyAlignment="1" applyProtection="1">
      <alignment horizontal="center" vertical="center"/>
      <protection hidden="1"/>
    </xf>
    <xf numFmtId="0" fontId="44" fillId="3" borderId="0" xfId="0" applyFont="1" applyFill="1" applyAlignment="1" applyProtection="1">
      <alignment horizontal="right" vertical="center" wrapText="1"/>
      <protection hidden="1"/>
    </xf>
    <xf numFmtId="0" fontId="44"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wrapText="1"/>
      <protection hidden="1"/>
    </xf>
    <xf numFmtId="165" fontId="69" fillId="3" borderId="10" xfId="0" applyNumberFormat="1" applyFont="1" applyFill="1" applyBorder="1" applyAlignment="1" applyProtection="1">
      <alignment horizontal="center" vertical="center"/>
      <protection hidden="1"/>
    </xf>
    <xf numFmtId="165" fontId="69" fillId="3" borderId="0" xfId="0" applyNumberFormat="1" applyFont="1" applyFill="1" applyAlignment="1" applyProtection="1">
      <alignment horizontal="center" vertical="center"/>
      <protection hidden="1"/>
    </xf>
    <xf numFmtId="0" fontId="55" fillId="3" borderId="10" xfId="0" applyFont="1" applyFill="1" applyBorder="1" applyAlignment="1" applyProtection="1">
      <alignment horizontal="right" vertical="center" wrapText="1"/>
      <protection hidden="1"/>
    </xf>
    <xf numFmtId="165" fontId="69" fillId="2" borderId="1" xfId="0" applyNumberFormat="1" applyFont="1"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3" fontId="6" fillId="2" borderId="1" xfId="0" applyNumberFormat="1" applyFont="1" applyFill="1" applyBorder="1" applyAlignment="1" applyProtection="1">
      <alignment horizontal="center" vertical="center"/>
      <protection hidden="1"/>
    </xf>
    <xf numFmtId="3" fontId="6" fillId="3" borderId="0" xfId="0" applyNumberFormat="1" applyFont="1" applyFill="1" applyAlignment="1" applyProtection="1">
      <alignment horizontal="center" vertical="center"/>
      <protection hidden="1"/>
    </xf>
    <xf numFmtId="0" fontId="7" fillId="3" borderId="0" xfId="0" applyFont="1" applyFill="1" applyAlignment="1" applyProtection="1">
      <alignment vertical="center" wrapText="1"/>
      <protection hidden="1"/>
    </xf>
    <xf numFmtId="0" fontId="7" fillId="3" borderId="2" xfId="0" applyFont="1" applyFill="1" applyBorder="1" applyAlignment="1" applyProtection="1">
      <alignment horizontal="center" vertical="center" wrapText="1"/>
      <protection hidden="1"/>
    </xf>
    <xf numFmtId="0" fontId="70" fillId="2" borderId="0" xfId="0" applyFont="1" applyFill="1" applyProtection="1">
      <protection hidden="1"/>
    </xf>
    <xf numFmtId="0" fontId="71" fillId="3" borderId="0" xfId="0" applyFont="1" applyFill="1" applyAlignment="1" applyProtection="1">
      <alignment vertical="center" wrapText="1"/>
      <protection hidden="1"/>
    </xf>
    <xf numFmtId="0" fontId="70" fillId="3" borderId="0" xfId="0" applyFont="1" applyFill="1" applyAlignment="1" applyProtection="1">
      <alignment horizontal="center" vertical="center"/>
      <protection hidden="1"/>
    </xf>
    <xf numFmtId="3" fontId="6" fillId="3" borderId="10" xfId="0" applyNumberFormat="1" applyFont="1" applyFill="1" applyBorder="1" applyAlignment="1" applyProtection="1">
      <alignment horizontal="center" vertical="center"/>
      <protection hidden="1"/>
    </xf>
    <xf numFmtId="3" fontId="73" fillId="2" borderId="1" xfId="0" applyNumberFormat="1" applyFont="1" applyFill="1" applyBorder="1" applyAlignment="1" applyProtection="1">
      <alignment horizontal="center" vertical="center"/>
      <protection hidden="1"/>
    </xf>
    <xf numFmtId="3" fontId="73" fillId="3" borderId="0" xfId="0" applyNumberFormat="1" applyFont="1" applyFill="1" applyAlignment="1" applyProtection="1">
      <alignment horizontal="center" vertical="center"/>
      <protection hidden="1"/>
    </xf>
    <xf numFmtId="0" fontId="74" fillId="3" borderId="0" xfId="0" applyFont="1" applyFill="1" applyAlignment="1" applyProtection="1">
      <alignment horizontal="right" vertical="center" wrapText="1"/>
      <protection hidden="1"/>
    </xf>
    <xf numFmtId="0" fontId="74"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protection hidden="1"/>
    </xf>
    <xf numFmtId="0" fontId="29" fillId="2" borderId="0" xfId="0" applyFont="1" applyFill="1" applyAlignment="1" applyProtection="1">
      <alignment wrapText="1"/>
      <protection hidden="1"/>
    </xf>
    <xf numFmtId="0" fontId="29" fillId="3" borderId="0" xfId="0" applyFont="1" applyFill="1" applyAlignment="1" applyProtection="1">
      <alignment wrapText="1"/>
      <protection hidden="1"/>
    </xf>
    <xf numFmtId="0" fontId="36" fillId="3" borderId="0" xfId="0" applyFont="1" applyFill="1" applyAlignment="1" applyProtection="1">
      <alignment vertical="center" wrapText="1"/>
      <protection hidden="1"/>
    </xf>
    <xf numFmtId="0" fontId="29" fillId="3" borderId="0" xfId="0" applyFont="1" applyFill="1" applyAlignment="1" applyProtection="1">
      <alignment horizontal="center" vertical="center" wrapText="1"/>
      <protection hidden="1"/>
    </xf>
    <xf numFmtId="1" fontId="8" fillId="10" borderId="0" xfId="2" applyNumberFormat="1" applyFont="1" applyFill="1" applyBorder="1" applyAlignment="1" applyProtection="1">
      <alignment horizontal="center" vertical="center"/>
      <protection hidden="1"/>
    </xf>
    <xf numFmtId="1" fontId="30" fillId="10" borderId="0" xfId="2" applyNumberFormat="1" applyFont="1" applyFill="1" applyBorder="1" applyAlignment="1" applyProtection="1">
      <alignment horizontal="center" vertical="center"/>
      <protection locked="0"/>
    </xf>
    <xf numFmtId="167" fontId="8" fillId="13" borderId="1" xfId="2" applyNumberFormat="1" applyFont="1" applyFill="1" applyBorder="1" applyAlignment="1" applyProtection="1">
      <alignment horizontal="center" vertical="center"/>
      <protection locked="0"/>
    </xf>
    <xf numFmtId="9" fontId="0" fillId="0" borderId="0" xfId="0" applyNumberFormat="1"/>
    <xf numFmtId="0" fontId="29" fillId="7" borderId="0" xfId="0" applyFont="1" applyFill="1" applyAlignment="1" applyProtection="1">
      <alignment horizontal="center" vertical="center"/>
      <protection hidden="1"/>
    </xf>
    <xf numFmtId="0" fontId="38" fillId="7" borderId="0" xfId="0" applyFont="1" applyFill="1" applyAlignment="1" applyProtection="1">
      <alignment horizontal="center" vertical="center"/>
      <protection hidden="1"/>
    </xf>
    <xf numFmtId="2" fontId="32" fillId="2" borderId="1" xfId="1" applyNumberFormat="1" applyFont="1" applyFill="1" applyBorder="1" applyAlignment="1" applyProtection="1">
      <alignment horizontal="center" vertical="center"/>
      <protection hidden="1"/>
    </xf>
    <xf numFmtId="2" fontId="32" fillId="2" borderId="1" xfId="0" applyNumberFormat="1"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wrapText="1"/>
      <protection hidden="1"/>
    </xf>
    <xf numFmtId="164" fontId="46" fillId="10" borderId="0" xfId="0" applyNumberFormat="1" applyFont="1" applyFill="1" applyAlignment="1" applyProtection="1">
      <alignment horizontal="center" vertical="center" wrapText="1"/>
      <protection hidden="1"/>
    </xf>
    <xf numFmtId="164" fontId="46" fillId="10" borderId="0" xfId="0" applyNumberFormat="1" applyFont="1" applyFill="1" applyAlignment="1" applyProtection="1">
      <alignment vertical="center" wrapText="1"/>
      <protection hidden="1"/>
    </xf>
    <xf numFmtId="168" fontId="34" fillId="2" borderId="14" xfId="2" applyNumberFormat="1" applyFont="1" applyFill="1" applyBorder="1" applyAlignment="1" applyProtection="1">
      <alignment horizontal="center" vertical="center"/>
      <protection hidden="1"/>
    </xf>
    <xf numFmtId="9" fontId="0" fillId="0" borderId="0" xfId="2" applyFont="1" applyAlignment="1">
      <alignment horizontal="right" vertical="center"/>
    </xf>
    <xf numFmtId="0" fontId="0" fillId="0" borderId="0" xfId="2" applyNumberFormat="1" applyFont="1" applyAlignment="1">
      <alignment horizontal="right" vertical="center"/>
    </xf>
    <xf numFmtId="1" fontId="0" fillId="0" borderId="0" xfId="0" applyNumberFormat="1"/>
    <xf numFmtId="9" fontId="0" fillId="0" borderId="0" xfId="2" applyFont="1"/>
    <xf numFmtId="166" fontId="0" fillId="0" borderId="0" xfId="0" applyNumberFormat="1"/>
    <xf numFmtId="10" fontId="0" fillId="0" borderId="0" xfId="0" applyNumberFormat="1"/>
    <xf numFmtId="164" fontId="8" fillId="13" borderId="6" xfId="0" applyNumberFormat="1" applyFont="1" applyFill="1" applyBorder="1" applyAlignment="1" applyProtection="1">
      <alignment horizontal="center" vertical="center"/>
      <protection locked="0"/>
    </xf>
    <xf numFmtId="164" fontId="8" fillId="13" borderId="8" xfId="0" applyNumberFormat="1" applyFont="1" applyFill="1" applyBorder="1" applyAlignment="1" applyProtection="1">
      <alignment horizontal="center" vertical="center"/>
      <protection locked="0"/>
    </xf>
    <xf numFmtId="164" fontId="8" fillId="13" borderId="7"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hidden="1"/>
    </xf>
    <xf numFmtId="0" fontId="0" fillId="0" borderId="9" xfId="0" applyBorder="1"/>
    <xf numFmtId="0" fontId="0" fillId="0" borderId="10" xfId="0" applyBorder="1"/>
    <xf numFmtId="0" fontId="0" fillId="0" borderId="11" xfId="0" applyBorder="1"/>
    <xf numFmtId="0" fontId="0" fillId="0" borderId="12" xfId="0" applyBorder="1"/>
    <xf numFmtId="1" fontId="0" fillId="0" borderId="13" xfId="0" applyNumberFormat="1" applyBorder="1"/>
    <xf numFmtId="0" fontId="0" fillId="0" borderId="13" xfId="0" applyBorder="1"/>
    <xf numFmtId="0" fontId="0" fillId="0" borderId="14" xfId="0" applyBorder="1"/>
    <xf numFmtId="1" fontId="0" fillId="0" borderId="2" xfId="0" applyNumberFormat="1" applyBorder="1"/>
    <xf numFmtId="1" fontId="0" fillId="0" borderId="15" xfId="0" applyNumberFormat="1" applyBorder="1"/>
    <xf numFmtId="0" fontId="1" fillId="0" borderId="0" xfId="0" applyFont="1" applyAlignment="1">
      <alignment horizontal="left" vertical="center"/>
    </xf>
    <xf numFmtId="0" fontId="1" fillId="0" borderId="0" xfId="0" applyFont="1"/>
    <xf numFmtId="0" fontId="80" fillId="2" borderId="8" xfId="3" applyFont="1" applyFill="1" applyBorder="1" applyAlignment="1" applyProtection="1">
      <alignment horizontal="center" vertical="center" wrapText="1"/>
      <protection hidden="1"/>
    </xf>
    <xf numFmtId="0" fontId="81" fillId="0" borderId="0" xfId="0" applyFont="1" applyAlignment="1">
      <alignment horizontal="left" vertical="center" wrapText="1"/>
    </xf>
    <xf numFmtId="0" fontId="7" fillId="2" borderId="9" xfId="0" applyFont="1" applyFill="1" applyBorder="1" applyAlignment="1" applyProtection="1">
      <alignment horizontal="center" vertical="center" wrapText="1"/>
      <protection hidden="1"/>
    </xf>
    <xf numFmtId="0" fontId="44" fillId="2" borderId="14" xfId="0" applyFont="1" applyFill="1" applyBorder="1" applyAlignment="1" applyProtection="1">
      <alignment horizontal="center" vertical="center" wrapText="1"/>
      <protection hidden="1"/>
    </xf>
    <xf numFmtId="1" fontId="34" fillId="10" borderId="13" xfId="2" applyNumberFormat="1" applyFont="1" applyFill="1" applyBorder="1" applyAlignment="1" applyProtection="1">
      <alignment horizontal="center" vertical="center"/>
      <protection hidden="1"/>
    </xf>
    <xf numFmtId="0" fontId="29" fillId="2" borderId="16" xfId="0" applyFont="1" applyFill="1" applyBorder="1" applyAlignment="1" applyProtection="1">
      <alignment horizontal="center" vertical="center"/>
      <protection hidden="1"/>
    </xf>
    <xf numFmtId="9" fontId="30" fillId="4" borderId="3" xfId="2"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29" fillId="4" borderId="19" xfId="0" applyFont="1" applyFill="1" applyBorder="1" applyAlignment="1" applyProtection="1">
      <alignment horizontal="center" vertical="center"/>
      <protection hidden="1"/>
    </xf>
    <xf numFmtId="9" fontId="50" fillId="4" borderId="3" xfId="2"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wrapText="1"/>
      <protection hidden="1"/>
    </xf>
    <xf numFmtId="0" fontId="29" fillId="2" borderId="19" xfId="0" applyFont="1" applyFill="1" applyBorder="1" applyAlignment="1" applyProtection="1">
      <alignment horizontal="center" vertical="center"/>
      <protection hidden="1"/>
    </xf>
    <xf numFmtId="0" fontId="44" fillId="2" borderId="22" xfId="0" applyFont="1" applyFill="1" applyBorder="1" applyAlignment="1" applyProtection="1">
      <alignment horizontal="center" vertical="center" wrapText="1"/>
      <protection hidden="1"/>
    </xf>
    <xf numFmtId="0" fontId="44" fillId="2" borderId="20" xfId="0" applyFont="1" applyFill="1" applyBorder="1" applyAlignment="1" applyProtection="1">
      <alignment horizontal="center" vertical="center" wrapText="1"/>
      <protection hidden="1"/>
    </xf>
    <xf numFmtId="9" fontId="84" fillId="13" borderId="1" xfId="2" applyFont="1" applyFill="1" applyBorder="1" applyAlignment="1" applyProtection="1">
      <alignment horizontal="center" vertical="center"/>
      <protection locked="0"/>
    </xf>
    <xf numFmtId="9" fontId="42" fillId="2" borderId="5" xfId="2" applyFont="1" applyFill="1" applyBorder="1" applyAlignment="1" applyProtection="1">
      <alignment horizontal="center" vertical="center"/>
      <protection hidden="1"/>
    </xf>
    <xf numFmtId="0" fontId="53" fillId="2" borderId="8" xfId="0" applyFont="1" applyFill="1" applyBorder="1" applyAlignment="1" applyProtection="1">
      <alignment horizontal="center" vertical="center" wrapText="1"/>
      <protection hidden="1"/>
    </xf>
    <xf numFmtId="9" fontId="53" fillId="13" borderId="14" xfId="2" applyFont="1" applyFill="1" applyBorder="1" applyAlignment="1" applyProtection="1">
      <alignment horizontal="center" vertical="center"/>
      <protection locked="0"/>
    </xf>
    <xf numFmtId="9" fontId="53" fillId="2" borderId="3" xfId="2" applyFont="1" applyFill="1" applyBorder="1" applyAlignment="1" applyProtection="1">
      <alignment horizontal="center" vertical="center"/>
      <protection hidden="1"/>
    </xf>
    <xf numFmtId="0" fontId="53" fillId="2" borderId="6" xfId="0" applyFont="1" applyFill="1" applyBorder="1" applyAlignment="1" applyProtection="1">
      <alignment horizontal="center" vertical="center" wrapText="1"/>
      <protection hidden="1"/>
    </xf>
    <xf numFmtId="9" fontId="53" fillId="13" borderId="9" xfId="2" applyFont="1" applyFill="1" applyBorder="1" applyAlignment="1" applyProtection="1">
      <alignment horizontal="center" vertical="center"/>
      <protection locked="0"/>
    </xf>
    <xf numFmtId="9" fontId="85" fillId="2" borderId="3" xfId="2" applyFont="1" applyFill="1" applyBorder="1" applyAlignment="1" applyProtection="1">
      <alignment horizontal="center" vertical="center"/>
      <protection hidden="1"/>
    </xf>
    <xf numFmtId="0" fontId="53" fillId="2" borderId="1" xfId="0" applyFont="1" applyFill="1" applyBorder="1" applyAlignment="1" applyProtection="1">
      <alignment horizontal="center" vertical="center" wrapText="1"/>
      <protection hidden="1"/>
    </xf>
    <xf numFmtId="9" fontId="86" fillId="2" borderId="3" xfId="2" applyFont="1" applyFill="1" applyBorder="1" applyAlignment="1" applyProtection="1">
      <alignment horizontal="center" vertical="center"/>
      <protection hidden="1"/>
    </xf>
    <xf numFmtId="168" fontId="0" fillId="0" borderId="0" xfId="0" applyNumberFormat="1"/>
    <xf numFmtId="14" fontId="0" fillId="0" borderId="0" xfId="0" applyNumberFormat="1"/>
    <xf numFmtId="0" fontId="29" fillId="0" borderId="0" xfId="0" applyFont="1" applyProtection="1">
      <protection hidden="1"/>
    </xf>
    <xf numFmtId="0" fontId="6" fillId="8" borderId="0" xfId="0" applyFont="1" applyFill="1" applyAlignment="1" applyProtection="1">
      <alignment vertical="center" wrapText="1"/>
      <protection hidden="1"/>
    </xf>
    <xf numFmtId="0" fontId="60" fillId="8" borderId="0" xfId="0" applyFont="1" applyFill="1" applyAlignment="1" applyProtection="1">
      <alignment vertical="center" wrapText="1"/>
      <protection hidden="1"/>
    </xf>
    <xf numFmtId="0" fontId="29" fillId="8" borderId="0" xfId="0" applyFont="1" applyFill="1" applyProtection="1">
      <protection hidden="1"/>
    </xf>
    <xf numFmtId="0" fontId="36" fillId="0" borderId="0" xfId="0" applyFont="1" applyProtection="1">
      <protection hidden="1"/>
    </xf>
    <xf numFmtId="2" fontId="6" fillId="8" borderId="0" xfId="1" applyNumberFormat="1" applyFont="1" applyFill="1" applyBorder="1" applyAlignment="1" applyProtection="1">
      <alignment horizontal="center" vertical="center"/>
      <protection hidden="1"/>
    </xf>
    <xf numFmtId="2" fontId="60" fillId="8" borderId="0" xfId="1" applyNumberFormat="1" applyFont="1" applyFill="1" applyBorder="1" applyAlignment="1" applyProtection="1">
      <alignment horizontal="center" vertical="center"/>
      <protection hidden="1"/>
    </xf>
    <xf numFmtId="2" fontId="29" fillId="0" borderId="0" xfId="0" applyNumberFormat="1" applyFont="1" applyProtection="1">
      <protection hidden="1"/>
    </xf>
    <xf numFmtId="2" fontId="32" fillId="2" borderId="1" xfId="2" applyNumberFormat="1" applyFont="1" applyFill="1" applyBorder="1" applyAlignment="1" applyProtection="1">
      <alignment horizontal="center" vertical="center"/>
      <protection hidden="1"/>
    </xf>
    <xf numFmtId="9" fontId="6" fillId="8" borderId="0" xfId="2" applyFont="1" applyFill="1" applyBorder="1" applyAlignment="1" applyProtection="1">
      <alignment horizontal="center" vertical="center"/>
      <protection hidden="1"/>
    </xf>
    <xf numFmtId="2" fontId="32" fillId="8" borderId="0" xfId="2" applyNumberFormat="1" applyFont="1" applyFill="1" applyBorder="1" applyAlignment="1" applyProtection="1">
      <alignment horizontal="center" vertical="center"/>
      <protection hidden="1"/>
    </xf>
    <xf numFmtId="2" fontId="59" fillId="8" borderId="0" xfId="1" applyNumberFormat="1" applyFont="1" applyFill="1" applyBorder="1" applyAlignment="1" applyProtection="1">
      <alignment horizontal="left" vertical="center"/>
      <protection hidden="1"/>
    </xf>
    <xf numFmtId="166" fontId="6" fillId="8" borderId="0" xfId="2" applyNumberFormat="1" applyFont="1" applyFill="1" applyBorder="1" applyAlignment="1" applyProtection="1">
      <alignment horizontal="center" vertical="center"/>
      <protection hidden="1"/>
    </xf>
    <xf numFmtId="165" fontId="6" fillId="8" borderId="0" xfId="0" applyNumberFormat="1" applyFont="1" applyFill="1" applyAlignment="1" applyProtection="1">
      <alignment horizontal="center" vertical="center" wrapText="1"/>
      <protection hidden="1"/>
    </xf>
    <xf numFmtId="4" fontId="22" fillId="2" borderId="2" xfId="0" applyNumberFormat="1" applyFont="1" applyFill="1" applyBorder="1" applyAlignment="1" applyProtection="1">
      <alignment horizontal="center" vertical="center"/>
      <protection hidden="1"/>
    </xf>
    <xf numFmtId="4" fontId="22" fillId="2" borderId="0" xfId="0" applyNumberFormat="1" applyFont="1" applyFill="1" applyAlignment="1" applyProtection="1">
      <alignment horizontal="center" vertical="center"/>
      <protection hidden="1"/>
    </xf>
    <xf numFmtId="4" fontId="22" fillId="8" borderId="0" xfId="0" applyNumberFormat="1" applyFont="1" applyFill="1" applyAlignment="1" applyProtection="1">
      <alignment horizontal="center" vertical="center"/>
      <protection hidden="1"/>
    </xf>
    <xf numFmtId="164" fontId="22" fillId="2" borderId="0" xfId="0" applyNumberFormat="1" applyFont="1" applyFill="1" applyAlignment="1" applyProtection="1">
      <alignment horizontal="center" vertical="center"/>
      <protection hidden="1"/>
    </xf>
    <xf numFmtId="164" fontId="22" fillId="2" borderId="2" xfId="0" applyNumberFormat="1"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8" fontId="0" fillId="0" borderId="0" xfId="0" applyNumberFormat="1"/>
    <xf numFmtId="3" fontId="30" fillId="4" borderId="9" xfId="0" applyNumberFormat="1" applyFont="1" applyFill="1" applyBorder="1" applyAlignment="1" applyProtection="1">
      <alignment horizontal="center" vertical="center"/>
      <protection hidden="1"/>
    </xf>
    <xf numFmtId="0" fontId="29" fillId="2" borderId="23"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4" borderId="3" xfId="0" applyFont="1" applyFill="1" applyBorder="1" applyAlignment="1" applyProtection="1">
      <alignment horizontal="center" vertical="center"/>
      <protection hidden="1"/>
    </xf>
    <xf numFmtId="0" fontId="29" fillId="4" borderId="5"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wrapText="1"/>
      <protection hidden="1"/>
    </xf>
    <xf numFmtId="0" fontId="29" fillId="2" borderId="26" xfId="0" applyFont="1" applyFill="1" applyBorder="1" applyAlignment="1" applyProtection="1">
      <alignment horizontal="center" vertical="center"/>
      <protection hidden="1"/>
    </xf>
    <xf numFmtId="9" fontId="8" fillId="2" borderId="1" xfId="2" applyFont="1" applyFill="1" applyBorder="1" applyAlignment="1" applyProtection="1">
      <alignment horizontal="center" vertical="center"/>
      <protection hidden="1"/>
    </xf>
    <xf numFmtId="9" fontId="7" fillId="4" borderId="1" xfId="2" applyFont="1" applyFill="1" applyBorder="1" applyAlignment="1" applyProtection="1">
      <alignment horizontal="center" vertical="center" wrapText="1"/>
      <protection hidden="1"/>
    </xf>
    <xf numFmtId="0" fontId="30" fillId="19" borderId="1" xfId="0" applyFont="1" applyFill="1" applyBorder="1" applyAlignment="1" applyProtection="1">
      <alignment horizontal="center" vertical="center" wrapText="1"/>
      <protection locked="0"/>
    </xf>
    <xf numFmtId="7" fontId="43" fillId="10" borderId="0" xfId="1" applyNumberFormat="1" applyFont="1" applyFill="1" applyBorder="1" applyAlignment="1" applyProtection="1">
      <alignment horizontal="center" vertical="center"/>
      <protection hidden="1"/>
    </xf>
    <xf numFmtId="7" fontId="8" fillId="13" borderId="6" xfId="1" applyNumberFormat="1" applyFont="1" applyFill="1" applyBorder="1" applyAlignment="1" applyProtection="1">
      <alignment horizontal="center" vertical="center"/>
      <protection hidden="1"/>
    </xf>
    <xf numFmtId="7" fontId="43" fillId="2" borderId="8" xfId="1" applyNumberFormat="1" applyFont="1" applyFill="1" applyBorder="1" applyAlignment="1" applyProtection="1">
      <alignment horizontal="center" vertical="center"/>
      <protection hidden="1"/>
    </xf>
    <xf numFmtId="1" fontId="43" fillId="2" borderId="8" xfId="2" applyNumberFormat="1" applyFont="1" applyFill="1" applyBorder="1" applyAlignment="1" applyProtection="1">
      <alignment horizontal="center" vertical="center"/>
      <protection hidden="1"/>
    </xf>
    <xf numFmtId="1" fontId="43" fillId="10" borderId="13" xfId="2" applyNumberFormat="1" applyFont="1" applyFill="1" applyBorder="1" applyAlignment="1" applyProtection="1">
      <alignment horizontal="center" vertical="center"/>
      <protection hidden="1"/>
    </xf>
    <xf numFmtId="1" fontId="43" fillId="10" borderId="7" xfId="2" applyNumberFormat="1" applyFont="1" applyFill="1" applyBorder="1" applyAlignment="1" applyProtection="1">
      <alignment horizontal="center" vertical="center"/>
      <protection hidden="1"/>
    </xf>
    <xf numFmtId="168" fontId="34" fillId="13" borderId="14" xfId="2" applyNumberFormat="1" applyFont="1" applyFill="1" applyBorder="1" applyAlignment="1" applyProtection="1">
      <alignment horizontal="center" vertical="center"/>
      <protection hidden="1"/>
    </xf>
    <xf numFmtId="0" fontId="15" fillId="15" borderId="0" xfId="0" applyFont="1" applyFill="1" applyAlignment="1">
      <alignment horizontal="center" vertical="center"/>
    </xf>
    <xf numFmtId="0" fontId="19" fillId="4" borderId="0" xfId="0" applyFont="1" applyFill="1" applyAlignment="1">
      <alignment horizontal="left" vertical="center" wrapText="1"/>
    </xf>
    <xf numFmtId="0" fontId="10" fillId="14" borderId="0" xfId="0" applyFont="1" applyFill="1" applyAlignment="1">
      <alignment horizontal="center" vertical="center"/>
    </xf>
    <xf numFmtId="0" fontId="6" fillId="2" borderId="0" xfId="0" applyFont="1" applyFill="1" applyAlignment="1">
      <alignment horizontal="left" vertical="top" wrapText="1"/>
    </xf>
    <xf numFmtId="9" fontId="53" fillId="13" borderId="3"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5" xfId="2" applyFont="1" applyFill="1" applyBorder="1" applyAlignment="1" applyProtection="1">
      <alignment horizontal="center" vertical="center"/>
      <protection hidden="1"/>
    </xf>
    <xf numFmtId="166" fontId="8" fillId="13" borderId="4" xfId="2" applyNumberFormat="1"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0" fontId="29" fillId="2" borderId="0" xfId="0" applyFont="1" applyFill="1" applyAlignment="1" applyProtection="1">
      <alignment horizontal="right" vertical="center"/>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164" fontId="8" fillId="13" borderId="4" xfId="2" applyNumberFormat="1" applyFont="1" applyFill="1" applyBorder="1" applyAlignment="1" applyProtection="1">
      <alignment horizontal="center" vertical="center"/>
      <protection locked="0"/>
    </xf>
    <xf numFmtId="1" fontId="8" fillId="13" borderId="4" xfId="2"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38" fillId="3" borderId="0" xfId="0" applyFont="1" applyFill="1" applyAlignment="1" applyProtection="1">
      <alignment horizontal="center" vertical="center"/>
      <protection hidden="1"/>
    </xf>
    <xf numFmtId="1" fontId="34" fillId="13" borderId="6" xfId="2"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20" borderId="0" xfId="0" applyFont="1" applyFill="1"/>
    <xf numFmtId="0" fontId="78" fillId="20" borderId="0" xfId="0" applyFont="1" applyFill="1" applyAlignment="1" applyProtection="1">
      <alignment horizontal="center" vertical="center"/>
      <protection hidden="1"/>
    </xf>
    <xf numFmtId="0" fontId="29" fillId="20" borderId="0" xfId="0" applyFont="1" applyFill="1" applyAlignment="1" applyProtection="1">
      <alignment horizontal="center" vertical="center"/>
      <protection hidden="1"/>
    </xf>
    <xf numFmtId="0" fontId="29" fillId="20" borderId="0" xfId="0" applyFont="1" applyFill="1" applyAlignment="1" applyProtection="1">
      <alignment horizontal="center"/>
      <protection hidden="1"/>
    </xf>
    <xf numFmtId="0" fontId="29" fillId="4" borderId="0" xfId="0" applyFont="1" applyFill="1" applyAlignment="1" applyProtection="1">
      <alignment horizontal="center" vertical="center"/>
      <protection hidden="1"/>
    </xf>
    <xf numFmtId="0" fontId="89" fillId="2" borderId="0" xfId="0" applyFont="1" applyFill="1" applyAlignment="1">
      <alignment horizontal="left" vertical="center" wrapText="1"/>
    </xf>
    <xf numFmtId="0" fontId="97" fillId="2" borderId="0" xfId="0" applyFont="1" applyFill="1" applyAlignment="1">
      <alignment horizontal="left" vertical="center" wrapText="1"/>
    </xf>
    <xf numFmtId="0" fontId="15" fillId="15" borderId="0" xfId="0" applyFont="1" applyFill="1" applyAlignment="1">
      <alignment horizontal="center" vertical="center"/>
    </xf>
    <xf numFmtId="0" fontId="93" fillId="2" borderId="0" xfId="0" applyFont="1" applyFill="1" applyAlignment="1">
      <alignment horizontal="left" vertical="center" wrapText="1"/>
    </xf>
    <xf numFmtId="0" fontId="21" fillId="2" borderId="0" xfId="0" applyFont="1" applyFill="1" applyAlignment="1">
      <alignment horizontal="left" vertical="center" wrapText="1"/>
    </xf>
    <xf numFmtId="0" fontId="18" fillId="4" borderId="0" xfId="0" applyFont="1" applyFill="1" applyAlignment="1">
      <alignment horizontal="left" vertical="center" wrapText="1"/>
    </xf>
    <xf numFmtId="0" fontId="17" fillId="4" borderId="0" xfId="0" applyFont="1" applyFill="1" applyAlignment="1">
      <alignment horizontal="left" vertical="center" wrapText="1"/>
    </xf>
    <xf numFmtId="49" fontId="25" fillId="2" borderId="0" xfId="0" applyNumberFormat="1" applyFont="1" applyFill="1" applyAlignment="1">
      <alignment horizontal="right" vertical="center" wrapText="1"/>
    </xf>
    <xf numFmtId="0" fontId="19" fillId="4" borderId="0" xfId="0" applyFont="1" applyFill="1" applyAlignment="1">
      <alignment horizontal="left" vertical="center" wrapText="1"/>
    </xf>
    <xf numFmtId="0" fontId="10" fillId="14" borderId="0" xfId="0" applyFont="1" applyFill="1" applyAlignment="1">
      <alignment horizontal="center" vertical="center"/>
    </xf>
    <xf numFmtId="0" fontId="6" fillId="10" borderId="12"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0" xfId="0" applyFont="1" applyFill="1" applyAlignment="1">
      <alignment horizontal="left" vertical="top" wrapText="1"/>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7" fillId="12"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7" fillId="12" borderId="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12" xfId="0" applyFont="1" applyFill="1" applyBorder="1" applyAlignment="1">
      <alignment horizontal="right" vertical="center" wrapText="1"/>
    </xf>
    <xf numFmtId="0" fontId="6" fillId="10" borderId="0" xfId="0" applyFont="1" applyFill="1" applyAlignment="1">
      <alignment horizontal="right" vertical="center" wrapText="1"/>
    </xf>
    <xf numFmtId="0" fontId="6" fillId="10" borderId="14" xfId="0" applyFont="1" applyFill="1" applyBorder="1" applyAlignment="1">
      <alignment horizontal="right" vertical="center" wrapText="1"/>
    </xf>
    <xf numFmtId="0" fontId="6" fillId="10" borderId="2" xfId="0" applyFont="1" applyFill="1" applyBorder="1" applyAlignment="1">
      <alignment horizontal="right"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1" fillId="18" borderId="0" xfId="3" applyFont="1" applyFill="1" applyBorder="1" applyAlignment="1">
      <alignment horizontal="left" vertical="center" wrapText="1"/>
    </xf>
    <xf numFmtId="0" fontId="11" fillId="18" borderId="13" xfId="3" applyFont="1" applyFill="1" applyBorder="1" applyAlignment="1">
      <alignment horizontal="left" vertical="center" wrapText="1"/>
    </xf>
    <xf numFmtId="0" fontId="11" fillId="10" borderId="0" xfId="3" applyFont="1" applyFill="1" applyBorder="1" applyAlignment="1">
      <alignment horizontal="left" vertical="center" wrapText="1"/>
    </xf>
    <xf numFmtId="0" fontId="11" fillId="10" borderId="13" xfId="3" applyFont="1" applyFill="1" applyBorder="1" applyAlignment="1">
      <alignment horizontal="left" vertical="center" wrapText="1"/>
    </xf>
    <xf numFmtId="0" fontId="11" fillId="10" borderId="2" xfId="3" applyFont="1" applyFill="1" applyBorder="1" applyAlignment="1">
      <alignment horizontal="left" vertical="center" wrapText="1"/>
    </xf>
    <xf numFmtId="0" fontId="11" fillId="10" borderId="15" xfId="3" applyFont="1" applyFill="1" applyBorder="1" applyAlignment="1">
      <alignment horizontal="left" vertical="center" wrapText="1"/>
    </xf>
    <xf numFmtId="0" fontId="80" fillId="10" borderId="2" xfId="3" applyFont="1" applyFill="1" applyBorder="1" applyAlignment="1">
      <alignment horizontal="left" vertical="center"/>
    </xf>
    <xf numFmtId="0" fontId="80" fillId="10" borderId="15" xfId="3" applyFont="1" applyFill="1" applyBorder="1" applyAlignment="1">
      <alignment horizontal="left" vertical="center"/>
    </xf>
    <xf numFmtId="0" fontId="6" fillId="2" borderId="0" xfId="0" applyFont="1" applyFill="1" applyAlignment="1">
      <alignment horizontal="left" vertical="top" wrapText="1"/>
    </xf>
    <xf numFmtId="0" fontId="10" fillId="9" borderId="0" xfId="0" applyFont="1" applyFill="1" applyAlignment="1">
      <alignment horizontal="center" vertical="center"/>
    </xf>
    <xf numFmtId="0" fontId="10" fillId="7" borderId="0" xfId="0" applyFont="1" applyFill="1" applyAlignment="1">
      <alignment horizontal="center" vertical="center"/>
    </xf>
    <xf numFmtId="0" fontId="8" fillId="6" borderId="0" xfId="0" applyFont="1" applyFill="1" applyAlignment="1">
      <alignment horizontal="center" vertical="center"/>
    </xf>
    <xf numFmtId="0" fontId="10" fillId="11" borderId="3" xfId="0" applyFont="1" applyFill="1" applyBorder="1" applyAlignment="1">
      <alignment horizontal="center"/>
    </xf>
    <xf numFmtId="0" fontId="10" fillId="11" borderId="5" xfId="0" applyFont="1" applyFill="1" applyBorder="1" applyAlignment="1">
      <alignment horizontal="center"/>
    </xf>
    <xf numFmtId="0" fontId="10" fillId="11" borderId="4" xfId="0" applyFont="1" applyFill="1" applyBorder="1" applyAlignment="1">
      <alignment horizontal="center"/>
    </xf>
    <xf numFmtId="0" fontId="6" fillId="10" borderId="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8" borderId="0" xfId="0" applyFont="1" applyFill="1" applyAlignment="1">
      <alignment horizontal="center" vertical="center" wrapText="1"/>
    </xf>
    <xf numFmtId="0" fontId="6" fillId="3" borderId="0" xfId="0" applyFont="1" applyFill="1" applyAlignment="1">
      <alignment horizontal="center" vertical="center" wrapText="1"/>
    </xf>
    <xf numFmtId="9" fontId="53" fillId="13" borderId="3" xfId="2" applyFont="1" applyFill="1" applyBorder="1" applyAlignment="1" applyProtection="1">
      <alignment horizontal="center" vertical="center"/>
      <protection locked="0"/>
    </xf>
    <xf numFmtId="9" fontId="53" fillId="13" borderId="5" xfId="2" applyFont="1" applyFill="1" applyBorder="1" applyAlignment="1" applyProtection="1">
      <alignment horizontal="center" vertical="center"/>
      <protection locked="0"/>
    </xf>
    <xf numFmtId="9" fontId="53" fillId="13" borderId="4" xfId="2" applyFont="1" applyFill="1" applyBorder="1" applyAlignment="1" applyProtection="1">
      <alignment horizontal="center" vertical="center"/>
      <protection locked="0"/>
    </xf>
    <xf numFmtId="1" fontId="82" fillId="10" borderId="12" xfId="2" applyNumberFormat="1" applyFont="1" applyFill="1" applyBorder="1" applyAlignment="1" applyProtection="1">
      <alignment horizontal="center" vertical="center" wrapText="1"/>
      <protection hidden="1"/>
    </xf>
    <xf numFmtId="1" fontId="82" fillId="10" borderId="0" xfId="2" applyNumberFormat="1" applyFont="1" applyFill="1" applyBorder="1" applyAlignment="1" applyProtection="1">
      <alignment horizontal="center" vertical="center" wrapText="1"/>
      <protection hidden="1"/>
    </xf>
    <xf numFmtId="0" fontId="39" fillId="12" borderId="0" xfId="0" applyFont="1" applyFill="1" applyAlignment="1" applyProtection="1">
      <alignment horizontal="center" vertical="center"/>
      <protection hidden="1"/>
    </xf>
    <xf numFmtId="1" fontId="34" fillId="13" borderId="9" xfId="2" applyNumberFormat="1" applyFont="1" applyFill="1" applyBorder="1" applyAlignment="1" applyProtection="1">
      <alignment horizontal="center" vertical="center"/>
      <protection locked="0"/>
    </xf>
    <xf numFmtId="1" fontId="34" fillId="13" borderId="10" xfId="2" applyNumberFormat="1" applyFont="1" applyFill="1" applyBorder="1" applyAlignment="1" applyProtection="1">
      <alignment horizontal="center" vertical="center"/>
      <protection locked="0"/>
    </xf>
    <xf numFmtId="1" fontId="34" fillId="13" borderId="11" xfId="2" applyNumberFormat="1" applyFont="1" applyFill="1" applyBorder="1" applyAlignment="1" applyProtection="1">
      <alignment horizontal="center" vertical="center"/>
      <protection locked="0"/>
    </xf>
    <xf numFmtId="1" fontId="43" fillId="2" borderId="14" xfId="2" applyNumberFormat="1" applyFont="1" applyFill="1" applyBorder="1" applyAlignment="1" applyProtection="1">
      <alignment horizontal="center" vertical="center"/>
      <protection hidden="1"/>
    </xf>
    <xf numFmtId="1" fontId="43" fillId="2" borderId="2" xfId="2" applyNumberFormat="1" applyFont="1" applyFill="1" applyBorder="1" applyAlignment="1" applyProtection="1">
      <alignment horizontal="center" vertical="center"/>
      <protection hidden="1"/>
    </xf>
    <xf numFmtId="1" fontId="43" fillId="2" borderId="15" xfId="2" applyNumberFormat="1" applyFont="1" applyFill="1" applyBorder="1" applyAlignment="1" applyProtection="1">
      <alignment horizontal="center" vertical="center"/>
      <protection hidden="1"/>
    </xf>
    <xf numFmtId="168" fontId="34" fillId="2" borderId="3" xfId="2" applyNumberFormat="1" applyFont="1" applyFill="1" applyBorder="1" applyAlignment="1" applyProtection="1">
      <alignment horizontal="center" vertical="center"/>
      <protection hidden="1"/>
    </xf>
    <xf numFmtId="168" fontId="34" fillId="2" borderId="5" xfId="2" applyNumberFormat="1" applyFont="1" applyFill="1" applyBorder="1" applyAlignment="1" applyProtection="1">
      <alignment horizontal="center" vertical="center"/>
      <protection hidden="1"/>
    </xf>
    <xf numFmtId="168" fontId="34" fillId="2" borderId="4" xfId="2" applyNumberFormat="1" applyFont="1" applyFill="1" applyBorder="1" applyAlignment="1" applyProtection="1">
      <alignment horizontal="center" vertical="center"/>
      <protection hidden="1"/>
    </xf>
    <xf numFmtId="9" fontId="8" fillId="13" borderId="9" xfId="2" applyFont="1" applyFill="1" applyBorder="1" applyAlignment="1" applyProtection="1">
      <alignment horizontal="center" vertical="center"/>
      <protection locked="0"/>
    </xf>
    <xf numFmtId="9" fontId="8" fillId="13" borderId="10"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4" xfId="2" applyFont="1" applyFill="1" applyBorder="1" applyAlignment="1" applyProtection="1">
      <alignment horizontal="center" vertical="center"/>
      <protection hidden="1"/>
    </xf>
    <xf numFmtId="9" fontId="43" fillId="0" borderId="2" xfId="2" applyFont="1" applyFill="1" applyBorder="1" applyAlignment="1" applyProtection="1">
      <alignment horizontal="center" vertical="center"/>
      <protection hidden="1"/>
    </xf>
    <xf numFmtId="9" fontId="43" fillId="0" borderId="15" xfId="2" applyFont="1" applyFill="1" applyBorder="1" applyAlignment="1" applyProtection="1">
      <alignment horizontal="center" vertical="center"/>
      <protection hidden="1"/>
    </xf>
    <xf numFmtId="2" fontId="34" fillId="2" borderId="3" xfId="0" applyNumberFormat="1" applyFont="1" applyFill="1" applyBorder="1" applyAlignment="1" applyProtection="1">
      <alignment horizontal="center" vertical="center"/>
      <protection hidden="1"/>
    </xf>
    <xf numFmtId="2" fontId="34" fillId="2" borderId="5" xfId="0" applyNumberFormat="1" applyFont="1" applyFill="1" applyBorder="1" applyAlignment="1" applyProtection="1">
      <alignment horizontal="center" vertical="center"/>
      <protection hidden="1"/>
    </xf>
    <xf numFmtId="2" fontId="34" fillId="2" borderId="4" xfId="0" applyNumberFormat="1" applyFont="1" applyFill="1" applyBorder="1" applyAlignment="1" applyProtection="1">
      <alignment horizontal="center" vertical="center"/>
      <protection hidden="1"/>
    </xf>
    <xf numFmtId="166" fontId="8" fillId="13" borderId="3" xfId="2" applyNumberFormat="1" applyFont="1" applyFill="1" applyBorder="1" applyAlignment="1" applyProtection="1">
      <alignment horizontal="center" vertical="center"/>
      <protection locked="0"/>
    </xf>
    <xf numFmtId="166" fontId="8" fillId="13" borderId="5" xfId="2" applyNumberFormat="1" applyFont="1" applyFill="1" applyBorder="1" applyAlignment="1" applyProtection="1">
      <alignment horizontal="center" vertical="center"/>
      <protection locked="0"/>
    </xf>
    <xf numFmtId="166" fontId="8" fillId="13" borderId="4" xfId="2" applyNumberFormat="1" applyFont="1" applyFill="1" applyBorder="1" applyAlignment="1" applyProtection="1">
      <alignment horizontal="center" vertical="center"/>
      <protection locked="0"/>
    </xf>
    <xf numFmtId="9" fontId="8" fillId="13" borderId="3" xfId="2" applyFont="1" applyFill="1" applyBorder="1" applyAlignment="1" applyProtection="1">
      <alignment horizontal="center" vertical="center"/>
      <protection locked="0"/>
    </xf>
    <xf numFmtId="9" fontId="8" fillId="13" borderId="5" xfId="2"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9" fontId="84" fillId="13" borderId="25" xfId="2" applyFont="1" applyFill="1" applyBorder="1" applyAlignment="1" applyProtection="1">
      <alignment horizontal="center" vertical="center"/>
      <protection locked="0"/>
    </xf>
    <xf numFmtId="9" fontId="84" fillId="13" borderId="5" xfId="2" applyFont="1" applyFill="1" applyBorder="1" applyAlignment="1" applyProtection="1">
      <alignment horizontal="center" vertical="center"/>
      <protection locked="0"/>
    </xf>
    <xf numFmtId="9" fontId="84" fillId="13" borderId="4" xfId="2" applyFont="1" applyFill="1" applyBorder="1" applyAlignment="1" applyProtection="1">
      <alignment horizontal="center" vertical="center"/>
      <protection locked="0"/>
    </xf>
    <xf numFmtId="0" fontId="33" fillId="10" borderId="0" xfId="0" applyFont="1" applyFill="1" applyAlignment="1" applyProtection="1">
      <alignment horizontal="left" vertical="center" wrapText="1"/>
      <protection hidden="1"/>
    </xf>
    <xf numFmtId="0" fontId="7" fillId="2" borderId="3"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15" fillId="11" borderId="0" xfId="0" applyFont="1" applyFill="1" applyAlignment="1" applyProtection="1">
      <alignment horizontal="center" vertical="center"/>
      <protection hidden="1"/>
    </xf>
    <xf numFmtId="0" fontId="8" fillId="10" borderId="2" xfId="0" applyFont="1" applyFill="1" applyBorder="1" applyAlignment="1" applyProtection="1">
      <alignment horizontal="left"/>
      <protection hidden="1"/>
    </xf>
    <xf numFmtId="9" fontId="34" fillId="5" borderId="3" xfId="2" applyFont="1" applyFill="1" applyBorder="1" applyAlignment="1" applyProtection="1">
      <alignment horizontal="center" vertical="center"/>
      <protection locked="0"/>
    </xf>
    <xf numFmtId="9" fontId="34" fillId="5" borderId="5" xfId="2" applyFont="1" applyFill="1" applyBorder="1" applyAlignment="1" applyProtection="1">
      <alignment horizontal="center" vertical="center"/>
      <protection locked="0"/>
    </xf>
    <xf numFmtId="9" fontId="34" fillId="5" borderId="4" xfId="2" applyFont="1" applyFill="1" applyBorder="1" applyAlignment="1" applyProtection="1">
      <alignment horizontal="center" vertical="center"/>
      <protection locked="0"/>
    </xf>
    <xf numFmtId="0" fontId="52" fillId="14" borderId="0" xfId="0" applyFont="1" applyFill="1" applyAlignment="1" applyProtection="1">
      <alignment horizontal="center" vertical="center"/>
      <protection hidden="1"/>
    </xf>
    <xf numFmtId="0" fontId="6" fillId="2" borderId="5" xfId="0" applyFont="1" applyFill="1" applyBorder="1" applyAlignment="1" applyProtection="1">
      <alignment horizontal="left" vertical="center"/>
      <protection hidden="1"/>
    </xf>
    <xf numFmtId="0" fontId="6" fillId="2" borderId="4" xfId="0" applyFont="1" applyFill="1" applyBorder="1" applyAlignment="1" applyProtection="1">
      <alignment horizontal="left" vertical="center"/>
      <protection hidden="1"/>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53" fillId="2" borderId="5" xfId="0" applyFont="1" applyFill="1" applyBorder="1" applyAlignment="1" applyProtection="1">
      <alignment horizontal="left" vertical="center" wrapText="1"/>
      <protection hidden="1"/>
    </xf>
    <xf numFmtId="0" fontId="53" fillId="2" borderId="4" xfId="0" applyFont="1" applyFill="1" applyBorder="1" applyAlignment="1" applyProtection="1">
      <alignment horizontal="left" vertical="center" wrapText="1"/>
      <protection hidden="1"/>
    </xf>
    <xf numFmtId="0" fontId="55" fillId="2" borderId="5" xfId="0" applyFont="1" applyFill="1" applyBorder="1" applyAlignment="1" applyProtection="1">
      <alignment horizontal="left" vertical="center" wrapText="1"/>
      <protection hidden="1"/>
    </xf>
    <xf numFmtId="0" fontId="55" fillId="2" borderId="4" xfId="0" applyFont="1" applyFill="1" applyBorder="1" applyAlignment="1" applyProtection="1">
      <alignment horizontal="left" vertical="center" wrapText="1"/>
      <protection hidden="1"/>
    </xf>
    <xf numFmtId="3" fontId="8" fillId="13" borderId="3" xfId="0" applyNumberFormat="1" applyFont="1" applyFill="1" applyBorder="1" applyAlignment="1" applyProtection="1">
      <alignment horizontal="center" vertical="center"/>
      <protection locked="0"/>
    </xf>
    <xf numFmtId="3" fontId="8" fillId="13" borderId="5" xfId="0" applyNumberFormat="1" applyFont="1" applyFill="1" applyBorder="1" applyAlignment="1" applyProtection="1">
      <alignment horizontal="center" vertical="center"/>
      <protection locked="0"/>
    </xf>
    <xf numFmtId="3" fontId="8" fillId="13" borderId="4" xfId="0" applyNumberFormat="1" applyFont="1" applyFill="1" applyBorder="1" applyAlignment="1" applyProtection="1">
      <alignment horizontal="center" vertical="center"/>
      <protection locked="0"/>
    </xf>
    <xf numFmtId="9" fontId="8" fillId="2" borderId="25" xfId="2" applyFont="1" applyFill="1" applyBorder="1" applyAlignment="1" applyProtection="1">
      <alignment horizontal="center" vertical="center"/>
      <protection hidden="1"/>
    </xf>
    <xf numFmtId="9" fontId="8" fillId="2" borderId="5" xfId="2" applyFont="1" applyFill="1" applyBorder="1" applyAlignment="1" applyProtection="1">
      <alignment horizontal="center" vertical="center"/>
      <protection hidden="1"/>
    </xf>
    <xf numFmtId="9" fontId="8" fillId="2" borderId="4" xfId="2" applyFont="1" applyFill="1" applyBorder="1" applyAlignment="1" applyProtection="1">
      <alignment horizontal="center" vertical="center"/>
      <protection hidden="1"/>
    </xf>
    <xf numFmtId="0" fontId="8" fillId="13" borderId="3" xfId="0" applyFont="1" applyFill="1" applyBorder="1" applyAlignment="1" applyProtection="1">
      <alignment horizontal="center" vertical="center"/>
      <protection locked="0"/>
    </xf>
    <xf numFmtId="0" fontId="8" fillId="13" borderId="5" xfId="0" applyFont="1" applyFill="1" applyBorder="1" applyAlignment="1" applyProtection="1">
      <alignment horizontal="center" vertical="center"/>
      <protection locked="0"/>
    </xf>
    <xf numFmtId="0" fontId="8" fillId="13" borderId="4" xfId="0" applyFont="1" applyFill="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hidden="1"/>
    </xf>
    <xf numFmtId="3" fontId="8" fillId="0" borderId="5" xfId="0" applyNumberFormat="1" applyFont="1" applyBorder="1" applyAlignment="1" applyProtection="1">
      <alignment horizontal="center" vertical="center"/>
      <protection hidden="1"/>
    </xf>
    <xf numFmtId="3" fontId="8" fillId="0" borderId="4" xfId="0" applyNumberFormat="1" applyFont="1" applyBorder="1" applyAlignment="1" applyProtection="1">
      <alignment horizontal="center" vertical="center"/>
      <protection hidden="1"/>
    </xf>
    <xf numFmtId="164" fontId="8" fillId="13" borderId="12" xfId="0" applyNumberFormat="1" applyFont="1" applyFill="1" applyBorder="1" applyAlignment="1" applyProtection="1">
      <alignment horizontal="center" vertical="center"/>
      <protection locked="0"/>
    </xf>
    <xf numFmtId="164" fontId="8" fillId="13" borderId="0" xfId="0" applyNumberFormat="1" applyFont="1" applyFill="1" applyAlignment="1" applyProtection="1">
      <alignment horizontal="center" vertical="center"/>
      <protection locked="0"/>
    </xf>
    <xf numFmtId="164" fontId="8" fillId="13" borderId="13" xfId="0" applyNumberFormat="1" applyFont="1" applyFill="1" applyBorder="1" applyAlignment="1" applyProtection="1">
      <alignment horizontal="center" vertical="center"/>
      <protection locked="0"/>
    </xf>
    <xf numFmtId="164" fontId="8" fillId="13" borderId="14" xfId="0" applyNumberFormat="1" applyFont="1" applyFill="1" applyBorder="1" applyAlignment="1" applyProtection="1">
      <alignment horizontal="center" vertical="center"/>
      <protection locked="0"/>
    </xf>
    <xf numFmtId="164" fontId="8" fillId="13" borderId="2" xfId="0" applyNumberFormat="1" applyFont="1" applyFill="1" applyBorder="1" applyAlignment="1" applyProtection="1">
      <alignment horizontal="center" vertical="center"/>
      <protection locked="0"/>
    </xf>
    <xf numFmtId="164" fontId="8" fillId="13" borderId="15" xfId="0" applyNumberFormat="1" applyFont="1" applyFill="1" applyBorder="1" applyAlignment="1" applyProtection="1">
      <alignment horizontal="center" vertical="center"/>
      <protection locked="0"/>
    </xf>
    <xf numFmtId="0" fontId="29" fillId="2" borderId="0" xfId="0" applyFont="1" applyFill="1" applyAlignment="1" applyProtection="1">
      <alignment horizontal="right" vertical="center"/>
      <protection hidden="1"/>
    </xf>
    <xf numFmtId="165" fontId="8" fillId="13" borderId="3" xfId="0" applyNumberFormat="1" applyFont="1" applyFill="1" applyBorder="1" applyAlignment="1" applyProtection="1">
      <alignment horizontal="center" vertical="center" wrapText="1"/>
      <protection locked="0"/>
    </xf>
    <xf numFmtId="165" fontId="8" fillId="13" borderId="5" xfId="0" applyNumberFormat="1" applyFont="1" applyFill="1" applyBorder="1" applyAlignment="1" applyProtection="1">
      <alignment horizontal="center" vertical="center" wrapText="1"/>
      <protection locked="0"/>
    </xf>
    <xf numFmtId="165" fontId="8" fillId="13" borderId="4" xfId="0" applyNumberFormat="1" applyFont="1" applyFill="1" applyBorder="1" applyAlignment="1" applyProtection="1">
      <alignment horizontal="center" vertical="center" wrapText="1"/>
      <protection locked="0"/>
    </xf>
    <xf numFmtId="164" fontId="8" fillId="13" borderId="9" xfId="0" applyNumberFormat="1" applyFont="1" applyFill="1" applyBorder="1" applyAlignment="1" applyProtection="1">
      <alignment horizontal="center" vertical="center"/>
      <protection locked="0"/>
    </xf>
    <xf numFmtId="164" fontId="8" fillId="13" borderId="10" xfId="0" applyNumberFormat="1" applyFont="1" applyFill="1" applyBorder="1" applyAlignment="1" applyProtection="1">
      <alignment horizontal="center" vertical="center"/>
      <protection locked="0"/>
    </xf>
    <xf numFmtId="164" fontId="8" fillId="13" borderId="11" xfId="0" applyNumberFormat="1" applyFont="1" applyFill="1" applyBorder="1" applyAlignment="1" applyProtection="1">
      <alignment horizontal="center" vertical="center"/>
      <protection locked="0"/>
    </xf>
    <xf numFmtId="7" fontId="43" fillId="2" borderId="2" xfId="1" applyNumberFormat="1" applyFont="1" applyFill="1" applyBorder="1" applyAlignment="1" applyProtection="1">
      <alignment horizontal="center" vertical="center"/>
      <protection hidden="1"/>
    </xf>
    <xf numFmtId="7" fontId="43" fillId="2" borderId="15" xfId="1" applyNumberFormat="1" applyFont="1" applyFill="1" applyBorder="1" applyAlignment="1" applyProtection="1">
      <alignment horizontal="center" vertical="center"/>
      <protection hidden="1"/>
    </xf>
    <xf numFmtId="7" fontId="8" fillId="13" borderId="10" xfId="1" applyNumberFormat="1" applyFont="1" applyFill="1" applyBorder="1" applyAlignment="1" applyProtection="1">
      <alignment horizontal="center" vertical="center"/>
      <protection hidden="1"/>
    </xf>
    <xf numFmtId="7" fontId="8" fillId="13" borderId="11" xfId="1" applyNumberFormat="1" applyFont="1" applyFill="1" applyBorder="1" applyAlignment="1" applyProtection="1">
      <alignment horizontal="center" vertical="center"/>
      <protection hidden="1"/>
    </xf>
    <xf numFmtId="164" fontId="8" fillId="13" borderId="3" xfId="2" applyNumberFormat="1" applyFont="1" applyFill="1" applyBorder="1" applyAlignment="1" applyProtection="1">
      <alignment horizontal="center" vertical="center"/>
      <protection locked="0"/>
    </xf>
    <xf numFmtId="164" fontId="8" fillId="13" borderId="5" xfId="2" applyNumberFormat="1" applyFont="1" applyFill="1" applyBorder="1" applyAlignment="1" applyProtection="1">
      <alignment horizontal="center" vertical="center"/>
      <protection locked="0"/>
    </xf>
    <xf numFmtId="164" fontId="8" fillId="13" borderId="4" xfId="2" applyNumberFormat="1" applyFont="1" applyFill="1" applyBorder="1" applyAlignment="1" applyProtection="1">
      <alignment horizontal="center" vertical="center"/>
      <protection locked="0"/>
    </xf>
    <xf numFmtId="1" fontId="8" fillId="13" borderId="3" xfId="2" applyNumberFormat="1" applyFont="1" applyFill="1" applyBorder="1" applyAlignment="1" applyProtection="1">
      <alignment horizontal="center" vertical="center"/>
      <protection locked="0"/>
    </xf>
    <xf numFmtId="1" fontId="8" fillId="13" borderId="5" xfId="2" applyNumberFormat="1" applyFont="1" applyFill="1" applyBorder="1" applyAlignment="1" applyProtection="1">
      <alignment horizontal="center" vertical="center"/>
      <protection locked="0"/>
    </xf>
    <xf numFmtId="1" fontId="8" fillId="13" borderId="4" xfId="2" applyNumberFormat="1" applyFont="1" applyFill="1" applyBorder="1" applyAlignment="1" applyProtection="1">
      <alignment horizontal="center" vertical="center"/>
      <protection locked="0"/>
    </xf>
    <xf numFmtId="167" fontId="8" fillId="13" borderId="3" xfId="2" applyNumberFormat="1" applyFont="1" applyFill="1" applyBorder="1" applyAlignment="1" applyProtection="1">
      <alignment horizontal="center" vertical="center"/>
      <protection locked="0"/>
    </xf>
    <xf numFmtId="167" fontId="8" fillId="13" borderId="5" xfId="2" applyNumberFormat="1" applyFont="1" applyFill="1" applyBorder="1" applyAlignment="1" applyProtection="1">
      <alignment horizontal="center" vertical="center"/>
      <protection locked="0"/>
    </xf>
    <xf numFmtId="167" fontId="8" fillId="13" borderId="4" xfId="2"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34" fillId="5" borderId="3" xfId="0" applyFont="1" applyFill="1" applyBorder="1" applyAlignment="1" applyProtection="1">
      <alignment horizontal="center" vertical="center" wrapText="1"/>
      <protection locked="0"/>
    </xf>
    <xf numFmtId="0" fontId="34" fillId="5" borderId="5" xfId="0" applyFont="1" applyFill="1" applyBorder="1" applyAlignment="1" applyProtection="1">
      <alignment horizontal="center" vertical="center" wrapText="1"/>
      <protection locked="0"/>
    </xf>
    <xf numFmtId="0" fontId="34" fillId="5"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hidden="1"/>
    </xf>
    <xf numFmtId="0" fontId="8" fillId="8" borderId="0" xfId="0" applyFont="1" applyFill="1" applyAlignment="1" applyProtection="1">
      <alignment horizontal="left" vertical="center"/>
      <protection hidden="1"/>
    </xf>
    <xf numFmtId="0" fontId="29" fillId="8" borderId="0" xfId="0" applyFont="1" applyFill="1" applyAlignment="1" applyProtection="1">
      <alignment horizontal="center"/>
      <protection hidden="1"/>
    </xf>
    <xf numFmtId="0" fontId="54" fillId="8" borderId="0" xfId="0" applyFont="1" applyFill="1" applyAlignment="1" applyProtection="1">
      <alignment horizontal="left" vertical="center" wrapText="1"/>
      <protection hidden="1"/>
    </xf>
    <xf numFmtId="0" fontId="57" fillId="8" borderId="0" xfId="0" applyFont="1" applyFill="1" applyAlignment="1" applyProtection="1">
      <alignment horizontal="right" vertical="center"/>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52" fillId="9" borderId="0" xfId="0" applyFont="1" applyFill="1" applyAlignment="1" applyProtection="1">
      <alignment horizontal="center" vertical="center" wrapText="1"/>
      <protection hidden="1"/>
    </xf>
    <xf numFmtId="0" fontId="39" fillId="16" borderId="0" xfId="0" applyFont="1" applyFill="1" applyAlignment="1" applyProtection="1">
      <alignment horizontal="center" vertical="center" wrapText="1"/>
      <protection hidden="1"/>
    </xf>
    <xf numFmtId="0" fontId="67" fillId="17" borderId="0" xfId="0" applyFont="1" applyFill="1" applyAlignment="1" applyProtection="1">
      <alignment horizontal="center" vertical="center" wrapText="1"/>
      <protection hidden="1"/>
    </xf>
    <xf numFmtId="0" fontId="67" fillId="21" borderId="0" xfId="0" applyFont="1" applyFill="1" applyAlignment="1" applyProtection="1">
      <alignment horizontal="center" vertical="center" wrapText="1"/>
      <protection hidden="1"/>
    </xf>
    <xf numFmtId="0" fontId="29" fillId="20" borderId="0" xfId="0" applyFont="1" applyFill="1" applyAlignment="1" applyProtection="1">
      <alignment horizontal="center"/>
      <protection hidden="1"/>
    </xf>
    <xf numFmtId="0" fontId="38" fillId="3" borderId="0" xfId="0" applyFont="1" applyFill="1" applyAlignment="1" applyProtection="1">
      <alignment horizontal="center" vertical="center"/>
      <protection hidden="1"/>
    </xf>
    <xf numFmtId="0" fontId="39" fillId="17" borderId="0" xfId="0" applyFont="1" applyFill="1" applyAlignment="1" applyProtection="1">
      <alignment horizontal="center" vertical="center"/>
      <protection hidden="1"/>
    </xf>
    <xf numFmtId="0" fontId="52" fillId="7" borderId="0" xfId="0" applyFont="1" applyFill="1" applyAlignment="1" applyProtection="1">
      <alignment horizontal="center" vertical="center"/>
      <protection hidden="1"/>
    </xf>
  </cellXfs>
  <cellStyles count="4">
    <cellStyle name="Currency" xfId="1" builtinId="4"/>
    <cellStyle name="Hyperlink" xfId="3" builtinId="8"/>
    <cellStyle name="Normal" xfId="0" builtinId="0"/>
    <cellStyle name="Percent" xfId="2" builtinId="5"/>
  </cellStyles>
  <dxfs count="1">
    <dxf>
      <font>
        <strike val="0"/>
        <color theme="8"/>
      </font>
    </dxf>
  </dxfs>
  <tableStyles count="0" defaultTableStyle="TableStyleMedium2" defaultPivotStyle="PivotStyleLight16"/>
  <colors>
    <mruColors>
      <color rgb="FFAE0012"/>
      <color rgb="FFD2EFDF"/>
      <color rgb="FF66BAC3"/>
      <color rgb="FFDFE3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12</xdr:col>
      <xdr:colOff>1171575</xdr:colOff>
      <xdr:row>1</xdr:row>
      <xdr:rowOff>161925</xdr:rowOff>
    </xdr:from>
    <xdr:ext cx="1162050" cy="476250"/>
    <xdr:pic>
      <xdr:nvPicPr>
        <xdr:cNvPr id="2" name="Picture 1">
          <a:extLst>
            <a:ext uri="{FF2B5EF4-FFF2-40B4-BE49-F238E27FC236}">
              <a16:creationId xmlns:a16="http://schemas.microsoft.com/office/drawing/2014/main" id="{FA99F207-493F-4863-8521-69D82302381C}"/>
            </a:ext>
          </a:extLst>
        </xdr:cNvPr>
        <xdr:cNvPicPr>
          <a:picLocks noChangeAspect="1"/>
        </xdr:cNvPicPr>
      </xdr:nvPicPr>
      <xdr:blipFill>
        <a:blip xmlns:r="http://schemas.openxmlformats.org/officeDocument/2006/relationships" r:embed="rId1"/>
        <a:stretch>
          <a:fillRect/>
        </a:stretch>
      </xdr:blipFill>
      <xdr:spPr>
        <a:xfrm>
          <a:off x="7391400" y="352425"/>
          <a:ext cx="1162050" cy="476250"/>
        </a:xfrm>
        <a:prstGeom prst="rect">
          <a:avLst/>
        </a:prstGeom>
      </xdr:spPr>
    </xdr:pic>
    <xdr:clientData/>
  </xdr:oneCellAnchor>
  <xdr:twoCellAnchor>
    <xdr:from>
      <xdr:col>0</xdr:col>
      <xdr:colOff>50800</xdr:colOff>
      <xdr:row>1</xdr:row>
      <xdr:rowOff>361112</xdr:rowOff>
    </xdr:from>
    <xdr:to>
      <xdr:col>3</xdr:col>
      <xdr:colOff>660400</xdr:colOff>
      <xdr:row>2</xdr:row>
      <xdr:rowOff>176099</xdr:rowOff>
    </xdr:to>
    <xdr:sp macro="" textlink="">
      <xdr:nvSpPr>
        <xdr:cNvPr id="4" name="Triangle 3">
          <a:extLst>
            <a:ext uri="{FF2B5EF4-FFF2-40B4-BE49-F238E27FC236}">
              <a16:creationId xmlns:a16="http://schemas.microsoft.com/office/drawing/2014/main" id="{7891DD26-1C18-814E-8714-3F0C1CEBED7A}"/>
            </a:ext>
          </a:extLst>
        </xdr:cNvPr>
        <xdr:cNvSpPr/>
      </xdr:nvSpPr>
      <xdr:spPr>
        <a:xfrm>
          <a:off x="50800" y="551612"/>
          <a:ext cx="1409700" cy="1364387"/>
        </a:xfrm>
        <a:prstGeom prst="ellipse">
          <a:avLst/>
        </a:prstGeom>
        <a:solidFill>
          <a:srgbClr val="AE001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2000" b="1">
              <a:latin typeface="Arial" panose="020B0604020202020204" pitchFamily="34" charset="0"/>
              <a:cs typeface="Arial" panose="020B0604020202020204" pitchFamily="34" charset="0"/>
            </a:rPr>
            <a:t>HPV</a:t>
          </a:r>
        </a:p>
      </xdr:txBody>
    </xdr:sp>
    <xdr:clientData/>
  </xdr:twoCellAnchor>
  <xdr:oneCellAnchor>
    <xdr:from>
      <xdr:col>22</xdr:col>
      <xdr:colOff>0</xdr:colOff>
      <xdr:row>5</xdr:row>
      <xdr:rowOff>476250</xdr:rowOff>
    </xdr:from>
    <xdr:ext cx="184731" cy="264560"/>
    <xdr:sp macro="" textlink="">
      <xdr:nvSpPr>
        <xdr:cNvPr id="3" name="TextBox 2">
          <a:extLst>
            <a:ext uri="{FF2B5EF4-FFF2-40B4-BE49-F238E27FC236}">
              <a16:creationId xmlns:a16="http://schemas.microsoft.com/office/drawing/2014/main" id="{7407ED3B-CBF1-E08B-EB3C-94DEEF4DBAA8}"/>
            </a:ext>
          </a:extLst>
        </xdr:cNvPr>
        <xdr:cNvSpPr txBox="1"/>
      </xdr:nvSpPr>
      <xdr:spPr>
        <a:xfrm>
          <a:off x="128682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272146</xdr:colOff>
      <xdr:row>6</xdr:row>
      <xdr:rowOff>4920</xdr:rowOff>
    </xdr:from>
    <xdr:ext cx="242116" cy="717627"/>
    <xdr:pic>
      <xdr:nvPicPr>
        <xdr:cNvPr id="2" name="Picture 1">
          <a:extLst>
            <a:ext uri="{FF2B5EF4-FFF2-40B4-BE49-F238E27FC236}">
              <a16:creationId xmlns:a16="http://schemas.microsoft.com/office/drawing/2014/main" id="{F7AF0881-61FA-44E2-89AB-9EBA59F29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19" b="1819"/>
        <a:stretch/>
      </xdr:blipFill>
      <xdr:spPr>
        <a:xfrm>
          <a:off x="1504046" y="1109820"/>
          <a:ext cx="242116" cy="717627"/>
        </a:xfrm>
        <a:prstGeom prst="rect">
          <a:avLst/>
        </a:prstGeom>
      </xdr:spPr>
    </xdr:pic>
    <xdr:clientData/>
  </xdr:oneCellAnchor>
  <xdr:twoCellAnchor>
    <xdr:from>
      <xdr:col>2</xdr:col>
      <xdr:colOff>532915</xdr:colOff>
      <xdr:row>5</xdr:row>
      <xdr:rowOff>542425</xdr:rowOff>
    </xdr:from>
    <xdr:to>
      <xdr:col>3</xdr:col>
      <xdr:colOff>858035</xdr:colOff>
      <xdr:row>7</xdr:row>
      <xdr:rowOff>127000</xdr:rowOff>
    </xdr:to>
    <xdr:sp macro="" textlink="">
      <xdr:nvSpPr>
        <xdr:cNvPr id="3" name="TextBox 2">
          <a:extLst>
            <a:ext uri="{FF2B5EF4-FFF2-40B4-BE49-F238E27FC236}">
              <a16:creationId xmlns:a16="http://schemas.microsoft.com/office/drawing/2014/main" id="{0A9A7159-77C5-46DE-BB02-9D86FBA23325}"/>
            </a:ext>
          </a:extLst>
        </xdr:cNvPr>
        <xdr:cNvSpPr txBox="1"/>
      </xdr:nvSpPr>
      <xdr:spPr>
        <a:xfrm>
          <a:off x="1764815" y="1107575"/>
          <a:ext cx="699770" cy="308475"/>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latin typeface="Arial" panose="020B0604020202020204" pitchFamily="34" charset="0"/>
              <a:cs typeface="Arial" panose="020B0604020202020204" pitchFamily="34" charset="0"/>
            </a:rPr>
            <a:t>Lower volume or cost</a:t>
          </a:r>
          <a:endParaRPr lang="en-CH" sz="1000">
            <a:latin typeface="Arial" panose="020B0604020202020204" pitchFamily="34" charset="0"/>
            <a:cs typeface="Arial" panose="020B0604020202020204" pitchFamily="34" charset="0"/>
          </a:endParaRPr>
        </a:p>
      </xdr:txBody>
    </xdr:sp>
    <xdr:clientData/>
  </xdr:twoCellAnchor>
  <xdr:twoCellAnchor>
    <xdr:from>
      <xdr:col>2</xdr:col>
      <xdr:colOff>527176</xdr:colOff>
      <xdr:row>7</xdr:row>
      <xdr:rowOff>415712</xdr:rowOff>
    </xdr:from>
    <xdr:to>
      <xdr:col>3</xdr:col>
      <xdr:colOff>852296</xdr:colOff>
      <xdr:row>7</xdr:row>
      <xdr:rowOff>658071</xdr:rowOff>
    </xdr:to>
    <xdr:sp macro="" textlink="">
      <xdr:nvSpPr>
        <xdr:cNvPr id="4" name="TextBox 3">
          <a:extLst>
            <a:ext uri="{FF2B5EF4-FFF2-40B4-BE49-F238E27FC236}">
              <a16:creationId xmlns:a16="http://schemas.microsoft.com/office/drawing/2014/main" id="{2BF365DC-D1C8-49D6-A71D-46009F859A9D}"/>
            </a:ext>
          </a:extLst>
        </xdr:cNvPr>
        <xdr:cNvSpPr txBox="1"/>
      </xdr:nvSpPr>
      <xdr:spPr>
        <a:xfrm>
          <a:off x="1759076" y="1476162"/>
          <a:ext cx="706120" cy="0"/>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latin typeface="Arial" panose="020B0604020202020204" pitchFamily="34" charset="0"/>
              <a:cs typeface="Arial" panose="020B0604020202020204" pitchFamily="34" charset="0"/>
            </a:rPr>
            <a:t>Higher volume or cost</a:t>
          </a:r>
          <a:endParaRPr lang="en-CH"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20320</xdr:colOff>
      <xdr:row>5</xdr:row>
      <xdr:rowOff>273213</xdr:rowOff>
    </xdr:from>
    <xdr:ext cx="191815" cy="684335"/>
    <xdr:pic>
      <xdr:nvPicPr>
        <xdr:cNvPr id="2" name="Picture 1">
          <a:extLst>
            <a:ext uri="{FF2B5EF4-FFF2-40B4-BE49-F238E27FC236}">
              <a16:creationId xmlns:a16="http://schemas.microsoft.com/office/drawing/2014/main" id="{B2AA5B4B-2AFE-4C0D-9FC2-A9EDCE7E8EF4}"/>
            </a:ext>
          </a:extLst>
        </xdr:cNvPr>
        <xdr:cNvPicPr>
          <a:picLocks noChangeAspect="1"/>
        </xdr:cNvPicPr>
      </xdr:nvPicPr>
      <xdr:blipFill rotWithShape="1">
        <a:blip xmlns:r="http://schemas.openxmlformats.org/officeDocument/2006/relationships" r:embed="rId1"/>
        <a:srcRect t="2241"/>
        <a:stretch/>
      </xdr:blipFill>
      <xdr:spPr>
        <a:xfrm>
          <a:off x="1252220" y="1105063"/>
          <a:ext cx="191815" cy="684335"/>
        </a:xfrm>
        <a:prstGeom prst="rect">
          <a:avLst/>
        </a:prstGeom>
      </xdr:spPr>
    </xdr:pic>
    <xdr:clientData/>
  </xdr:oneCellAnchor>
  <xdr:twoCellAnchor>
    <xdr:from>
      <xdr:col>3</xdr:col>
      <xdr:colOff>229867</xdr:colOff>
      <xdr:row>5</xdr:row>
      <xdr:rowOff>248283</xdr:rowOff>
    </xdr:from>
    <xdr:to>
      <xdr:col>4</xdr:col>
      <xdr:colOff>76200</xdr:colOff>
      <xdr:row>5</xdr:row>
      <xdr:rowOff>422274</xdr:rowOff>
    </xdr:to>
    <xdr:sp macro="" textlink="">
      <xdr:nvSpPr>
        <xdr:cNvPr id="3" name="TextBox 2">
          <a:extLst>
            <a:ext uri="{FF2B5EF4-FFF2-40B4-BE49-F238E27FC236}">
              <a16:creationId xmlns:a16="http://schemas.microsoft.com/office/drawing/2014/main" id="{0C6A1D5C-94D9-4B1E-A30E-E050201B8E19}"/>
            </a:ext>
          </a:extLst>
        </xdr:cNvPr>
        <xdr:cNvSpPr txBox="1"/>
      </xdr:nvSpPr>
      <xdr:spPr>
        <a:xfrm>
          <a:off x="1461767" y="1105533"/>
          <a:ext cx="462283" cy="254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Arial" panose="020B0604020202020204" pitchFamily="34" charset="0"/>
              <a:cs typeface="Arial" panose="020B0604020202020204" pitchFamily="34" charset="0"/>
            </a:rPr>
            <a:t>Lower volume or cost</a:t>
          </a:r>
          <a:endParaRPr lang="en-CH" sz="800">
            <a:latin typeface="Arial" panose="020B0604020202020204" pitchFamily="34" charset="0"/>
            <a:cs typeface="Arial" panose="020B0604020202020204" pitchFamily="34" charset="0"/>
          </a:endParaRPr>
        </a:p>
      </xdr:txBody>
    </xdr:sp>
    <xdr:clientData/>
  </xdr:twoCellAnchor>
  <xdr:twoCellAnchor>
    <xdr:from>
      <xdr:col>3</xdr:col>
      <xdr:colOff>236220</xdr:colOff>
      <xdr:row>5</xdr:row>
      <xdr:rowOff>767081</xdr:rowOff>
    </xdr:from>
    <xdr:to>
      <xdr:col>4</xdr:col>
      <xdr:colOff>53341</xdr:colOff>
      <xdr:row>5</xdr:row>
      <xdr:rowOff>965201</xdr:rowOff>
    </xdr:to>
    <xdr:sp macro="" textlink="">
      <xdr:nvSpPr>
        <xdr:cNvPr id="4" name="TextBox 3">
          <a:extLst>
            <a:ext uri="{FF2B5EF4-FFF2-40B4-BE49-F238E27FC236}">
              <a16:creationId xmlns:a16="http://schemas.microsoft.com/office/drawing/2014/main" id="{7AF58A67-C46E-43E2-8745-2D3B15728A3D}"/>
            </a:ext>
          </a:extLst>
        </xdr:cNvPr>
        <xdr:cNvSpPr txBox="1"/>
      </xdr:nvSpPr>
      <xdr:spPr>
        <a:xfrm>
          <a:off x="1468120" y="1103631"/>
          <a:ext cx="433071" cy="127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Arial" panose="020B0604020202020204" pitchFamily="34" charset="0"/>
              <a:cs typeface="Arial" panose="020B0604020202020204" pitchFamily="34" charset="0"/>
            </a:rPr>
            <a:t>Higher volume or cost</a:t>
          </a:r>
          <a:endParaRPr lang="en-CH" sz="8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PATH - Shigella">
      <a:dk1>
        <a:srgbClr val="3F4856"/>
      </a:dk1>
      <a:lt1>
        <a:srgbClr val="FFFFFF"/>
      </a:lt1>
      <a:dk2>
        <a:srgbClr val="F65050"/>
      </a:dk2>
      <a:lt2>
        <a:srgbClr val="F5EFE9"/>
      </a:lt2>
      <a:accent1>
        <a:srgbClr val="009BA8"/>
      </a:accent1>
      <a:accent2>
        <a:srgbClr val="00602C"/>
      </a:accent2>
      <a:accent3>
        <a:srgbClr val="00AA49"/>
      </a:accent3>
      <a:accent4>
        <a:srgbClr val="FF2C3B"/>
      </a:accent4>
      <a:accent5>
        <a:srgbClr val="39339F"/>
      </a:accent5>
      <a:accent6>
        <a:srgbClr val="6863D8"/>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cef.org/supply/handling-fees" TargetMode="External"/><Relationship Id="rId7" Type="http://schemas.openxmlformats.org/officeDocument/2006/relationships/drawing" Target="../drawings/drawing1.xml"/><Relationship Id="rId2" Type="http://schemas.openxmlformats.org/officeDocument/2006/relationships/hyperlink" Target="https://immunizationeconomics.org/thinkwell-idcc/" TargetMode="External"/><Relationship Id="rId1" Type="http://schemas.openxmlformats.org/officeDocument/2006/relationships/hyperlink" Target="https://www.unicef.org/supply/documents/syringe-and-safety-box-bundles-price-data" TargetMode="External"/><Relationship Id="rId6" Type="http://schemas.openxmlformats.org/officeDocument/2006/relationships/printerSettings" Target="../printerSettings/printerSettings1.bin"/><Relationship Id="rId5" Type="http://schemas.openxmlformats.org/officeDocument/2006/relationships/hyperlink" Target="https://www.unicef.org/supply/documents/human-papilloma-virus-hpv-vaccine-price-data" TargetMode="External"/><Relationship Id="rId4" Type="http://schemas.openxmlformats.org/officeDocument/2006/relationships/hyperlink" Target="https://www.who.int/teams/immunization-vaccines-and-biologicals/vaccine-access/mi4a/mi4a-vaccine-purchas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mmunizationeconomics.org/thinkwell-idc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1BF7-4F8A-4679-9EA8-A8562BD00245}">
  <sheetPr codeName="Sheet1">
    <tabColor theme="3"/>
  </sheetPr>
  <dimension ref="A1:P58"/>
  <sheetViews>
    <sheetView tabSelected="1" zoomScaleNormal="100" zoomScaleSheetLayoutView="70" workbookViewId="0"/>
  </sheetViews>
  <sheetFormatPr defaultColWidth="8.6640625" defaultRowHeight="15" x14ac:dyDescent="0.25"/>
  <cols>
    <col min="1" max="1" width="4.109375" style="9" customWidth="1"/>
    <col min="2" max="3" width="3.109375" style="9" customWidth="1"/>
    <col min="4" max="4" width="8.6640625" style="9" customWidth="1"/>
    <col min="5" max="6" width="7.109375" style="9" customWidth="1"/>
    <col min="7" max="11" width="8.6640625" style="9"/>
    <col min="12" max="12" width="11.44140625" style="9" customWidth="1"/>
    <col min="13" max="13" width="32" style="9" customWidth="1"/>
    <col min="14" max="15" width="3.109375" style="9" customWidth="1"/>
    <col min="16" max="16" width="4.109375" style="9" customWidth="1"/>
    <col min="17" max="16384" width="8.6640625" style="9"/>
  </cols>
  <sheetData>
    <row r="1" spans="1:16" ht="15" customHeight="1" x14ac:dyDescent="0.25">
      <c r="A1" s="10"/>
      <c r="B1" s="346"/>
      <c r="C1" s="346"/>
      <c r="D1" s="346"/>
      <c r="E1" s="346"/>
      <c r="F1" s="346"/>
      <c r="G1" s="346"/>
      <c r="H1" s="346"/>
      <c r="I1" s="346"/>
      <c r="J1" s="346"/>
      <c r="K1" s="346"/>
      <c r="L1" s="346"/>
      <c r="M1" s="346"/>
      <c r="N1" s="346"/>
      <c r="O1" s="346"/>
      <c r="P1" s="10"/>
    </row>
    <row r="2" spans="1:16" ht="121.95" customHeight="1" x14ac:dyDescent="0.25">
      <c r="A2" s="10"/>
      <c r="C2" s="40"/>
      <c r="D2" s="40"/>
      <c r="E2" s="351" t="s">
        <v>150</v>
      </c>
      <c r="F2" s="351"/>
      <c r="G2" s="351"/>
      <c r="H2" s="351"/>
      <c r="I2" s="351"/>
      <c r="J2" s="351"/>
      <c r="K2" s="351"/>
      <c r="L2" s="351"/>
      <c r="M2" s="39"/>
      <c r="N2" s="39"/>
      <c r="P2" s="10"/>
    </row>
    <row r="3" spans="1:16" ht="54" customHeight="1" x14ac:dyDescent="0.25">
      <c r="A3" s="10"/>
      <c r="C3" s="38"/>
      <c r="D3" s="38"/>
      <c r="E3" s="352" t="s">
        <v>0</v>
      </c>
      <c r="F3" s="352"/>
      <c r="G3" s="352"/>
      <c r="H3" s="352"/>
      <c r="I3" s="352"/>
      <c r="J3" s="352"/>
      <c r="K3" s="352"/>
      <c r="L3" s="352"/>
      <c r="M3" s="358" t="s">
        <v>145</v>
      </c>
      <c r="N3" s="358"/>
      <c r="P3" s="10"/>
    </row>
    <row r="4" spans="1:16" ht="34.950000000000003" customHeight="1" x14ac:dyDescent="0.25">
      <c r="A4" s="10"/>
      <c r="B4" s="10"/>
      <c r="C4" s="359" t="s">
        <v>1</v>
      </c>
      <c r="D4" s="359"/>
      <c r="E4" s="359"/>
      <c r="F4" s="359"/>
      <c r="G4" s="359"/>
      <c r="H4" s="359"/>
      <c r="I4" s="359"/>
      <c r="J4" s="359"/>
      <c r="K4" s="359"/>
      <c r="L4" s="359"/>
      <c r="M4" s="359"/>
      <c r="N4" s="325"/>
      <c r="O4" s="10"/>
      <c r="P4" s="10"/>
    </row>
    <row r="5" spans="1:16" ht="7.95" customHeight="1" x14ac:dyDescent="0.25">
      <c r="A5" s="10"/>
      <c r="B5" s="10"/>
      <c r="C5" s="10"/>
      <c r="D5" s="37"/>
      <c r="E5" s="37"/>
      <c r="F5" s="37"/>
      <c r="G5" s="37"/>
      <c r="H5" s="37"/>
      <c r="I5" s="37"/>
      <c r="J5" s="37"/>
      <c r="K5" s="37"/>
      <c r="L5" s="37"/>
      <c r="M5" s="37"/>
      <c r="N5" s="37"/>
      <c r="O5" s="10"/>
      <c r="P5" s="10"/>
    </row>
    <row r="6" spans="1:16" ht="46.2" customHeight="1" x14ac:dyDescent="0.25">
      <c r="A6" s="10"/>
      <c r="B6" s="32"/>
      <c r="C6" s="36"/>
      <c r="D6" s="353" t="s">
        <v>2</v>
      </c>
      <c r="E6" s="353"/>
      <c r="F6" s="353"/>
      <c r="G6" s="353"/>
      <c r="H6" s="353"/>
      <c r="I6" s="353"/>
      <c r="J6" s="353"/>
      <c r="K6" s="353"/>
      <c r="L6" s="353"/>
      <c r="M6" s="353"/>
      <c r="N6" s="324"/>
      <c r="O6" s="36"/>
      <c r="P6" s="10"/>
    </row>
    <row r="7" spans="1:16" ht="7.95" customHeight="1" x14ac:dyDescent="0.25">
      <c r="A7" s="10"/>
      <c r="B7" s="10"/>
      <c r="C7" s="10"/>
      <c r="D7" s="10"/>
      <c r="E7" s="10"/>
      <c r="F7" s="10"/>
      <c r="G7" s="10"/>
      <c r="H7" s="10"/>
      <c r="I7" s="10"/>
      <c r="J7" s="10"/>
      <c r="K7" s="10"/>
      <c r="L7" s="10"/>
      <c r="M7" s="10"/>
      <c r="N7" s="10"/>
      <c r="O7" s="10"/>
      <c r="P7" s="10"/>
    </row>
    <row r="8" spans="1:16" ht="229.2" customHeight="1" x14ac:dyDescent="0.25">
      <c r="A8" s="10"/>
      <c r="B8" s="10"/>
      <c r="D8" s="354" t="s">
        <v>146</v>
      </c>
      <c r="E8" s="355"/>
      <c r="F8" s="355"/>
      <c r="G8" s="355"/>
      <c r="H8" s="355"/>
      <c r="I8" s="355"/>
      <c r="J8" s="355"/>
      <c r="K8" s="355"/>
      <c r="L8" s="355"/>
      <c r="M8" s="355"/>
      <c r="N8" s="35"/>
      <c r="O8" s="10"/>
      <c r="P8" s="10"/>
    </row>
    <row r="9" spans="1:16" ht="7.95" customHeight="1" x14ac:dyDescent="0.25">
      <c r="A9" s="10"/>
      <c r="B9" s="10"/>
      <c r="C9" s="10"/>
      <c r="D9" s="34"/>
      <c r="E9" s="34"/>
      <c r="F9" s="34"/>
      <c r="G9" s="34"/>
      <c r="H9" s="34"/>
      <c r="I9" s="34"/>
      <c r="J9" s="34"/>
      <c r="K9" s="34"/>
      <c r="L9" s="34"/>
      <c r="M9" s="34"/>
      <c r="N9" s="34"/>
      <c r="O9" s="10"/>
      <c r="P9" s="10"/>
    </row>
    <row r="10" spans="1:16" ht="94.2" customHeight="1" x14ac:dyDescent="0.25">
      <c r="A10" s="10"/>
      <c r="B10" s="10"/>
      <c r="C10" s="10"/>
      <c r="D10" s="356" t="s">
        <v>147</v>
      </c>
      <c r="E10" s="357"/>
      <c r="F10" s="357"/>
      <c r="G10" s="357"/>
      <c r="H10" s="357"/>
      <c r="I10" s="357"/>
      <c r="J10" s="357"/>
      <c r="K10" s="357"/>
      <c r="L10" s="357"/>
      <c r="M10" s="357"/>
      <c r="N10" s="33"/>
      <c r="O10" s="10"/>
      <c r="P10" s="10"/>
    </row>
    <row r="11" spans="1:16" ht="7.95" customHeight="1" x14ac:dyDescent="0.25">
      <c r="A11" s="10"/>
      <c r="B11" s="10"/>
      <c r="C11" s="10"/>
      <c r="D11" s="10"/>
      <c r="E11" s="10"/>
      <c r="F11" s="10"/>
      <c r="G11" s="10"/>
      <c r="H11" s="10"/>
      <c r="I11" s="10"/>
      <c r="J11" s="10"/>
      <c r="K11" s="10"/>
      <c r="L11" s="10"/>
      <c r="M11" s="10"/>
      <c r="N11" s="10"/>
      <c r="O11" s="10"/>
      <c r="P11" s="10"/>
    </row>
    <row r="12" spans="1:16" ht="49.2" customHeight="1" x14ac:dyDescent="0.25">
      <c r="A12" s="10"/>
      <c r="B12" s="32"/>
      <c r="C12" s="31"/>
      <c r="D12" s="353" t="s">
        <v>3</v>
      </c>
      <c r="E12" s="353"/>
      <c r="F12" s="353"/>
      <c r="G12" s="353"/>
      <c r="H12" s="353"/>
      <c r="I12" s="353"/>
      <c r="J12" s="353"/>
      <c r="K12" s="353"/>
      <c r="L12" s="353"/>
      <c r="M12" s="353"/>
      <c r="N12" s="324"/>
      <c r="O12" s="31"/>
      <c r="P12" s="10"/>
    </row>
    <row r="13" spans="1:16" ht="4.95" customHeight="1" x14ac:dyDescent="0.25">
      <c r="A13" s="10"/>
      <c r="B13" s="10"/>
      <c r="C13" s="10"/>
      <c r="D13" s="10"/>
      <c r="E13" s="10"/>
      <c r="F13" s="10"/>
      <c r="G13" s="10"/>
      <c r="H13" s="10"/>
      <c r="I13" s="10"/>
      <c r="J13" s="10"/>
      <c r="K13" s="10"/>
      <c r="L13" s="10"/>
      <c r="M13" s="10"/>
      <c r="N13" s="10"/>
      <c r="O13" s="10"/>
      <c r="P13" s="10"/>
    </row>
    <row r="14" spans="1:16" ht="28.95" customHeight="1" x14ac:dyDescent="0.25">
      <c r="A14" s="10"/>
      <c r="B14" s="10"/>
      <c r="C14" s="30"/>
      <c r="D14" s="360" t="s">
        <v>4</v>
      </c>
      <c r="E14" s="360"/>
      <c r="F14" s="360"/>
      <c r="G14" s="360"/>
      <c r="H14" s="360"/>
      <c r="I14" s="360"/>
      <c r="J14" s="360"/>
      <c r="K14" s="360"/>
      <c r="L14" s="360"/>
      <c r="M14" s="360"/>
      <c r="N14" s="326"/>
      <c r="O14" s="10"/>
      <c r="P14" s="10"/>
    </row>
    <row r="15" spans="1:16" ht="7.95" customHeight="1" x14ac:dyDescent="0.25">
      <c r="A15" s="10"/>
      <c r="B15" s="10"/>
      <c r="O15" s="10"/>
      <c r="P15" s="10"/>
    </row>
    <row r="16" spans="1:16" ht="15.45" customHeight="1" x14ac:dyDescent="0.25">
      <c r="A16" s="10"/>
      <c r="B16" s="10"/>
      <c r="D16" s="29"/>
      <c r="E16" s="363" t="s">
        <v>5</v>
      </c>
      <c r="F16" s="363"/>
      <c r="G16" s="363"/>
      <c r="H16" s="363"/>
      <c r="I16" s="363"/>
      <c r="J16" s="363"/>
      <c r="K16" s="363"/>
      <c r="L16" s="363"/>
      <c r="M16" s="363"/>
      <c r="N16" s="327"/>
      <c r="O16" s="10"/>
      <c r="P16" s="10"/>
    </row>
    <row r="17" spans="1:16" ht="13.2" customHeight="1" x14ac:dyDescent="0.25">
      <c r="A17" s="10"/>
      <c r="B17" s="10"/>
      <c r="D17" s="27"/>
      <c r="E17" s="363"/>
      <c r="F17" s="363"/>
      <c r="G17" s="363"/>
      <c r="H17" s="363"/>
      <c r="I17" s="363"/>
      <c r="J17" s="363"/>
      <c r="K17" s="363"/>
      <c r="L17" s="363"/>
      <c r="M17" s="363"/>
      <c r="N17" s="327"/>
      <c r="O17" s="10"/>
      <c r="P17" s="10"/>
    </row>
    <row r="18" spans="1:16" ht="19.95" customHeight="1" x14ac:dyDescent="0.25">
      <c r="A18" s="10"/>
      <c r="B18" s="10"/>
      <c r="D18" s="27"/>
      <c r="E18" s="363"/>
      <c r="F18" s="363"/>
      <c r="G18" s="363"/>
      <c r="H18" s="363"/>
      <c r="I18" s="363"/>
      <c r="J18" s="363"/>
      <c r="K18" s="363"/>
      <c r="L18" s="363"/>
      <c r="M18" s="363"/>
      <c r="N18" s="327"/>
      <c r="O18" s="10"/>
      <c r="P18" s="10"/>
    </row>
    <row r="19" spans="1:16" ht="6" customHeight="1" x14ac:dyDescent="0.25">
      <c r="A19" s="10"/>
      <c r="B19" s="10"/>
      <c r="D19" s="27"/>
      <c r="E19" s="27"/>
      <c r="F19" s="20"/>
      <c r="G19" s="20"/>
      <c r="H19" s="20"/>
      <c r="I19" s="20"/>
      <c r="J19" s="20"/>
      <c r="K19" s="20"/>
      <c r="L19" s="20"/>
      <c r="M19" s="20"/>
      <c r="O19" s="10"/>
      <c r="P19" s="10"/>
    </row>
    <row r="20" spans="1:16" ht="15.45" customHeight="1" x14ac:dyDescent="0.25">
      <c r="A20" s="10"/>
      <c r="B20" s="10"/>
      <c r="D20" s="28"/>
      <c r="E20" s="363" t="s">
        <v>6</v>
      </c>
      <c r="F20" s="363"/>
      <c r="G20" s="363"/>
      <c r="H20" s="363"/>
      <c r="I20" s="363"/>
      <c r="J20" s="363"/>
      <c r="K20" s="363"/>
      <c r="L20" s="363"/>
      <c r="M20" s="363"/>
      <c r="N20" s="23"/>
      <c r="O20" s="10"/>
      <c r="P20" s="10"/>
    </row>
    <row r="21" spans="1:16" ht="16.95" customHeight="1" x14ac:dyDescent="0.25">
      <c r="A21" s="10"/>
      <c r="B21" s="10"/>
      <c r="D21" s="27"/>
      <c r="E21" s="363"/>
      <c r="F21" s="363"/>
      <c r="G21" s="363"/>
      <c r="H21" s="363"/>
      <c r="I21" s="363"/>
      <c r="J21" s="363"/>
      <c r="K21" s="363"/>
      <c r="L21" s="363"/>
      <c r="M21" s="363"/>
      <c r="N21" s="23"/>
      <c r="O21" s="10"/>
      <c r="P21" s="10"/>
    </row>
    <row r="22" spans="1:16" ht="6" customHeight="1" x14ac:dyDescent="0.25">
      <c r="A22" s="10"/>
      <c r="B22" s="10"/>
      <c r="D22" s="27"/>
      <c r="E22" s="27"/>
      <c r="F22" s="20"/>
      <c r="G22" s="20"/>
      <c r="H22" s="20"/>
      <c r="I22" s="20"/>
      <c r="J22" s="20"/>
      <c r="K22" s="20"/>
      <c r="L22" s="20"/>
      <c r="M22" s="20"/>
      <c r="O22" s="10"/>
      <c r="P22" s="10"/>
    </row>
    <row r="23" spans="1:16" x14ac:dyDescent="0.25">
      <c r="A23" s="10"/>
      <c r="B23" s="10"/>
      <c r="D23" s="26"/>
      <c r="E23" s="361" t="s">
        <v>7</v>
      </c>
      <c r="F23" s="362"/>
      <c r="G23" s="362"/>
      <c r="H23" s="362"/>
      <c r="I23" s="362"/>
      <c r="J23" s="362"/>
      <c r="K23" s="362"/>
      <c r="L23" s="362"/>
      <c r="M23" s="362"/>
      <c r="N23" s="23"/>
      <c r="O23" s="10"/>
      <c r="P23" s="10"/>
    </row>
    <row r="24" spans="1:16" ht="10.199999999999999" customHeight="1" x14ac:dyDescent="0.25">
      <c r="A24" s="10"/>
      <c r="B24" s="10"/>
      <c r="D24" s="20"/>
      <c r="E24" s="20"/>
      <c r="F24" s="20"/>
      <c r="G24" s="20"/>
      <c r="H24" s="20"/>
      <c r="I24" s="20"/>
      <c r="J24" s="20"/>
      <c r="K24" s="20"/>
      <c r="L24" s="20"/>
      <c r="M24" s="20"/>
      <c r="O24" s="10"/>
      <c r="P24" s="10"/>
    </row>
    <row r="25" spans="1:16" ht="66" customHeight="1" x14ac:dyDescent="0.25">
      <c r="A25" s="10"/>
      <c r="B25" s="10"/>
      <c r="D25" s="367" t="s">
        <v>8</v>
      </c>
      <c r="E25" s="367"/>
      <c r="F25" s="367"/>
      <c r="G25" s="368" t="s">
        <v>143</v>
      </c>
      <c r="H25" s="368"/>
      <c r="I25" s="368"/>
      <c r="J25" s="368"/>
      <c r="K25" s="368"/>
      <c r="L25" s="368"/>
      <c r="M25" s="368"/>
      <c r="N25" s="23"/>
      <c r="O25" s="10"/>
      <c r="P25" s="10"/>
    </row>
    <row r="26" spans="1:16" ht="7.95" customHeight="1" x14ac:dyDescent="0.25">
      <c r="A26" s="10"/>
      <c r="B26" s="10"/>
      <c r="D26" s="20"/>
      <c r="E26" s="20"/>
      <c r="F26" s="20"/>
      <c r="G26" s="20"/>
      <c r="H26" s="20"/>
      <c r="I26" s="20"/>
      <c r="J26" s="20"/>
      <c r="K26" s="20"/>
      <c r="L26" s="20"/>
      <c r="M26" s="20"/>
      <c r="O26" s="10"/>
      <c r="P26" s="10"/>
    </row>
    <row r="27" spans="1:16" ht="132" customHeight="1" x14ac:dyDescent="0.25">
      <c r="A27" s="10"/>
      <c r="B27" s="10"/>
      <c r="D27" s="367" t="s">
        <v>9</v>
      </c>
      <c r="E27" s="367"/>
      <c r="F27" s="367"/>
      <c r="G27" s="368" t="s">
        <v>10</v>
      </c>
      <c r="H27" s="368"/>
      <c r="I27" s="368"/>
      <c r="J27" s="368"/>
      <c r="K27" s="368"/>
      <c r="L27" s="368"/>
      <c r="M27" s="368"/>
      <c r="N27" s="23"/>
      <c r="O27" s="10"/>
      <c r="P27" s="10"/>
    </row>
    <row r="28" spans="1:16" ht="24.45" customHeight="1" x14ac:dyDescent="0.25">
      <c r="A28" s="10"/>
      <c r="B28" s="10"/>
      <c r="D28" s="377" t="s">
        <v>11</v>
      </c>
      <c r="E28" s="378"/>
      <c r="F28" s="378"/>
      <c r="G28" s="378"/>
      <c r="H28" s="378"/>
      <c r="I28" s="378"/>
      <c r="J28" s="378"/>
      <c r="K28" s="378"/>
      <c r="L28" s="378"/>
      <c r="M28" s="379"/>
      <c r="N28" s="25"/>
      <c r="O28" s="10"/>
      <c r="P28" s="10"/>
    </row>
    <row r="29" spans="1:16" ht="19.2" customHeight="1" x14ac:dyDescent="0.25">
      <c r="A29" s="10"/>
      <c r="B29" s="10"/>
      <c r="D29" s="373" t="s">
        <v>12</v>
      </c>
      <c r="E29" s="374"/>
      <c r="F29" s="374"/>
      <c r="G29" s="380" t="s">
        <v>13</v>
      </c>
      <c r="H29" s="380"/>
      <c r="I29" s="380"/>
      <c r="J29" s="380"/>
      <c r="K29" s="380"/>
      <c r="L29" s="380"/>
      <c r="M29" s="381"/>
      <c r="N29" s="25"/>
      <c r="O29" s="10"/>
      <c r="P29" s="10"/>
    </row>
    <row r="30" spans="1:16" ht="21.45" customHeight="1" x14ac:dyDescent="0.25">
      <c r="A30" s="10"/>
      <c r="B30" s="10"/>
      <c r="D30" s="373"/>
      <c r="E30" s="374"/>
      <c r="F30" s="374"/>
      <c r="G30" s="380" t="s">
        <v>14</v>
      </c>
      <c r="H30" s="380"/>
      <c r="I30" s="380"/>
      <c r="J30" s="380"/>
      <c r="K30" s="380"/>
      <c r="L30" s="380"/>
      <c r="M30" s="381"/>
      <c r="N30" s="24"/>
      <c r="O30" s="10"/>
      <c r="P30" s="10"/>
    </row>
    <row r="31" spans="1:16" ht="27.45" customHeight="1" x14ac:dyDescent="0.25">
      <c r="A31" s="10"/>
      <c r="B31" s="10"/>
      <c r="D31" s="373" t="s">
        <v>15</v>
      </c>
      <c r="E31" s="374"/>
      <c r="F31" s="374"/>
      <c r="G31" s="382" t="s">
        <v>16</v>
      </c>
      <c r="H31" s="382"/>
      <c r="I31" s="382"/>
      <c r="J31" s="382"/>
      <c r="K31" s="382"/>
      <c r="L31" s="382"/>
      <c r="M31" s="383"/>
      <c r="N31" s="23"/>
      <c r="O31" s="10"/>
      <c r="P31" s="10"/>
    </row>
    <row r="32" spans="1:16" ht="29.7" customHeight="1" x14ac:dyDescent="0.25">
      <c r="A32" s="10"/>
      <c r="B32" s="10"/>
      <c r="D32" s="375" t="s">
        <v>17</v>
      </c>
      <c r="E32" s="376"/>
      <c r="F32" s="376"/>
      <c r="G32" s="384" t="s">
        <v>18</v>
      </c>
      <c r="H32" s="384"/>
      <c r="I32" s="384"/>
      <c r="J32" s="384"/>
      <c r="K32" s="384"/>
      <c r="L32" s="384"/>
      <c r="M32" s="385"/>
      <c r="N32" s="23"/>
      <c r="O32" s="10"/>
      <c r="P32" s="10"/>
    </row>
    <row r="33" spans="1:16" ht="7.95" customHeight="1" x14ac:dyDescent="0.25">
      <c r="A33" s="10"/>
      <c r="B33" s="10"/>
      <c r="D33" s="20"/>
      <c r="E33" s="20"/>
      <c r="F33" s="20"/>
      <c r="G33" s="20"/>
      <c r="H33" s="20"/>
      <c r="I33" s="20"/>
      <c r="J33" s="20"/>
      <c r="K33" s="20"/>
      <c r="L33" s="20"/>
      <c r="M33" s="20"/>
      <c r="O33" s="10"/>
      <c r="P33" s="10"/>
    </row>
    <row r="34" spans="1:16" ht="147.75" customHeight="1" x14ac:dyDescent="0.25">
      <c r="A34" s="10"/>
      <c r="B34" s="10"/>
      <c r="D34" s="369" t="s">
        <v>19</v>
      </c>
      <c r="E34" s="369"/>
      <c r="F34" s="369"/>
      <c r="G34" s="370" t="s">
        <v>20</v>
      </c>
      <c r="H34" s="371"/>
      <c r="I34" s="371"/>
      <c r="J34" s="371"/>
      <c r="K34" s="371"/>
      <c r="L34" s="371"/>
      <c r="M34" s="372"/>
      <c r="N34" s="23"/>
      <c r="O34" s="10"/>
      <c r="P34" s="10"/>
    </row>
    <row r="35" spans="1:16" ht="18" customHeight="1" x14ac:dyDescent="0.25">
      <c r="A35" s="10"/>
      <c r="B35" s="10"/>
      <c r="D35" s="364" t="s">
        <v>11</v>
      </c>
      <c r="E35" s="365"/>
      <c r="F35" s="365"/>
      <c r="G35" s="365"/>
      <c r="H35" s="365"/>
      <c r="I35" s="365"/>
      <c r="J35" s="365"/>
      <c r="K35" s="365"/>
      <c r="L35" s="365"/>
      <c r="M35" s="366"/>
      <c r="N35" s="22"/>
      <c r="O35" s="10"/>
      <c r="P35" s="10"/>
    </row>
    <row r="36" spans="1:16" ht="36" customHeight="1" x14ac:dyDescent="0.25">
      <c r="A36" s="10"/>
      <c r="B36" s="10"/>
      <c r="D36" s="375" t="s">
        <v>21</v>
      </c>
      <c r="E36" s="376"/>
      <c r="F36" s="376"/>
      <c r="G36" s="386" t="s">
        <v>22</v>
      </c>
      <c r="H36" s="386"/>
      <c r="I36" s="386"/>
      <c r="J36" s="386"/>
      <c r="K36" s="386"/>
      <c r="L36" s="386"/>
      <c r="M36" s="387"/>
      <c r="N36" s="21"/>
      <c r="O36" s="10"/>
      <c r="P36" s="10"/>
    </row>
    <row r="37" spans="1:16" ht="7.95" customHeight="1" x14ac:dyDescent="0.25">
      <c r="A37" s="10"/>
      <c r="B37" s="10"/>
      <c r="D37" s="20"/>
      <c r="E37" s="20"/>
      <c r="F37" s="20"/>
      <c r="G37" s="20"/>
      <c r="H37" s="20"/>
      <c r="I37" s="20"/>
      <c r="J37" s="20"/>
      <c r="K37" s="20"/>
      <c r="L37" s="20"/>
      <c r="M37" s="20"/>
      <c r="O37" s="10"/>
      <c r="P37" s="10"/>
    </row>
    <row r="38" spans="1:16" ht="25.2" customHeight="1" x14ac:dyDescent="0.4">
      <c r="A38" s="10"/>
      <c r="B38" s="10"/>
      <c r="D38" s="392" t="s">
        <v>23</v>
      </c>
      <c r="E38" s="393"/>
      <c r="F38" s="393"/>
      <c r="G38" s="393"/>
      <c r="H38" s="393"/>
      <c r="I38" s="393"/>
      <c r="J38" s="393"/>
      <c r="K38" s="393"/>
      <c r="L38" s="393"/>
      <c r="M38" s="394"/>
      <c r="N38" s="12"/>
      <c r="O38" s="10"/>
      <c r="P38" s="10"/>
    </row>
    <row r="39" spans="1:16" ht="7.95" customHeight="1" x14ac:dyDescent="0.25">
      <c r="A39" s="10"/>
      <c r="B39" s="10"/>
      <c r="D39" s="20"/>
      <c r="E39" s="20"/>
      <c r="F39" s="20"/>
      <c r="G39" s="20"/>
      <c r="H39" s="20"/>
      <c r="I39" s="20"/>
      <c r="J39" s="20"/>
      <c r="K39" s="20"/>
      <c r="L39" s="20"/>
      <c r="M39" s="20"/>
      <c r="O39" s="10"/>
      <c r="P39" s="10"/>
    </row>
    <row r="40" spans="1:16" ht="87.45" customHeight="1" x14ac:dyDescent="0.25">
      <c r="A40" s="10"/>
      <c r="B40" s="10"/>
      <c r="D40" s="395" t="s">
        <v>24</v>
      </c>
      <c r="E40" s="396"/>
      <c r="F40" s="396"/>
      <c r="G40" s="396"/>
      <c r="H40" s="396"/>
      <c r="I40" s="396"/>
      <c r="J40" s="396"/>
      <c r="K40" s="396"/>
      <c r="L40" s="396"/>
      <c r="M40" s="397"/>
      <c r="N40" s="15"/>
      <c r="O40" s="10"/>
      <c r="P40" s="10"/>
    </row>
    <row r="41" spans="1:16" ht="7.95" customHeight="1" x14ac:dyDescent="0.25">
      <c r="A41" s="10"/>
      <c r="B41" s="10"/>
      <c r="O41" s="10"/>
      <c r="P41" s="10"/>
    </row>
    <row r="42" spans="1:16" ht="34.200000000000003" customHeight="1" x14ac:dyDescent="0.4">
      <c r="A42" s="10"/>
      <c r="B42" s="10"/>
      <c r="C42" s="19"/>
      <c r="D42" s="389" t="s">
        <v>25</v>
      </c>
      <c r="E42" s="389"/>
      <c r="F42" s="389"/>
      <c r="G42" s="389"/>
      <c r="H42" s="389"/>
      <c r="I42" s="389"/>
      <c r="J42" s="389"/>
      <c r="K42" s="389"/>
      <c r="L42" s="389"/>
      <c r="M42" s="389"/>
      <c r="N42" s="18"/>
      <c r="O42" s="10"/>
      <c r="P42" s="10"/>
    </row>
    <row r="43" spans="1:16" ht="7.95" customHeight="1" x14ac:dyDescent="0.25">
      <c r="A43" s="10"/>
      <c r="B43" s="10"/>
      <c r="O43" s="10"/>
      <c r="P43" s="10"/>
    </row>
    <row r="44" spans="1:16" ht="96.45" customHeight="1" x14ac:dyDescent="0.25">
      <c r="A44" s="10"/>
      <c r="B44" s="10"/>
      <c r="D44" s="398" t="s">
        <v>148</v>
      </c>
      <c r="E44" s="398"/>
      <c r="F44" s="398"/>
      <c r="G44" s="398"/>
      <c r="H44" s="398"/>
      <c r="I44" s="398"/>
      <c r="J44" s="398"/>
      <c r="K44" s="398"/>
      <c r="L44" s="398"/>
      <c r="M44" s="398"/>
      <c r="N44" s="15"/>
      <c r="O44" s="10"/>
      <c r="P44" s="10"/>
    </row>
    <row r="45" spans="1:16" ht="7.95" customHeight="1" x14ac:dyDescent="0.25">
      <c r="A45" s="10"/>
      <c r="B45" s="10"/>
      <c r="O45" s="10"/>
      <c r="P45" s="10"/>
    </row>
    <row r="46" spans="1:16" ht="34.950000000000003" customHeight="1" x14ac:dyDescent="0.3">
      <c r="A46" s="10"/>
      <c r="B46" s="10"/>
      <c r="C46" s="17"/>
      <c r="D46" s="390" t="s">
        <v>26</v>
      </c>
      <c r="E46" s="390"/>
      <c r="F46" s="390"/>
      <c r="G46" s="390"/>
      <c r="H46" s="390"/>
      <c r="I46" s="390"/>
      <c r="J46" s="390"/>
      <c r="K46" s="390"/>
      <c r="L46" s="390"/>
      <c r="M46" s="390"/>
      <c r="N46" s="16"/>
      <c r="O46" s="10"/>
      <c r="P46" s="10"/>
    </row>
    <row r="47" spans="1:16" ht="7.95" customHeight="1" x14ac:dyDescent="0.3">
      <c r="A47" s="10"/>
      <c r="B47" s="10"/>
      <c r="D47" s="12"/>
      <c r="E47" s="12"/>
      <c r="F47" s="12"/>
      <c r="G47" s="12"/>
      <c r="H47" s="12"/>
      <c r="I47" s="12"/>
      <c r="J47" s="12"/>
      <c r="K47" s="12"/>
      <c r="L47" s="12"/>
      <c r="M47" s="12"/>
      <c r="N47" s="12"/>
      <c r="O47" s="10"/>
      <c r="P47" s="10"/>
    </row>
    <row r="48" spans="1:16" ht="84" customHeight="1" x14ac:dyDescent="0.25">
      <c r="A48" s="10"/>
      <c r="B48" s="10"/>
      <c r="D48" s="399" t="s">
        <v>142</v>
      </c>
      <c r="E48" s="399"/>
      <c r="F48" s="399"/>
      <c r="G48" s="399"/>
      <c r="H48" s="399"/>
      <c r="I48" s="399"/>
      <c r="J48" s="399"/>
      <c r="K48" s="399"/>
      <c r="L48" s="399"/>
      <c r="M48" s="399"/>
      <c r="N48" s="15"/>
      <c r="O48" s="10"/>
      <c r="P48" s="10"/>
    </row>
    <row r="49" spans="1:16" ht="7.95" customHeight="1" x14ac:dyDescent="0.3">
      <c r="A49" s="10"/>
      <c r="B49" s="10"/>
      <c r="D49" s="12"/>
      <c r="E49" s="12"/>
      <c r="F49" s="12"/>
      <c r="G49" s="12"/>
      <c r="H49" s="12"/>
      <c r="I49" s="12"/>
      <c r="J49" s="12"/>
      <c r="K49" s="12"/>
      <c r="L49" s="12"/>
      <c r="M49" s="12"/>
      <c r="N49" s="12"/>
      <c r="O49" s="10"/>
      <c r="P49" s="10"/>
    </row>
    <row r="50" spans="1:16" ht="25.2" customHeight="1" x14ac:dyDescent="0.3">
      <c r="A50" s="10"/>
      <c r="B50" s="10"/>
      <c r="C50" s="14"/>
      <c r="D50" s="391" t="s">
        <v>27</v>
      </c>
      <c r="E50" s="391"/>
      <c r="F50" s="391"/>
      <c r="G50" s="391"/>
      <c r="H50" s="391"/>
      <c r="I50" s="391"/>
      <c r="J50" s="391"/>
      <c r="K50" s="391"/>
      <c r="L50" s="391"/>
      <c r="M50" s="391"/>
      <c r="N50" s="13"/>
      <c r="O50" s="10"/>
      <c r="P50" s="10"/>
    </row>
    <row r="51" spans="1:16" ht="7.95" customHeight="1" x14ac:dyDescent="0.3">
      <c r="A51" s="10"/>
      <c r="B51" s="10"/>
      <c r="D51" s="12"/>
      <c r="E51" s="12"/>
      <c r="F51" s="12"/>
      <c r="G51" s="12"/>
      <c r="H51" s="12"/>
      <c r="I51" s="12"/>
      <c r="J51" s="12"/>
      <c r="K51" s="12"/>
      <c r="L51" s="12"/>
      <c r="M51" s="12"/>
      <c r="N51" s="12"/>
      <c r="O51" s="10"/>
      <c r="P51" s="10"/>
    </row>
    <row r="52" spans="1:16" ht="209.7" customHeight="1" x14ac:dyDescent="0.25">
      <c r="A52" s="10"/>
      <c r="B52" s="10"/>
      <c r="D52" s="388" t="s">
        <v>28</v>
      </c>
      <c r="E52" s="388"/>
      <c r="F52" s="388"/>
      <c r="G52" s="388"/>
      <c r="H52" s="388"/>
      <c r="I52" s="388"/>
      <c r="J52" s="388"/>
      <c r="K52" s="388"/>
      <c r="L52" s="388"/>
      <c r="M52" s="388"/>
      <c r="N52" s="11"/>
      <c r="O52" s="10"/>
      <c r="P52" s="10"/>
    </row>
    <row r="53" spans="1:16" ht="7.95" customHeight="1" x14ac:dyDescent="0.25">
      <c r="A53" s="10"/>
      <c r="B53" s="10"/>
      <c r="C53" s="10"/>
      <c r="D53" s="10"/>
      <c r="E53" s="10"/>
      <c r="F53" s="10"/>
      <c r="G53" s="10"/>
      <c r="H53" s="10"/>
      <c r="I53" s="10"/>
      <c r="J53" s="10"/>
      <c r="K53" s="10"/>
      <c r="L53" s="10"/>
      <c r="M53" s="10"/>
      <c r="N53" s="10"/>
      <c r="O53" s="10"/>
      <c r="P53" s="10"/>
    </row>
    <row r="55" spans="1:16" x14ac:dyDescent="0.25">
      <c r="D55" s="5"/>
    </row>
    <row r="56" spans="1:16" x14ac:dyDescent="0.25">
      <c r="D56" s="5"/>
    </row>
    <row r="57" spans="1:16" x14ac:dyDescent="0.25">
      <c r="D57" s="5"/>
    </row>
    <row r="58" spans="1:16" x14ac:dyDescent="0.25">
      <c r="D58" s="5"/>
    </row>
  </sheetData>
  <sheetProtection algorithmName="SHA-512" hashValue="FY5FdMlMuflP6UJeDFoCrsUJ5Uv22cgRZLfQTOzRTI6NhmtKACp7mxoH28dbREyahrDC959xnZqrZQTKBwdeSg==" saltValue="nhgpAva5mBaaEELw9j1PrQ==" spinCount="100000" sheet="1" objects="1" scenarios="1"/>
  <mergeCells count="37">
    <mergeCell ref="D36:F36"/>
    <mergeCell ref="G36:M36"/>
    <mergeCell ref="D52:M52"/>
    <mergeCell ref="D42:M42"/>
    <mergeCell ref="D46:M46"/>
    <mergeCell ref="D50:M50"/>
    <mergeCell ref="D38:M38"/>
    <mergeCell ref="D40:M40"/>
    <mergeCell ref="D44:M44"/>
    <mergeCell ref="D48:M48"/>
    <mergeCell ref="D35:M35"/>
    <mergeCell ref="D25:F25"/>
    <mergeCell ref="G25:M25"/>
    <mergeCell ref="D27:F27"/>
    <mergeCell ref="G27:M27"/>
    <mergeCell ref="D34:F34"/>
    <mergeCell ref="G34:M34"/>
    <mergeCell ref="D31:F31"/>
    <mergeCell ref="D32:F32"/>
    <mergeCell ref="D28:M28"/>
    <mergeCell ref="G30:M30"/>
    <mergeCell ref="G31:M31"/>
    <mergeCell ref="G32:M32"/>
    <mergeCell ref="G29:M29"/>
    <mergeCell ref="D29:F30"/>
    <mergeCell ref="D14:M14"/>
    <mergeCell ref="D6:M6"/>
    <mergeCell ref="E23:M23"/>
    <mergeCell ref="E16:M18"/>
    <mergeCell ref="E20:M21"/>
    <mergeCell ref="E2:L2"/>
    <mergeCell ref="E3:L3"/>
    <mergeCell ref="D12:M12"/>
    <mergeCell ref="D8:M8"/>
    <mergeCell ref="D10:M10"/>
    <mergeCell ref="M3:N3"/>
    <mergeCell ref="C4:M4"/>
  </mergeCells>
  <hyperlinks>
    <hyperlink ref="G32" r:id="rId1" xr:uid="{F103155F-0ECD-42B8-BDF2-276001A1689B}"/>
    <hyperlink ref="G36:M36" r:id="rId2" display="Immunization Delivery Cost Catalogue" xr:uid="{0FC6E934-9AFB-46EB-A28E-9A236A6521A7}"/>
    <hyperlink ref="G31" r:id="rId3" xr:uid="{87471D11-F6F7-4195-8440-65361C4D0DA4}"/>
    <hyperlink ref="G29:M29" r:id="rId4" display="WHO MI4A Vaccine Purchase Database" xr:uid="{39B4F633-AF43-43C9-9922-AB6330EF2E03}"/>
    <hyperlink ref="G30:M30" r:id="rId5" display="UNICEF Human Papilloma Virus (HPV) vaccine price data" xr:uid="{E66FDE4F-CFDC-45E7-A5A0-94578B583329}"/>
  </hyperlinks>
  <pageMargins left="0.25" right="0.25" top="0.75" bottom="0.75" header="0.3" footer="0.3"/>
  <pageSetup paperSize="9" scale="70" orientation="portrait" r:id="rId6"/>
  <rowBreaks count="1" manualBreakCount="1">
    <brk id="49" max="16383" man="1"/>
  </rowBreaks>
  <colBreaks count="1" manualBreakCount="1">
    <brk id="16" max="1048575"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E85B-7571-444F-8D86-B2E3CE3A231D}">
  <sheetPr codeName="Sheet2">
    <tabColor theme="4" tint="-0.249977111117893"/>
  </sheetPr>
  <dimension ref="A1:S152"/>
  <sheetViews>
    <sheetView zoomScaleNormal="100" workbookViewId="0"/>
  </sheetViews>
  <sheetFormatPr defaultColWidth="8.6640625" defaultRowHeight="13.8" outlineLevelRow="1" x14ac:dyDescent="0.3"/>
  <cols>
    <col min="1" max="1" width="1.109375" style="41" customWidth="1"/>
    <col min="2" max="3" width="1.6640625" style="41" customWidth="1"/>
    <col min="4" max="4" width="3.109375" style="41" customWidth="1"/>
    <col min="5" max="5" width="4" style="41" customWidth="1"/>
    <col min="6" max="6" width="43.44140625" style="41" customWidth="1"/>
    <col min="7" max="9" width="8.44140625" style="41" customWidth="1"/>
    <col min="10" max="10" width="1.44140625" style="41" customWidth="1"/>
    <col min="11" max="11" width="22.6640625" style="41" customWidth="1"/>
    <col min="12" max="12" width="1.44140625" style="41" customWidth="1"/>
    <col min="13" max="13" width="22.6640625" style="41" customWidth="1"/>
    <col min="14" max="14" width="2.109375" style="41" customWidth="1"/>
    <col min="15" max="15" width="22.6640625" style="41" customWidth="1"/>
    <col min="16" max="17" width="4.44140625" style="41" customWidth="1"/>
    <col min="18" max="18" width="4.6640625" style="41" customWidth="1"/>
    <col min="19" max="16384" width="8.6640625" style="41"/>
  </cols>
  <sheetData>
    <row r="1" spans="1:18" ht="7.95" customHeight="1" x14ac:dyDescent="0.3">
      <c r="B1" s="347"/>
      <c r="C1" s="347"/>
      <c r="D1" s="347"/>
      <c r="E1" s="347"/>
      <c r="F1" s="347"/>
      <c r="G1" s="347"/>
      <c r="H1" s="347"/>
      <c r="I1" s="347"/>
      <c r="J1" s="347"/>
      <c r="K1" s="347"/>
      <c r="L1" s="347"/>
      <c r="M1" s="347"/>
      <c r="N1" s="347"/>
      <c r="O1" s="347"/>
      <c r="P1" s="347"/>
      <c r="Q1" s="347"/>
    </row>
    <row r="2" spans="1:18" ht="19.2" customHeight="1" x14ac:dyDescent="0.3">
      <c r="B2" s="471" t="s">
        <v>151</v>
      </c>
      <c r="C2" s="471"/>
      <c r="D2" s="471"/>
      <c r="E2" s="471"/>
      <c r="F2" s="471"/>
      <c r="G2" s="471"/>
      <c r="H2" s="471"/>
      <c r="I2" s="471"/>
      <c r="J2" s="471"/>
      <c r="K2" s="471"/>
      <c r="L2" s="471"/>
      <c r="M2" s="471"/>
      <c r="N2" s="471"/>
      <c r="O2" s="471"/>
      <c r="P2" s="471"/>
      <c r="Q2" s="471"/>
    </row>
    <row r="3" spans="1:18" ht="14.7" customHeight="1" x14ac:dyDescent="0.3">
      <c r="A3" s="158"/>
      <c r="B3" s="157"/>
      <c r="C3" s="157"/>
      <c r="D3" s="157"/>
      <c r="E3" s="46"/>
      <c r="F3" s="46"/>
      <c r="G3" s="46"/>
      <c r="H3" s="46"/>
      <c r="I3" s="46"/>
      <c r="J3" s="46"/>
      <c r="K3" s="46"/>
      <c r="L3" s="46"/>
      <c r="M3" s="46"/>
      <c r="N3" s="46"/>
      <c r="O3" s="156"/>
      <c r="P3" s="156"/>
      <c r="Q3" s="46"/>
      <c r="R3" s="155"/>
    </row>
    <row r="4" spans="1:18" ht="60" customHeight="1" x14ac:dyDescent="0.3">
      <c r="B4" s="46"/>
      <c r="C4" s="154"/>
      <c r="D4" s="154"/>
      <c r="E4" s="154"/>
      <c r="F4" s="442" t="s">
        <v>4</v>
      </c>
      <c r="G4" s="442"/>
      <c r="H4" s="442"/>
      <c r="I4" s="442"/>
      <c r="J4" s="442"/>
      <c r="K4" s="442"/>
      <c r="L4" s="442"/>
      <c r="M4" s="442"/>
      <c r="N4" s="442"/>
      <c r="O4" s="442"/>
      <c r="P4" s="153"/>
      <c r="Q4" s="151"/>
      <c r="R4" s="150"/>
    </row>
    <row r="5" spans="1:18" ht="7.95" customHeight="1" x14ac:dyDescent="0.3">
      <c r="B5" s="46"/>
      <c r="C5" s="46"/>
      <c r="D5" s="46"/>
      <c r="E5" s="46"/>
      <c r="F5" s="152"/>
      <c r="G5" s="151"/>
      <c r="H5" s="151"/>
      <c r="I5" s="151"/>
      <c r="J5" s="151"/>
      <c r="K5" s="46"/>
      <c r="L5" s="151"/>
      <c r="M5" s="46"/>
      <c r="N5" s="46"/>
      <c r="O5" s="46"/>
      <c r="P5" s="46"/>
      <c r="Q5" s="151"/>
      <c r="R5" s="150"/>
    </row>
    <row r="6" spans="1:18" ht="46.2" customHeight="1" x14ac:dyDescent="0.3">
      <c r="B6" s="46"/>
      <c r="C6" s="46"/>
      <c r="D6" s="405" t="s">
        <v>8</v>
      </c>
      <c r="E6" s="405"/>
      <c r="F6" s="405"/>
      <c r="G6" s="405"/>
      <c r="H6" s="405"/>
      <c r="I6" s="405"/>
      <c r="J6" s="405"/>
      <c r="K6" s="405"/>
      <c r="L6" s="405"/>
      <c r="M6" s="405"/>
      <c r="N6" s="405"/>
      <c r="O6" s="405"/>
      <c r="P6" s="79"/>
      <c r="Q6" s="139"/>
      <c r="R6" s="147"/>
    </row>
    <row r="7" spans="1:18" ht="7.95" customHeight="1" x14ac:dyDescent="0.3">
      <c r="B7" s="46"/>
      <c r="C7" s="46"/>
      <c r="D7" s="46"/>
      <c r="E7" s="46"/>
      <c r="F7" s="149"/>
      <c r="G7" s="149"/>
      <c r="H7" s="149"/>
      <c r="I7" s="149"/>
      <c r="J7" s="149"/>
      <c r="K7" s="149"/>
      <c r="L7" s="149"/>
      <c r="M7" s="149"/>
      <c r="N7" s="148"/>
      <c r="O7" s="139"/>
      <c r="P7" s="139"/>
      <c r="Q7" s="139"/>
      <c r="R7" s="147"/>
    </row>
    <row r="8" spans="1:18" ht="42" customHeight="1" x14ac:dyDescent="0.3">
      <c r="B8" s="46"/>
      <c r="C8" s="46"/>
      <c r="D8" s="263"/>
      <c r="E8" s="264"/>
      <c r="F8" s="308" t="s">
        <v>29</v>
      </c>
      <c r="G8" s="459">
        <v>2026</v>
      </c>
      <c r="H8" s="460"/>
      <c r="I8" s="461"/>
      <c r="J8" s="146"/>
      <c r="K8" s="443" t="s">
        <v>30</v>
      </c>
      <c r="L8" s="443"/>
      <c r="M8" s="443"/>
      <c r="N8" s="443"/>
      <c r="O8" s="444"/>
      <c r="P8" s="145"/>
      <c r="Q8" s="139"/>
      <c r="R8" s="144"/>
    </row>
    <row r="9" spans="1:18" ht="42" customHeight="1" x14ac:dyDescent="0.3">
      <c r="B9" s="46"/>
      <c r="C9" s="46"/>
      <c r="D9" s="310"/>
      <c r="E9" s="311"/>
      <c r="F9" s="312" t="s">
        <v>31</v>
      </c>
      <c r="G9" s="462">
        <f>SUM(G10:G13)</f>
        <v>201000.02</v>
      </c>
      <c r="H9" s="463"/>
      <c r="I9" s="464"/>
      <c r="J9" s="306"/>
      <c r="K9" s="445" t="s">
        <v>32</v>
      </c>
      <c r="L9" s="445"/>
      <c r="M9" s="445"/>
      <c r="N9" s="445"/>
      <c r="O9" s="446"/>
      <c r="P9" s="140"/>
      <c r="Q9" s="139"/>
      <c r="R9" s="142"/>
    </row>
    <row r="10" spans="1:18" ht="25.2" customHeight="1" x14ac:dyDescent="0.3">
      <c r="B10" s="46"/>
      <c r="C10" s="46"/>
      <c r="D10" s="46"/>
      <c r="E10" s="309"/>
      <c r="F10" s="303" t="s">
        <v>33</v>
      </c>
      <c r="G10" s="453">
        <v>100000</v>
      </c>
      <c r="H10" s="454"/>
      <c r="I10" s="455"/>
      <c r="J10" s="143"/>
      <c r="K10" s="334" t="s">
        <v>32</v>
      </c>
      <c r="L10" s="334"/>
      <c r="M10" s="334"/>
      <c r="N10" s="334"/>
      <c r="O10" s="335"/>
      <c r="P10" s="140"/>
      <c r="Q10" s="139"/>
      <c r="R10" s="142"/>
    </row>
    <row r="11" spans="1:18" ht="25.2" customHeight="1" x14ac:dyDescent="0.3">
      <c r="B11" s="46"/>
      <c r="C11" s="46"/>
      <c r="D11" s="46"/>
      <c r="E11" s="307"/>
      <c r="F11" s="302" t="s">
        <v>34</v>
      </c>
      <c r="G11" s="453">
        <v>100000</v>
      </c>
      <c r="H11" s="454"/>
      <c r="I11" s="455"/>
      <c r="J11" s="143"/>
      <c r="K11" s="334" t="s">
        <v>32</v>
      </c>
      <c r="L11" s="334"/>
      <c r="M11" s="334"/>
      <c r="N11" s="334"/>
      <c r="O11" s="335"/>
      <c r="P11" s="140"/>
      <c r="Q11" s="139"/>
      <c r="R11" s="142"/>
    </row>
    <row r="12" spans="1:18" ht="25.2" customHeight="1" x14ac:dyDescent="0.3">
      <c r="B12" s="46"/>
      <c r="C12" s="46"/>
      <c r="D12" s="46"/>
      <c r="E12" s="313"/>
      <c r="F12" s="304" t="s">
        <v>35</v>
      </c>
      <c r="G12" s="453">
        <v>1000</v>
      </c>
      <c r="H12" s="454"/>
      <c r="I12" s="455"/>
      <c r="J12" s="143"/>
      <c r="K12" s="334" t="s">
        <v>32</v>
      </c>
      <c r="L12" s="334"/>
      <c r="M12" s="334"/>
      <c r="N12" s="334"/>
      <c r="O12" s="335"/>
      <c r="P12" s="140"/>
      <c r="Q12" s="139"/>
      <c r="R12" s="142"/>
    </row>
    <row r="13" spans="1:18" ht="42" customHeight="1" x14ac:dyDescent="0.3">
      <c r="B13" s="46"/>
      <c r="C13" s="46"/>
      <c r="D13" s="307"/>
      <c r="E13" s="261"/>
      <c r="F13" s="336" t="s">
        <v>36</v>
      </c>
      <c r="G13" s="427">
        <v>0.02</v>
      </c>
      <c r="H13" s="428"/>
      <c r="I13" s="429"/>
      <c r="J13" s="141"/>
      <c r="K13" s="447" t="s">
        <v>37</v>
      </c>
      <c r="L13" s="447"/>
      <c r="M13" s="447"/>
      <c r="N13" s="447"/>
      <c r="O13" s="448"/>
      <c r="P13" s="140"/>
      <c r="Q13" s="139"/>
      <c r="R13" s="138"/>
    </row>
    <row r="14" spans="1:18" ht="38.700000000000003" customHeight="1" x14ac:dyDescent="0.3">
      <c r="B14" s="46"/>
      <c r="C14" s="46"/>
      <c r="D14" s="46"/>
      <c r="E14" s="46"/>
      <c r="F14" s="46"/>
      <c r="G14" s="315" t="s">
        <v>38</v>
      </c>
      <c r="H14" s="315" t="s">
        <v>34</v>
      </c>
      <c r="I14" s="315" t="s">
        <v>39</v>
      </c>
      <c r="J14" s="46"/>
      <c r="K14" s="46"/>
      <c r="L14" s="46"/>
      <c r="M14" s="46"/>
      <c r="N14" s="46"/>
      <c r="O14" s="46"/>
      <c r="P14" s="140"/>
      <c r="Q14" s="139"/>
      <c r="R14" s="138"/>
    </row>
    <row r="15" spans="1:18" ht="67.2" customHeight="1" x14ac:dyDescent="0.3">
      <c r="B15" s="46"/>
      <c r="C15" s="46"/>
      <c r="D15" s="310"/>
      <c r="E15" s="311"/>
      <c r="F15" s="312" t="s">
        <v>40</v>
      </c>
      <c r="G15" s="314">
        <f>SUM(G16,G19,G22)</f>
        <v>1</v>
      </c>
      <c r="H15" s="314">
        <f t="shared" ref="H15:I15" si="0">SUM(H16,H19,H22)</f>
        <v>1</v>
      </c>
      <c r="I15" s="314">
        <f t="shared" si="0"/>
        <v>1</v>
      </c>
      <c r="J15" s="262"/>
      <c r="K15" s="445" t="s">
        <v>41</v>
      </c>
      <c r="L15" s="445"/>
      <c r="M15" s="445"/>
      <c r="N15" s="445"/>
      <c r="O15" s="446"/>
      <c r="P15" s="140"/>
      <c r="Q15" s="139"/>
      <c r="R15" s="138"/>
    </row>
    <row r="16" spans="1:18" ht="42" customHeight="1" x14ac:dyDescent="0.3">
      <c r="B16" s="46"/>
      <c r="C16" s="46"/>
      <c r="D16" s="46"/>
      <c r="E16" s="268"/>
      <c r="F16" s="269" t="s">
        <v>42</v>
      </c>
      <c r="G16" s="271">
        <v>0.7</v>
      </c>
      <c r="H16" s="271">
        <v>0.7</v>
      </c>
      <c r="I16" s="271">
        <v>0.25</v>
      </c>
      <c r="J16" s="272"/>
      <c r="K16" s="451" t="s">
        <v>43</v>
      </c>
      <c r="L16" s="451"/>
      <c r="M16" s="451"/>
      <c r="N16" s="451"/>
      <c r="O16" s="452"/>
      <c r="P16" s="140"/>
      <c r="Q16" s="139"/>
      <c r="R16" s="138"/>
    </row>
    <row r="17" spans="2:18" ht="30" customHeight="1" x14ac:dyDescent="0.3">
      <c r="B17" s="46"/>
      <c r="C17" s="46"/>
      <c r="D17" s="46"/>
      <c r="E17" s="46"/>
      <c r="F17" s="273" t="s">
        <v>44</v>
      </c>
      <c r="G17" s="274">
        <v>0.8</v>
      </c>
      <c r="H17" s="274">
        <v>0.8</v>
      </c>
      <c r="I17" s="274">
        <v>0.8</v>
      </c>
      <c r="J17" s="275"/>
      <c r="K17" s="449" t="s">
        <v>45</v>
      </c>
      <c r="L17" s="449"/>
      <c r="M17" s="449"/>
      <c r="N17" s="449"/>
      <c r="O17" s="450"/>
      <c r="P17" s="140"/>
      <c r="Q17" s="139"/>
      <c r="R17" s="138"/>
    </row>
    <row r="18" spans="2:18" ht="30" customHeight="1" x14ac:dyDescent="0.3">
      <c r="B18" s="46"/>
      <c r="C18" s="46"/>
      <c r="D18" s="46"/>
      <c r="E18" s="46"/>
      <c r="F18" s="276" t="s">
        <v>46</v>
      </c>
      <c r="G18" s="277">
        <v>0.7</v>
      </c>
      <c r="H18" s="277">
        <v>0.7</v>
      </c>
      <c r="I18" s="277">
        <v>0.7</v>
      </c>
      <c r="J18" s="275"/>
      <c r="K18" s="449" t="s">
        <v>45</v>
      </c>
      <c r="L18" s="449"/>
      <c r="M18" s="449"/>
      <c r="N18" s="449"/>
      <c r="O18" s="450"/>
      <c r="P18" s="140"/>
      <c r="Q18" s="139"/>
      <c r="R18" s="138"/>
    </row>
    <row r="19" spans="2:18" ht="42" customHeight="1" x14ac:dyDescent="0.3">
      <c r="B19" s="46"/>
      <c r="C19" s="46"/>
      <c r="D19" s="46"/>
      <c r="E19" s="268"/>
      <c r="F19" s="269" t="s">
        <v>47</v>
      </c>
      <c r="G19" s="271">
        <v>0.15</v>
      </c>
      <c r="H19" s="271">
        <v>0.15</v>
      </c>
      <c r="I19" s="271">
        <v>0.25</v>
      </c>
      <c r="J19" s="272"/>
      <c r="K19" s="451" t="s">
        <v>43</v>
      </c>
      <c r="L19" s="451"/>
      <c r="M19" s="451"/>
      <c r="N19" s="451"/>
      <c r="O19" s="452"/>
      <c r="P19" s="140"/>
      <c r="Q19" s="139"/>
      <c r="R19" s="138"/>
    </row>
    <row r="20" spans="2:18" ht="30" customHeight="1" x14ac:dyDescent="0.3">
      <c r="B20" s="46"/>
      <c r="C20" s="46"/>
      <c r="D20" s="46"/>
      <c r="E20" s="46"/>
      <c r="F20" s="273" t="s">
        <v>48</v>
      </c>
      <c r="G20" s="274">
        <v>0.8</v>
      </c>
      <c r="H20" s="274">
        <v>0.8</v>
      </c>
      <c r="I20" s="274">
        <v>0.8</v>
      </c>
      <c r="J20" s="275"/>
      <c r="K20" s="449" t="s">
        <v>45</v>
      </c>
      <c r="L20" s="449"/>
      <c r="M20" s="449"/>
      <c r="N20" s="449"/>
      <c r="O20" s="450"/>
      <c r="P20" s="140"/>
      <c r="Q20" s="139"/>
      <c r="R20" s="138"/>
    </row>
    <row r="21" spans="2:18" ht="30" customHeight="1" x14ac:dyDescent="0.3">
      <c r="B21" s="46"/>
      <c r="C21" s="46"/>
      <c r="D21" s="46"/>
      <c r="E21" s="46"/>
      <c r="F21" s="276" t="s">
        <v>49</v>
      </c>
      <c r="G21" s="277">
        <v>0.7</v>
      </c>
      <c r="H21" s="277">
        <v>0.7</v>
      </c>
      <c r="I21" s="277">
        <v>0.7</v>
      </c>
      <c r="J21" s="275"/>
      <c r="K21" s="449" t="s">
        <v>45</v>
      </c>
      <c r="L21" s="449"/>
      <c r="M21" s="449"/>
      <c r="N21" s="449"/>
      <c r="O21" s="450"/>
      <c r="P21" s="140"/>
      <c r="Q21" s="139"/>
      <c r="R21" s="138"/>
    </row>
    <row r="22" spans="2:18" ht="42" customHeight="1" x14ac:dyDescent="0.3">
      <c r="B22" s="46"/>
      <c r="C22" s="46"/>
      <c r="D22" s="46"/>
      <c r="E22" s="268"/>
      <c r="F22" s="269" t="s">
        <v>50</v>
      </c>
      <c r="G22" s="271">
        <v>0.15</v>
      </c>
      <c r="H22" s="271">
        <v>0.15</v>
      </c>
      <c r="I22" s="271">
        <v>0.5</v>
      </c>
      <c r="J22" s="272"/>
      <c r="K22" s="451" t="s">
        <v>43</v>
      </c>
      <c r="L22" s="451"/>
      <c r="M22" s="451"/>
      <c r="N22" s="451"/>
      <c r="O22" s="452"/>
      <c r="P22" s="140"/>
      <c r="Q22" s="139"/>
      <c r="R22" s="138"/>
    </row>
    <row r="23" spans="2:18" ht="30" customHeight="1" x14ac:dyDescent="0.3">
      <c r="B23" s="46"/>
      <c r="C23" s="46"/>
      <c r="D23" s="46"/>
      <c r="E23" s="46"/>
      <c r="F23" s="273" t="s">
        <v>51</v>
      </c>
      <c r="G23" s="274">
        <v>0.8</v>
      </c>
      <c r="H23" s="274">
        <v>0.75</v>
      </c>
      <c r="I23" s="274">
        <v>0.8</v>
      </c>
      <c r="J23" s="278"/>
      <c r="K23" s="449" t="s">
        <v>45</v>
      </c>
      <c r="L23" s="449"/>
      <c r="M23" s="449"/>
      <c r="N23" s="449"/>
      <c r="O23" s="450"/>
      <c r="P23" s="140"/>
      <c r="Q23" s="139"/>
      <c r="R23" s="138"/>
    </row>
    <row r="24" spans="2:18" ht="30" customHeight="1" x14ac:dyDescent="0.3">
      <c r="B24" s="46"/>
      <c r="C24" s="46"/>
      <c r="D24" s="46"/>
      <c r="E24" s="46"/>
      <c r="F24" s="276" t="s">
        <v>52</v>
      </c>
      <c r="G24" s="328">
        <v>0.75</v>
      </c>
      <c r="H24" s="328">
        <v>0.7</v>
      </c>
      <c r="I24" s="328">
        <v>0.75</v>
      </c>
      <c r="J24" s="278"/>
      <c r="K24" s="449" t="s">
        <v>45</v>
      </c>
      <c r="L24" s="449"/>
      <c r="M24" s="449"/>
      <c r="N24" s="449"/>
      <c r="O24" s="450"/>
      <c r="P24" s="140"/>
      <c r="Q24" s="139"/>
      <c r="R24" s="138"/>
    </row>
    <row r="25" spans="2:18" ht="42" customHeight="1" x14ac:dyDescent="0.3">
      <c r="B25" s="46"/>
      <c r="C25" s="46"/>
      <c r="D25" s="265"/>
      <c r="E25" s="311"/>
      <c r="F25" s="312" t="s">
        <v>53</v>
      </c>
      <c r="G25" s="453">
        <v>400000</v>
      </c>
      <c r="H25" s="454"/>
      <c r="I25" s="455"/>
      <c r="J25" s="306"/>
      <c r="K25" s="344" t="s">
        <v>54</v>
      </c>
      <c r="L25" s="344"/>
      <c r="M25" s="344"/>
      <c r="N25" s="344"/>
      <c r="O25" s="345"/>
      <c r="P25" s="140"/>
      <c r="Q25" s="139"/>
      <c r="R25" s="138"/>
    </row>
    <row r="26" spans="2:18" ht="69.45" customHeight="1" x14ac:dyDescent="0.3">
      <c r="B26" s="46"/>
      <c r="C26" s="46"/>
      <c r="D26" s="265"/>
      <c r="E26" s="350"/>
      <c r="F26" s="267" t="s">
        <v>55</v>
      </c>
      <c r="G26" s="456">
        <f>SUM(G27,G30,G33)</f>
        <v>1</v>
      </c>
      <c r="H26" s="457"/>
      <c r="I26" s="458"/>
      <c r="J26" s="266"/>
      <c r="K26" s="445" t="s">
        <v>41</v>
      </c>
      <c r="L26" s="445"/>
      <c r="M26" s="445"/>
      <c r="N26" s="445"/>
      <c r="O26" s="446"/>
      <c r="P26" s="140"/>
      <c r="Q26" s="139"/>
      <c r="R26" s="138"/>
    </row>
    <row r="27" spans="2:18" ht="42" customHeight="1" x14ac:dyDescent="0.3">
      <c r="B27" s="46"/>
      <c r="C27" s="46"/>
      <c r="D27" s="46"/>
      <c r="E27" s="268"/>
      <c r="F27" s="270" t="s">
        <v>56</v>
      </c>
      <c r="G27" s="430">
        <v>0.9</v>
      </c>
      <c r="H27" s="431"/>
      <c r="I27" s="432"/>
      <c r="J27" s="280"/>
      <c r="K27" s="451" t="s">
        <v>43</v>
      </c>
      <c r="L27" s="451"/>
      <c r="M27" s="451"/>
      <c r="N27" s="451"/>
      <c r="O27" s="452"/>
      <c r="P27" s="140"/>
      <c r="Q27" s="139"/>
      <c r="R27" s="138"/>
    </row>
    <row r="28" spans="2:18" ht="30" customHeight="1" x14ac:dyDescent="0.3">
      <c r="B28" s="46"/>
      <c r="C28" s="46"/>
      <c r="D28" s="46"/>
      <c r="E28" s="46"/>
      <c r="F28" s="273" t="s">
        <v>57</v>
      </c>
      <c r="G28" s="400">
        <v>0.9</v>
      </c>
      <c r="H28" s="401"/>
      <c r="I28" s="402"/>
      <c r="J28" s="278"/>
      <c r="K28" s="449" t="s">
        <v>58</v>
      </c>
      <c r="L28" s="449"/>
      <c r="M28" s="449"/>
      <c r="N28" s="449"/>
      <c r="O28" s="450"/>
      <c r="P28" s="140"/>
      <c r="Q28" s="139"/>
      <c r="R28" s="138"/>
    </row>
    <row r="29" spans="2:18" ht="30" customHeight="1" x14ac:dyDescent="0.3">
      <c r="B29" s="46"/>
      <c r="C29" s="46"/>
      <c r="D29" s="46"/>
      <c r="E29" s="46"/>
      <c r="F29" s="276" t="s">
        <v>59</v>
      </c>
      <c r="G29" s="400">
        <v>0.8</v>
      </c>
      <c r="H29" s="401"/>
      <c r="I29" s="402"/>
      <c r="J29" s="278"/>
      <c r="K29" s="449" t="s">
        <v>58</v>
      </c>
      <c r="L29" s="449"/>
      <c r="M29" s="449"/>
      <c r="N29" s="449"/>
      <c r="O29" s="450"/>
      <c r="P29" s="140"/>
      <c r="Q29" s="139"/>
      <c r="R29" s="138"/>
    </row>
    <row r="30" spans="2:18" ht="42" customHeight="1" x14ac:dyDescent="0.3">
      <c r="B30" s="46"/>
      <c r="C30" s="46"/>
      <c r="D30" s="46"/>
      <c r="E30" s="268"/>
      <c r="F30" s="270" t="s">
        <v>60</v>
      </c>
      <c r="G30" s="430">
        <v>0.1</v>
      </c>
      <c r="H30" s="431"/>
      <c r="I30" s="432"/>
      <c r="J30" s="280"/>
      <c r="K30" s="451" t="s">
        <v>43</v>
      </c>
      <c r="L30" s="451"/>
      <c r="M30" s="451"/>
      <c r="N30" s="451"/>
      <c r="O30" s="452"/>
      <c r="P30" s="140"/>
      <c r="Q30" s="139"/>
      <c r="R30" s="138"/>
    </row>
    <row r="31" spans="2:18" ht="30" customHeight="1" x14ac:dyDescent="0.3">
      <c r="B31" s="46"/>
      <c r="C31" s="46"/>
      <c r="D31" s="46"/>
      <c r="E31" s="46"/>
      <c r="F31" s="273" t="s">
        <v>61</v>
      </c>
      <c r="G31" s="400">
        <v>0.9</v>
      </c>
      <c r="H31" s="401"/>
      <c r="I31" s="402"/>
      <c r="J31" s="278"/>
      <c r="K31" s="449" t="s">
        <v>58</v>
      </c>
      <c r="L31" s="449"/>
      <c r="M31" s="449"/>
      <c r="N31" s="449"/>
      <c r="O31" s="450"/>
      <c r="P31" s="140"/>
      <c r="Q31" s="139"/>
      <c r="R31" s="138"/>
    </row>
    <row r="32" spans="2:18" ht="30" customHeight="1" x14ac:dyDescent="0.3">
      <c r="B32" s="46"/>
      <c r="C32" s="46"/>
      <c r="D32" s="46"/>
      <c r="E32" s="46"/>
      <c r="F32" s="276" t="s">
        <v>62</v>
      </c>
      <c r="G32" s="400">
        <v>0.8</v>
      </c>
      <c r="H32" s="401"/>
      <c r="I32" s="402"/>
      <c r="J32" s="278"/>
      <c r="K32" s="449" t="s">
        <v>58</v>
      </c>
      <c r="L32" s="449"/>
      <c r="M32" s="449"/>
      <c r="N32" s="449"/>
      <c r="O32" s="450"/>
      <c r="P32" s="140"/>
      <c r="Q32" s="139"/>
      <c r="R32" s="138"/>
    </row>
    <row r="33" spans="2:19" ht="42" customHeight="1" x14ac:dyDescent="0.3">
      <c r="B33" s="46"/>
      <c r="C33" s="46"/>
      <c r="D33" s="46"/>
      <c r="E33" s="268"/>
      <c r="F33" s="270" t="s">
        <v>63</v>
      </c>
      <c r="G33" s="430">
        <v>0</v>
      </c>
      <c r="H33" s="431"/>
      <c r="I33" s="432"/>
      <c r="J33" s="280"/>
      <c r="K33" s="451" t="s">
        <v>43</v>
      </c>
      <c r="L33" s="451"/>
      <c r="M33" s="451"/>
      <c r="N33" s="451"/>
      <c r="O33" s="452"/>
      <c r="P33" s="140"/>
      <c r="Q33" s="139"/>
      <c r="R33" s="138"/>
    </row>
    <row r="34" spans="2:19" ht="30" customHeight="1" x14ac:dyDescent="0.3">
      <c r="B34" s="46"/>
      <c r="C34" s="46"/>
      <c r="D34" s="46"/>
      <c r="E34" s="46"/>
      <c r="F34" s="273" t="s">
        <v>64</v>
      </c>
      <c r="G34" s="400">
        <v>0</v>
      </c>
      <c r="H34" s="401"/>
      <c r="I34" s="402"/>
      <c r="J34" s="278"/>
      <c r="K34" s="449" t="s">
        <v>58</v>
      </c>
      <c r="L34" s="449"/>
      <c r="M34" s="449"/>
      <c r="N34" s="449"/>
      <c r="O34" s="450"/>
      <c r="P34" s="140"/>
      <c r="Q34" s="139"/>
      <c r="R34" s="138"/>
    </row>
    <row r="35" spans="2:19" ht="30" customHeight="1" x14ac:dyDescent="0.3">
      <c r="B35" s="46"/>
      <c r="C35" s="46"/>
      <c r="D35" s="46"/>
      <c r="E35" s="46"/>
      <c r="F35" s="279" t="s">
        <v>65</v>
      </c>
      <c r="G35" s="400">
        <v>0</v>
      </c>
      <c r="H35" s="401"/>
      <c r="I35" s="402"/>
      <c r="J35" s="278"/>
      <c r="K35" s="449" t="s">
        <v>58</v>
      </c>
      <c r="L35" s="449"/>
      <c r="M35" s="449"/>
      <c r="N35" s="449"/>
      <c r="O35" s="450"/>
      <c r="P35" s="140"/>
      <c r="Q35" s="139"/>
      <c r="R35" s="138"/>
    </row>
    <row r="36" spans="2:19" ht="7.95" customHeight="1" x14ac:dyDescent="0.3">
      <c r="B36" s="46"/>
      <c r="C36" s="46"/>
      <c r="D36" s="46"/>
      <c r="E36" s="46"/>
      <c r="F36" s="134"/>
      <c r="G36" s="134"/>
      <c r="H36" s="134"/>
      <c r="I36" s="134"/>
      <c r="J36" s="134"/>
      <c r="K36" s="137"/>
      <c r="L36" s="134"/>
      <c r="M36" s="136"/>
      <c r="N36" s="136"/>
      <c r="O36" s="135"/>
      <c r="P36" s="135"/>
      <c r="Q36" s="134"/>
      <c r="R36" s="133"/>
    </row>
    <row r="37" spans="2:19" ht="45" customHeight="1" x14ac:dyDescent="0.3">
      <c r="B37" s="46"/>
      <c r="C37" s="46"/>
      <c r="D37" s="46"/>
      <c r="E37" s="46"/>
      <c r="F37" s="405" t="s">
        <v>66</v>
      </c>
      <c r="G37" s="405"/>
      <c r="H37" s="405"/>
      <c r="I37" s="405"/>
      <c r="J37" s="405"/>
      <c r="K37" s="405"/>
      <c r="L37" s="405"/>
      <c r="M37" s="405"/>
      <c r="N37" s="405"/>
      <c r="O37" s="405"/>
      <c r="P37" s="79"/>
      <c r="Q37" s="78"/>
      <c r="R37" s="76"/>
    </row>
    <row r="38" spans="2:19" ht="7.95" customHeight="1" x14ac:dyDescent="0.3">
      <c r="B38" s="46"/>
      <c r="C38" s="46"/>
      <c r="D38" s="46"/>
      <c r="E38" s="46"/>
      <c r="F38" s="46"/>
      <c r="G38" s="46"/>
      <c r="H38" s="46"/>
      <c r="I38" s="46"/>
      <c r="J38" s="46"/>
      <c r="K38" s="46"/>
      <c r="L38" s="46"/>
      <c r="M38" s="46"/>
      <c r="N38" s="46"/>
      <c r="O38" s="46"/>
      <c r="P38" s="46"/>
      <c r="Q38" s="46"/>
    </row>
    <row r="39" spans="2:19" ht="58.2" customHeight="1" x14ac:dyDescent="0.3">
      <c r="B39" s="46"/>
      <c r="C39" s="46"/>
      <c r="D39" s="46"/>
      <c r="E39" s="46"/>
      <c r="F39" s="132"/>
      <c r="G39" s="491" t="s">
        <v>67</v>
      </c>
      <c r="H39" s="492"/>
      <c r="I39" s="493"/>
      <c r="J39" s="130"/>
      <c r="K39" s="131" t="s">
        <v>68</v>
      </c>
      <c r="L39" s="130"/>
      <c r="M39" s="131" t="s">
        <v>69</v>
      </c>
      <c r="N39" s="130"/>
      <c r="O39" s="339" t="s">
        <v>70</v>
      </c>
      <c r="P39" s="125"/>
      <c r="Q39" s="46"/>
    </row>
    <row r="40" spans="2:19" ht="147" customHeight="1" x14ac:dyDescent="0.3">
      <c r="B40" s="46"/>
      <c r="C40" s="46"/>
      <c r="D40" s="46"/>
      <c r="E40" s="46"/>
      <c r="F40" s="129" t="s">
        <v>71</v>
      </c>
      <c r="G40" s="494" t="s">
        <v>72</v>
      </c>
      <c r="H40" s="495"/>
      <c r="I40" s="496"/>
      <c r="J40" s="127"/>
      <c r="K40" s="128" t="s">
        <v>73</v>
      </c>
      <c r="L40" s="127"/>
      <c r="M40" s="128" t="s">
        <v>74</v>
      </c>
      <c r="N40" s="127"/>
      <c r="O40" s="316" t="s">
        <v>149</v>
      </c>
      <c r="P40" s="126"/>
      <c r="Q40" s="125"/>
      <c r="R40" s="124"/>
    </row>
    <row r="41" spans="2:19" ht="8.25" customHeight="1" x14ac:dyDescent="0.3">
      <c r="B41" s="46"/>
      <c r="C41" s="46"/>
      <c r="D41" s="46"/>
      <c r="E41" s="46"/>
      <c r="F41" s="123"/>
      <c r="G41" s="122"/>
      <c r="H41" s="122"/>
      <c r="I41" s="122"/>
      <c r="J41" s="118"/>
      <c r="K41" s="122"/>
      <c r="L41" s="118"/>
      <c r="M41" s="122"/>
      <c r="N41" s="118"/>
      <c r="O41" s="122"/>
      <c r="P41" s="122"/>
      <c r="Q41" s="121"/>
      <c r="R41" s="120"/>
    </row>
    <row r="42" spans="2:19" ht="39" customHeight="1" x14ac:dyDescent="0.3">
      <c r="B42" s="46"/>
      <c r="C42" s="46"/>
      <c r="D42" s="46"/>
      <c r="E42" s="46"/>
      <c r="F42" s="340" t="s">
        <v>75</v>
      </c>
      <c r="G42" s="480">
        <v>4.5</v>
      </c>
      <c r="H42" s="480"/>
      <c r="I42" s="481"/>
      <c r="J42" s="127"/>
      <c r="K42" s="318">
        <v>4.5</v>
      </c>
      <c r="L42" s="127"/>
      <c r="M42" s="318">
        <v>4.5</v>
      </c>
      <c r="N42" s="127"/>
      <c r="O42" s="318">
        <v>4.5</v>
      </c>
      <c r="P42" s="119"/>
      <c r="Q42" s="118"/>
      <c r="R42" s="117"/>
    </row>
    <row r="43" spans="2:19" ht="25.2" customHeight="1" x14ac:dyDescent="0.3">
      <c r="B43" s="46"/>
      <c r="C43" s="46"/>
      <c r="D43" s="46"/>
      <c r="E43" s="46"/>
      <c r="F43" s="110" t="s">
        <v>76</v>
      </c>
      <c r="G43" s="478" t="str">
        <f>IFERROR(INDEX(Data!$A$3:$E$8,MATCH(G40,Data!$A$3:$A$8,0),5),"-")</f>
        <v>$2.90 - $9.50</v>
      </c>
      <c r="H43" s="478"/>
      <c r="I43" s="479"/>
      <c r="J43" s="317"/>
      <c r="K43" s="319">
        <f>IFERROR(INDEX(Data!$A$3:$E$8,MATCH(K40,Data!$A$3:$A$8,0),5),"-")</f>
        <v>3.5</v>
      </c>
      <c r="L43" s="317"/>
      <c r="M43" s="319" t="str">
        <f>IFERROR(INDEX(Data!$A$3:$E$8,MATCH(M40,Data!$A$3:$A$8,0),5),"-")</f>
        <v>$4.50 - $26.75</v>
      </c>
      <c r="N43" s="317"/>
      <c r="O43" s="319" t="s">
        <v>77</v>
      </c>
      <c r="P43" s="119"/>
      <c r="Q43" s="118"/>
      <c r="R43" s="117"/>
    </row>
    <row r="44" spans="2:19" ht="46.2" customHeight="1" x14ac:dyDescent="0.3">
      <c r="B44" s="46"/>
      <c r="C44" s="46"/>
      <c r="D44" s="46"/>
      <c r="E44" s="46"/>
      <c r="F44" s="258" t="s">
        <v>78</v>
      </c>
      <c r="G44" s="406">
        <v>1</v>
      </c>
      <c r="H44" s="407"/>
      <c r="I44" s="408"/>
      <c r="J44" s="260"/>
      <c r="K44" s="343">
        <v>2</v>
      </c>
      <c r="L44" s="116"/>
      <c r="M44" s="343">
        <v>1</v>
      </c>
      <c r="N44" s="116"/>
      <c r="O44" s="343">
        <v>1</v>
      </c>
      <c r="P44" s="403" t="str">
        <f>IF(OR(AND(G40=Data!$A$4,Inputs!G44&lt;2),AND(K40=Data!$A$4,Inputs!K44&lt;2),AND(M40=Data!$A$4,Inputs!M44&lt;2),AND(O40=Data!$A$4,Inputs!O44&lt;2)),"!! Walrinvax requires 2 doses","")</f>
        <v/>
      </c>
      <c r="Q44" s="404"/>
      <c r="R44" s="81"/>
    </row>
    <row r="45" spans="2:19" ht="30.75" customHeight="1" x14ac:dyDescent="0.3">
      <c r="B45" s="46"/>
      <c r="C45" s="46"/>
      <c r="D45" s="46"/>
      <c r="E45" s="46"/>
      <c r="F45" s="259" t="s">
        <v>79</v>
      </c>
      <c r="G45" s="409">
        <f>IFERROR(INDEX(Data!$A$3:$D$8,MATCH(G40,Data!$A$3:$A$8,0),2),"-")</f>
        <v>2</v>
      </c>
      <c r="H45" s="410"/>
      <c r="I45" s="411"/>
      <c r="J45" s="321"/>
      <c r="K45" s="320">
        <f>IFERROR(INDEX(Data!$A$3:$D$8,MATCH(K40,Data!$A$3:$A$8,0),2),"-")</f>
        <v>2</v>
      </c>
      <c r="L45" s="322"/>
      <c r="M45" s="320">
        <f>IFERROR(INDEX(Data!$A$3:$D$8,MATCH(M40,Data!$A$3:$A$8,0),2),"-")</f>
        <v>2</v>
      </c>
      <c r="N45" s="116"/>
      <c r="O45" s="320" t="s">
        <v>77</v>
      </c>
      <c r="P45" s="83"/>
      <c r="Q45" s="82"/>
      <c r="R45" s="81"/>
    </row>
    <row r="46" spans="2:19" ht="39" customHeight="1" x14ac:dyDescent="0.3">
      <c r="B46" s="46"/>
      <c r="C46" s="46"/>
      <c r="D46" s="46"/>
      <c r="E46" s="46"/>
      <c r="F46" s="341" t="s">
        <v>80</v>
      </c>
      <c r="G46" s="412">
        <f>IFERROR(INDEX(Data!$A$3:$D$8,MATCH(G40,Data!$A$3:$A$8,0),4),"-")</f>
        <v>14.6</v>
      </c>
      <c r="H46" s="413"/>
      <c r="I46" s="414"/>
      <c r="J46" s="115"/>
      <c r="K46" s="234">
        <f>IFERROR(INDEX(Data!$A$3:$D$8,MATCH(K40,Data!$A$3:$A$8,0),4),"-")</f>
        <v>11.8</v>
      </c>
      <c r="L46" s="115"/>
      <c r="M46" s="234">
        <f>IFERROR(INDEX(Data!$A$3:$D$8,MATCH(M40,Data!$A$3:$A$8,0),4),"-")</f>
        <v>15</v>
      </c>
      <c r="N46" s="115"/>
      <c r="O46" s="323">
        <v>15</v>
      </c>
      <c r="P46" s="114"/>
      <c r="Q46" s="113"/>
      <c r="R46" s="112"/>
    </row>
    <row r="47" spans="2:19" ht="39" customHeight="1" x14ac:dyDescent="0.3">
      <c r="B47" s="46"/>
      <c r="C47" s="46"/>
      <c r="D47" s="46"/>
      <c r="E47" s="46"/>
      <c r="F47" s="340" t="s">
        <v>81</v>
      </c>
      <c r="G47" s="415">
        <v>0.05</v>
      </c>
      <c r="H47" s="416"/>
      <c r="I47" s="417"/>
      <c r="J47" s="95"/>
      <c r="K47" s="329">
        <v>0.05</v>
      </c>
      <c r="L47" s="95"/>
      <c r="M47" s="111">
        <v>0.1</v>
      </c>
      <c r="N47" s="95"/>
      <c r="O47" s="111">
        <v>0.05</v>
      </c>
      <c r="P47" s="93"/>
      <c r="Q47" s="92"/>
      <c r="R47" s="91"/>
    </row>
    <row r="48" spans="2:19" ht="19.95" customHeight="1" x14ac:dyDescent="0.3">
      <c r="B48" s="46"/>
      <c r="C48" s="46"/>
      <c r="D48" s="46"/>
      <c r="E48" s="46"/>
      <c r="F48" s="110" t="s">
        <v>82</v>
      </c>
      <c r="G48" s="418">
        <f>IFERROR(INDEX(Data!$A$3:$D$8,MATCH(G40,Data!$A$3:$A$8,0),3),"-")</f>
        <v>0.05</v>
      </c>
      <c r="H48" s="419"/>
      <c r="I48" s="420"/>
      <c r="J48" s="109"/>
      <c r="K48" s="330">
        <f>IFERROR(INDEX(Data!$A$3:$D$8,MATCH(K40,Data!$A$3:$A$8,0),3),"-")</f>
        <v>0.05</v>
      </c>
      <c r="L48" s="109"/>
      <c r="M48" s="108">
        <f>IFERROR(INDEX(Data!$A$3:$D$8,MATCH(M40,Data!$A$3:$A$8,0),3),"-")</f>
        <v>0.05</v>
      </c>
      <c r="N48" s="109"/>
      <c r="O48" s="108" t="s">
        <v>77</v>
      </c>
      <c r="P48" s="107"/>
      <c r="Q48" s="92"/>
      <c r="R48" s="91"/>
      <c r="S48" s="106"/>
    </row>
    <row r="49" spans="2:18" ht="39" customHeight="1" x14ac:dyDescent="0.3">
      <c r="B49" s="46"/>
      <c r="C49" s="46"/>
      <c r="D49" s="46"/>
      <c r="E49" s="46"/>
      <c r="F49" s="339" t="s">
        <v>83</v>
      </c>
      <c r="G49" s="421">
        <f>(1/(1-G47))</f>
        <v>1.0526315789473684</v>
      </c>
      <c r="H49" s="422"/>
      <c r="I49" s="423"/>
      <c r="J49" s="105"/>
      <c r="K49" s="104">
        <f>(1/(1-K47))</f>
        <v>1.0526315789473684</v>
      </c>
      <c r="L49" s="105"/>
      <c r="M49" s="104">
        <f>(1/(1-M47))</f>
        <v>1.1111111111111112</v>
      </c>
      <c r="N49" s="105"/>
      <c r="O49" s="104">
        <f>(1/(1-O47))</f>
        <v>1.0526315789473684</v>
      </c>
      <c r="P49" s="103"/>
      <c r="Q49" s="102"/>
      <c r="R49" s="101"/>
    </row>
    <row r="50" spans="2:18" ht="39" customHeight="1" x14ac:dyDescent="0.3">
      <c r="B50" s="46"/>
      <c r="C50" s="46"/>
      <c r="D50" s="46"/>
      <c r="E50" s="46"/>
      <c r="F50" s="339" t="s">
        <v>84</v>
      </c>
      <c r="G50" s="424">
        <v>0.05</v>
      </c>
      <c r="H50" s="425"/>
      <c r="I50" s="426"/>
      <c r="J50" s="100"/>
      <c r="K50" s="331">
        <v>0.05</v>
      </c>
      <c r="L50" s="100"/>
      <c r="M50" s="99">
        <v>0.05</v>
      </c>
      <c r="N50" s="100"/>
      <c r="O50" s="99">
        <v>0.05</v>
      </c>
      <c r="P50" s="98"/>
      <c r="Q50" s="97"/>
      <c r="R50" s="96"/>
    </row>
    <row r="51" spans="2:18" ht="39" customHeight="1" x14ac:dyDescent="0.3">
      <c r="B51" s="46"/>
      <c r="C51" s="46"/>
      <c r="D51" s="46"/>
      <c r="E51" s="46"/>
      <c r="F51" s="339" t="s">
        <v>85</v>
      </c>
      <c r="G51" s="427">
        <v>7.0000000000000007E-2</v>
      </c>
      <c r="H51" s="428"/>
      <c r="I51" s="429"/>
      <c r="J51" s="95"/>
      <c r="K51" s="332">
        <v>7.0000000000000007E-2</v>
      </c>
      <c r="L51" s="95"/>
      <c r="M51" s="94">
        <v>7.0000000000000007E-2</v>
      </c>
      <c r="N51" s="95"/>
      <c r="O51" s="94">
        <v>7.0000000000000007E-2</v>
      </c>
      <c r="P51" s="93"/>
      <c r="Q51" s="92"/>
      <c r="R51" s="91"/>
    </row>
    <row r="52" spans="2:18" ht="39" customHeight="1" x14ac:dyDescent="0.3">
      <c r="B52" s="46"/>
      <c r="C52" s="46"/>
      <c r="D52" s="46"/>
      <c r="E52" s="46"/>
      <c r="F52" s="339" t="s">
        <v>86</v>
      </c>
      <c r="G52" s="427">
        <v>0.25</v>
      </c>
      <c r="H52" s="428"/>
      <c r="I52" s="429"/>
      <c r="J52" s="95"/>
      <c r="K52" s="332">
        <v>0.25</v>
      </c>
      <c r="L52" s="95"/>
      <c r="M52" s="94">
        <v>0.25</v>
      </c>
      <c r="N52" s="95"/>
      <c r="O52" s="94">
        <v>0.25</v>
      </c>
      <c r="P52" s="93"/>
      <c r="Q52" s="92"/>
      <c r="R52" s="91"/>
    </row>
    <row r="53" spans="2:18" ht="39" customHeight="1" x14ac:dyDescent="0.3">
      <c r="B53" s="46"/>
      <c r="C53" s="46"/>
      <c r="D53" s="46"/>
      <c r="E53" s="46"/>
      <c r="F53" s="339" t="s">
        <v>87</v>
      </c>
      <c r="G53" s="482">
        <v>0.8</v>
      </c>
      <c r="H53" s="483"/>
      <c r="I53" s="484"/>
      <c r="J53" s="90"/>
      <c r="K53" s="337">
        <v>0.8</v>
      </c>
      <c r="L53" s="90"/>
      <c r="M53" s="89">
        <v>0.8</v>
      </c>
      <c r="N53" s="90"/>
      <c r="O53" s="89">
        <v>0.8</v>
      </c>
      <c r="P53" s="88"/>
      <c r="Q53" s="87"/>
      <c r="R53" s="86"/>
    </row>
    <row r="54" spans="2:18" ht="39" customHeight="1" x14ac:dyDescent="0.3">
      <c r="B54" s="46"/>
      <c r="C54" s="46"/>
      <c r="D54" s="46"/>
      <c r="E54" s="46"/>
      <c r="F54" s="339" t="s">
        <v>88</v>
      </c>
      <c r="G54" s="485">
        <v>100</v>
      </c>
      <c r="H54" s="486"/>
      <c r="I54" s="487"/>
      <c r="J54" s="85"/>
      <c r="K54" s="338">
        <v>100</v>
      </c>
      <c r="L54" s="85"/>
      <c r="M54" s="84">
        <v>100</v>
      </c>
      <c r="N54" s="85"/>
      <c r="O54" s="84">
        <v>100</v>
      </c>
      <c r="P54" s="83"/>
      <c r="Q54" s="82"/>
      <c r="R54" s="81"/>
    </row>
    <row r="55" spans="2:18" ht="39" customHeight="1" x14ac:dyDescent="0.3">
      <c r="B55" s="46"/>
      <c r="C55" s="46"/>
      <c r="D55" s="46"/>
      <c r="E55" s="46"/>
      <c r="F55" s="339" t="s">
        <v>89</v>
      </c>
      <c r="G55" s="488">
        <v>0.04</v>
      </c>
      <c r="H55" s="489"/>
      <c r="I55" s="490"/>
      <c r="J55" s="222"/>
      <c r="K55" s="224">
        <v>0.04</v>
      </c>
      <c r="L55" s="222"/>
      <c r="M55" s="224">
        <v>0.04</v>
      </c>
      <c r="N55" s="222"/>
      <c r="O55" s="224">
        <v>0.04</v>
      </c>
      <c r="P55" s="223"/>
      <c r="Q55" s="82"/>
      <c r="R55" s="81"/>
    </row>
    <row r="56" spans="2:18" ht="7.95" customHeight="1" x14ac:dyDescent="0.3">
      <c r="B56" s="46"/>
      <c r="C56" s="46"/>
      <c r="D56" s="46"/>
      <c r="E56" s="46"/>
      <c r="F56" s="80"/>
      <c r="G56" s="46"/>
      <c r="H56" s="46"/>
      <c r="I56" s="46"/>
      <c r="J56" s="46"/>
      <c r="K56" s="46"/>
      <c r="L56" s="46"/>
      <c r="M56" s="46"/>
      <c r="N56" s="46"/>
      <c r="O56" s="80"/>
      <c r="P56" s="80"/>
      <c r="Q56" s="46"/>
    </row>
    <row r="57" spans="2:18" ht="45" customHeight="1" x14ac:dyDescent="0.3">
      <c r="B57" s="46"/>
      <c r="C57" s="46"/>
      <c r="D57" s="46"/>
      <c r="E57" s="46"/>
      <c r="F57" s="405" t="s">
        <v>90</v>
      </c>
      <c r="G57" s="405"/>
      <c r="H57" s="405"/>
      <c r="I57" s="405"/>
      <c r="J57" s="405"/>
      <c r="K57" s="405"/>
      <c r="L57" s="405"/>
      <c r="M57" s="405"/>
      <c r="N57" s="405"/>
      <c r="O57" s="405"/>
      <c r="P57" s="79"/>
      <c r="Q57" s="78"/>
      <c r="R57" s="76"/>
    </row>
    <row r="58" spans="2:18" ht="7.95" customHeight="1" x14ac:dyDescent="0.3">
      <c r="B58" s="46"/>
      <c r="C58" s="46"/>
      <c r="D58" s="46"/>
      <c r="E58" s="46"/>
      <c r="F58" s="77"/>
      <c r="G58" s="77"/>
      <c r="H58" s="77"/>
      <c r="I58" s="77"/>
      <c r="J58" s="77"/>
      <c r="K58" s="77"/>
      <c r="L58" s="77"/>
      <c r="M58" s="46"/>
      <c r="N58" s="46"/>
      <c r="O58" s="77"/>
      <c r="P58" s="77"/>
      <c r="Q58" s="77"/>
      <c r="R58" s="76"/>
    </row>
    <row r="59" spans="2:18" ht="52.2" customHeight="1" x14ac:dyDescent="0.3">
      <c r="B59" s="46"/>
      <c r="C59" s="46"/>
      <c r="D59" s="46"/>
      <c r="E59" s="46"/>
      <c r="F59" s="339" t="s">
        <v>91</v>
      </c>
      <c r="G59" s="472">
        <v>0</v>
      </c>
      <c r="H59" s="473"/>
      <c r="I59" s="474"/>
      <c r="J59" s="74"/>
      <c r="K59" s="73">
        <v>0</v>
      </c>
      <c r="L59" s="74"/>
      <c r="M59" s="75">
        <v>0</v>
      </c>
      <c r="N59" s="74"/>
      <c r="O59" s="73">
        <v>0</v>
      </c>
      <c r="P59" s="72"/>
      <c r="Q59" s="71"/>
      <c r="R59" s="70"/>
    </row>
    <row r="60" spans="2:18" ht="25.2" customHeight="1" x14ac:dyDescent="0.3">
      <c r="B60" s="46"/>
      <c r="C60" s="46"/>
      <c r="D60" s="46"/>
      <c r="E60" s="46"/>
      <c r="F60" s="340" t="s">
        <v>21</v>
      </c>
      <c r="G60" s="475"/>
      <c r="H60" s="476"/>
      <c r="I60" s="477"/>
      <c r="J60" s="69"/>
      <c r="K60" s="241"/>
      <c r="L60" s="69"/>
      <c r="M60" s="241"/>
      <c r="N60" s="69"/>
      <c r="O60" s="241"/>
      <c r="P60" s="68"/>
      <c r="Q60" s="67"/>
      <c r="R60" s="66"/>
    </row>
    <row r="61" spans="2:18" ht="25.2" customHeight="1" x14ac:dyDescent="0.3">
      <c r="B61" s="46"/>
      <c r="C61" s="46"/>
      <c r="D61" s="46"/>
      <c r="E61" s="46"/>
      <c r="F61" s="244" t="s">
        <v>92</v>
      </c>
      <c r="G61" s="465">
        <v>1</v>
      </c>
      <c r="H61" s="466"/>
      <c r="I61" s="467"/>
      <c r="J61" s="69"/>
      <c r="K61" s="243">
        <v>1</v>
      </c>
      <c r="L61" s="69"/>
      <c r="M61" s="243">
        <v>1</v>
      </c>
      <c r="N61" s="69"/>
      <c r="O61" s="243">
        <v>1</v>
      </c>
      <c r="P61" s="68"/>
      <c r="Q61" s="67"/>
      <c r="R61" s="66"/>
    </row>
    <row r="62" spans="2:18" ht="25.2" customHeight="1" x14ac:dyDescent="0.3">
      <c r="B62" s="46"/>
      <c r="C62" s="46"/>
      <c r="D62" s="46"/>
      <c r="E62" s="46"/>
      <c r="F62" s="244" t="s">
        <v>93</v>
      </c>
      <c r="G62" s="465">
        <v>1</v>
      </c>
      <c r="H62" s="466"/>
      <c r="I62" s="467"/>
      <c r="J62" s="69"/>
      <c r="K62" s="243">
        <v>1</v>
      </c>
      <c r="L62" s="69"/>
      <c r="M62" s="243">
        <v>1</v>
      </c>
      <c r="N62" s="69"/>
      <c r="O62" s="243">
        <v>1</v>
      </c>
      <c r="P62" s="68"/>
      <c r="Q62" s="67"/>
      <c r="R62" s="66"/>
    </row>
    <row r="63" spans="2:18" ht="25.2" customHeight="1" x14ac:dyDescent="0.3">
      <c r="B63" s="46"/>
      <c r="C63" s="46"/>
      <c r="D63" s="46"/>
      <c r="E63" s="46"/>
      <c r="F63" s="244" t="s">
        <v>94</v>
      </c>
      <c r="G63" s="465">
        <v>1</v>
      </c>
      <c r="H63" s="466"/>
      <c r="I63" s="467"/>
      <c r="J63" s="69"/>
      <c r="K63" s="243">
        <v>1</v>
      </c>
      <c r="L63" s="69"/>
      <c r="M63" s="243">
        <v>1</v>
      </c>
      <c r="N63" s="69"/>
      <c r="O63" s="243">
        <v>1</v>
      </c>
      <c r="P63" s="68"/>
      <c r="Q63" s="67"/>
      <c r="R63" s="66"/>
    </row>
    <row r="64" spans="2:18" ht="20.25" customHeight="1" x14ac:dyDescent="0.3">
      <c r="B64" s="46"/>
      <c r="C64" s="46"/>
      <c r="D64" s="46"/>
      <c r="E64" s="46"/>
      <c r="F64" s="256" t="s">
        <v>95</v>
      </c>
      <c r="G64" s="468"/>
      <c r="H64" s="469"/>
      <c r="I64" s="470"/>
      <c r="J64" s="69"/>
      <c r="K64" s="242"/>
      <c r="L64" s="69"/>
      <c r="M64" s="242"/>
      <c r="N64" s="69"/>
      <c r="O64" s="242"/>
      <c r="P64" s="68"/>
      <c r="Q64" s="67"/>
      <c r="R64" s="66"/>
    </row>
    <row r="65" spans="2:18" ht="18.45" customHeight="1" x14ac:dyDescent="0.3">
      <c r="B65" s="46"/>
      <c r="C65" s="46"/>
      <c r="D65" s="46"/>
      <c r="E65" s="46"/>
      <c r="F65" s="46"/>
      <c r="G65" s="232"/>
      <c r="H65" s="232"/>
      <c r="I65" s="232"/>
      <c r="J65" s="233"/>
      <c r="K65" s="232"/>
      <c r="L65" s="233"/>
      <c r="M65" s="232"/>
      <c r="N65" s="233"/>
      <c r="O65" s="232"/>
      <c r="P65" s="46"/>
      <c r="Q65" s="63"/>
      <c r="R65" s="59"/>
    </row>
    <row r="66" spans="2:18" ht="60" customHeight="1" x14ac:dyDescent="0.3">
      <c r="B66" s="46"/>
      <c r="C66" s="46"/>
      <c r="D66" s="46"/>
      <c r="E66" s="65"/>
      <c r="F66" s="437" t="s">
        <v>23</v>
      </c>
      <c r="G66" s="437"/>
      <c r="H66" s="437"/>
      <c r="I66" s="437"/>
      <c r="J66" s="437"/>
      <c r="K66" s="437"/>
      <c r="L66" s="437"/>
      <c r="M66" s="437"/>
      <c r="N66" s="437"/>
      <c r="O66" s="437"/>
      <c r="P66" s="64"/>
      <c r="Q66" s="63"/>
      <c r="R66" s="59"/>
    </row>
    <row r="67" spans="2:18" ht="31.95" customHeight="1" x14ac:dyDescent="0.4">
      <c r="B67" s="46"/>
      <c r="C67" s="46"/>
      <c r="D67" s="46"/>
      <c r="E67" s="62"/>
      <c r="F67" s="438" t="s">
        <v>96</v>
      </c>
      <c r="G67" s="438"/>
      <c r="H67" s="438"/>
      <c r="I67" s="438"/>
      <c r="J67" s="438"/>
      <c r="K67" s="438"/>
      <c r="L67" s="438"/>
      <c r="M67" s="438"/>
      <c r="N67" s="438"/>
      <c r="O67" s="438"/>
      <c r="P67" s="61"/>
      <c r="Q67" s="60"/>
      <c r="R67" s="59"/>
    </row>
    <row r="68" spans="2:18" ht="7.95" hidden="1" customHeight="1" outlineLevel="1" x14ac:dyDescent="0.3">
      <c r="B68" s="46"/>
      <c r="C68" s="46"/>
      <c r="D68" s="46"/>
      <c r="E68" s="46"/>
      <c r="F68" s="57"/>
      <c r="G68" s="56"/>
      <c r="H68" s="56"/>
      <c r="I68" s="56"/>
      <c r="J68" s="56"/>
      <c r="K68" s="58"/>
      <c r="L68" s="56"/>
      <c r="M68" s="46"/>
      <c r="N68" s="46"/>
      <c r="O68" s="57"/>
      <c r="P68" s="57"/>
      <c r="Q68" s="56"/>
      <c r="R68" s="55"/>
    </row>
    <row r="69" spans="2:18" ht="24" hidden="1" customHeight="1" outlineLevel="1" x14ac:dyDescent="0.3">
      <c r="B69" s="46"/>
      <c r="C69" s="46"/>
      <c r="D69" s="46"/>
      <c r="E69" s="46"/>
      <c r="F69" s="434" t="s">
        <v>97</v>
      </c>
      <c r="G69" s="435"/>
      <c r="H69" s="435"/>
      <c r="I69" s="435"/>
      <c r="J69" s="435"/>
      <c r="K69" s="435"/>
      <c r="L69" s="435"/>
      <c r="M69" s="435"/>
      <c r="N69" s="435"/>
      <c r="O69" s="436"/>
      <c r="P69" s="54"/>
      <c r="Q69" s="56"/>
      <c r="R69" s="55"/>
    </row>
    <row r="70" spans="2:18" ht="7.95" hidden="1" customHeight="1" outlineLevel="1" x14ac:dyDescent="0.3">
      <c r="B70" s="46"/>
      <c r="C70" s="46"/>
      <c r="D70" s="46"/>
      <c r="E70" s="46"/>
      <c r="F70" s="57"/>
      <c r="G70" s="56"/>
      <c r="H70" s="56"/>
      <c r="I70" s="56"/>
      <c r="J70" s="56"/>
      <c r="K70" s="58"/>
      <c r="L70" s="56"/>
      <c r="M70" s="46"/>
      <c r="N70" s="46"/>
      <c r="O70" s="57"/>
      <c r="P70" s="57"/>
      <c r="Q70" s="56"/>
      <c r="R70" s="55"/>
    </row>
    <row r="71" spans="2:18" ht="50.7" hidden="1" customHeight="1" outlineLevel="1" x14ac:dyDescent="0.3">
      <c r="B71" s="46"/>
      <c r="C71" s="46"/>
      <c r="D71" s="46"/>
      <c r="E71" s="46"/>
      <c r="F71" s="339" t="s">
        <v>98</v>
      </c>
      <c r="G71" s="439">
        <v>0.2</v>
      </c>
      <c r="H71" s="440"/>
      <c r="I71" s="441"/>
      <c r="J71" s="49"/>
      <c r="K71" s="48">
        <v>0.3</v>
      </c>
      <c r="L71" s="49"/>
      <c r="M71" s="48">
        <v>0.25</v>
      </c>
      <c r="N71" s="49"/>
      <c r="O71" s="48">
        <v>0.25</v>
      </c>
      <c r="P71" s="50"/>
      <c r="Q71" s="46"/>
    </row>
    <row r="72" spans="2:18" ht="7.95" hidden="1" customHeight="1" outlineLevel="1" x14ac:dyDescent="0.3">
      <c r="B72" s="46"/>
      <c r="C72" s="46"/>
      <c r="D72" s="46"/>
      <c r="E72" s="46"/>
      <c r="F72" s="46"/>
      <c r="G72" s="46"/>
      <c r="H72" s="46"/>
      <c r="I72" s="46"/>
      <c r="J72" s="46"/>
      <c r="K72" s="46"/>
      <c r="L72" s="46"/>
      <c r="M72" s="46"/>
      <c r="N72" s="46"/>
      <c r="O72" s="46"/>
      <c r="P72" s="46"/>
      <c r="Q72" s="46"/>
    </row>
    <row r="73" spans="2:18" ht="24" hidden="1" customHeight="1" outlineLevel="1" x14ac:dyDescent="0.3">
      <c r="B73" s="46"/>
      <c r="C73" s="46"/>
      <c r="D73" s="46"/>
      <c r="E73" s="46"/>
      <c r="F73" s="434" t="s">
        <v>99</v>
      </c>
      <c r="G73" s="435"/>
      <c r="H73" s="435"/>
      <c r="I73" s="435"/>
      <c r="J73" s="435"/>
      <c r="K73" s="435"/>
      <c r="L73" s="435"/>
      <c r="M73" s="435"/>
      <c r="N73" s="435"/>
      <c r="O73" s="436"/>
      <c r="P73" s="54"/>
      <c r="Q73" s="46"/>
    </row>
    <row r="74" spans="2:18" ht="7.95" hidden="1" customHeight="1" outlineLevel="1" x14ac:dyDescent="0.3">
      <c r="B74" s="46"/>
      <c r="C74" s="46"/>
      <c r="D74" s="46"/>
      <c r="E74" s="46"/>
      <c r="F74" s="46"/>
      <c r="G74" s="46"/>
      <c r="H74" s="46"/>
      <c r="I74" s="46"/>
      <c r="J74" s="46"/>
      <c r="K74" s="46"/>
      <c r="L74" s="46"/>
      <c r="M74" s="46"/>
      <c r="N74" s="46"/>
      <c r="O74" s="46"/>
      <c r="P74" s="46"/>
      <c r="Q74" s="46"/>
    </row>
    <row r="75" spans="2:18" ht="50.7" hidden="1" customHeight="1" outlineLevel="1" x14ac:dyDescent="0.3">
      <c r="B75" s="46"/>
      <c r="C75" s="46"/>
      <c r="D75" s="46"/>
      <c r="E75" s="46"/>
      <c r="F75" s="339" t="s">
        <v>98</v>
      </c>
      <c r="G75" s="439">
        <v>0.2</v>
      </c>
      <c r="H75" s="440"/>
      <c r="I75" s="441"/>
      <c r="J75" s="49"/>
      <c r="K75" s="48">
        <v>0.3</v>
      </c>
      <c r="L75" s="49"/>
      <c r="M75" s="48">
        <v>0.5</v>
      </c>
      <c r="N75" s="49"/>
      <c r="O75" s="48">
        <v>0</v>
      </c>
      <c r="P75" s="50"/>
      <c r="Q75" s="46"/>
    </row>
    <row r="76" spans="2:18" ht="7.95" hidden="1" customHeight="1" outlineLevel="1" x14ac:dyDescent="0.3">
      <c r="B76" s="46"/>
      <c r="C76" s="46"/>
      <c r="D76" s="46"/>
      <c r="E76" s="46"/>
      <c r="F76" s="53"/>
      <c r="G76" s="52"/>
      <c r="H76" s="52"/>
      <c r="I76" s="52"/>
      <c r="J76" s="51"/>
      <c r="K76" s="50"/>
      <c r="L76" s="51"/>
      <c r="M76" s="50"/>
      <c r="N76" s="51"/>
      <c r="O76" s="50"/>
      <c r="P76" s="50"/>
      <c r="Q76" s="46"/>
    </row>
    <row r="77" spans="2:18" ht="24" hidden="1" customHeight="1" outlineLevel="1" x14ac:dyDescent="0.3">
      <c r="B77" s="46"/>
      <c r="C77" s="46"/>
      <c r="D77" s="46"/>
      <c r="E77" s="46"/>
      <c r="F77" s="434" t="s">
        <v>100</v>
      </c>
      <c r="G77" s="435"/>
      <c r="H77" s="435"/>
      <c r="I77" s="435"/>
      <c r="J77" s="435"/>
      <c r="K77" s="435"/>
      <c r="L77" s="435"/>
      <c r="M77" s="435"/>
      <c r="N77" s="435"/>
      <c r="O77" s="436"/>
      <c r="P77" s="54"/>
      <c r="Q77" s="46"/>
    </row>
    <row r="78" spans="2:18" ht="7.95" hidden="1" customHeight="1" outlineLevel="1" x14ac:dyDescent="0.3">
      <c r="B78" s="46"/>
      <c r="C78" s="46"/>
      <c r="D78" s="46"/>
      <c r="E78" s="46"/>
      <c r="F78" s="53"/>
      <c r="G78" s="52"/>
      <c r="H78" s="52"/>
      <c r="I78" s="52"/>
      <c r="J78" s="51"/>
      <c r="K78" s="50"/>
      <c r="L78" s="51"/>
      <c r="M78" s="50"/>
      <c r="N78" s="51"/>
      <c r="O78" s="50"/>
      <c r="P78" s="50"/>
      <c r="Q78" s="46"/>
    </row>
    <row r="79" spans="2:18" ht="50.7" hidden="1" customHeight="1" outlineLevel="1" x14ac:dyDescent="0.3">
      <c r="B79" s="46"/>
      <c r="C79" s="46"/>
      <c r="D79" s="46"/>
      <c r="E79" s="46"/>
      <c r="F79" s="339" t="s">
        <v>98</v>
      </c>
      <c r="G79" s="439">
        <v>0.5</v>
      </c>
      <c r="H79" s="440"/>
      <c r="I79" s="441"/>
      <c r="J79" s="49"/>
      <c r="K79" s="48">
        <v>0</v>
      </c>
      <c r="L79" s="49"/>
      <c r="M79" s="48">
        <v>0.5</v>
      </c>
      <c r="N79" s="49"/>
      <c r="O79" s="48">
        <v>0</v>
      </c>
      <c r="P79" s="50"/>
      <c r="Q79" s="46"/>
    </row>
    <row r="80" spans="2:18" ht="28.2" hidden="1" customHeight="1" outlineLevel="1" x14ac:dyDescent="0.3">
      <c r="B80" s="46"/>
      <c r="C80" s="46"/>
      <c r="D80" s="46"/>
      <c r="E80" s="46"/>
      <c r="F80" s="433" t="s">
        <v>101</v>
      </c>
      <c r="G80" s="433"/>
      <c r="H80" s="433"/>
      <c r="I80" s="433"/>
      <c r="J80" s="433"/>
      <c r="K80" s="433"/>
      <c r="L80" s="433"/>
      <c r="M80" s="433"/>
      <c r="N80" s="433"/>
      <c r="O80" s="433"/>
      <c r="P80" s="47"/>
      <c r="Q80" s="46"/>
    </row>
    <row r="81" spans="6:16" ht="14.7" customHeight="1" collapsed="1" x14ac:dyDescent="0.3">
      <c r="F81" s="45"/>
      <c r="G81" s="44"/>
      <c r="H81" s="44"/>
      <c r="I81" s="44"/>
      <c r="J81" s="43"/>
      <c r="K81" s="42"/>
      <c r="L81" s="43"/>
      <c r="M81" s="42"/>
      <c r="N81" s="43"/>
      <c r="O81" s="42"/>
      <c r="P81" s="42"/>
    </row>
    <row r="82" spans="6:16" ht="19.95" customHeight="1" x14ac:dyDescent="0.3"/>
    <row r="83" spans="6:16" ht="19.95" customHeight="1" x14ac:dyDescent="0.3"/>
    <row r="84" spans="6:16" ht="19.95" customHeight="1" x14ac:dyDescent="0.3"/>
    <row r="85" spans="6:16" ht="19.95" customHeight="1" x14ac:dyDescent="0.3"/>
    <row r="86" spans="6:16" ht="19.95" customHeight="1" x14ac:dyDescent="0.3"/>
    <row r="87" spans="6:16" ht="19.95" customHeight="1" x14ac:dyDescent="0.3"/>
    <row r="88" spans="6:16" ht="19.95" customHeight="1" x14ac:dyDescent="0.3"/>
    <row r="89" spans="6:16" ht="19.95" customHeight="1" x14ac:dyDescent="0.3"/>
    <row r="90" spans="6:16" ht="19.95" customHeight="1" x14ac:dyDescent="0.3"/>
    <row r="91" spans="6:16" ht="19.95" customHeight="1" x14ac:dyDescent="0.3"/>
    <row r="92" spans="6:16" ht="28.95" customHeight="1" x14ac:dyDescent="0.3"/>
    <row r="93" spans="6:16" ht="19.95" customHeight="1" x14ac:dyDescent="0.3"/>
    <row r="94" spans="6:16" ht="19.95" customHeight="1" x14ac:dyDescent="0.3"/>
    <row r="95" spans="6:16" ht="19.95" customHeight="1" x14ac:dyDescent="0.3"/>
    <row r="96" spans="6:16" ht="19.95" customHeight="1" x14ac:dyDescent="0.3"/>
    <row r="97" ht="19.95" customHeight="1" x14ac:dyDescent="0.3"/>
    <row r="98" ht="19.95" customHeight="1" x14ac:dyDescent="0.3"/>
    <row r="99" ht="19.95" customHeight="1" x14ac:dyDescent="0.3"/>
    <row r="100" ht="19.95" customHeight="1" x14ac:dyDescent="0.3"/>
    <row r="101" ht="19.95" customHeight="1" x14ac:dyDescent="0.3"/>
    <row r="102" ht="19.95" customHeight="1" x14ac:dyDescent="0.3"/>
    <row r="103" ht="18" customHeight="1" x14ac:dyDescent="0.3"/>
    <row r="104" ht="25.2" customHeight="1" x14ac:dyDescent="0.3"/>
    <row r="105" ht="18" customHeight="1" x14ac:dyDescent="0.3"/>
    <row r="107" ht="19.95" customHeight="1" x14ac:dyDescent="0.3"/>
    <row r="108" ht="19.95" customHeight="1" x14ac:dyDescent="0.3"/>
    <row r="109" ht="19.95" customHeight="1" x14ac:dyDescent="0.3"/>
    <row r="110" ht="19.95" customHeight="1" x14ac:dyDescent="0.3"/>
    <row r="111" ht="19.95" customHeight="1" x14ac:dyDescent="0.3"/>
    <row r="112" ht="19.95" customHeight="1" x14ac:dyDescent="0.3"/>
    <row r="113" ht="19.95" customHeight="1" x14ac:dyDescent="0.3"/>
    <row r="114" ht="19.95" customHeight="1" x14ac:dyDescent="0.3"/>
    <row r="115" ht="19.95" customHeight="1" x14ac:dyDescent="0.3"/>
    <row r="116" ht="19.95" customHeight="1" x14ac:dyDescent="0.3"/>
    <row r="118" ht="19.95" customHeight="1" x14ac:dyDescent="0.3"/>
    <row r="119" ht="19.95" customHeight="1" x14ac:dyDescent="0.3"/>
    <row r="120" ht="19.95" customHeight="1" x14ac:dyDescent="0.3"/>
    <row r="121" ht="19.95" customHeight="1" x14ac:dyDescent="0.3"/>
    <row r="122" ht="19.95" customHeight="1" x14ac:dyDescent="0.3"/>
    <row r="123" ht="19.95" customHeight="1" x14ac:dyDescent="0.3"/>
    <row r="124" ht="19.95" customHeight="1" x14ac:dyDescent="0.3"/>
    <row r="125" ht="19.95" customHeight="1" x14ac:dyDescent="0.3"/>
    <row r="126" ht="19.95" customHeight="1" x14ac:dyDescent="0.3"/>
    <row r="127" ht="19.95" customHeight="1" x14ac:dyDescent="0.3"/>
    <row r="129" ht="25.2" customHeight="1" x14ac:dyDescent="0.3"/>
    <row r="131" ht="36" customHeight="1" x14ac:dyDescent="0.3"/>
    <row r="132" ht="19.95" customHeight="1" x14ac:dyDescent="0.3"/>
    <row r="133" ht="19.95" customHeight="1" x14ac:dyDescent="0.3"/>
    <row r="134" ht="19.95" customHeight="1" x14ac:dyDescent="0.3"/>
    <row r="135" ht="19.95" customHeight="1" x14ac:dyDescent="0.3"/>
    <row r="136" ht="19.95" customHeight="1" x14ac:dyDescent="0.3"/>
    <row r="137" ht="19.95" customHeight="1" x14ac:dyDescent="0.3"/>
    <row r="138" ht="19.95" customHeight="1" x14ac:dyDescent="0.3"/>
    <row r="139" ht="19.95" customHeight="1" x14ac:dyDescent="0.3"/>
    <row r="140" ht="19.95" customHeight="1" x14ac:dyDescent="0.3"/>
    <row r="141" ht="19.95" customHeight="1" x14ac:dyDescent="0.3"/>
    <row r="143" ht="19.95" customHeight="1" x14ac:dyDescent="0.3"/>
    <row r="144" ht="19.95" customHeight="1" x14ac:dyDescent="0.3"/>
    <row r="145" ht="19.95" customHeight="1" x14ac:dyDescent="0.3"/>
    <row r="146" ht="19.95" customHeight="1" x14ac:dyDescent="0.3"/>
    <row r="147" ht="19.95" customHeight="1" x14ac:dyDescent="0.3"/>
    <row r="148" ht="19.95" customHeight="1" x14ac:dyDescent="0.3"/>
    <row r="149" ht="19.95" customHeight="1" x14ac:dyDescent="0.3"/>
    <row r="150" ht="19.95" customHeight="1" x14ac:dyDescent="0.3"/>
    <row r="151" ht="19.95" customHeight="1" x14ac:dyDescent="0.3"/>
    <row r="152" ht="19.95" customHeight="1" x14ac:dyDescent="0.3"/>
  </sheetData>
  <sheetProtection algorithmName="SHA-512" hashValue="VRSV9D9o19kiJwNKSmru04fyYntyWEh9C/LASPLe0r7VhKSQl16i01r5BfUg0fGF6aRLMdxjIZWv5XGRC0Tx4A==" saltValue="yXqScB9kkP6R2Cl681052A==" spinCount="100000" sheet="1" formatRows="0"/>
  <protectedRanges>
    <protectedRange sqref="A81:XFD81" name="Range2"/>
    <protectedRange sqref="A68:XFD68" name="Range1"/>
  </protectedRanges>
  <mergeCells count="77">
    <mergeCell ref="B2:Q2"/>
    <mergeCell ref="D6:O6"/>
    <mergeCell ref="G59:I59"/>
    <mergeCell ref="G60:I60"/>
    <mergeCell ref="G75:I75"/>
    <mergeCell ref="G43:I43"/>
    <mergeCell ref="G42:I42"/>
    <mergeCell ref="G53:I53"/>
    <mergeCell ref="G54:I54"/>
    <mergeCell ref="G55:I55"/>
    <mergeCell ref="G33:I33"/>
    <mergeCell ref="G34:I34"/>
    <mergeCell ref="G35:I35"/>
    <mergeCell ref="G39:I39"/>
    <mergeCell ref="G40:I40"/>
    <mergeCell ref="G12:I12"/>
    <mergeCell ref="G61:I61"/>
    <mergeCell ref="G62:I62"/>
    <mergeCell ref="G63:I63"/>
    <mergeCell ref="G64:I64"/>
    <mergeCell ref="G71:I71"/>
    <mergeCell ref="G25:I25"/>
    <mergeCell ref="G13:I13"/>
    <mergeCell ref="G26:I26"/>
    <mergeCell ref="G8:I8"/>
    <mergeCell ref="G9:I9"/>
    <mergeCell ref="G10:I10"/>
    <mergeCell ref="G11:I11"/>
    <mergeCell ref="K15:O15"/>
    <mergeCell ref="K26:O26"/>
    <mergeCell ref="K28:O28"/>
    <mergeCell ref="K29:O29"/>
    <mergeCell ref="K31:O31"/>
    <mergeCell ref="K16:O16"/>
    <mergeCell ref="K19:O19"/>
    <mergeCell ref="K18:O18"/>
    <mergeCell ref="K30:O30"/>
    <mergeCell ref="K24:O24"/>
    <mergeCell ref="K27:O27"/>
    <mergeCell ref="F4:O4"/>
    <mergeCell ref="F37:O37"/>
    <mergeCell ref="K8:O8"/>
    <mergeCell ref="K9:O9"/>
    <mergeCell ref="K13:O13"/>
    <mergeCell ref="K23:O23"/>
    <mergeCell ref="K33:O33"/>
    <mergeCell ref="K34:O34"/>
    <mergeCell ref="K35:O35"/>
    <mergeCell ref="K17:O17"/>
    <mergeCell ref="K32:O32"/>
    <mergeCell ref="K20:O20"/>
    <mergeCell ref="K21:O21"/>
    <mergeCell ref="K22:O22"/>
    <mergeCell ref="G27:I27"/>
    <mergeCell ref="G28:I28"/>
    <mergeCell ref="F80:O80"/>
    <mergeCell ref="F77:O77"/>
    <mergeCell ref="F66:O66"/>
    <mergeCell ref="F69:O69"/>
    <mergeCell ref="F73:O73"/>
    <mergeCell ref="F67:O67"/>
    <mergeCell ref="G79:I79"/>
    <mergeCell ref="G29:I29"/>
    <mergeCell ref="P44:Q44"/>
    <mergeCell ref="F57:O57"/>
    <mergeCell ref="G44:I44"/>
    <mergeCell ref="G45:I45"/>
    <mergeCell ref="G46:I46"/>
    <mergeCell ref="G47:I47"/>
    <mergeCell ref="G48:I48"/>
    <mergeCell ref="G49:I49"/>
    <mergeCell ref="G50:I50"/>
    <mergeCell ref="G51:I51"/>
    <mergeCell ref="G52:I52"/>
    <mergeCell ref="G30:I30"/>
    <mergeCell ref="G31:I31"/>
    <mergeCell ref="G32:I32"/>
  </mergeCells>
  <hyperlinks>
    <hyperlink ref="F64" r:id="rId1" xr:uid="{ADAC4FE8-4F70-426A-99A6-F84A3D8EAE52}"/>
  </hyperlinks>
  <printOptions horizontalCentered="1" verticalCentered="1"/>
  <pageMargins left="0.25" right="0.25" top="0.75" bottom="0.75" header="0.3" footer="0.3"/>
  <pageSetup scale="70" orientation="landscape" r:id="rId2"/>
  <rowBreaks count="4" manualBreakCount="4">
    <brk id="35" min="4" max="14" man="1"/>
    <brk id="43" min="4" max="14" man="1"/>
    <brk id="64" min="4" max="13" man="1"/>
    <brk id="130" max="16383" man="1"/>
  </rowBreaks>
  <ignoredErrors>
    <ignoredError sqref="G26 G1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C6AB85C-DE0E-4E96-A382-15160659D437}">
          <x14:formula1>
            <xm:f>Data!$B$15:$B$35</xm:f>
          </x14:formula1>
          <xm:sqref>K71 O79 M79 K79 G75 O75 M75 K75 G71 O71 M71 G79</xm:sqref>
        </x14:dataValidation>
        <x14:dataValidation type="list" allowBlank="1" showInputMessage="1" showErrorMessage="1" xr:uid="{7D635E66-60DC-492C-BEBE-5A0171D9CD77}">
          <x14:formula1>
            <xm:f>Data!$A$3:$A$7</xm:f>
          </x14:formula1>
          <xm:sqref>G40 M40 K40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00FD-BE23-4E55-B0C3-A1AF1E1FA508}">
  <sheetPr codeName="Sheet4">
    <tabColor theme="1"/>
  </sheetPr>
  <dimension ref="B1:O38"/>
  <sheetViews>
    <sheetView showGridLines="0" zoomScaleNormal="100" workbookViewId="0"/>
  </sheetViews>
  <sheetFormatPr defaultColWidth="8.6640625" defaultRowHeight="13.8" outlineLevelRow="1" x14ac:dyDescent="0.25"/>
  <cols>
    <col min="1" max="1" width="1.6640625" style="283" customWidth="1"/>
    <col min="2" max="2" width="5.109375" style="283" customWidth="1"/>
    <col min="3" max="3" width="18.6640625" style="283" customWidth="1"/>
    <col min="4" max="4" width="12.6640625" style="283" customWidth="1"/>
    <col min="5" max="5" width="2.44140625" style="283" customWidth="1"/>
    <col min="6" max="6" width="20.44140625" style="283" customWidth="1"/>
    <col min="7" max="7" width="7" style="283" customWidth="1"/>
    <col min="8" max="8" width="20.44140625" style="283" customWidth="1"/>
    <col min="9" max="9" width="6.6640625" style="283" customWidth="1"/>
    <col min="10" max="10" width="20.44140625" style="283" customWidth="1"/>
    <col min="11" max="11" width="6.6640625" style="283" customWidth="1"/>
    <col min="12" max="12" width="20.44140625" style="283" customWidth="1"/>
    <col min="13" max="13" width="8.6640625" style="283" bestFit="1" customWidth="1"/>
    <col min="14" max="16384" width="8.6640625" style="283"/>
  </cols>
  <sheetData>
    <row r="1" spans="2:15" ht="7.95" customHeight="1" x14ac:dyDescent="0.25">
      <c r="B1" s="348"/>
      <c r="C1" s="348"/>
      <c r="D1" s="348"/>
      <c r="E1" s="348"/>
      <c r="F1" s="348"/>
      <c r="G1" s="348"/>
      <c r="H1" s="348"/>
      <c r="I1" s="348"/>
      <c r="J1" s="348"/>
      <c r="K1" s="348"/>
      <c r="L1" s="348"/>
      <c r="M1" s="348"/>
    </row>
    <row r="2" spans="2:15" ht="19.2" customHeight="1" x14ac:dyDescent="0.25">
      <c r="B2" s="471" t="s">
        <v>152</v>
      </c>
      <c r="C2" s="471"/>
      <c r="D2" s="471"/>
      <c r="E2" s="471"/>
      <c r="F2" s="471"/>
      <c r="G2" s="471"/>
      <c r="H2" s="471"/>
      <c r="I2" s="471"/>
      <c r="J2" s="471"/>
      <c r="K2" s="471"/>
      <c r="L2" s="471"/>
      <c r="M2" s="471"/>
    </row>
    <row r="3" spans="2:15" ht="7.95" customHeight="1" x14ac:dyDescent="0.25">
      <c r="B3" s="185"/>
      <c r="C3" s="500"/>
      <c r="D3" s="500"/>
      <c r="E3" s="500"/>
      <c r="F3" s="500"/>
      <c r="G3" s="500"/>
      <c r="H3" s="500"/>
      <c r="I3" s="500"/>
      <c r="J3" s="500"/>
      <c r="K3" s="500"/>
      <c r="L3" s="500"/>
      <c r="M3" s="500"/>
    </row>
    <row r="4" spans="2:15" ht="60" customHeight="1" x14ac:dyDescent="0.25">
      <c r="B4" s="185"/>
      <c r="C4" s="504" t="s">
        <v>102</v>
      </c>
      <c r="D4" s="504"/>
      <c r="E4" s="504"/>
      <c r="F4" s="504"/>
      <c r="G4" s="504"/>
      <c r="H4" s="504"/>
      <c r="I4" s="504"/>
      <c r="J4" s="504"/>
      <c r="K4" s="504"/>
      <c r="L4" s="504"/>
      <c r="M4" s="187"/>
    </row>
    <row r="5" spans="2:15" ht="7.95" customHeight="1" x14ac:dyDescent="0.25">
      <c r="B5" s="186"/>
      <c r="C5" s="186"/>
      <c r="D5" s="186"/>
      <c r="E5" s="186"/>
      <c r="F5" s="185"/>
      <c r="G5" s="185"/>
      <c r="H5" s="185"/>
      <c r="I5" s="185"/>
      <c r="J5" s="185"/>
      <c r="K5" s="185"/>
      <c r="L5" s="185"/>
      <c r="M5" s="184"/>
    </row>
    <row r="6" spans="2:15" ht="46.2" customHeight="1" x14ac:dyDescent="0.25">
      <c r="B6" s="499"/>
      <c r="C6" s="164"/>
      <c r="D6" s="164"/>
      <c r="E6" s="161"/>
      <c r="F6" s="231" t="s">
        <v>67</v>
      </c>
      <c r="G6" s="183"/>
      <c r="H6" s="230" t="s">
        <v>68</v>
      </c>
      <c r="I6" s="182"/>
      <c r="J6" s="230" t="s">
        <v>69</v>
      </c>
      <c r="K6" s="182"/>
      <c r="L6" s="231" t="s">
        <v>70</v>
      </c>
      <c r="M6" s="179"/>
    </row>
    <row r="7" spans="2:15" ht="7.95" customHeight="1" x14ac:dyDescent="0.25">
      <c r="B7" s="499"/>
      <c r="C7" s="164"/>
      <c r="D7" s="164"/>
      <c r="E7" s="161"/>
      <c r="F7" s="180"/>
      <c r="G7" s="180"/>
      <c r="H7" s="181"/>
      <c r="I7" s="181"/>
      <c r="J7" s="181"/>
      <c r="K7" s="181"/>
      <c r="L7" s="180"/>
      <c r="M7" s="179"/>
    </row>
    <row r="8" spans="2:15" ht="109.95" customHeight="1" x14ac:dyDescent="0.25">
      <c r="B8" s="499"/>
      <c r="C8" s="178"/>
      <c r="D8" s="164"/>
      <c r="E8" s="161"/>
      <c r="F8" s="339" t="str">
        <f>Results!F6</f>
        <v>CECOLIN 
2 valent, 1 dose/vial, liquid</v>
      </c>
      <c r="G8" s="284"/>
      <c r="H8" s="339" t="str">
        <f>Results!H6</f>
        <v>WALRINVAX 
2 valent, 1 dose/vial, liquid</v>
      </c>
      <c r="I8" s="284"/>
      <c r="J8" s="339" t="str">
        <f>Results!J6</f>
        <v>GARDASIL4
 4 valent, 1 dose/vial, liquid</v>
      </c>
      <c r="K8" s="284"/>
      <c r="L8" s="339" t="str">
        <f>Results!L6</f>
        <v>Fully customizable option - insert name here</v>
      </c>
      <c r="M8" s="285"/>
    </row>
    <row r="9" spans="2:15" ht="7.95" customHeight="1" x14ac:dyDescent="0.25">
      <c r="B9" s="286"/>
      <c r="C9" s="176"/>
      <c r="D9" s="176"/>
      <c r="E9" s="176"/>
      <c r="F9" s="177" t="s">
        <v>103</v>
      </c>
      <c r="G9" s="176"/>
      <c r="H9" s="175" t="s">
        <v>103</v>
      </c>
      <c r="I9" s="176"/>
      <c r="J9" s="175" t="s">
        <v>103</v>
      </c>
      <c r="K9" s="176"/>
      <c r="L9" s="175" t="s">
        <v>103</v>
      </c>
      <c r="M9" s="174"/>
      <c r="O9" s="287"/>
    </row>
    <row r="10" spans="2:15" s="290" customFormat="1" ht="40.200000000000003" customHeight="1" x14ac:dyDescent="0.25">
      <c r="B10" s="286"/>
      <c r="C10" s="502" t="s">
        <v>104</v>
      </c>
      <c r="D10" s="162" t="s">
        <v>105</v>
      </c>
      <c r="E10" s="171"/>
      <c r="F10" s="228">
        <f>Results!F19/1000000</f>
        <v>1.2990020037577892</v>
      </c>
      <c r="G10" s="288"/>
      <c r="H10" s="228">
        <f>Results!H19/1000000</f>
        <v>2.4108352475851578</v>
      </c>
      <c r="I10" s="288"/>
      <c r="J10" s="228">
        <f>Results!J19/1000000</f>
        <v>1.3687626252553333</v>
      </c>
      <c r="K10" s="288"/>
      <c r="L10" s="228">
        <f>IF(Dashboard!L8&lt;&gt;0, Results!L19/1000000," " )</f>
        <v>1.2990020037577892</v>
      </c>
      <c r="M10" s="289"/>
    </row>
    <row r="11" spans="2:15" s="290" customFormat="1" ht="40.200000000000003" customHeight="1" x14ac:dyDescent="0.25">
      <c r="B11" s="286"/>
      <c r="C11" s="503"/>
      <c r="D11" s="162" t="s">
        <v>106</v>
      </c>
      <c r="E11" s="171"/>
      <c r="F11" s="229">
        <f>F10/5</f>
        <v>0.25980040075155786</v>
      </c>
      <c r="G11" s="173"/>
      <c r="H11" s="229">
        <f>H10/5</f>
        <v>0.48216704951703154</v>
      </c>
      <c r="I11" s="288"/>
      <c r="J11" s="229">
        <f>J10/5</f>
        <v>0.27375252505106668</v>
      </c>
      <c r="K11" s="288"/>
      <c r="L11" s="229">
        <f>IF(Dashboard!L8&lt;&gt;0,L10/5, " ")</f>
        <v>0.25980040075155786</v>
      </c>
      <c r="M11" s="289"/>
    </row>
    <row r="12" spans="2:15" s="290" customFormat="1" ht="7.95" customHeight="1" x14ac:dyDescent="0.25">
      <c r="B12" s="286"/>
      <c r="C12" s="161"/>
      <c r="D12" s="163"/>
      <c r="E12" s="171"/>
      <c r="F12" s="172"/>
      <c r="G12" s="173"/>
      <c r="H12" s="172"/>
      <c r="I12" s="288"/>
      <c r="J12" s="172"/>
      <c r="K12" s="288"/>
      <c r="L12" s="172"/>
      <c r="M12" s="289"/>
    </row>
    <row r="13" spans="2:15" ht="72" customHeight="1" x14ac:dyDescent="0.25">
      <c r="B13" s="286"/>
      <c r="C13" s="339" t="s">
        <v>107</v>
      </c>
      <c r="D13" s="162" t="s">
        <v>106</v>
      </c>
      <c r="E13" s="171"/>
      <c r="F13" s="291">
        <f>AVERAGE(Results!F28:F32)/1000000</f>
        <v>3.7930858509727448</v>
      </c>
      <c r="G13" s="292"/>
      <c r="H13" s="291">
        <f>AVERAGE(Results!H28:H32)/1000000</f>
        <v>5.6895711843009718</v>
      </c>
      <c r="I13" s="170">
        <f>(H13-F13)/F13</f>
        <v>0.49998481654241211</v>
      </c>
      <c r="J13" s="291">
        <f>AVERAGE(Results!J28:J32)/1000000</f>
        <v>4.1062878757659993</v>
      </c>
      <c r="K13" s="170">
        <f>(J13-F13)/F13</f>
        <v>8.2571825974604093E-2</v>
      </c>
      <c r="L13" s="291">
        <f>IF(Dashboard!L8&lt;&gt;0,AVERAGE(Results!L28:L32)/1000000," ")</f>
        <v>3.8970060112733678</v>
      </c>
      <c r="M13" s="169">
        <f>(L13-F13)/F13</f>
        <v>2.7397260273972567E-2</v>
      </c>
    </row>
    <row r="14" spans="2:15" ht="7.95" customHeight="1" x14ac:dyDescent="0.25">
      <c r="B14" s="286"/>
      <c r="C14" s="164"/>
      <c r="D14" s="163"/>
      <c r="E14" s="171"/>
      <c r="F14" s="293"/>
      <c r="G14" s="292"/>
      <c r="H14" s="293"/>
      <c r="I14" s="294"/>
      <c r="J14" s="293"/>
      <c r="K14" s="170"/>
      <c r="L14" s="293"/>
      <c r="M14" s="169"/>
    </row>
    <row r="15" spans="2:15" ht="40.200000000000003" customHeight="1" x14ac:dyDescent="0.25">
      <c r="B15" s="286"/>
      <c r="C15" s="502" t="s">
        <v>108</v>
      </c>
      <c r="D15" s="162" t="s">
        <v>105</v>
      </c>
      <c r="E15" s="171"/>
      <c r="F15" s="291">
        <f>Results!F36/1000000</f>
        <v>6.6042296170644423</v>
      </c>
      <c r="G15" s="295"/>
      <c r="H15" s="291">
        <f>Results!H36/1000000</f>
        <v>12.258568761872905</v>
      </c>
      <c r="I15" s="170">
        <f>(H15-F15)/F15</f>
        <v>0.85616937518320224</v>
      </c>
      <c r="J15" s="291">
        <f>Results!J36/1000000</f>
        <v>6.9558231494120637</v>
      </c>
      <c r="K15" s="170">
        <f>(J15-F15)/F15</f>
        <v>5.3237629933270476E-2</v>
      </c>
      <c r="L15" s="291">
        <f>IF(Dashboard!L8&lt;&gt;0,Results!L36/1000000," ")</f>
        <v>6.6042296170644423</v>
      </c>
      <c r="M15" s="169">
        <f>(L15-F15)/F15</f>
        <v>0</v>
      </c>
    </row>
    <row r="16" spans="2:15" ht="40.200000000000003" customHeight="1" x14ac:dyDescent="0.25">
      <c r="B16" s="286"/>
      <c r="C16" s="503"/>
      <c r="D16" s="162" t="s">
        <v>106</v>
      </c>
      <c r="E16" s="171"/>
      <c r="F16" s="291">
        <f>F15/5</f>
        <v>1.3208459234128884</v>
      </c>
      <c r="G16" s="292"/>
      <c r="H16" s="291">
        <f>H15/5</f>
        <v>2.4517137523745811</v>
      </c>
      <c r="I16" s="170">
        <f>(H16-F16)/F16</f>
        <v>0.85616937518320235</v>
      </c>
      <c r="J16" s="291">
        <f>J15/5</f>
        <v>1.3911646298824127</v>
      </c>
      <c r="K16" s="170">
        <f>(J16-F16)/F16</f>
        <v>5.3237629933270511E-2</v>
      </c>
      <c r="L16" s="291">
        <f>IF(Dashboard!L8&lt;&gt;0,L15/5," ")</f>
        <v>1.3208459234128884</v>
      </c>
      <c r="M16" s="169">
        <f>(L16-F16)/F16</f>
        <v>0</v>
      </c>
    </row>
    <row r="17" spans="2:13" ht="7.95" customHeight="1" x14ac:dyDescent="0.25">
      <c r="B17" s="286"/>
      <c r="C17" s="161"/>
      <c r="D17" s="163"/>
      <c r="E17" s="171"/>
      <c r="F17" s="293"/>
      <c r="G17" s="292"/>
      <c r="H17" s="293"/>
      <c r="I17" s="294"/>
      <c r="J17" s="293"/>
      <c r="K17" s="170"/>
      <c r="L17" s="293"/>
      <c r="M17" s="169"/>
    </row>
    <row r="18" spans="2:13" ht="40.200000000000003" customHeight="1" x14ac:dyDescent="0.25">
      <c r="B18" s="286"/>
      <c r="C18" s="502" t="s">
        <v>109</v>
      </c>
      <c r="D18" s="162" t="s">
        <v>105</v>
      </c>
      <c r="E18" s="171"/>
      <c r="F18" s="291">
        <f>Results!F45/1000000</f>
        <v>7.8010393580570847</v>
      </c>
      <c r="G18" s="292"/>
      <c r="H18" s="291">
        <f>Results!H45/1000000</f>
        <v>14.515432117555916</v>
      </c>
      <c r="I18" s="170">
        <f>(H18-F18)/F18</f>
        <v>0.86070489473483536</v>
      </c>
      <c r="J18" s="291">
        <f>Results!J45/1000000</f>
        <v>8.1526328904047052</v>
      </c>
      <c r="K18" s="170">
        <f>(J18-F18)/F18</f>
        <v>4.5070088254905029E-2</v>
      </c>
      <c r="L18" s="291">
        <f>IF(Dashboard!L8&lt;&gt;0,Results!L45/1000000," ")</f>
        <v>7.8010393580570847</v>
      </c>
      <c r="M18" s="169">
        <f>(L18-F18)/F18</f>
        <v>0</v>
      </c>
    </row>
    <row r="19" spans="2:13" ht="40.200000000000003" customHeight="1" x14ac:dyDescent="0.25">
      <c r="B19" s="286"/>
      <c r="C19" s="503"/>
      <c r="D19" s="162" t="s">
        <v>106</v>
      </c>
      <c r="E19" s="171"/>
      <c r="F19" s="291">
        <f>F18/5</f>
        <v>1.5602078716114169</v>
      </c>
      <c r="G19" s="292"/>
      <c r="H19" s="291">
        <f>H18/5</f>
        <v>2.9030864235111831</v>
      </c>
      <c r="I19" s="170">
        <f>(H19-F19)/F19</f>
        <v>0.86070489473483536</v>
      </c>
      <c r="J19" s="291">
        <f>J18/5</f>
        <v>1.630526578080941</v>
      </c>
      <c r="K19" s="170">
        <f>(J19-F19)/F19</f>
        <v>4.5070088254905029E-2</v>
      </c>
      <c r="L19" s="291">
        <f>IF(Dashboard!L8&lt;&gt;0,L18/5," ")</f>
        <v>1.5602078716114169</v>
      </c>
      <c r="M19" s="169">
        <f>(L19-F19)/F19</f>
        <v>0</v>
      </c>
    </row>
    <row r="20" spans="2:13" ht="21" customHeight="1" x14ac:dyDescent="0.25">
      <c r="B20" s="286"/>
      <c r="C20" s="501" t="s">
        <v>110</v>
      </c>
      <c r="D20" s="501"/>
      <c r="E20" s="501"/>
      <c r="F20" s="501"/>
      <c r="G20" s="501"/>
      <c r="H20" s="501"/>
      <c r="I20" s="501"/>
      <c r="J20" s="501"/>
      <c r="K20" s="501"/>
      <c r="L20" s="501"/>
      <c r="M20" s="501"/>
    </row>
    <row r="21" spans="2:13" ht="17.399999999999999" x14ac:dyDescent="0.25">
      <c r="C21" s="168"/>
      <c r="D21" s="168"/>
      <c r="E21" s="168"/>
      <c r="F21" s="168"/>
      <c r="G21" s="168"/>
      <c r="H21" s="168"/>
      <c r="I21" s="168"/>
      <c r="J21" s="106"/>
      <c r="K21" s="106"/>
      <c r="L21" s="168"/>
      <c r="M21" s="168"/>
    </row>
    <row r="22" spans="2:13" ht="15.6" x14ac:dyDescent="0.25">
      <c r="B22" s="286"/>
      <c r="C22" s="167"/>
      <c r="D22" s="167"/>
      <c r="E22" s="167"/>
      <c r="F22" s="296"/>
      <c r="G22" s="296"/>
      <c r="H22" s="296"/>
      <c r="I22" s="296"/>
      <c r="J22" s="296"/>
      <c r="K22" s="296"/>
      <c r="L22" s="296"/>
      <c r="M22" s="296"/>
    </row>
    <row r="23" spans="2:13" ht="31.95" customHeight="1" x14ac:dyDescent="0.25">
      <c r="B23" s="286"/>
      <c r="C23" s="505" t="s">
        <v>111</v>
      </c>
      <c r="D23" s="505"/>
      <c r="E23" s="505"/>
      <c r="F23" s="505"/>
      <c r="G23" s="505"/>
      <c r="H23" s="505"/>
      <c r="I23" s="505"/>
      <c r="J23" s="505"/>
      <c r="K23" s="505"/>
      <c r="L23" s="505"/>
      <c r="M23" s="159"/>
    </row>
    <row r="24" spans="2:13" ht="27" customHeight="1" x14ac:dyDescent="0.25">
      <c r="B24" s="286"/>
      <c r="C24" s="498" t="s">
        <v>112</v>
      </c>
      <c r="D24" s="498"/>
      <c r="E24" s="498"/>
      <c r="F24" s="498"/>
      <c r="G24" s="498"/>
      <c r="H24" s="498"/>
      <c r="I24" s="498"/>
      <c r="J24" s="498"/>
      <c r="K24" s="159"/>
      <c r="L24" s="159"/>
      <c r="M24" s="159"/>
    </row>
    <row r="25" spans="2:13" ht="34.200000000000003" hidden="1" customHeight="1" outlineLevel="1" x14ac:dyDescent="0.25">
      <c r="B25" s="286"/>
      <c r="C25" s="161"/>
      <c r="D25" s="161"/>
      <c r="E25" s="161"/>
      <c r="F25" s="166" t="s">
        <v>97</v>
      </c>
      <c r="G25" s="165"/>
      <c r="H25" s="166" t="s">
        <v>99</v>
      </c>
      <c r="I25" s="165"/>
      <c r="J25" s="166" t="s">
        <v>100</v>
      </c>
      <c r="K25" s="159"/>
      <c r="L25" s="159"/>
      <c r="M25" s="159"/>
    </row>
    <row r="26" spans="2:13" ht="7.95" hidden="1" customHeight="1" outlineLevel="1" x14ac:dyDescent="0.25">
      <c r="B26" s="286"/>
      <c r="C26" s="161"/>
      <c r="D26" s="161"/>
      <c r="E26" s="161"/>
      <c r="F26" s="159"/>
      <c r="G26" s="159"/>
      <c r="H26" s="159"/>
      <c r="I26" s="159"/>
      <c r="J26" s="159"/>
      <c r="K26" s="159"/>
      <c r="L26" s="159"/>
      <c r="M26" s="159"/>
    </row>
    <row r="27" spans="2:13" ht="40.200000000000003" hidden="1" customHeight="1" outlineLevel="1" x14ac:dyDescent="0.25">
      <c r="B27" s="286"/>
      <c r="C27" s="497" t="s">
        <v>104</v>
      </c>
      <c r="D27" s="162" t="s">
        <v>105</v>
      </c>
      <c r="E27" s="161"/>
      <c r="F27" s="297">
        <f>(Inputs!$G71*Results!$F19+Inputs!$K71*Results!$H19+Inputs!$M71*Results!$J19+Inputs!$O71*Results!$L19)/1000000</f>
        <v>1.6499921322803861</v>
      </c>
      <c r="G27" s="160"/>
      <c r="H27" s="297">
        <f>(Inputs!$G75*Results!$F19+Inputs!$K75*Results!$H19+Inputs!$M75*Results!$J19+Inputs!$O75*Results!$L19)/1000000</f>
        <v>1.667432287654772</v>
      </c>
      <c r="I27" s="160"/>
      <c r="J27" s="297">
        <f>(Inputs!$G79*Results!$F19+Inputs!$K79*Results!$H19+Inputs!$M79*Results!$J19+Inputs!$O79*Results!$L19)/1000000</f>
        <v>1.3338823145065613</v>
      </c>
      <c r="K27" s="159"/>
      <c r="L27" s="159"/>
      <c r="M27" s="159"/>
    </row>
    <row r="28" spans="2:13" ht="40.200000000000003" hidden="1" customHeight="1" outlineLevel="1" x14ac:dyDescent="0.25">
      <c r="B28" s="286"/>
      <c r="C28" s="497"/>
      <c r="D28" s="162" t="s">
        <v>106</v>
      </c>
      <c r="E28" s="161"/>
      <c r="F28" s="298">
        <f>F27/5</f>
        <v>0.32999842645607724</v>
      </c>
      <c r="G28" s="160"/>
      <c r="H28" s="298">
        <f>H27/5</f>
        <v>0.33348645753095441</v>
      </c>
      <c r="I28" s="160"/>
      <c r="J28" s="298">
        <f>J27/5</f>
        <v>0.26677646290131224</v>
      </c>
      <c r="K28" s="159"/>
      <c r="L28" s="159"/>
      <c r="M28" s="159"/>
    </row>
    <row r="29" spans="2:13" ht="7.95" hidden="1" customHeight="1" outlineLevel="1" x14ac:dyDescent="0.25">
      <c r="B29" s="286"/>
      <c r="C29" s="161"/>
      <c r="D29" s="163"/>
      <c r="E29" s="161"/>
      <c r="F29" s="299"/>
      <c r="G29" s="160"/>
      <c r="H29" s="299"/>
      <c r="I29" s="160"/>
      <c r="J29" s="299"/>
      <c r="K29" s="159"/>
      <c r="L29" s="159"/>
      <c r="M29" s="159"/>
    </row>
    <row r="30" spans="2:13" ht="72" hidden="1" customHeight="1" outlineLevel="1" x14ac:dyDescent="0.25">
      <c r="B30" s="286"/>
      <c r="C30" s="339" t="s">
        <v>107</v>
      </c>
      <c r="D30" s="162" t="s">
        <v>106</v>
      </c>
      <c r="E30" s="161"/>
      <c r="F30" s="298">
        <f>(Inputs!$G71*SUM(Results!$F28:$F32)/5+Inputs!$K71*SUM(Results!$H28:$H32)/5+Inputs!$M71*SUM(Results!$J28:$J32)/5+Inputs!$O71*SUM(Results!$L28:$L32)/5)/1000000</f>
        <v>4.4663119972446834</v>
      </c>
      <c r="G30" s="160"/>
      <c r="H30" s="298">
        <f>(Inputs!$G75*SUM(Results!$F28:$F32)/5+Inputs!$K75*SUM(Results!$H28:$H32)/5+Inputs!$M75*SUM(Results!$J28:$J32)/5+Inputs!$O75*SUM(Results!$L28:$L32)/5)/1000000</f>
        <v>4.5186324633678403</v>
      </c>
      <c r="I30" s="160"/>
      <c r="J30" s="298">
        <f>(Inputs!$G79*SUM(Results!$F28:$F32)/5+Inputs!$K79*SUM(Results!$H28:$H32)/5+Inputs!$M79*SUM(Results!$J28:$J32)/5+Inputs!$O79*SUM(Results!$L28:$L32)/5)/1000000</f>
        <v>3.9496868633693718</v>
      </c>
      <c r="K30" s="159"/>
      <c r="L30" s="159"/>
      <c r="M30" s="159"/>
    </row>
    <row r="31" spans="2:13" ht="7.95" hidden="1" customHeight="1" outlineLevel="1" x14ac:dyDescent="0.25">
      <c r="B31" s="286"/>
      <c r="C31" s="164"/>
      <c r="D31" s="163"/>
      <c r="E31" s="161"/>
      <c r="F31" s="299"/>
      <c r="G31" s="160"/>
      <c r="H31" s="299"/>
      <c r="I31" s="160"/>
      <c r="J31" s="299"/>
      <c r="K31" s="159"/>
      <c r="L31" s="159"/>
      <c r="M31" s="159"/>
    </row>
    <row r="32" spans="2:13" ht="40.200000000000003" hidden="1" customHeight="1" outlineLevel="1" x14ac:dyDescent="0.25">
      <c r="B32" s="286"/>
      <c r="C32" s="497" t="s">
        <v>113</v>
      </c>
      <c r="D32" s="162" t="s">
        <v>105</v>
      </c>
      <c r="E32" s="161"/>
      <c r="F32" s="300">
        <f>(Inputs!$G71*Results!F36+Inputs!$K71*Results!H36+Inputs!$M71*Results!J36+Inputs!$O71*Results!L36)/1000000</f>
        <v>8.3884297435938855</v>
      </c>
      <c r="G32" s="160"/>
      <c r="H32" s="300">
        <f>(Inputs!$G75*Results!F36+Inputs!$K75*Results!H36+Inputs!$M75*Results!J36+Inputs!$O75*Results!L36)/1000000</f>
        <v>8.4763281266807908</v>
      </c>
      <c r="I32" s="160"/>
      <c r="J32" s="300">
        <f>(Inputs!$G79*Results!F36+Inputs!$K79*Results!H36+Inputs!$M79*Results!J36+Inputs!$O79*Results!L36)/1000000</f>
        <v>6.780026383238253</v>
      </c>
      <c r="K32" s="159"/>
      <c r="L32" s="159"/>
      <c r="M32" s="159"/>
    </row>
    <row r="33" spans="2:13" ht="40.200000000000003" hidden="1" customHeight="1" outlineLevel="1" x14ac:dyDescent="0.25">
      <c r="B33" s="286"/>
      <c r="C33" s="497"/>
      <c r="D33" s="162" t="s">
        <v>106</v>
      </c>
      <c r="E33" s="161"/>
      <c r="F33" s="300">
        <f>F32/5</f>
        <v>1.6776859487187772</v>
      </c>
      <c r="G33" s="160"/>
      <c r="H33" s="300">
        <f>H32/5</f>
        <v>1.6952656253361582</v>
      </c>
      <c r="I33" s="160"/>
      <c r="J33" s="300">
        <f>J32/5</f>
        <v>1.3560052766476507</v>
      </c>
      <c r="K33" s="159"/>
      <c r="L33" s="159"/>
      <c r="M33" s="159"/>
    </row>
    <row r="34" spans="2:13" ht="7.95" hidden="1" customHeight="1" outlineLevel="1" x14ac:dyDescent="0.25">
      <c r="B34" s="286"/>
      <c r="C34" s="161"/>
      <c r="D34" s="163"/>
      <c r="E34" s="161"/>
      <c r="F34" s="160"/>
      <c r="G34" s="160"/>
      <c r="H34" s="160"/>
      <c r="I34" s="160"/>
      <c r="J34" s="160"/>
      <c r="K34" s="159"/>
      <c r="L34" s="159"/>
      <c r="M34" s="159"/>
    </row>
    <row r="35" spans="2:13" ht="40.200000000000003" hidden="1" customHeight="1" outlineLevel="1" x14ac:dyDescent="0.25">
      <c r="B35" s="286"/>
      <c r="C35" s="497" t="s">
        <v>114</v>
      </c>
      <c r="D35" s="162" t="s">
        <v>105</v>
      </c>
      <c r="E35" s="161"/>
      <c r="F35" s="301">
        <f>(Inputs!$G71*Results!F45+Inputs!$K71*Results!H45+Inputs!$M71*Results!J45+Inputs!O$71*Results!L45)/1000000</f>
        <v>9.9032555689936395</v>
      </c>
      <c r="G35" s="160"/>
      <c r="H35" s="301">
        <f>(Inputs!$G75*Results!F45+Inputs!$K75*Results!H45+Inputs!$M75*Results!J45+Inputs!$O75*Results!L45)/1000000</f>
        <v>9.9911539520805448</v>
      </c>
      <c r="I35" s="160"/>
      <c r="J35" s="301">
        <f>(Inputs!$G79*Results!F45+Inputs!$K79*Results!H45+Inputs!$M79*Results!J45+Inputs!$O79*Results!L45)/1000000</f>
        <v>7.9768361242308954</v>
      </c>
      <c r="K35" s="159"/>
      <c r="L35" s="159"/>
      <c r="M35" s="159"/>
    </row>
    <row r="36" spans="2:13" ht="40.200000000000003" hidden="1" customHeight="1" outlineLevel="1" x14ac:dyDescent="0.25">
      <c r="B36" s="286"/>
      <c r="C36" s="497"/>
      <c r="D36" s="162" t="s">
        <v>106</v>
      </c>
      <c r="E36" s="161"/>
      <c r="F36" s="300">
        <f>F35/5</f>
        <v>1.9806511137987279</v>
      </c>
      <c r="G36" s="160"/>
      <c r="H36" s="300">
        <f>H35/5</f>
        <v>1.998230790416109</v>
      </c>
      <c r="I36" s="160"/>
      <c r="J36" s="300">
        <f>J35/5</f>
        <v>1.595367224846179</v>
      </c>
      <c r="K36" s="159"/>
      <c r="L36" s="159"/>
      <c r="M36" s="159"/>
    </row>
    <row r="37" spans="2:13" hidden="1" outlineLevel="1" x14ac:dyDescent="0.25">
      <c r="B37" s="286"/>
      <c r="C37" s="286"/>
      <c r="D37" s="286"/>
      <c r="E37" s="286"/>
      <c r="F37" s="286"/>
      <c r="G37" s="286"/>
      <c r="H37" s="286"/>
      <c r="I37" s="286"/>
      <c r="J37" s="286"/>
      <c r="K37" s="286"/>
      <c r="L37" s="286"/>
      <c r="M37" s="286"/>
    </row>
    <row r="38" spans="2:13" collapsed="1" x14ac:dyDescent="0.25"/>
  </sheetData>
  <sheetProtection algorithmName="SHA-512" hashValue="3uUfJKcOPDmsZDf3G/ix6HyByHyZ7j2C2kyDZwnzRNgmu6KqzsGtaCmrWsczGSCNhA3+TRWdTCTzR0pgoIdzLw==" saltValue="qAxJAZb55OJuzmCo189P0w==" spinCount="100000" sheet="1" formatRows="0"/>
  <mergeCells count="13">
    <mergeCell ref="C32:C33"/>
    <mergeCell ref="C35:C36"/>
    <mergeCell ref="C24:J24"/>
    <mergeCell ref="B2:M2"/>
    <mergeCell ref="B6:B8"/>
    <mergeCell ref="C3:M3"/>
    <mergeCell ref="C20:M20"/>
    <mergeCell ref="C10:C11"/>
    <mergeCell ref="C15:C16"/>
    <mergeCell ref="C18:C19"/>
    <mergeCell ref="C4:L4"/>
    <mergeCell ref="C23:L23"/>
    <mergeCell ref="C27:C28"/>
  </mergeCells>
  <conditionalFormatting sqref="F13 H13 J13 L13">
    <cfRule type="colorScale" priority="6">
      <colorScale>
        <cfvo type="min"/>
        <cfvo type="percentile" val="50"/>
        <cfvo type="max"/>
        <color rgb="FF00BB6B"/>
        <color rgb="FFE2E278"/>
        <color theme="3"/>
      </colorScale>
    </cfRule>
  </conditionalFormatting>
  <conditionalFormatting sqref="F32 H32 J32">
    <cfRule type="colorScale" priority="2">
      <colorScale>
        <cfvo type="min"/>
        <cfvo type="percentile" val="50"/>
        <cfvo type="max"/>
        <color rgb="FF00BB6B"/>
        <color rgb="FFE2E278"/>
        <color theme="3"/>
      </colorScale>
    </cfRule>
    <cfRule type="colorScale" priority="12">
      <colorScale>
        <cfvo type="min"/>
        <cfvo type="max"/>
        <color rgb="FF00BB6B"/>
        <color rgb="FFE2E278"/>
      </colorScale>
    </cfRule>
  </conditionalFormatting>
  <conditionalFormatting sqref="F35 H35 J35">
    <cfRule type="colorScale" priority="1">
      <colorScale>
        <cfvo type="min"/>
        <cfvo type="percentile" val="50"/>
        <cfvo type="max"/>
        <color rgb="FF00BB6B"/>
        <color rgb="FFE2E278"/>
        <color theme="3"/>
      </colorScale>
    </cfRule>
    <cfRule type="colorScale" priority="11">
      <colorScale>
        <cfvo type="min"/>
        <cfvo type="max"/>
        <color rgb="FF00BB6B"/>
        <color rgb="FFE2E278"/>
      </colorScale>
    </cfRule>
  </conditionalFormatting>
  <conditionalFormatting sqref="H13:H14 F13:F14 J13:J14 L13:L14">
    <cfRule type="colorScale" priority="9">
      <colorScale>
        <cfvo type="min"/>
        <cfvo type="max"/>
        <color rgb="FF00BB6B"/>
        <color rgb="FFE2E278"/>
      </colorScale>
    </cfRule>
  </conditionalFormatting>
  <conditionalFormatting sqref="H15 F15 J15 L15">
    <cfRule type="colorScale" priority="5">
      <colorScale>
        <cfvo type="min"/>
        <cfvo type="percentile" val="50"/>
        <cfvo type="max"/>
        <color rgb="FF00BB6B"/>
        <color rgb="FFE2E278"/>
        <color theme="3"/>
      </colorScale>
    </cfRule>
    <cfRule type="colorScale" priority="8">
      <colorScale>
        <cfvo type="min"/>
        <cfvo type="max"/>
        <color rgb="FF00BB6B"/>
        <color rgb="FFE2E278"/>
      </colorScale>
    </cfRule>
  </conditionalFormatting>
  <conditionalFormatting sqref="H18 F18 J18 L18">
    <cfRule type="colorScale" priority="4">
      <colorScale>
        <cfvo type="min"/>
        <cfvo type="percentile" val="50"/>
        <cfvo type="max"/>
        <color rgb="FF00BB6B"/>
        <color rgb="FFE2E278"/>
        <color theme="3"/>
      </colorScale>
    </cfRule>
    <cfRule type="colorScale" priority="7">
      <colorScale>
        <cfvo type="min"/>
        <cfvo type="max"/>
        <color rgb="FF00BB6B"/>
        <color rgb="FFE2E278"/>
      </colorScale>
    </cfRule>
  </conditionalFormatting>
  <conditionalFormatting sqref="H30 F30 J30">
    <cfRule type="colorScale" priority="3">
      <colorScale>
        <cfvo type="min"/>
        <cfvo type="percentile" val="50"/>
        <cfvo type="max"/>
        <color rgb="FF00BB6B"/>
        <color rgb="FFE2E278"/>
        <color theme="3"/>
      </colorScale>
    </cfRule>
  </conditionalFormatting>
  <conditionalFormatting sqref="H30:H31 F30:F31 J30:J31">
    <cfRule type="colorScale" priority="13">
      <colorScale>
        <cfvo type="min"/>
        <cfvo type="max"/>
        <color rgb="FF00BB6B"/>
        <color rgb="FFE2E278"/>
      </colorScale>
    </cfRule>
  </conditionalFormatting>
  <conditionalFormatting sqref="L12">
    <cfRule type="colorScale" priority="10">
      <colorScale>
        <cfvo type="min"/>
        <cfvo type="max"/>
        <color rgb="FF00BB6B"/>
        <color rgb="FFE2E278"/>
      </colorScale>
    </cfRule>
  </conditionalFormatting>
  <conditionalFormatting sqref="M13 M15:M16 M18:M19">
    <cfRule type="containsErrors" dxfId="0" priority="14">
      <formula>ISERROR(M13)</formula>
    </cfRule>
  </conditionalFormatting>
  <pageMargins left="0.25" right="0.25" top="0.75" bottom="0.75" header="0.3" footer="0.3"/>
  <pageSetup scale="70" orientation="landscape" r:id="rId1"/>
  <rowBreaks count="1" manualBreakCount="1">
    <brk id="20" min="1" max="11" man="1"/>
  </rowBreaks>
  <ignoredErrors>
    <ignoredError sqref="I16 I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31D9-9774-48E7-B15E-69D1D11928FD}">
  <sheetPr codeName="Sheet5">
    <tabColor theme="9"/>
  </sheetPr>
  <dimension ref="A1:O51"/>
  <sheetViews>
    <sheetView zoomScaleNormal="100" workbookViewId="0"/>
  </sheetViews>
  <sheetFormatPr defaultColWidth="8.6640625" defaultRowHeight="13.8" x14ac:dyDescent="0.25"/>
  <cols>
    <col min="1" max="1" width="2.44140625" style="188" customWidth="1"/>
    <col min="2" max="3" width="5.6640625" style="188" customWidth="1"/>
    <col min="4" max="4" width="20.44140625" style="188" customWidth="1"/>
    <col min="5" max="5" width="1.44140625" style="188" customWidth="1"/>
    <col min="6" max="6" width="22.44140625" style="188" customWidth="1"/>
    <col min="7" max="7" width="1.44140625" style="188" customWidth="1"/>
    <col min="8" max="8" width="22.44140625" style="188" customWidth="1"/>
    <col min="9" max="9" width="1.44140625" style="188" customWidth="1"/>
    <col min="10" max="10" width="22.44140625" style="188" customWidth="1"/>
    <col min="11" max="11" width="1.44140625" style="188" customWidth="1"/>
    <col min="12" max="12" width="22.44140625" style="188" customWidth="1"/>
    <col min="13" max="14" width="5.6640625" style="188" customWidth="1"/>
    <col min="15" max="17" width="10.44140625" style="188" bestFit="1" customWidth="1"/>
    <col min="18" max="16384" width="8.6640625" style="188"/>
  </cols>
  <sheetData>
    <row r="1" spans="1:15" ht="7.95" customHeight="1" x14ac:dyDescent="0.25">
      <c r="B1" s="508"/>
      <c r="C1" s="508"/>
      <c r="D1" s="508"/>
      <c r="E1" s="508"/>
      <c r="F1" s="508"/>
      <c r="G1" s="508"/>
      <c r="H1" s="508"/>
      <c r="I1" s="508"/>
      <c r="J1" s="508"/>
      <c r="K1" s="508"/>
      <c r="L1" s="508"/>
      <c r="M1" s="508"/>
      <c r="N1" s="349"/>
    </row>
    <row r="2" spans="1:15" ht="19.2" customHeight="1" x14ac:dyDescent="0.25">
      <c r="A2" s="471" t="s">
        <v>153</v>
      </c>
      <c r="B2" s="471"/>
      <c r="C2" s="471"/>
      <c r="D2" s="471"/>
      <c r="E2" s="471"/>
      <c r="F2" s="471"/>
      <c r="G2" s="471"/>
      <c r="H2" s="471"/>
      <c r="I2" s="471"/>
      <c r="J2" s="471"/>
      <c r="K2" s="471"/>
      <c r="L2" s="471"/>
      <c r="M2" s="471"/>
      <c r="N2" s="471"/>
      <c r="O2" s="333"/>
    </row>
    <row r="3" spans="1:15" ht="14.7" customHeight="1" x14ac:dyDescent="0.25">
      <c r="B3" s="194"/>
      <c r="C3" s="194"/>
      <c r="D3" s="509"/>
      <c r="E3" s="509"/>
      <c r="F3" s="509"/>
      <c r="G3" s="509"/>
      <c r="H3" s="509"/>
      <c r="I3" s="509"/>
      <c r="J3" s="509"/>
      <c r="K3" s="509"/>
      <c r="L3" s="509"/>
      <c r="M3" s="342"/>
      <c r="N3" s="342"/>
    </row>
    <row r="4" spans="1:15" ht="60" customHeight="1" x14ac:dyDescent="0.25">
      <c r="B4" s="194"/>
      <c r="C4" s="226"/>
      <c r="D4" s="511" t="s">
        <v>115</v>
      </c>
      <c r="E4" s="511"/>
      <c r="F4" s="511"/>
      <c r="G4" s="511"/>
      <c r="H4" s="511"/>
      <c r="I4" s="511"/>
      <c r="J4" s="511"/>
      <c r="K4" s="511"/>
      <c r="L4" s="511"/>
      <c r="M4" s="227"/>
      <c r="N4" s="342"/>
    </row>
    <row r="5" spans="1:15" ht="14.7" customHeight="1" x14ac:dyDescent="0.25">
      <c r="B5" s="194"/>
      <c r="C5" s="194"/>
      <c r="D5" s="342"/>
      <c r="E5" s="342"/>
      <c r="F5" s="342"/>
      <c r="G5" s="342"/>
      <c r="H5" s="342"/>
      <c r="I5" s="342"/>
      <c r="J5" s="342"/>
      <c r="K5" s="342"/>
      <c r="L5" s="189"/>
      <c r="M5" s="189"/>
      <c r="N5" s="189"/>
    </row>
    <row r="6" spans="1:15" s="218" customFormat="1" ht="121.2" customHeight="1" x14ac:dyDescent="0.25">
      <c r="B6" s="221"/>
      <c r="C6" s="221"/>
      <c r="D6" s="220"/>
      <c r="E6" s="220"/>
      <c r="F6" s="339" t="str">
        <f>Inputs!G40</f>
        <v>CECOLIN 
2 valent, 1 dose/vial, liquid</v>
      </c>
      <c r="G6" s="199"/>
      <c r="H6" s="339" t="str">
        <f>Inputs!K40</f>
        <v>WALRINVAX 
2 valent, 1 dose/vial, liquid</v>
      </c>
      <c r="I6" s="199"/>
      <c r="J6" s="339" t="str">
        <f>Inputs!M40</f>
        <v>GARDASIL4
 4 valent, 1 dose/vial, liquid</v>
      </c>
      <c r="K6" s="199"/>
      <c r="L6" s="339" t="str">
        <f>Inputs!O40</f>
        <v>Fully customizable option - insert name here</v>
      </c>
      <c r="M6" s="219"/>
      <c r="N6" s="219"/>
    </row>
    <row r="7" spans="1:15" ht="15" customHeight="1" x14ac:dyDescent="0.25">
      <c r="B7" s="194"/>
      <c r="C7" s="194"/>
      <c r="D7" s="204"/>
      <c r="E7" s="204"/>
      <c r="F7" s="204"/>
      <c r="G7" s="204"/>
      <c r="H7" s="204"/>
      <c r="I7" s="204"/>
      <c r="J7" s="204"/>
      <c r="K7" s="204"/>
      <c r="L7" s="204"/>
      <c r="M7" s="189"/>
      <c r="N7" s="189"/>
    </row>
    <row r="8" spans="1:15" ht="40.950000000000003" customHeight="1" x14ac:dyDescent="0.25">
      <c r="B8" s="194"/>
      <c r="C8" s="194"/>
      <c r="D8" s="510" t="s">
        <v>116</v>
      </c>
      <c r="E8" s="510"/>
      <c r="F8" s="510"/>
      <c r="G8" s="510"/>
      <c r="H8" s="510"/>
      <c r="I8" s="510"/>
      <c r="J8" s="510"/>
      <c r="K8" s="510"/>
      <c r="L8" s="510"/>
      <c r="M8" s="189"/>
      <c r="N8" s="189"/>
    </row>
    <row r="9" spans="1:15" ht="7.95" customHeight="1" x14ac:dyDescent="0.25">
      <c r="B9" s="194"/>
      <c r="C9" s="194"/>
      <c r="D9" s="217"/>
      <c r="E9" s="217"/>
      <c r="F9" s="217"/>
      <c r="G9" s="217"/>
      <c r="H9" s="217"/>
      <c r="I9" s="217"/>
      <c r="J9" s="217"/>
      <c r="K9" s="217"/>
      <c r="L9" s="217"/>
      <c r="M9" s="189"/>
      <c r="N9" s="189"/>
    </row>
    <row r="10" spans="1:15" ht="34.950000000000003" customHeight="1" x14ac:dyDescent="0.25">
      <c r="B10" s="194"/>
      <c r="C10" s="194"/>
      <c r="D10" s="216" t="s">
        <v>117</v>
      </c>
      <c r="E10" s="215"/>
      <c r="F10" s="213">
        <f>SUM(F11:F15)</f>
        <v>1192906.6276080001</v>
      </c>
      <c r="G10" s="214"/>
      <c r="H10" s="213">
        <f>SUM(H11:H15)</f>
        <v>2249148.2092439998</v>
      </c>
      <c r="I10" s="214"/>
      <c r="J10" s="213">
        <f>SUM(J11:J15)</f>
        <v>1192906.6276080001</v>
      </c>
      <c r="K10" s="214"/>
      <c r="L10" s="213">
        <f>SUM(L11:L15)</f>
        <v>1192906.6276080001</v>
      </c>
      <c r="M10" s="189"/>
      <c r="N10" s="189"/>
    </row>
    <row r="11" spans="1:15" ht="15.6" x14ac:dyDescent="0.25">
      <c r="B11" s="194"/>
      <c r="C11" s="194"/>
      <c r="D11" s="193">
        <f>Inputs!$G$8</f>
        <v>2026</v>
      </c>
      <c r="E11" s="192"/>
      <c r="F11" s="205">
        <f>IF(Inputs!G$44=2,((Inputs!$G$10*(1+Inputs!$G$13)^(D11-Inputs!$G$8))*(SUM(Inputs!$G$16*Inputs!$G$17,Inputs!$G$19*Inputs!$G$20,Inputs!$G$22*Inputs!$G$23))+(Inputs!$G$10*(1+Inputs!$G$13)^(D11-Inputs!$G$8))*(SUM(Inputs!$G$16*Inputs!$G$18,Inputs!$G$19*Inputs!$G$21,Inputs!$G$22*Inputs!$G$24)))+((Inputs!$G$11*(1+Inputs!$G$13)^(D11-Inputs!$G$8))*(SUM(Inputs!$H$16*Inputs!$H$17,Inputs!$H$19*Inputs!$H$20,Inputs!$H$22*Inputs!$H$23))+(Inputs!$G$11*(1+Inputs!$G$13)^(D11-Inputs!$G$8))*(SUM(Inputs!$H$16*Inputs!$H$18,Inputs!$H$19*Inputs!$H$21,Inputs!$H$22*Inputs!$H$24)))+((Inputs!$G$12*(1+Inputs!$G$13)^(D11-Inputs!$G$8))*(SUM(Inputs!$I$16*Inputs!$I$17,Inputs!$I$19*Inputs!$I$20,Inputs!$I$22*Inputs!$I$23))+(Inputs!$G$12*(1+Inputs!$G$13)^(D11-Inputs!$G$8))*(SUM(Inputs!$I$16*Inputs!$I$18,Inputs!$I$19*Inputs!$I$21,Inputs!$I$22*Inputs!$I$24))),(Inputs!$G$10*(1+Inputs!$G$13)^(D11-Inputs!$G$8))*(SUM(Inputs!$G$16*Inputs!$G$17,Inputs!$G$19*Inputs!$G$20,Inputs!$G$22*Inputs!$G$23))+(Inputs!$G$11*(1+Inputs!$G$13)^(D11-Inputs!$G$8))*(SUM(Inputs!$H$16*Inputs!$H$17,Inputs!$H$19*Inputs!$H$20,Inputs!$H$22*Inputs!$H$23))+(Inputs!$G$12*(1+Inputs!$G$13)^(D11-Inputs!$G$8))*(SUM(Inputs!$I$16*Inputs!$I$17,Inputs!$I$19*Inputs!$I$20,Inputs!$I$22*Inputs!$I$23)))+IF(Inputs!G$44=2,((Inputs!$G$25*SUM(Inputs!$G$27*Inputs!$G$28,Inputs!$G$30*Inputs!$G$31,Inputs!$G$33*Inputs!$G$34))+(Inputs!$G$25*SUM(Inputs!$G$27*Inputs!$G$29,Inputs!$G$30*Inputs!$G$32,Inputs!$G$33*Inputs!$G$35))),(Inputs!$G$25*SUM(Inputs!$G$27*Inputs!$G$28,Inputs!$G$30*Inputs!$G$31,Inputs!$G$33*Inputs!$G$34)))</f>
        <v>520050</v>
      </c>
      <c r="G11" s="206"/>
      <c r="H11" s="205">
        <f>IF(Inputs!K$44=2,((Inputs!$G$10*(1+Inputs!$G$13)^($D11-Inputs!$G$8))*(SUM(Inputs!$G$16*Inputs!$G$17,Inputs!$G$19*Inputs!$G$20,Inputs!$G$22*Inputs!$G$23))+(Inputs!$G$10*(1+Inputs!$G$13)^($D11-Inputs!$G$8))*(SUM(Inputs!$G$16*Inputs!$G$18,Inputs!$G$19*Inputs!$G$21,Inputs!$G$22*Inputs!$G$24)))+((Inputs!$G$11*(1+Inputs!$G$13)^($D11-Inputs!$G$8))*(SUM(Inputs!$H$16*Inputs!$H$17,Inputs!$H$19*Inputs!$H$20,Inputs!$H$22*Inputs!$H$23))+(Inputs!$G$11*(1+Inputs!$G$13)^($D11-Inputs!$G$8))*(SUM(Inputs!$H$16*Inputs!$H$18,Inputs!$H$19*Inputs!$H$21,Inputs!$H$22*Inputs!$H$24)))+((Inputs!$G$12*(1+Inputs!$G$13)^($D11-Inputs!$G$8))*(SUM(Inputs!$I$16*Inputs!$I$17,Inputs!$I$19*Inputs!$I$20,Inputs!$I$22*Inputs!$I$23))+(Inputs!$G$12*(1+Inputs!$G$13)^($D11-Inputs!$G$8))*(SUM(Inputs!$I$16*Inputs!$I$18,Inputs!$I$19*Inputs!$I$21,Inputs!$I$22*Inputs!$I$24))),(Inputs!$G$10*(1+Inputs!$G$13)^($D11-Inputs!$G$8))*(SUM(Inputs!$G$16*Inputs!$G$17,Inputs!$G$19*Inputs!$G$20,Inputs!$G$22*Inputs!$G$23))+(Inputs!$G$11*(1+Inputs!$G$13)^($D11-Inputs!$G$8))*(SUM(Inputs!$H$16*Inputs!$H$17,Inputs!$H$19*Inputs!$H$20,Inputs!$H$22*Inputs!$H$23))+(Inputs!$G$12*(1+Inputs!$G$13)^($D11-Inputs!$G$8))*(SUM(Inputs!$I$16*Inputs!$I$17,Inputs!$I$19*Inputs!$I$20,Inputs!$I$22*Inputs!$I$23)))+IF(Inputs!K$44=2,((Inputs!$G$25*SUM(Inputs!$G$27*Inputs!$G$28,Inputs!$G$30*Inputs!$G$31,Inputs!$G$33*Inputs!$G$34))+(Inputs!$G$25*SUM(Inputs!$G$27*Inputs!$G$29,Inputs!$G$30*Inputs!$G$32,Inputs!$G$33*Inputs!$G$35))),(Inputs!$G$25*SUM(Inputs!$G$27*Inputs!$G$28,Inputs!$G$30*Inputs!$G$31,Inputs!$G$33*Inputs!$G$34)))</f>
        <v>981525</v>
      </c>
      <c r="I11" s="206"/>
      <c r="J11" s="205">
        <f>IF(Inputs!M$44=2,((Inputs!$G$10*(1+Inputs!$G$13)^($D11-Inputs!$G$8))*(SUM(Inputs!$G$16*Inputs!$G$17,Inputs!$G$19*Inputs!$G$20,Inputs!$G$22*Inputs!$G$23))+(Inputs!$G$10*(1+Inputs!$G$13)^($D11-Inputs!$G$8))*(SUM(Inputs!$G$16*Inputs!$G$18,Inputs!$G$19*Inputs!$G$21,Inputs!$G$22*Inputs!$G$24)))+((Inputs!$G$11*(1+Inputs!$G$13)^($D11-Inputs!$G$8))*(SUM(Inputs!$H$16*Inputs!$H$17,Inputs!$H$19*Inputs!$H$20,Inputs!$H$22*Inputs!$H$23))+(Inputs!$G$11*(1+Inputs!$G$13)^($D11-Inputs!$G$8))*(SUM(Inputs!$H$16*Inputs!$H$18,Inputs!$H$19*Inputs!$H$21,Inputs!$H$22*Inputs!$H$24)))+((Inputs!$G$12*(1+Inputs!$G$13)^($D11-Inputs!$G$8))*(SUM(Inputs!$I$16*Inputs!$I$17,Inputs!$I$19*Inputs!$I$20,Inputs!$I$22*Inputs!$I$23))+(Inputs!$G$12*(1+Inputs!$G$13)^($D11-Inputs!$G$8))*(SUM(Inputs!$I$16*Inputs!$I$18,Inputs!$I$19*Inputs!$I$21,Inputs!$I$22*Inputs!$I$24))),(Inputs!$G$10*(1+Inputs!$G$13)^($D11-Inputs!$G$8))*(SUM(Inputs!$G$16*Inputs!$G$17,Inputs!$G$19*Inputs!$G$20,Inputs!$G$22*Inputs!$G$23))+(Inputs!$G$11*(1+Inputs!$G$13)^($D11-Inputs!$G$8))*(SUM(Inputs!$H$16*Inputs!$H$17,Inputs!$H$19*Inputs!$H$20,Inputs!$H$22*Inputs!$H$23))+(Inputs!$G$12*(1+Inputs!$G$13)^($D11-Inputs!$G$8))*(SUM(Inputs!$I$16*Inputs!$I$17,Inputs!$I$19*Inputs!$I$20,Inputs!$I$22*Inputs!$I$23)))+IF(Inputs!M$44=2,((Inputs!$G$25*SUM(Inputs!$G$27*Inputs!$G$28,Inputs!$G$30*Inputs!$G$31,Inputs!$G$33*Inputs!$G$34))+(Inputs!$G$25*SUM(Inputs!$G$27*Inputs!$G$29,Inputs!$G$30*Inputs!$G$32,Inputs!$G$33*Inputs!$G$35))),(Inputs!$G$25*SUM(Inputs!$G$27*Inputs!$G$28,Inputs!$G$30*Inputs!$G$31,Inputs!$G$33*Inputs!$G$34)))</f>
        <v>520050</v>
      </c>
      <c r="K11" s="206"/>
      <c r="L11" s="205">
        <f>IF(Inputs!O$44=2,((Inputs!$G$10*(1+Inputs!$G$13)^($D11-Inputs!$G$8))*(SUM(Inputs!$G$16*Inputs!$G$17,Inputs!$G$19*Inputs!$G$20,Inputs!$G$22*Inputs!$G$23))+(Inputs!$G$10*(1+Inputs!$G$13)^($D11-Inputs!$G$8))*(SUM(Inputs!$G$16*Inputs!$G$18,Inputs!$G$19*Inputs!$G$21,Inputs!$G$22*Inputs!$G$24)))+((Inputs!$G$11*(1+Inputs!$G$13)^($D11-Inputs!$G$8))*(SUM(Inputs!$H$16*Inputs!$H$17,Inputs!$H$19*Inputs!$H$20,Inputs!$H$22*Inputs!$H$23))+(Inputs!$G$11*(1+Inputs!$G$13)^($D11-Inputs!$G$8))*(SUM(Inputs!$H$16*Inputs!$H$18,Inputs!$H$19*Inputs!$H$21,Inputs!$H$22*Inputs!$H$24)))+((Inputs!$G$12*(1+Inputs!$G$13)^($D11-Inputs!$G$8))*(SUM(Inputs!$I$16*Inputs!$I$17,Inputs!$I$19*Inputs!$I$20,Inputs!$I$22*Inputs!$I$23))+(Inputs!$G$12*(1+Inputs!$G$13)^($D11-Inputs!$G$8))*(SUM(Inputs!$I$16*Inputs!$I$18,Inputs!$I$19*Inputs!$I$21,Inputs!$I$22*Inputs!$I$24))),(Inputs!$G$10*(1+Inputs!$G$13)^($D11-Inputs!$G$8))*(SUM(Inputs!$G$16*Inputs!$G$17,Inputs!$G$19*Inputs!$G$20,Inputs!$G$22*Inputs!$G$23))+(Inputs!$G$11*(1+Inputs!$G$13)^($D11-Inputs!$G$8))*(SUM(Inputs!$H$16*Inputs!$H$17,Inputs!$H$19*Inputs!$H$20,Inputs!$H$22*Inputs!$H$23))+(Inputs!$G$12*(1+Inputs!$G$13)^($D11-Inputs!$G$8))*(SUM(Inputs!$I$16*Inputs!$I$17,Inputs!$I$19*Inputs!$I$20,Inputs!$I$22*Inputs!$I$23)))+IF(Inputs!O$44=2,((Inputs!$G$25*SUM(Inputs!$G$27*Inputs!$G$28,Inputs!$G$30*Inputs!$G$31,Inputs!$G$33*Inputs!$G$34))+(Inputs!$G$25*SUM(Inputs!$G$27*Inputs!$G$29,Inputs!$G$30*Inputs!$G$32,Inputs!$G$33*Inputs!$G$35))),(Inputs!$G$25*SUM(Inputs!$G$27*Inputs!$G$28,Inputs!$G$30*Inputs!$G$31,Inputs!$G$33*Inputs!$G$34)))</f>
        <v>520050</v>
      </c>
      <c r="M11" s="189"/>
      <c r="N11" s="189"/>
    </row>
    <row r="12" spans="1:15" ht="15.6" x14ac:dyDescent="0.25">
      <c r="B12" s="194"/>
      <c r="C12" s="194"/>
      <c r="D12" s="193">
        <f>Inputs!$G$8+1</f>
        <v>2027</v>
      </c>
      <c r="E12" s="192"/>
      <c r="F12" s="205">
        <f>IF(Inputs!G$44=2,((Inputs!$G$10*(1+Inputs!$G$13)^(D12-Inputs!$G$8))*(SUM(Inputs!$G$16*Inputs!$G$17,Inputs!$G$19*Inputs!$G$20,Inputs!$G$22*Inputs!$G$23))+(Inputs!$G$10*(1+Inputs!$G$13)^(D12-Inputs!$G$8))*(SUM(Inputs!$G$16*Inputs!$G$18,Inputs!$G$19*Inputs!$G$21,Inputs!$G$22*Inputs!$G$24)))+((Inputs!$G$11*(1+Inputs!$G$13)^(D12-Inputs!$G$8))*(SUM(Inputs!$H$16*Inputs!$H$17,Inputs!$H$19*Inputs!$H$20,Inputs!$H$22*Inputs!$H$23))+(Inputs!$G$11*(1+Inputs!$G$13)^(D12-Inputs!$G$8))*(SUM(Inputs!$H$16*Inputs!$H$18,Inputs!$H$19*Inputs!$H$21,Inputs!$H$22*Inputs!$H$24)))+((Inputs!$G$12*(1+Inputs!$G$13)^(D12-Inputs!$G$8))*(SUM(Inputs!$I$16*Inputs!$I$17,Inputs!$I$19*Inputs!$I$20,Inputs!$I$22*Inputs!$I$23))+(Inputs!$G$12*(1+Inputs!$G$13)^(D12-Inputs!$G$8))*(SUM(Inputs!$I$16*Inputs!$I$18,Inputs!$I$19*Inputs!$I$21,Inputs!$I$22*Inputs!$I$24))),(Inputs!$G$10*(1+Inputs!$G$13)^(D12-Inputs!$G$8))*(SUM(Inputs!$G$16*Inputs!$G$17,Inputs!$G$19*Inputs!$G$20,Inputs!$G$22*Inputs!$G$23))+(Inputs!$G$11*(1+Inputs!$G$13)^(D12-Inputs!$G$8))*(SUM(Inputs!$H$16*Inputs!$H$17,Inputs!$H$19*Inputs!$H$20,Inputs!$H$22*Inputs!$H$23))+(Inputs!$G$12*(1+Inputs!$G$13)^(D12-Inputs!$G$8))*(SUM(Inputs!$I$16*Inputs!$I$17,Inputs!$I$19*Inputs!$I$20,Inputs!$I$22*Inputs!$I$23)))</f>
        <v>163251</v>
      </c>
      <c r="G12" s="206"/>
      <c r="H12" s="205">
        <f>IF(Inputs!K$44=2,((Inputs!$G$10*(1+Inputs!$G$13)^($D12-Inputs!$G$8))*(SUM(Inputs!$G$16*Inputs!$G$17,Inputs!$G$19*Inputs!$G$20,Inputs!$G$22*Inputs!$G$23))+(Inputs!$G$10*(1+Inputs!$G$13)^($D12-Inputs!$G$8))*(SUM(Inputs!$G$16*Inputs!$G$18,Inputs!$G$19*Inputs!$G$21,Inputs!$G$22*Inputs!$G$24)))+((Inputs!$G$11*(1+Inputs!$G$13)^($D12-Inputs!$G$8))*(SUM(Inputs!$H$16*Inputs!$H$17,Inputs!$H$19*Inputs!$H$20,Inputs!$H$22*Inputs!$H$23))+(Inputs!$G$11*(1+Inputs!$G$13)^($D12-Inputs!$G$8))*(SUM(Inputs!$H$16*Inputs!$H$18,Inputs!$H$19*Inputs!$H$21,Inputs!$H$22*Inputs!$H$24)))+((Inputs!$G$12*(1+Inputs!$G$13)^($D12-Inputs!$G$8))*(SUM(Inputs!$I$16*Inputs!$I$17,Inputs!$I$19*Inputs!$I$20,Inputs!$I$22*Inputs!$I$23))+(Inputs!$G$12*(1+Inputs!$G$13)^($D12-Inputs!$G$8))*(SUM(Inputs!$I$16*Inputs!$I$18,Inputs!$I$19*Inputs!$I$21,Inputs!$I$22*Inputs!$I$24))),(Inputs!$G$10*(1+Inputs!$G$13)^($D12-Inputs!$G$8))*(SUM(Inputs!$G$16*Inputs!$G$17,Inputs!$G$19*Inputs!$G$20,Inputs!$G$22*Inputs!$G$23))+(Inputs!$G$11*(1+Inputs!$G$13)^($D12-Inputs!$G$8))*(SUM(Inputs!$H$16*Inputs!$H$17,Inputs!$H$19*Inputs!$H$20,Inputs!$H$22*Inputs!$H$23))+(Inputs!$G$12*(1+Inputs!$G$13)^($D12-Inputs!$G$8))*(SUM(Inputs!$I$16*Inputs!$I$17,Inputs!$I$19*Inputs!$I$20,Inputs!$I$22*Inputs!$I$23)))</f>
        <v>307555.5</v>
      </c>
      <c r="I12" s="206"/>
      <c r="J12" s="205">
        <f>IF(Inputs!M$44=2,((Inputs!$G$10*(1+Inputs!$G$13)^($D12-Inputs!$G$8))*(SUM(Inputs!$G$16*Inputs!$G$17,Inputs!$G$19*Inputs!$G$20,Inputs!$G$22*Inputs!$G$23))+(Inputs!$G$10*(1+Inputs!$G$13)^($D12-Inputs!$G$8))*(SUM(Inputs!$G$16*Inputs!$G$18,Inputs!$G$19*Inputs!$G$21,Inputs!$G$22*Inputs!$G$24)))+((Inputs!$G$11*(1+Inputs!$G$13)^($D12-Inputs!$G$8))*(SUM(Inputs!$H$16*Inputs!$H$17,Inputs!$H$19*Inputs!$H$20,Inputs!$H$22*Inputs!$H$23))+(Inputs!$G$11*(1+Inputs!$G$13)^($D12-Inputs!$G$8))*(SUM(Inputs!$H$16*Inputs!$H$18,Inputs!$H$19*Inputs!$H$21,Inputs!$H$22*Inputs!$H$24)))+((Inputs!$G$12*(1+Inputs!$G$13)^($D12-Inputs!$G$8))*(SUM(Inputs!$I$16*Inputs!$I$17,Inputs!$I$19*Inputs!$I$20,Inputs!$I$22*Inputs!$I$23))+(Inputs!$G$12*(1+Inputs!$G$13)^($D12-Inputs!$G$8))*(SUM(Inputs!$I$16*Inputs!$I$18,Inputs!$I$19*Inputs!$I$21,Inputs!$I$22*Inputs!$I$24))),(Inputs!$G$10*(1+Inputs!$G$13)^($D12-Inputs!$G$8))*(SUM(Inputs!$G$16*Inputs!$G$17,Inputs!$G$19*Inputs!$G$20,Inputs!$G$22*Inputs!$G$23))+(Inputs!$G$11*(1+Inputs!$G$13)^($D12-Inputs!$G$8))*(SUM(Inputs!$H$16*Inputs!$H$17,Inputs!$H$19*Inputs!$H$20,Inputs!$H$22*Inputs!$H$23))+(Inputs!$G$12*(1+Inputs!$G$13)^($D12-Inputs!$G$8))*(SUM(Inputs!$I$16*Inputs!$I$17,Inputs!$I$19*Inputs!$I$20,Inputs!$I$22*Inputs!$I$23)))</f>
        <v>163251</v>
      </c>
      <c r="K12" s="206"/>
      <c r="L12" s="205">
        <f>IF(Inputs!O$44=2,((Inputs!$G$10*(1+Inputs!$G$13)^($D12-Inputs!$G$8))*(SUM(Inputs!$G$16*Inputs!$G$17,Inputs!$G$19*Inputs!$G$20,Inputs!$G$22*Inputs!$G$23))+(Inputs!$G$10*(1+Inputs!$G$13)^($D12-Inputs!$G$8))*(SUM(Inputs!$G$16*Inputs!$G$18,Inputs!$G$19*Inputs!$G$21,Inputs!$G$22*Inputs!$G$24)))+((Inputs!$G$11*(1+Inputs!$G$13)^($D12-Inputs!$G$8))*(SUM(Inputs!$H$16*Inputs!$H$17,Inputs!$H$19*Inputs!$H$20,Inputs!$H$22*Inputs!$H$23))+(Inputs!$G$11*(1+Inputs!$G$13)^($D12-Inputs!$G$8))*(SUM(Inputs!$H$16*Inputs!$H$18,Inputs!$H$19*Inputs!$H$21,Inputs!$H$22*Inputs!$H$24)))+((Inputs!$G$12*(1+Inputs!$G$13)^($D12-Inputs!$G$8))*(SUM(Inputs!$I$16*Inputs!$I$17,Inputs!$I$19*Inputs!$I$20,Inputs!$I$22*Inputs!$I$23))+(Inputs!$G$12*(1+Inputs!$G$13)^($D12-Inputs!$G$8))*(SUM(Inputs!$I$16*Inputs!$I$18,Inputs!$I$19*Inputs!$I$21,Inputs!$I$22*Inputs!$I$24))),(Inputs!$G$10*(1+Inputs!$G$13)^($D12-Inputs!$G$8))*(SUM(Inputs!$G$16*Inputs!$G$17,Inputs!$G$19*Inputs!$G$20,Inputs!$G$22*Inputs!$G$23))+(Inputs!$G$11*(1+Inputs!$G$13)^($D12-Inputs!$G$8))*(SUM(Inputs!$H$16*Inputs!$H$17,Inputs!$H$19*Inputs!$H$20,Inputs!$H$22*Inputs!$H$23))+(Inputs!$G$12*(1+Inputs!$G$13)^($D12-Inputs!$G$8))*(SUM(Inputs!$I$16*Inputs!$I$17,Inputs!$I$19*Inputs!$I$20,Inputs!$I$22*Inputs!$I$23)))</f>
        <v>163251</v>
      </c>
      <c r="M12" s="189"/>
      <c r="N12" s="189"/>
    </row>
    <row r="13" spans="1:15" ht="15.6" x14ac:dyDescent="0.25">
      <c r="B13" s="194"/>
      <c r="C13" s="194"/>
      <c r="D13" s="193">
        <f>Inputs!$G$8+2</f>
        <v>2028</v>
      </c>
      <c r="E13" s="192"/>
      <c r="F13" s="205">
        <f>IF(Inputs!G$44=2,((Inputs!$G$10*(1+Inputs!$G$13)^(D13-Inputs!$G$8))*(SUM(Inputs!$G$16*Inputs!$G$17,Inputs!$G$19*Inputs!$G$20,Inputs!$G$22*Inputs!$G$23))+(Inputs!$G$10*(1+Inputs!$G$13)^(D13-Inputs!$G$8))*(SUM(Inputs!$G$16*Inputs!$G$18,Inputs!$G$19*Inputs!$G$21,Inputs!$G$22*Inputs!$G$24)))+((Inputs!$G$11*(1+Inputs!$G$13)^(D13-Inputs!$G$8))*(SUM(Inputs!$H$16*Inputs!$H$17,Inputs!$H$19*Inputs!$H$20,Inputs!$H$22*Inputs!$H$23))+(Inputs!$G$11*(1+Inputs!$G$13)^(D13-Inputs!$G$8))*(SUM(Inputs!$H$16*Inputs!$H$18,Inputs!$H$19*Inputs!$H$21,Inputs!$H$22*Inputs!$H$24)))+((Inputs!$G$12*(1+Inputs!$G$13)^(D13-Inputs!$G$8))*(SUM(Inputs!$I$16*Inputs!$I$17,Inputs!$I$19*Inputs!$I$20,Inputs!$I$22*Inputs!$I$23))+(Inputs!$G$12*(1+Inputs!$G$13)^(D13-Inputs!$G$8))*(SUM(Inputs!$I$16*Inputs!$I$18,Inputs!$I$19*Inputs!$I$21,Inputs!$I$22*Inputs!$I$24))),(Inputs!$G$10*(1+Inputs!$G$13)^(D13-Inputs!$G$8))*(SUM(Inputs!$G$16*Inputs!$G$17,Inputs!$G$19*Inputs!$G$20,Inputs!$G$22*Inputs!$G$23))+(Inputs!$G$11*(1+Inputs!$G$13)^(D13-Inputs!$G$8))*(SUM(Inputs!$H$16*Inputs!$H$17,Inputs!$H$19*Inputs!$H$20,Inputs!$H$22*Inputs!$H$23))+(Inputs!$G$12*(1+Inputs!$G$13)^(D13-Inputs!$G$8))*(SUM(Inputs!$I$16*Inputs!$I$17,Inputs!$I$19*Inputs!$I$20,Inputs!$I$22*Inputs!$I$23)))</f>
        <v>166516.02000000002</v>
      </c>
      <c r="G13" s="206"/>
      <c r="H13" s="205">
        <f>IF(Inputs!K$44=2,((Inputs!$G$10*(1+Inputs!$G$13)^($D13-Inputs!$G$8))*(SUM(Inputs!$G$16*Inputs!$G$17,Inputs!$G$19*Inputs!$G$20,Inputs!$G$22*Inputs!$G$23))+(Inputs!$G$10*(1+Inputs!$G$13)^($D13-Inputs!$G$8))*(SUM(Inputs!$G$16*Inputs!$G$18,Inputs!$G$19*Inputs!$G$21,Inputs!$G$22*Inputs!$G$24)))+((Inputs!$G$11*(1+Inputs!$G$13)^($D13-Inputs!$G$8))*(SUM(Inputs!$H$16*Inputs!$H$17,Inputs!$H$19*Inputs!$H$20,Inputs!$H$22*Inputs!$H$23))+(Inputs!$G$11*(1+Inputs!$G$13)^($D13-Inputs!$G$8))*(SUM(Inputs!$H$16*Inputs!$H$18,Inputs!$H$19*Inputs!$H$21,Inputs!$H$22*Inputs!$H$24)))+((Inputs!$G$12*(1+Inputs!$G$13)^($D13-Inputs!$G$8))*(SUM(Inputs!$I$16*Inputs!$I$17,Inputs!$I$19*Inputs!$I$20,Inputs!$I$22*Inputs!$I$23))+(Inputs!$G$12*(1+Inputs!$G$13)^($D13-Inputs!$G$8))*(SUM(Inputs!$I$16*Inputs!$I$18,Inputs!$I$19*Inputs!$I$21,Inputs!$I$22*Inputs!$I$24))),(Inputs!$G$10*(1+Inputs!$G$13)^($D13-Inputs!$G$8))*(SUM(Inputs!$G$16*Inputs!$G$17,Inputs!$G$19*Inputs!$G$20,Inputs!$G$22*Inputs!$G$23))+(Inputs!$G$11*(1+Inputs!$G$13)^($D13-Inputs!$G$8))*(SUM(Inputs!$H$16*Inputs!$H$17,Inputs!$H$19*Inputs!$H$20,Inputs!$H$22*Inputs!$H$23))+(Inputs!$G$12*(1+Inputs!$G$13)^($D13-Inputs!$G$8))*(SUM(Inputs!$I$16*Inputs!$I$17,Inputs!$I$19*Inputs!$I$20,Inputs!$I$22*Inputs!$I$23)))</f>
        <v>313706.61</v>
      </c>
      <c r="I13" s="206"/>
      <c r="J13" s="205">
        <f>IF(Inputs!M$44=2,((Inputs!$G$10*(1+Inputs!$G$13)^($D13-Inputs!$G$8))*(SUM(Inputs!$G$16*Inputs!$G$17,Inputs!$G$19*Inputs!$G$20,Inputs!$G$22*Inputs!$G$23))+(Inputs!$G$10*(1+Inputs!$G$13)^($D13-Inputs!$G$8))*(SUM(Inputs!$G$16*Inputs!$G$18,Inputs!$G$19*Inputs!$G$21,Inputs!$G$22*Inputs!$G$24)))+((Inputs!$G$11*(1+Inputs!$G$13)^($D13-Inputs!$G$8))*(SUM(Inputs!$H$16*Inputs!$H$17,Inputs!$H$19*Inputs!$H$20,Inputs!$H$22*Inputs!$H$23))+(Inputs!$G$11*(1+Inputs!$G$13)^($D13-Inputs!$G$8))*(SUM(Inputs!$H$16*Inputs!$H$18,Inputs!$H$19*Inputs!$H$21,Inputs!$H$22*Inputs!$H$24)))+((Inputs!$G$12*(1+Inputs!$G$13)^($D13-Inputs!$G$8))*(SUM(Inputs!$I$16*Inputs!$I$17,Inputs!$I$19*Inputs!$I$20,Inputs!$I$22*Inputs!$I$23))+(Inputs!$G$12*(1+Inputs!$G$13)^($D13-Inputs!$G$8))*(SUM(Inputs!$I$16*Inputs!$I$18,Inputs!$I$19*Inputs!$I$21,Inputs!$I$22*Inputs!$I$24))),(Inputs!$G$10*(1+Inputs!$G$13)^($D13-Inputs!$G$8))*(SUM(Inputs!$G$16*Inputs!$G$17,Inputs!$G$19*Inputs!$G$20,Inputs!$G$22*Inputs!$G$23))+(Inputs!$G$11*(1+Inputs!$G$13)^($D13-Inputs!$G$8))*(SUM(Inputs!$H$16*Inputs!$H$17,Inputs!$H$19*Inputs!$H$20,Inputs!$H$22*Inputs!$H$23))+(Inputs!$G$12*(1+Inputs!$G$13)^($D13-Inputs!$G$8))*(SUM(Inputs!$I$16*Inputs!$I$17,Inputs!$I$19*Inputs!$I$20,Inputs!$I$22*Inputs!$I$23)))</f>
        <v>166516.02000000002</v>
      </c>
      <c r="K13" s="206"/>
      <c r="L13" s="205">
        <f>IF(Inputs!O$44=2,((Inputs!$G$10*(1+Inputs!$G$13)^($D13-Inputs!$G$8))*(SUM(Inputs!$G$16*Inputs!$G$17,Inputs!$G$19*Inputs!$G$20,Inputs!$G$22*Inputs!$G$23))+(Inputs!$G$10*(1+Inputs!$G$13)^($D13-Inputs!$G$8))*(SUM(Inputs!$G$16*Inputs!$G$18,Inputs!$G$19*Inputs!$G$21,Inputs!$G$22*Inputs!$G$24)))+((Inputs!$G$11*(1+Inputs!$G$13)^($D13-Inputs!$G$8))*(SUM(Inputs!$H$16*Inputs!$H$17,Inputs!$H$19*Inputs!$H$20,Inputs!$H$22*Inputs!$H$23))+(Inputs!$G$11*(1+Inputs!$G$13)^($D13-Inputs!$G$8))*(SUM(Inputs!$H$16*Inputs!$H$18,Inputs!$H$19*Inputs!$H$21,Inputs!$H$22*Inputs!$H$24)))+((Inputs!$G$12*(1+Inputs!$G$13)^($D13-Inputs!$G$8))*(SUM(Inputs!$I$16*Inputs!$I$17,Inputs!$I$19*Inputs!$I$20,Inputs!$I$22*Inputs!$I$23))+(Inputs!$G$12*(1+Inputs!$G$13)^($D13-Inputs!$G$8))*(SUM(Inputs!$I$16*Inputs!$I$18,Inputs!$I$19*Inputs!$I$21,Inputs!$I$22*Inputs!$I$24))),(Inputs!$G$10*(1+Inputs!$G$13)^($D13-Inputs!$G$8))*(SUM(Inputs!$G$16*Inputs!$G$17,Inputs!$G$19*Inputs!$G$20,Inputs!$G$22*Inputs!$G$23))+(Inputs!$G$11*(1+Inputs!$G$13)^($D13-Inputs!$G$8))*(SUM(Inputs!$H$16*Inputs!$H$17,Inputs!$H$19*Inputs!$H$20,Inputs!$H$22*Inputs!$H$23))+(Inputs!$G$12*(1+Inputs!$G$13)^($D13-Inputs!$G$8))*(SUM(Inputs!$I$16*Inputs!$I$17,Inputs!$I$19*Inputs!$I$20,Inputs!$I$22*Inputs!$I$23)))</f>
        <v>166516.02000000002</v>
      </c>
      <c r="M13" s="189"/>
      <c r="N13" s="189"/>
    </row>
    <row r="14" spans="1:15" ht="15.6" x14ac:dyDescent="0.25">
      <c r="B14" s="194"/>
      <c r="C14" s="194"/>
      <c r="D14" s="193">
        <f>Inputs!$G$8+3</f>
        <v>2029</v>
      </c>
      <c r="E14" s="192"/>
      <c r="F14" s="205">
        <f>IF(Inputs!G$44=2,((Inputs!$G$10*(1+Inputs!$G$13)^(D14-Inputs!$G$8))*(SUM(Inputs!$G$16*Inputs!$G$17,Inputs!$G$19*Inputs!$G$20,Inputs!$G$22*Inputs!$G$23))+(Inputs!$G$10*(1+Inputs!$G$13)^(D14-Inputs!$G$8))*(SUM(Inputs!$G$16*Inputs!$G$18,Inputs!$G$19*Inputs!$G$21,Inputs!$G$22*Inputs!$G$24)))+((Inputs!$G$11*(1+Inputs!$G$13)^(D14-Inputs!$G$8))*(SUM(Inputs!$H$16*Inputs!$H$17,Inputs!$H$19*Inputs!$H$20,Inputs!$H$22*Inputs!$H$23))+(Inputs!$G$11*(1+Inputs!$G$13)^(D14-Inputs!$G$8))*(SUM(Inputs!$H$16*Inputs!$H$18,Inputs!$H$19*Inputs!$H$21,Inputs!$H$22*Inputs!$H$24)))+((Inputs!$G$12*(1+Inputs!$G$13)^(D14-Inputs!$G$8))*(SUM(Inputs!$I$16*Inputs!$I$17,Inputs!$I$19*Inputs!$I$20,Inputs!$I$22*Inputs!$I$23))+(Inputs!$G$12*(1+Inputs!$G$13)^(D14-Inputs!$G$8))*(SUM(Inputs!$I$16*Inputs!$I$18,Inputs!$I$19*Inputs!$I$21,Inputs!$I$22*Inputs!$I$24))),(Inputs!$G$10*(1+Inputs!$G$13)^(D14-Inputs!$G$8))*(SUM(Inputs!$G$16*Inputs!$G$17,Inputs!$G$19*Inputs!$G$20,Inputs!$G$22*Inputs!$G$23))+(Inputs!$G$11*(1+Inputs!$G$13)^(D14-Inputs!$G$8))*(SUM(Inputs!$H$16*Inputs!$H$17,Inputs!$H$19*Inputs!$H$20,Inputs!$H$22*Inputs!$H$23))+(Inputs!$G$12*(1+Inputs!$G$13)^(D14-Inputs!$G$8))*(SUM(Inputs!$I$16*Inputs!$I$17,Inputs!$I$19*Inputs!$I$20,Inputs!$I$22*Inputs!$I$23)))</f>
        <v>169846.34039999996</v>
      </c>
      <c r="G14" s="206"/>
      <c r="H14" s="205">
        <f>IF(Inputs!K$44=2,((Inputs!$G$10*(1+Inputs!$G$13)^($D14-Inputs!$G$8))*(SUM(Inputs!$G$16*Inputs!$G$17,Inputs!$G$19*Inputs!$G$20,Inputs!$G$22*Inputs!$G$23))+(Inputs!$G$10*(1+Inputs!$G$13)^($D14-Inputs!$G$8))*(SUM(Inputs!$G$16*Inputs!$G$18,Inputs!$G$19*Inputs!$G$21,Inputs!$G$22*Inputs!$G$24)))+((Inputs!$G$11*(1+Inputs!$G$13)^($D14-Inputs!$G$8))*(SUM(Inputs!$H$16*Inputs!$H$17,Inputs!$H$19*Inputs!$H$20,Inputs!$H$22*Inputs!$H$23))+(Inputs!$G$11*(1+Inputs!$G$13)^($D14-Inputs!$G$8))*(SUM(Inputs!$H$16*Inputs!$H$18,Inputs!$H$19*Inputs!$H$21,Inputs!$H$22*Inputs!$H$24)))+((Inputs!$G$12*(1+Inputs!$G$13)^($D14-Inputs!$G$8))*(SUM(Inputs!$I$16*Inputs!$I$17,Inputs!$I$19*Inputs!$I$20,Inputs!$I$22*Inputs!$I$23))+(Inputs!$G$12*(1+Inputs!$G$13)^($D14-Inputs!$G$8))*(SUM(Inputs!$I$16*Inputs!$I$18,Inputs!$I$19*Inputs!$I$21,Inputs!$I$22*Inputs!$I$24))),(Inputs!$G$10*(1+Inputs!$G$13)^($D14-Inputs!$G$8))*(SUM(Inputs!$G$16*Inputs!$G$17,Inputs!$G$19*Inputs!$G$20,Inputs!$G$22*Inputs!$G$23))+(Inputs!$G$11*(1+Inputs!$G$13)^($D14-Inputs!$G$8))*(SUM(Inputs!$H$16*Inputs!$H$17,Inputs!$H$19*Inputs!$H$20,Inputs!$H$22*Inputs!$H$23))+(Inputs!$G$12*(1+Inputs!$G$13)^($D14-Inputs!$G$8))*(SUM(Inputs!$I$16*Inputs!$I$17,Inputs!$I$19*Inputs!$I$20,Inputs!$I$22*Inputs!$I$23)))</f>
        <v>319980.74219999992</v>
      </c>
      <c r="I14" s="206"/>
      <c r="J14" s="205">
        <f>IF(Inputs!M$44=2,((Inputs!$G$10*(1+Inputs!$G$13)^($D14-Inputs!$G$8))*(SUM(Inputs!$G$16*Inputs!$G$17,Inputs!$G$19*Inputs!$G$20,Inputs!$G$22*Inputs!$G$23))+(Inputs!$G$10*(1+Inputs!$G$13)^($D14-Inputs!$G$8))*(SUM(Inputs!$G$16*Inputs!$G$18,Inputs!$G$19*Inputs!$G$21,Inputs!$G$22*Inputs!$G$24)))+((Inputs!$G$11*(1+Inputs!$G$13)^($D14-Inputs!$G$8))*(SUM(Inputs!$H$16*Inputs!$H$17,Inputs!$H$19*Inputs!$H$20,Inputs!$H$22*Inputs!$H$23))+(Inputs!$G$11*(1+Inputs!$G$13)^($D14-Inputs!$G$8))*(SUM(Inputs!$H$16*Inputs!$H$18,Inputs!$H$19*Inputs!$H$21,Inputs!$H$22*Inputs!$H$24)))+((Inputs!$G$12*(1+Inputs!$G$13)^($D14-Inputs!$G$8))*(SUM(Inputs!$I$16*Inputs!$I$17,Inputs!$I$19*Inputs!$I$20,Inputs!$I$22*Inputs!$I$23))+(Inputs!$G$12*(1+Inputs!$G$13)^($D14-Inputs!$G$8))*(SUM(Inputs!$I$16*Inputs!$I$18,Inputs!$I$19*Inputs!$I$21,Inputs!$I$22*Inputs!$I$24))),(Inputs!$G$10*(1+Inputs!$G$13)^($D14-Inputs!$G$8))*(SUM(Inputs!$G$16*Inputs!$G$17,Inputs!$G$19*Inputs!$G$20,Inputs!$G$22*Inputs!$G$23))+(Inputs!$G$11*(1+Inputs!$G$13)^($D14-Inputs!$G$8))*(SUM(Inputs!$H$16*Inputs!$H$17,Inputs!$H$19*Inputs!$H$20,Inputs!$H$22*Inputs!$H$23))+(Inputs!$G$12*(1+Inputs!$G$13)^($D14-Inputs!$G$8))*(SUM(Inputs!$I$16*Inputs!$I$17,Inputs!$I$19*Inputs!$I$20,Inputs!$I$22*Inputs!$I$23)))</f>
        <v>169846.34039999996</v>
      </c>
      <c r="K14" s="206"/>
      <c r="L14" s="205">
        <f>IF(Inputs!O$44=2,((Inputs!$G$10*(1+Inputs!$G$13)^($D14-Inputs!$G$8))*(SUM(Inputs!$G$16*Inputs!$G$17,Inputs!$G$19*Inputs!$G$20,Inputs!$G$22*Inputs!$G$23))+(Inputs!$G$10*(1+Inputs!$G$13)^($D14-Inputs!$G$8))*(SUM(Inputs!$G$16*Inputs!$G$18,Inputs!$G$19*Inputs!$G$21,Inputs!$G$22*Inputs!$G$24)))+((Inputs!$G$11*(1+Inputs!$G$13)^($D14-Inputs!$G$8))*(SUM(Inputs!$H$16*Inputs!$H$17,Inputs!$H$19*Inputs!$H$20,Inputs!$H$22*Inputs!$H$23))+(Inputs!$G$11*(1+Inputs!$G$13)^($D14-Inputs!$G$8))*(SUM(Inputs!$H$16*Inputs!$H$18,Inputs!$H$19*Inputs!$H$21,Inputs!$H$22*Inputs!$H$24)))+((Inputs!$G$12*(1+Inputs!$G$13)^($D14-Inputs!$G$8))*(SUM(Inputs!$I$16*Inputs!$I$17,Inputs!$I$19*Inputs!$I$20,Inputs!$I$22*Inputs!$I$23))+(Inputs!$G$12*(1+Inputs!$G$13)^($D14-Inputs!$G$8))*(SUM(Inputs!$I$16*Inputs!$I$18,Inputs!$I$19*Inputs!$I$21,Inputs!$I$22*Inputs!$I$24))),(Inputs!$G$10*(1+Inputs!$G$13)^($D14-Inputs!$G$8))*(SUM(Inputs!$G$16*Inputs!$G$17,Inputs!$G$19*Inputs!$G$20,Inputs!$G$22*Inputs!$G$23))+(Inputs!$G$11*(1+Inputs!$G$13)^($D14-Inputs!$G$8))*(SUM(Inputs!$H$16*Inputs!$H$17,Inputs!$H$19*Inputs!$H$20,Inputs!$H$22*Inputs!$H$23))+(Inputs!$G$12*(1+Inputs!$G$13)^($D14-Inputs!$G$8))*(SUM(Inputs!$I$16*Inputs!$I$17,Inputs!$I$19*Inputs!$I$20,Inputs!$I$22*Inputs!$I$23)))</f>
        <v>169846.34039999996</v>
      </c>
      <c r="M14" s="189"/>
      <c r="N14" s="189"/>
    </row>
    <row r="15" spans="1:15" ht="15.75" customHeight="1" x14ac:dyDescent="0.25">
      <c r="B15" s="194"/>
      <c r="C15" s="194"/>
      <c r="D15" s="193">
        <f>Inputs!$G$8+4</f>
        <v>2030</v>
      </c>
      <c r="E15" s="192"/>
      <c r="F15" s="205">
        <f>IF(Inputs!G$44=2,((Inputs!$G$10*(1+Inputs!$G$13)^(D15-Inputs!$G$8))*(SUM(Inputs!$G$16*Inputs!$G$17,Inputs!$G$19*Inputs!$G$20,Inputs!$G$22*Inputs!$G$23))+(Inputs!$G$10*(1+Inputs!$G$13)^(D15-Inputs!$G$8))*(SUM(Inputs!$G$16*Inputs!$G$18,Inputs!$G$19*Inputs!$G$21,Inputs!$G$22*Inputs!$G$24)))+((Inputs!$G$11*(1+Inputs!$G$13)^(D15-Inputs!$G$8))*(SUM(Inputs!$H$16*Inputs!$H$17,Inputs!$H$19*Inputs!$H$20,Inputs!$H$22*Inputs!$H$23))+(Inputs!$G$11*(1+Inputs!$G$13)^(D15-Inputs!$G$8))*(SUM(Inputs!$H$16*Inputs!$H$18,Inputs!$H$19*Inputs!$H$21,Inputs!$H$22*Inputs!$H$24)))+((Inputs!$G$12*(1+Inputs!$G$13)^(D15-Inputs!$G$8))*(SUM(Inputs!$I$16*Inputs!$I$17,Inputs!$I$19*Inputs!$I$20,Inputs!$I$22*Inputs!$I$23))+(Inputs!$G$12*(1+Inputs!$G$13)^(D15-Inputs!$G$8))*(SUM(Inputs!$I$16*Inputs!$I$18,Inputs!$I$19*Inputs!$I$21,Inputs!$I$22*Inputs!$I$24))),(Inputs!$G$10*(1+Inputs!$G$13)^(D15-Inputs!$G$8))*(SUM(Inputs!$G$16*Inputs!$G$17,Inputs!$G$19*Inputs!$G$20,Inputs!$G$22*Inputs!$G$23))+(Inputs!$G$11*(1+Inputs!$G$13)^(D15-Inputs!$G$8))*(SUM(Inputs!$H$16*Inputs!$H$17,Inputs!$H$19*Inputs!$H$20,Inputs!$H$22*Inputs!$H$23))+(Inputs!$G$12*(1+Inputs!$G$13)^(D15-Inputs!$G$8))*(SUM(Inputs!$I$16*Inputs!$I$17,Inputs!$I$19*Inputs!$I$20,Inputs!$I$22*Inputs!$I$23)))</f>
        <v>173243.26720799998</v>
      </c>
      <c r="G15" s="206"/>
      <c r="H15" s="205">
        <f>IF(Inputs!K$44=2,((Inputs!$G$10*(1+Inputs!$G$13)^($D15-Inputs!$G$8))*(SUM(Inputs!$G$16*Inputs!$G$17,Inputs!$G$19*Inputs!$G$20,Inputs!$G$22*Inputs!$G$23))+(Inputs!$G$10*(1+Inputs!$G$13)^($D15-Inputs!$G$8))*(SUM(Inputs!$G$16*Inputs!$G$18,Inputs!$G$19*Inputs!$G$21,Inputs!$G$22*Inputs!$G$24)))+((Inputs!$G$11*(1+Inputs!$G$13)^($D15-Inputs!$G$8))*(SUM(Inputs!$H$16*Inputs!$H$17,Inputs!$H$19*Inputs!$H$20,Inputs!$H$22*Inputs!$H$23))+(Inputs!$G$11*(1+Inputs!$G$13)^($D15-Inputs!$G$8))*(SUM(Inputs!$H$16*Inputs!$H$18,Inputs!$H$19*Inputs!$H$21,Inputs!$H$22*Inputs!$H$24)))+((Inputs!$G$12*(1+Inputs!$G$13)^($D15-Inputs!$G$8))*(SUM(Inputs!$I$16*Inputs!$I$17,Inputs!$I$19*Inputs!$I$20,Inputs!$I$22*Inputs!$I$23))+(Inputs!$G$12*(1+Inputs!$G$13)^($D15-Inputs!$G$8))*(SUM(Inputs!$I$16*Inputs!$I$18,Inputs!$I$19*Inputs!$I$21,Inputs!$I$22*Inputs!$I$24))),(Inputs!$G$10*(1+Inputs!$G$13)^($D15-Inputs!$G$8))*(SUM(Inputs!$G$16*Inputs!$G$17,Inputs!$G$19*Inputs!$G$20,Inputs!$G$22*Inputs!$G$23))+(Inputs!$G$11*(1+Inputs!$G$13)^($D15-Inputs!$G$8))*(SUM(Inputs!$H$16*Inputs!$H$17,Inputs!$H$19*Inputs!$H$20,Inputs!$H$22*Inputs!$H$23))+(Inputs!$G$12*(1+Inputs!$G$13)^($D15-Inputs!$G$8))*(SUM(Inputs!$I$16*Inputs!$I$17,Inputs!$I$19*Inputs!$I$20,Inputs!$I$22*Inputs!$I$23)))</f>
        <v>326380.35704400006</v>
      </c>
      <c r="I15" s="206"/>
      <c r="J15" s="205">
        <f>IF(Inputs!M$44=2,((Inputs!$G$10*(1+Inputs!$G$13)^($D15-Inputs!$G$8))*(SUM(Inputs!$G$16*Inputs!$G$17,Inputs!$G$19*Inputs!$G$20,Inputs!$G$22*Inputs!$G$23))+(Inputs!$G$10*(1+Inputs!$G$13)^($D15-Inputs!$G$8))*(SUM(Inputs!$G$16*Inputs!$G$18,Inputs!$G$19*Inputs!$G$21,Inputs!$G$22*Inputs!$G$24)))+((Inputs!$G$11*(1+Inputs!$G$13)^($D15-Inputs!$G$8))*(SUM(Inputs!$H$16*Inputs!$H$17,Inputs!$H$19*Inputs!$H$20,Inputs!$H$22*Inputs!$H$23))+(Inputs!$G$11*(1+Inputs!$G$13)^($D15-Inputs!$G$8))*(SUM(Inputs!$H$16*Inputs!$H$18,Inputs!$H$19*Inputs!$H$21,Inputs!$H$22*Inputs!$H$24)))+((Inputs!$G$12*(1+Inputs!$G$13)^($D15-Inputs!$G$8))*(SUM(Inputs!$I$16*Inputs!$I$17,Inputs!$I$19*Inputs!$I$20,Inputs!$I$22*Inputs!$I$23))+(Inputs!$G$12*(1+Inputs!$G$13)^($D15-Inputs!$G$8))*(SUM(Inputs!$I$16*Inputs!$I$18,Inputs!$I$19*Inputs!$I$21,Inputs!$I$22*Inputs!$I$24))),(Inputs!$G$10*(1+Inputs!$G$13)^($D15-Inputs!$G$8))*(SUM(Inputs!$G$16*Inputs!$G$17,Inputs!$G$19*Inputs!$G$20,Inputs!$G$22*Inputs!$G$23))+(Inputs!$G$11*(1+Inputs!$G$13)^($D15-Inputs!$G$8))*(SUM(Inputs!$H$16*Inputs!$H$17,Inputs!$H$19*Inputs!$H$20,Inputs!$H$22*Inputs!$H$23))+(Inputs!$G$12*(1+Inputs!$G$13)^($D15-Inputs!$G$8))*(SUM(Inputs!$I$16*Inputs!$I$17,Inputs!$I$19*Inputs!$I$20,Inputs!$I$22*Inputs!$I$23)))</f>
        <v>173243.26720799998</v>
      </c>
      <c r="K15" s="206"/>
      <c r="L15" s="205">
        <f>IF(Inputs!O$44=2,((Inputs!$G$10*(1+Inputs!$G$13)^($D15-Inputs!$G$8))*(SUM(Inputs!$G$16*Inputs!$G$17,Inputs!$G$19*Inputs!$G$20,Inputs!$G$22*Inputs!$G$23))+(Inputs!$G$10*(1+Inputs!$G$13)^($D15-Inputs!$G$8))*(SUM(Inputs!$G$16*Inputs!$G$18,Inputs!$G$19*Inputs!$G$21,Inputs!$G$22*Inputs!$G$24)))+((Inputs!$G$11*(1+Inputs!$G$13)^($D15-Inputs!$G$8))*(SUM(Inputs!$H$16*Inputs!$H$17,Inputs!$H$19*Inputs!$H$20,Inputs!$H$22*Inputs!$H$23))+(Inputs!$G$11*(1+Inputs!$G$13)^($D15-Inputs!$G$8))*(SUM(Inputs!$H$16*Inputs!$H$18,Inputs!$H$19*Inputs!$H$21,Inputs!$H$22*Inputs!$H$24)))+((Inputs!$G$12*(1+Inputs!$G$13)^($D15-Inputs!$G$8))*(SUM(Inputs!$I$16*Inputs!$I$17,Inputs!$I$19*Inputs!$I$20,Inputs!$I$22*Inputs!$I$23))+(Inputs!$G$12*(1+Inputs!$G$13)^($D15-Inputs!$G$8))*(SUM(Inputs!$I$16*Inputs!$I$18,Inputs!$I$19*Inputs!$I$21,Inputs!$I$22*Inputs!$I$24))),(Inputs!$G$10*(1+Inputs!$G$13)^($D15-Inputs!$G$8))*(SUM(Inputs!$G$16*Inputs!$G$17,Inputs!$G$19*Inputs!$G$20,Inputs!$G$22*Inputs!$G$23))+(Inputs!$G$11*(1+Inputs!$G$13)^($D15-Inputs!$G$8))*(SUM(Inputs!$H$16*Inputs!$H$17,Inputs!$H$19*Inputs!$H$20,Inputs!$H$22*Inputs!$H$23))+(Inputs!$G$12*(1+Inputs!$G$13)^($D15-Inputs!$G$8))*(SUM(Inputs!$I$16*Inputs!$I$17,Inputs!$I$19*Inputs!$I$20,Inputs!$I$22*Inputs!$I$23)))</f>
        <v>173243.26720799998</v>
      </c>
      <c r="M15" s="189"/>
      <c r="N15" s="189"/>
    </row>
    <row r="16" spans="1:15" ht="15" customHeight="1" x14ac:dyDescent="0.25">
      <c r="B16" s="194"/>
      <c r="C16" s="194"/>
      <c r="D16" s="202"/>
      <c r="E16" s="192"/>
      <c r="F16" s="212"/>
      <c r="G16" s="206"/>
      <c r="H16" s="212"/>
      <c r="I16" s="206"/>
      <c r="J16" s="212"/>
      <c r="K16" s="206"/>
      <c r="L16" s="212"/>
      <c r="M16" s="189"/>
      <c r="N16" s="189"/>
    </row>
    <row r="17" spans="2:14" ht="42" customHeight="1" x14ac:dyDescent="0.25">
      <c r="B17" s="194"/>
      <c r="C17" s="194"/>
      <c r="D17" s="506" t="s">
        <v>118</v>
      </c>
      <c r="E17" s="506"/>
      <c r="F17" s="506"/>
      <c r="G17" s="506"/>
      <c r="H17" s="506"/>
      <c r="I17" s="506"/>
      <c r="J17" s="506"/>
      <c r="K17" s="506"/>
      <c r="L17" s="506"/>
      <c r="M17" s="189"/>
      <c r="N17" s="189"/>
    </row>
    <row r="18" spans="2:14" ht="7.95" customHeight="1" x14ac:dyDescent="0.25">
      <c r="B18" s="194"/>
      <c r="C18" s="194"/>
      <c r="D18" s="199"/>
      <c r="E18" s="199"/>
      <c r="F18" s="199"/>
      <c r="G18" s="199"/>
      <c r="H18" s="199"/>
      <c r="I18" s="199"/>
      <c r="J18" s="199"/>
      <c r="K18" s="199"/>
      <c r="L18" s="199"/>
      <c r="M18" s="189"/>
      <c r="N18" s="189"/>
    </row>
    <row r="19" spans="2:14" ht="34.950000000000003" customHeight="1" x14ac:dyDescent="0.25">
      <c r="B19" s="194"/>
      <c r="C19" s="194"/>
      <c r="D19" s="216" t="s">
        <v>117</v>
      </c>
      <c r="E19" s="215"/>
      <c r="F19" s="213">
        <f>SUM(F20:F24)</f>
        <v>1299002.0037577893</v>
      </c>
      <c r="G19" s="214"/>
      <c r="H19" s="213">
        <f>SUM(H20:H24)</f>
        <v>2410835.2475851579</v>
      </c>
      <c r="I19" s="214"/>
      <c r="J19" s="213">
        <f>SUM(J20:J24)</f>
        <v>1368762.6252553333</v>
      </c>
      <c r="K19" s="214"/>
      <c r="L19" s="213">
        <f>SUM(L20:L24)</f>
        <v>1299002.0037577893</v>
      </c>
      <c r="M19" s="189"/>
      <c r="N19" s="189"/>
    </row>
    <row r="20" spans="2:14" ht="15.6" x14ac:dyDescent="0.25">
      <c r="B20" s="194"/>
      <c r="C20" s="194"/>
      <c r="D20" s="193">
        <f>Inputs!$G$8</f>
        <v>2026</v>
      </c>
      <c r="E20" s="192"/>
      <c r="F20" s="205">
        <f>F11*Inputs!G$49+Data!$B41*Inputs!G$52</f>
        <v>587433.55263157887</v>
      </c>
      <c r="G20" s="206"/>
      <c r="H20" s="205">
        <f>H11*Inputs!K$49+Data!$B41*Inputs!K$52</f>
        <v>1073196.7105263157</v>
      </c>
      <c r="I20" s="206"/>
      <c r="J20" s="205">
        <f>J11*Inputs!M$49+Data!$B41*Inputs!M$52</f>
        <v>617845.83333333337</v>
      </c>
      <c r="K20" s="206"/>
      <c r="L20" s="205">
        <f>L11*Inputs!O$49+Data!$B41*Inputs!O$52</f>
        <v>587433.55263157887</v>
      </c>
      <c r="M20" s="189"/>
      <c r="N20" s="189"/>
    </row>
    <row r="21" spans="2:14" ht="15.6" x14ac:dyDescent="0.25">
      <c r="B21" s="194"/>
      <c r="C21" s="194"/>
      <c r="D21" s="193">
        <f>Inputs!$G$8+1</f>
        <v>2027</v>
      </c>
      <c r="E21" s="192"/>
      <c r="F21" s="205">
        <f>F12*Inputs!G$49+(Data!$B42*Inputs!G$52-Data!$B41*Inputs!G$52)</f>
        <v>172643.40789473683</v>
      </c>
      <c r="G21" s="206"/>
      <c r="H21" s="205">
        <f>H12*Inputs!K$49+(Data!$B42*Inputs!K$52-Data!$B41*Inputs!K$52)</f>
        <v>324542.88157894736</v>
      </c>
      <c r="I21" s="206"/>
      <c r="J21" s="205">
        <f>J12*Inputs!M$49+(Data!$B42*Inputs!M$52-Data!$B41*Inputs!M$52)</f>
        <v>182190.25</v>
      </c>
      <c r="K21" s="206"/>
      <c r="L21" s="205">
        <f>L12*Inputs!O$49+(Data!$B42*Inputs!O$52-Data!$B41*Inputs!O$52)</f>
        <v>172643.40789473683</v>
      </c>
      <c r="M21" s="189"/>
      <c r="N21" s="189"/>
    </row>
    <row r="22" spans="2:14" ht="15.6" x14ac:dyDescent="0.25">
      <c r="B22" s="194"/>
      <c r="C22" s="194"/>
      <c r="D22" s="193">
        <f>Inputs!$G$8+2</f>
        <v>2028</v>
      </c>
      <c r="E22" s="192"/>
      <c r="F22" s="205">
        <f>F13*Inputs!G$49+(Data!$B43*Inputs!G$52-Data!$B42*Inputs!G$52)</f>
        <v>176096.27605263158</v>
      </c>
      <c r="G22" s="206"/>
      <c r="H22" s="205">
        <f>H13*Inputs!K$49+(Data!$B43*Inputs!K$52-Data!$B42*Inputs!K$52)</f>
        <v>331033.73921052628</v>
      </c>
      <c r="I22" s="206"/>
      <c r="J22" s="205">
        <f>J13*Inputs!M$49+(Data!$B43*Inputs!M$52-Data!$B42*Inputs!M$52)</f>
        <v>185834.05500000002</v>
      </c>
      <c r="K22" s="206"/>
      <c r="L22" s="205">
        <f>L13*Inputs!O$49+(Data!$B43*Inputs!O$52-Data!$B42*Inputs!O$52)</f>
        <v>176096.27605263158</v>
      </c>
      <c r="M22" s="189"/>
      <c r="N22" s="189"/>
    </row>
    <row r="23" spans="2:14" ht="15.6" x14ac:dyDescent="0.25">
      <c r="B23" s="194"/>
      <c r="C23" s="194"/>
      <c r="D23" s="193">
        <f>Inputs!$G$8+3</f>
        <v>2029</v>
      </c>
      <c r="E23" s="192"/>
      <c r="F23" s="205">
        <f>F14*Inputs!G$49+(Data!$B44*Inputs!G$52-Data!$B43*Inputs!G$52)</f>
        <v>179618.20157368414</v>
      </c>
      <c r="G23" s="206"/>
      <c r="H23" s="205">
        <f>H14*Inputs!K$49+(Data!$B44*Inputs!K$52-Data!$B43*Inputs!K$52)</f>
        <v>337654.41399473668</v>
      </c>
      <c r="I23" s="206"/>
      <c r="J23" s="205">
        <f>J14*Inputs!M$49+(Data!$B44*Inputs!M$52-Data!$B43*Inputs!M$52)</f>
        <v>189550.73609999995</v>
      </c>
      <c r="K23" s="206"/>
      <c r="L23" s="205">
        <f>L14*Inputs!O$49+(Data!$B44*Inputs!O$52-Data!$B43*Inputs!O$52)</f>
        <v>179618.20157368414</v>
      </c>
      <c r="M23" s="189"/>
      <c r="N23" s="189"/>
    </row>
    <row r="24" spans="2:14" ht="15.75" customHeight="1" x14ac:dyDescent="0.25">
      <c r="B24" s="194"/>
      <c r="C24" s="194"/>
      <c r="D24" s="193">
        <f>Inputs!$G$8+4</f>
        <v>2030</v>
      </c>
      <c r="E24" s="192"/>
      <c r="F24" s="205">
        <f>F15*Inputs!G$49+(Data!$B45*Inputs!G$52-Data!$B44*Inputs!G$52)</f>
        <v>183210.56560515787</v>
      </c>
      <c r="G24" s="206"/>
      <c r="H24" s="205">
        <f>H15*Inputs!K$49+(Data!$B45*Inputs!K$52-Data!$B44*Inputs!K$52)</f>
        <v>344407.50227463164</v>
      </c>
      <c r="I24" s="206"/>
      <c r="J24" s="205">
        <f>J15*Inputs!M$49+(Data!$B45*Inputs!M$52-Data!$B44*Inputs!M$52)</f>
        <v>193341.75082199997</v>
      </c>
      <c r="K24" s="206"/>
      <c r="L24" s="205">
        <f>L15*Inputs!O$49+(Data!$B45*Inputs!O$52-Data!$B44*Inputs!O$52)</f>
        <v>183210.56560515787</v>
      </c>
      <c r="M24" s="189"/>
      <c r="N24" s="189"/>
    </row>
    <row r="25" spans="2:14" ht="15" customHeight="1" x14ac:dyDescent="0.25">
      <c r="B25" s="194"/>
      <c r="C25" s="194"/>
      <c r="D25" s="202"/>
      <c r="E25" s="192"/>
      <c r="F25" s="212"/>
      <c r="G25" s="206"/>
      <c r="H25" s="212"/>
      <c r="I25" s="206"/>
      <c r="J25" s="212"/>
      <c r="K25" s="206"/>
      <c r="L25" s="212"/>
      <c r="M25" s="189"/>
      <c r="N25" s="189"/>
    </row>
    <row r="26" spans="2:14" s="209" customFormat="1" ht="42" customHeight="1" x14ac:dyDescent="0.25">
      <c r="B26" s="211"/>
      <c r="C26" s="211"/>
      <c r="D26" s="506" t="s">
        <v>119</v>
      </c>
      <c r="E26" s="506"/>
      <c r="F26" s="506"/>
      <c r="G26" s="506"/>
      <c r="H26" s="506"/>
      <c r="I26" s="506"/>
      <c r="J26" s="506"/>
      <c r="K26" s="506"/>
      <c r="L26" s="506"/>
      <c r="M26" s="210"/>
      <c r="N26" s="210"/>
    </row>
    <row r="27" spans="2:14" ht="7.95" customHeight="1" x14ac:dyDescent="0.25">
      <c r="B27" s="194"/>
      <c r="C27" s="194"/>
      <c r="D27" s="208"/>
      <c r="E27" s="199"/>
      <c r="F27" s="208"/>
      <c r="G27" s="199"/>
      <c r="H27" s="208"/>
      <c r="I27" s="199"/>
      <c r="J27" s="208"/>
      <c r="K27" s="199"/>
      <c r="L27" s="208"/>
      <c r="M27" s="207"/>
      <c r="N27" s="207"/>
    </row>
    <row r="28" spans="2:14" ht="15.6" x14ac:dyDescent="0.25">
      <c r="B28" s="194"/>
      <c r="C28" s="194"/>
      <c r="D28" s="193">
        <f>Inputs!$G$8</f>
        <v>2026</v>
      </c>
      <c r="E28" s="192"/>
      <c r="F28" s="205">
        <f>F20*Inputs!G$46</f>
        <v>8576529.8684210517</v>
      </c>
      <c r="G28" s="206"/>
      <c r="H28" s="205">
        <f>H20*Inputs!K$46</f>
        <v>12663721.184210526</v>
      </c>
      <c r="I28" s="206"/>
      <c r="J28" s="205">
        <f>J20*Inputs!M$46</f>
        <v>9267687.5</v>
      </c>
      <c r="K28" s="206"/>
      <c r="L28" s="205">
        <f>L20*Inputs!O$46</f>
        <v>8811503.2894736826</v>
      </c>
      <c r="M28" s="189"/>
      <c r="N28" s="189"/>
    </row>
    <row r="29" spans="2:14" ht="15.6" x14ac:dyDescent="0.25">
      <c r="B29" s="194"/>
      <c r="C29" s="194"/>
      <c r="D29" s="193">
        <f>Inputs!$G$8+1</f>
        <v>2027</v>
      </c>
      <c r="E29" s="192"/>
      <c r="F29" s="205">
        <f>F21*Inputs!G$46</f>
        <v>2520593.7552631577</v>
      </c>
      <c r="G29" s="206"/>
      <c r="H29" s="205">
        <f>H21*Inputs!K$46</f>
        <v>3829606.0026315791</v>
      </c>
      <c r="I29" s="206"/>
      <c r="J29" s="205">
        <f>J21*Inputs!M$46</f>
        <v>2732853.75</v>
      </c>
      <c r="K29" s="206"/>
      <c r="L29" s="205">
        <f>L21*Inputs!O$46</f>
        <v>2589651.1184210526</v>
      </c>
      <c r="M29" s="189"/>
      <c r="N29" s="189"/>
    </row>
    <row r="30" spans="2:14" ht="15.6" x14ac:dyDescent="0.25">
      <c r="B30" s="194"/>
      <c r="C30" s="194"/>
      <c r="D30" s="193">
        <f>Inputs!$G$8+2</f>
        <v>2028</v>
      </c>
      <c r="E30" s="192"/>
      <c r="F30" s="205">
        <f>F22*Inputs!G$46</f>
        <v>2571005.6303684209</v>
      </c>
      <c r="G30" s="206"/>
      <c r="H30" s="205">
        <f>H22*Inputs!K$46</f>
        <v>3906198.1226842105</v>
      </c>
      <c r="I30" s="206"/>
      <c r="J30" s="205">
        <f>J22*Inputs!M$46</f>
        <v>2787510.8250000002</v>
      </c>
      <c r="K30" s="206"/>
      <c r="L30" s="205">
        <f>L22*Inputs!O$46</f>
        <v>2641444.1407894739</v>
      </c>
      <c r="M30" s="189"/>
      <c r="N30" s="189"/>
    </row>
    <row r="31" spans="2:14" ht="15.6" x14ac:dyDescent="0.25">
      <c r="B31" s="194"/>
      <c r="C31" s="194"/>
      <c r="D31" s="193">
        <f>Inputs!$G$8+3</f>
        <v>2029</v>
      </c>
      <c r="E31" s="192"/>
      <c r="F31" s="205">
        <f>F23*Inputs!G$46</f>
        <v>2622425.7429757882</v>
      </c>
      <c r="G31" s="206"/>
      <c r="H31" s="205">
        <f>H23*Inputs!K$46</f>
        <v>3984322.085137893</v>
      </c>
      <c r="I31" s="206"/>
      <c r="J31" s="205">
        <f>J23*Inputs!M$46</f>
        <v>2843261.0414999994</v>
      </c>
      <c r="K31" s="206"/>
      <c r="L31" s="205">
        <f>L23*Inputs!O$46</f>
        <v>2694273.0236052619</v>
      </c>
      <c r="M31" s="189"/>
      <c r="N31" s="189"/>
    </row>
    <row r="32" spans="2:14" ht="15.6" x14ac:dyDescent="0.25">
      <c r="B32" s="194"/>
      <c r="C32" s="194"/>
      <c r="D32" s="193">
        <f>Inputs!$G$8+4</f>
        <v>2030</v>
      </c>
      <c r="E32" s="192"/>
      <c r="F32" s="205">
        <f>F24*Inputs!G$46</f>
        <v>2674874.2578353048</v>
      </c>
      <c r="G32" s="206"/>
      <c r="H32" s="205">
        <f>H24*Inputs!K$46</f>
        <v>4064008.5268406537</v>
      </c>
      <c r="I32" s="206"/>
      <c r="J32" s="205">
        <f>J24*Inputs!M$46</f>
        <v>2900126.2623299994</v>
      </c>
      <c r="K32" s="206"/>
      <c r="L32" s="205">
        <f>L24*Inputs!O$46</f>
        <v>2748158.4840773679</v>
      </c>
      <c r="M32" s="189"/>
      <c r="N32" s="189"/>
    </row>
    <row r="33" spans="2:14" ht="15" customHeight="1" x14ac:dyDescent="0.25">
      <c r="B33" s="189"/>
      <c r="C33" s="189"/>
      <c r="D33" s="189"/>
      <c r="E33" s="189"/>
      <c r="F33" s="189"/>
      <c r="G33" s="189"/>
      <c r="H33" s="189"/>
      <c r="I33" s="189"/>
      <c r="J33" s="189"/>
      <c r="K33" s="189"/>
      <c r="L33" s="189"/>
      <c r="M33" s="189"/>
      <c r="N33" s="189"/>
    </row>
    <row r="34" spans="2:14" ht="42" customHeight="1" x14ac:dyDescent="0.25">
      <c r="B34" s="194"/>
      <c r="C34" s="194"/>
      <c r="D34" s="506" t="s">
        <v>120</v>
      </c>
      <c r="E34" s="506"/>
      <c r="F34" s="506"/>
      <c r="G34" s="506"/>
      <c r="H34" s="506"/>
      <c r="I34" s="506"/>
      <c r="J34" s="506"/>
      <c r="K34" s="506"/>
      <c r="L34" s="506"/>
      <c r="M34" s="189"/>
      <c r="N34" s="189"/>
    </row>
    <row r="35" spans="2:14" ht="15.6" x14ac:dyDescent="0.25">
      <c r="B35" s="194"/>
      <c r="C35" s="194"/>
      <c r="D35" s="199"/>
      <c r="E35" s="199"/>
      <c r="F35" s="199"/>
      <c r="G35" s="199"/>
      <c r="H35" s="199"/>
      <c r="I35" s="199"/>
      <c r="J35" s="199"/>
      <c r="K35" s="199"/>
      <c r="L35" s="199"/>
      <c r="M35" s="189"/>
      <c r="N35" s="189"/>
    </row>
    <row r="36" spans="2:14" ht="31.2" x14ac:dyDescent="0.25">
      <c r="B36" s="194"/>
      <c r="C36" s="194"/>
      <c r="D36" s="198" t="s">
        <v>117</v>
      </c>
      <c r="E36" s="197"/>
      <c r="F36" s="195">
        <f>SUM(F37:F41)</f>
        <v>6604229.6170644425</v>
      </c>
      <c r="G36" s="196"/>
      <c r="H36" s="195">
        <f>SUM(H37:H41)</f>
        <v>12258568.761872904</v>
      </c>
      <c r="I36" s="196"/>
      <c r="J36" s="195">
        <f>SUM(J37:J41)</f>
        <v>6955823.1494120639</v>
      </c>
      <c r="K36" s="196"/>
      <c r="L36" s="195">
        <f>SUM(L37:L41)</f>
        <v>6604229.6170644425</v>
      </c>
      <c r="M36" s="189"/>
      <c r="N36" s="189"/>
    </row>
    <row r="37" spans="2:14" ht="15.6" x14ac:dyDescent="0.25">
      <c r="B37" s="194"/>
      <c r="C37" s="194"/>
      <c r="D37" s="193">
        <f>Inputs!$G$8</f>
        <v>2026</v>
      </c>
      <c r="E37" s="192"/>
      <c r="F37" s="203">
        <f>F20*(Inputs!G$42+Inputs!G$42*Inputs!G$50+Inputs!G$42*Inputs!G$51)+(F11/Inputs!G$54*Inputs!G$53)+(F11*Inputs!$G$55)</f>
        <v>2985627.5052631577</v>
      </c>
      <c r="G37" s="201"/>
      <c r="H37" s="203">
        <f>H20*(Inputs!K$42+Inputs!K$42*Inputs!K$50+Inputs!K$42*Inputs!K$51)+(H11/Inputs!K$54*Inputs!K$53)+(H11*Inputs!$K$55)</f>
        <v>5456024.6210526312</v>
      </c>
      <c r="I37" s="201"/>
      <c r="J37" s="203">
        <f>J20*(Inputs!M$42+Inputs!M$42*Inputs!M$50+Inputs!M$42*Inputs!M$51)+(J11/Inputs!M$54*Inputs!M$53)+(J11*Inputs!$K$55)</f>
        <v>3138905.4</v>
      </c>
      <c r="K37" s="201"/>
      <c r="L37" s="203">
        <f>L20*(Inputs!O$42+Inputs!O$42*Inputs!O$50+Inputs!O$42*Inputs!O$51)+(L11/Inputs!O$54*Inputs!O$53)+(L11*Inputs!$K$55)</f>
        <v>2985627.5052631577</v>
      </c>
      <c r="M37" s="189"/>
      <c r="N37" s="189"/>
    </row>
    <row r="38" spans="2:14" ht="15.6" x14ac:dyDescent="0.25">
      <c r="B38" s="194"/>
      <c r="C38" s="194"/>
      <c r="D38" s="193">
        <f>Inputs!$G$8+1</f>
        <v>2027</v>
      </c>
      <c r="E38" s="192"/>
      <c r="F38" s="203">
        <f>F21*(Inputs!G$42+Inputs!G$42*Inputs!G$50+Inputs!G$42*Inputs!G$51)+(F12/Inputs!G$54*Inputs!G$53)+(F12*Inputs!$G$55)</f>
        <v>877958.82378947362</v>
      </c>
      <c r="G38" s="201"/>
      <c r="H38" s="203">
        <f>H21*(Inputs!K$42+Inputs!K$42*Inputs!K$50+Inputs!K$42*Inputs!K$51)+(H12/Inputs!K$54*Inputs!K$53)+(H12*Inputs!$K$55)</f>
        <v>1650458.7871578946</v>
      </c>
      <c r="I38" s="201"/>
      <c r="J38" s="203">
        <f>J21*(Inputs!M$42+Inputs!M$42*Inputs!M$50+Inputs!M$42*Inputs!M$51)+(J12/Inputs!M$54*Inputs!M$53)+(J12*Inputs!$K$55)</f>
        <v>926074.90800000005</v>
      </c>
      <c r="K38" s="201"/>
      <c r="L38" s="203">
        <f>L21*(Inputs!O$42+Inputs!O$42*Inputs!O$50+Inputs!O$42*Inputs!O$51)+(L12/Inputs!O$54*Inputs!O$53)+(L12*Inputs!$K$55)</f>
        <v>877958.82378947362</v>
      </c>
      <c r="M38" s="189"/>
      <c r="N38" s="189"/>
    </row>
    <row r="39" spans="2:14" ht="15.6" x14ac:dyDescent="0.25">
      <c r="B39" s="194"/>
      <c r="C39" s="194"/>
      <c r="D39" s="193">
        <f>Inputs!$G$8+2</f>
        <v>2028</v>
      </c>
      <c r="E39" s="192"/>
      <c r="F39" s="203">
        <f>F22*(Inputs!G$42+Inputs!G$42*Inputs!G$50+Inputs!G$42*Inputs!G$51)+(F13/Inputs!G$54*Inputs!G$53)+(F13*Inputs!$G$55)</f>
        <v>895518.00026526325</v>
      </c>
      <c r="G39" s="201"/>
      <c r="H39" s="203">
        <f>H22*(Inputs!K$42+Inputs!K$42*Inputs!K$50+Inputs!K$42*Inputs!K$51)+(H13/Inputs!K$54*Inputs!K$53)+(H13*Inputs!$K$55)</f>
        <v>1683467.9629010523</v>
      </c>
      <c r="I39" s="201"/>
      <c r="J39" s="203">
        <f>J22*(Inputs!M$42+Inputs!M$42*Inputs!M$50+Inputs!M$42*Inputs!M$51)+(J13/Inputs!M$54*Inputs!M$53)+(J13*Inputs!$K$55)</f>
        <v>944596.40616000013</v>
      </c>
      <c r="K39" s="201"/>
      <c r="L39" s="203">
        <f>L22*(Inputs!O$42+Inputs!O$42*Inputs!O$50+Inputs!O$42*Inputs!O$51)+(L13/Inputs!O$54*Inputs!O$53)+(L13*Inputs!$K$55)</f>
        <v>895518.00026526325</v>
      </c>
      <c r="M39" s="189"/>
      <c r="N39" s="189"/>
    </row>
    <row r="40" spans="2:14" ht="15.6" x14ac:dyDescent="0.25">
      <c r="B40" s="194"/>
      <c r="C40" s="194"/>
      <c r="D40" s="193">
        <f>Inputs!$G$8+3</f>
        <v>2029</v>
      </c>
      <c r="E40" s="192"/>
      <c r="F40" s="203">
        <f>F23*(Inputs!G$42+Inputs!G$42*Inputs!G$50+Inputs!G$42*Inputs!G$51)+(F14/Inputs!G$54*Inputs!G$53)+(F14*Inputs!$G$55)</f>
        <v>913428.36027056817</v>
      </c>
      <c r="G40" s="201"/>
      <c r="H40" s="203">
        <f>H23*(Inputs!K$42+Inputs!K$42*Inputs!K$50+Inputs!K$42*Inputs!K$51)+(H14/Inputs!K$54*Inputs!K$53)+(H14*Inputs!$K$55)</f>
        <v>1717137.3221590726</v>
      </c>
      <c r="I40" s="201"/>
      <c r="J40" s="203">
        <f>J23*(Inputs!M$42+Inputs!M$42*Inputs!M$50+Inputs!M$42*Inputs!M$51)+(J14/Inputs!M$54*Inputs!M$53)+(J14*Inputs!$K$55)</f>
        <v>963488.33428319986</v>
      </c>
      <c r="K40" s="201"/>
      <c r="L40" s="203">
        <f>L23*(Inputs!O$42+Inputs!O$42*Inputs!O$50+Inputs!O$42*Inputs!O$51)+(L14/Inputs!O$54*Inputs!O$53)+(L14*Inputs!$K$55)</f>
        <v>913428.36027056817</v>
      </c>
      <c r="M40" s="189"/>
      <c r="N40" s="189"/>
    </row>
    <row r="41" spans="2:14" ht="15.6" x14ac:dyDescent="0.25">
      <c r="B41" s="194"/>
      <c r="C41" s="194"/>
      <c r="D41" s="193">
        <f>Inputs!$G$8+4</f>
        <v>2030</v>
      </c>
      <c r="E41" s="192"/>
      <c r="F41" s="203">
        <f>F24*(Inputs!G$42+Inputs!G$42*Inputs!G$50+Inputs!G$42*Inputs!G$51)+(F15/Inputs!G$54*Inputs!G$53)+(F15*Inputs!$G$55)</f>
        <v>931696.92747597967</v>
      </c>
      <c r="G41" s="201"/>
      <c r="H41" s="203">
        <f>H24*(Inputs!K$42+Inputs!K$42*Inputs!K$50+Inputs!K$42*Inputs!K$51)+(H15/Inputs!K$54*Inputs!K$53)+(H15*Inputs!$K$55)</f>
        <v>1751480.0686022553</v>
      </c>
      <c r="I41" s="201"/>
      <c r="J41" s="203">
        <f>J24*(Inputs!M$42+Inputs!M$42*Inputs!M$50+Inputs!M$42*Inputs!M$51)+(J15/Inputs!M$54*Inputs!M$53)+(J15*Inputs!$K$55)</f>
        <v>982758.10096886393</v>
      </c>
      <c r="K41" s="201"/>
      <c r="L41" s="203">
        <f>L24*(Inputs!O$42+Inputs!O$42*Inputs!O$50+Inputs!O$42*Inputs!O$51)+(L15/Inputs!O$54*Inputs!O$53)+(L15*Inputs!$K$55)</f>
        <v>931696.92747597967</v>
      </c>
      <c r="M41" s="189"/>
      <c r="N41" s="189"/>
    </row>
    <row r="42" spans="2:14" ht="15.6" x14ac:dyDescent="0.25">
      <c r="B42" s="194"/>
      <c r="C42" s="194"/>
      <c r="D42" s="202"/>
      <c r="E42" s="192"/>
      <c r="F42" s="200"/>
      <c r="G42" s="201"/>
      <c r="H42" s="200"/>
      <c r="I42" s="201"/>
      <c r="J42" s="200"/>
      <c r="K42" s="201"/>
      <c r="L42" s="200"/>
      <c r="M42" s="189"/>
      <c r="N42" s="189"/>
    </row>
    <row r="43" spans="2:14" ht="42" customHeight="1" x14ac:dyDescent="0.25">
      <c r="B43" s="194"/>
      <c r="C43" s="194"/>
      <c r="D43" s="507" t="s">
        <v>121</v>
      </c>
      <c r="E43" s="507"/>
      <c r="F43" s="507"/>
      <c r="G43" s="507"/>
      <c r="H43" s="507"/>
      <c r="I43" s="507"/>
      <c r="J43" s="507"/>
      <c r="K43" s="507"/>
      <c r="L43" s="507"/>
      <c r="M43" s="189"/>
      <c r="N43" s="189"/>
    </row>
    <row r="44" spans="2:14" ht="15.6" x14ac:dyDescent="0.25">
      <c r="B44" s="194"/>
      <c r="C44" s="194"/>
      <c r="D44" s="199"/>
      <c r="E44" s="199"/>
      <c r="F44" s="199"/>
      <c r="G44" s="199"/>
      <c r="H44" s="199"/>
      <c r="I44" s="199"/>
      <c r="J44" s="199"/>
      <c r="K44" s="199"/>
      <c r="L44" s="199"/>
      <c r="M44" s="189"/>
      <c r="N44" s="189"/>
    </row>
    <row r="45" spans="2:14" ht="31.2" x14ac:dyDescent="0.25">
      <c r="B45" s="194"/>
      <c r="C45" s="194"/>
      <c r="D45" s="198" t="s">
        <v>117</v>
      </c>
      <c r="E45" s="197"/>
      <c r="F45" s="195">
        <f>SUM(F46:F50)</f>
        <v>7801039.3580570845</v>
      </c>
      <c r="G45" s="196"/>
      <c r="H45" s="195">
        <f>SUM(H46:H50)</f>
        <v>14515432.117555916</v>
      </c>
      <c r="I45" s="196"/>
      <c r="J45" s="195">
        <f>SUM(J46:J50)</f>
        <v>8152632.8904047059</v>
      </c>
      <c r="K45" s="196"/>
      <c r="L45" s="195">
        <f>SUM(L46:L50)</f>
        <v>7801039.3580570845</v>
      </c>
      <c r="M45" s="189"/>
      <c r="N45" s="189"/>
    </row>
    <row r="46" spans="2:14" ht="15.6" x14ac:dyDescent="0.25">
      <c r="B46" s="194"/>
      <c r="C46" s="194"/>
      <c r="D46" s="193">
        <f>Inputs!$G$8</f>
        <v>2026</v>
      </c>
      <c r="E46" s="192"/>
      <c r="F46" s="190">
        <f>F37+SUM((Data!B59+Data!B65)*Inputs!G$61,(Data!C59+Data!C65)*Inputs!G$62,(Data!D59+Data!D65)*Inputs!G$63)+Inputs!G59</f>
        <v>3506427.5212631575</v>
      </c>
      <c r="G46" s="191"/>
      <c r="H46" s="190">
        <f>H37+SUM((Data!E59+Data!E65)*Inputs!K$61,(Data!F59+Data!F65)*Inputs!K$62,(Data!G59+Data!G65)*Inputs!K$63)+Inputs!K59</f>
        <v>6439032.1512026312</v>
      </c>
      <c r="I46" s="191"/>
      <c r="J46" s="190">
        <f>J37+SUM((Data!H59+Data!H65)*Inputs!M$61,(Data!I59+Data!I65)*Inputs!M$62,(Data!J59+Data!J65)*Inputs!M$63)+Inputs!M59</f>
        <v>3659705.4159999997</v>
      </c>
      <c r="K46" s="191"/>
      <c r="L46" s="190">
        <f>L37+SUM((Data!K59+Data!K65)*Inputs!O$61,(Data!L59+Data!L65)*Inputs!O$62,(Data!M59+Data!M65)*Inputs!O$63)+Inputs!O59</f>
        <v>3506427.5212631575</v>
      </c>
      <c r="M46" s="189"/>
      <c r="N46" s="189"/>
    </row>
    <row r="47" spans="2:14" ht="15.6" x14ac:dyDescent="0.25">
      <c r="B47" s="194"/>
      <c r="C47" s="194"/>
      <c r="D47" s="193">
        <f>Inputs!$G$8+1</f>
        <v>2027</v>
      </c>
      <c r="E47" s="192"/>
      <c r="F47" s="190">
        <f>F38+SUM(Data!B60*Inputs!G$61,Data!C60*Inputs!G$62,Data!D60*Inputs!G$63)</f>
        <v>1041974.8401094736</v>
      </c>
      <c r="G47" s="191"/>
      <c r="H47" s="190">
        <f>H38+SUM(Data!E60*Inputs!K$61,Data!F60*Inputs!K$62,Data!G60*Inputs!K$63)</f>
        <v>1959526.4679108947</v>
      </c>
      <c r="I47" s="191"/>
      <c r="J47" s="190">
        <f>J38+SUM(Data!H60*Inputs!M$61,Data!I60*Inputs!M$62,Data!J60*Inputs!M$63)</f>
        <v>1090090.92432</v>
      </c>
      <c r="K47" s="191"/>
      <c r="L47" s="190">
        <f>L38+SUM(Data!K60*Inputs!O$61,Data!L60*Inputs!O$62,Data!M60*Inputs!O$63)</f>
        <v>1041974.8401094736</v>
      </c>
      <c r="M47" s="189"/>
      <c r="N47" s="189"/>
    </row>
    <row r="48" spans="2:14" ht="15.6" x14ac:dyDescent="0.25">
      <c r="B48" s="194"/>
      <c r="C48" s="194"/>
      <c r="D48" s="193">
        <f>Inputs!$G$8+2</f>
        <v>2028</v>
      </c>
      <c r="E48" s="192"/>
      <c r="F48" s="190">
        <f>F39+SUM(Data!B61*Inputs!G$61,Data!C61*Inputs!G$62,Data!D61*Inputs!G$63)</f>
        <v>1062814.3369116632</v>
      </c>
      <c r="G48" s="191"/>
      <c r="H48" s="190">
        <f>H39+SUM(Data!E61*Inputs!K$61,Data!F61*Inputs!K$62,Data!G61*Inputs!K$63)</f>
        <v>1998716.9972691122</v>
      </c>
      <c r="I48" s="191"/>
      <c r="J48" s="190">
        <f>J39+SUM(Data!H61*Inputs!M$61,Data!I61*Inputs!M$62,Data!J61*Inputs!M$63)</f>
        <v>1111892.7428064002</v>
      </c>
      <c r="K48" s="191"/>
      <c r="L48" s="190">
        <f>L39+SUM(Data!K61*Inputs!O$61,Data!L61*Inputs!O$62,Data!M61*Inputs!O$63)</f>
        <v>1062814.3369116632</v>
      </c>
      <c r="M48" s="189"/>
      <c r="N48" s="189"/>
    </row>
    <row r="49" spans="2:14" ht="15.6" x14ac:dyDescent="0.25">
      <c r="B49" s="194"/>
      <c r="C49" s="194"/>
      <c r="D49" s="193">
        <f>Inputs!$G$8+3</f>
        <v>2029</v>
      </c>
      <c r="E49" s="192"/>
      <c r="F49" s="190">
        <f>F40+SUM(Data!B62*Inputs!G$61,Data!C62*Inputs!G$62,Data!D62*Inputs!G$63)</f>
        <v>1084070.6236498961</v>
      </c>
      <c r="G49" s="191"/>
      <c r="H49" s="190">
        <f>H40+SUM(Data!E62*Inputs!K$61,Data!F62*Inputs!K$62,Data!G62*Inputs!K$63)</f>
        <v>2038691.3372144937</v>
      </c>
      <c r="I49" s="191"/>
      <c r="J49" s="190">
        <f>J40+SUM(Data!H62*Inputs!M$61,Data!I62*Inputs!M$62,Data!J62*Inputs!M$63)</f>
        <v>1134130.5976625278</v>
      </c>
      <c r="K49" s="191"/>
      <c r="L49" s="190">
        <f>L40+SUM(Data!K62*Inputs!O$61,Data!L62*Inputs!O$62,Data!M62*Inputs!O$63)</f>
        <v>1084070.6236498961</v>
      </c>
      <c r="M49" s="189"/>
      <c r="N49" s="189"/>
    </row>
    <row r="50" spans="2:14" ht="15.6" x14ac:dyDescent="0.25">
      <c r="B50" s="194"/>
      <c r="C50" s="194"/>
      <c r="D50" s="193">
        <f>Inputs!$G$8+4</f>
        <v>2030</v>
      </c>
      <c r="E50" s="192"/>
      <c r="F50" s="190">
        <f>F41+SUM(Data!B63*Inputs!G$61,Data!C63*Inputs!G$62,Data!D63*Inputs!G$63)</f>
        <v>1105752.0361228941</v>
      </c>
      <c r="G50" s="191"/>
      <c r="H50" s="190">
        <f>H41+SUM(Data!E63*Inputs!K$61,Data!F63*Inputs!K$62,Data!G63*Inputs!K$63)</f>
        <v>2079465.1639587849</v>
      </c>
      <c r="I50" s="191"/>
      <c r="J50" s="190">
        <f>J41+SUM(Data!H63*Inputs!M$61,Data!I63*Inputs!M$62,Data!J63*Inputs!M$63)</f>
        <v>1156813.2096157784</v>
      </c>
      <c r="K50" s="191"/>
      <c r="L50" s="190">
        <f>L41+SUM(Data!K63*Inputs!O$61,Data!L63*Inputs!O$62,Data!M63*Inputs!O$63)</f>
        <v>1105752.0361228941</v>
      </c>
      <c r="M50" s="189"/>
      <c r="N50" s="189"/>
    </row>
    <row r="51" spans="2:14" x14ac:dyDescent="0.25">
      <c r="B51" s="189"/>
      <c r="C51" s="189"/>
      <c r="D51" s="189"/>
      <c r="E51" s="189"/>
      <c r="F51" s="189"/>
      <c r="G51" s="189"/>
      <c r="H51" s="189"/>
      <c r="I51" s="189"/>
      <c r="J51" s="189"/>
      <c r="K51" s="189"/>
      <c r="L51" s="189"/>
      <c r="M51" s="189"/>
      <c r="N51" s="189"/>
    </row>
  </sheetData>
  <sheetProtection algorithmName="SHA-512" hashValue="zgYSlhv9yC2SXjaB3wtMfCsPA1zp9lNkjdCfAeDDGas774Xox4tH5BDPgAikkhszw4t7aEiBPxZtcYmeXQ2nNw==" saltValue="6litvBiPJ+TT0yAEx0FH+Q==" spinCount="100000" sheet="1" formatCells="0" formatColumns="0" formatRows="0" insertColumns="0" insertRows="0" insertHyperlinks="0" deleteColumns="0" deleteRows="0" sort="0" autoFilter="0" pivotTables="0"/>
  <mergeCells count="9">
    <mergeCell ref="D34:L34"/>
    <mergeCell ref="D43:L43"/>
    <mergeCell ref="B1:M1"/>
    <mergeCell ref="D3:L3"/>
    <mergeCell ref="D8:L8"/>
    <mergeCell ref="D17:L17"/>
    <mergeCell ref="D26:L26"/>
    <mergeCell ref="D4:L4"/>
    <mergeCell ref="A2:N2"/>
  </mergeCells>
  <conditionalFormatting sqref="F36 H36 J36 L36">
    <cfRule type="colorScale" priority="2">
      <colorScale>
        <cfvo type="min"/>
        <cfvo type="percentile" val="50"/>
        <cfvo type="max"/>
        <color theme="6"/>
        <color rgb="FFDFE382"/>
        <color theme="3"/>
      </colorScale>
    </cfRule>
  </conditionalFormatting>
  <conditionalFormatting sqref="F45 H45 J45 L45">
    <cfRule type="colorScale" priority="1">
      <colorScale>
        <cfvo type="min"/>
        <cfvo type="percentile" val="50"/>
        <cfvo type="max"/>
        <color theme="6"/>
        <color rgb="FFDFE382"/>
        <color theme="3"/>
      </colorScale>
    </cfRule>
  </conditionalFormatting>
  <conditionalFormatting sqref="F45:K45">
    <cfRule type="colorScale" priority="5">
      <colorScale>
        <cfvo type="min"/>
        <cfvo type="max"/>
        <color theme="6"/>
        <color rgb="FFDFE382"/>
      </colorScale>
    </cfRule>
    <cfRule type="colorScale" priority="6">
      <colorScale>
        <cfvo type="min"/>
        <cfvo type="max"/>
        <color rgb="FFDFE382"/>
        <color rgb="FFFFC000"/>
      </colorScale>
    </cfRule>
    <cfRule type="colorScale" priority="7">
      <colorScale>
        <cfvo type="min"/>
        <cfvo type="percentile" val="50"/>
        <cfvo type="max"/>
        <color theme="6"/>
        <color theme="3"/>
        <color theme="3"/>
      </colorScale>
    </cfRule>
  </conditionalFormatting>
  <conditionalFormatting sqref="F45:L45">
    <cfRule type="colorScale" priority="8">
      <colorScale>
        <cfvo type="min"/>
        <cfvo type="max"/>
        <color theme="6"/>
        <color rgb="FFDFE382"/>
      </colorScale>
    </cfRule>
  </conditionalFormatting>
  <conditionalFormatting sqref="H36 F36 J36">
    <cfRule type="colorScale" priority="3">
      <colorScale>
        <cfvo type="min"/>
        <cfvo type="percentile" val="50"/>
        <cfvo type="max"/>
        <color theme="6"/>
        <color rgb="FFDFE382"/>
        <color theme="3"/>
      </colorScale>
    </cfRule>
  </conditionalFormatting>
  <conditionalFormatting sqref="J36 L36 H36 F36">
    <cfRule type="colorScale" priority="4">
      <colorScale>
        <cfvo type="min"/>
        <cfvo type="max"/>
        <color theme="6"/>
        <color rgb="FFDFE382"/>
      </colorScale>
    </cfRule>
  </conditionalFormatting>
  <conditionalFormatting sqref="L45">
    <cfRule type="colorScale" priority="9">
      <colorScale>
        <cfvo type="min"/>
        <cfvo type="max"/>
        <color theme="6"/>
        <color rgb="FFDFE382"/>
      </colorScale>
    </cfRule>
    <cfRule type="colorScale" priority="10">
      <colorScale>
        <cfvo type="min"/>
        <cfvo type="max"/>
        <color rgb="FFDFE382"/>
        <color rgb="FFFFC000"/>
      </colorScale>
    </cfRule>
    <cfRule type="colorScale" priority="11">
      <colorScale>
        <cfvo type="min"/>
        <cfvo type="percentile" val="50"/>
        <cfvo type="max"/>
        <color theme="6"/>
        <color theme="3"/>
        <color theme="3"/>
      </colorScale>
    </cfRule>
  </conditionalFormatting>
  <printOptions horizontalCentered="1" verticalCentered="1"/>
  <pageMargins left="0.25" right="0.25"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65"/>
  <sheetViews>
    <sheetView workbookViewId="0"/>
  </sheetViews>
  <sheetFormatPr defaultColWidth="8.6640625" defaultRowHeight="14.4" x14ac:dyDescent="0.3"/>
  <cols>
    <col min="1" max="1" width="52" customWidth="1"/>
    <col min="2" max="27" width="20.44140625" customWidth="1"/>
  </cols>
  <sheetData>
    <row r="1" spans="1:6" x14ac:dyDescent="0.3">
      <c r="A1" s="3" t="s">
        <v>122</v>
      </c>
      <c r="B1" s="3" t="s">
        <v>123</v>
      </c>
      <c r="C1" s="3" t="s">
        <v>124</v>
      </c>
      <c r="D1" s="3" t="s">
        <v>125</v>
      </c>
      <c r="E1" s="3" t="s">
        <v>126</v>
      </c>
    </row>
    <row r="2" spans="1:6" x14ac:dyDescent="0.3">
      <c r="A2" s="3"/>
      <c r="B2" s="3"/>
      <c r="C2" s="3"/>
      <c r="D2" s="3"/>
    </row>
    <row r="3" spans="1:6" ht="28.8" x14ac:dyDescent="0.3">
      <c r="A3" s="7" t="s">
        <v>72</v>
      </c>
      <c r="B3" s="4">
        <v>2</v>
      </c>
      <c r="C3" s="2">
        <v>0.05</v>
      </c>
      <c r="D3" s="1">
        <v>14.6</v>
      </c>
      <c r="E3" t="s">
        <v>127</v>
      </c>
    </row>
    <row r="4" spans="1:6" ht="28.8" x14ac:dyDescent="0.3">
      <c r="A4" s="7" t="s">
        <v>73</v>
      </c>
      <c r="B4" s="4">
        <v>2</v>
      </c>
      <c r="C4" s="2">
        <v>0.05</v>
      </c>
      <c r="D4" s="1">
        <v>11.8</v>
      </c>
      <c r="E4" s="305">
        <v>3.5</v>
      </c>
    </row>
    <row r="5" spans="1:6" ht="28.8" x14ac:dyDescent="0.3">
      <c r="A5" s="7" t="s">
        <v>128</v>
      </c>
      <c r="B5" s="4">
        <v>2</v>
      </c>
      <c r="C5" s="2">
        <v>0.1</v>
      </c>
      <c r="D5" s="1">
        <v>4.8</v>
      </c>
      <c r="E5" t="s">
        <v>129</v>
      </c>
    </row>
    <row r="6" spans="1:6" ht="28.8" x14ac:dyDescent="0.3">
      <c r="A6" s="7" t="s">
        <v>74</v>
      </c>
      <c r="B6" s="4">
        <v>2</v>
      </c>
      <c r="C6" s="2">
        <v>0.05</v>
      </c>
      <c r="D6" s="1">
        <v>15</v>
      </c>
      <c r="E6" t="s">
        <v>130</v>
      </c>
    </row>
    <row r="7" spans="1:6" ht="28.8" x14ac:dyDescent="0.3">
      <c r="A7" s="7" t="s">
        <v>131</v>
      </c>
      <c r="B7" s="4" t="s">
        <v>144</v>
      </c>
      <c r="C7" s="2">
        <v>0.05</v>
      </c>
      <c r="D7" s="1">
        <v>15</v>
      </c>
      <c r="E7" t="s">
        <v>132</v>
      </c>
    </row>
    <row r="8" spans="1:6" x14ac:dyDescent="0.3">
      <c r="A8" s="257"/>
      <c r="B8" s="4"/>
      <c r="C8" s="2"/>
      <c r="D8" s="1"/>
      <c r="E8" s="8"/>
      <c r="F8" s="255"/>
    </row>
    <row r="9" spans="1:6" x14ac:dyDescent="0.3">
      <c r="A9" s="257"/>
      <c r="B9" s="4"/>
      <c r="C9" s="2"/>
      <c r="D9" s="1"/>
      <c r="E9" s="8"/>
      <c r="F9" s="255"/>
    </row>
    <row r="10" spans="1:6" x14ac:dyDescent="0.3">
      <c r="A10" s="254"/>
      <c r="B10" s="255"/>
    </row>
    <row r="12" spans="1:6" x14ac:dyDescent="0.3">
      <c r="A12" s="7"/>
    </row>
    <row r="14" spans="1:6" x14ac:dyDescent="0.3">
      <c r="D14" s="7"/>
    </row>
    <row r="15" spans="1:6" x14ac:dyDescent="0.3">
      <c r="A15" s="6"/>
      <c r="B15" s="225">
        <v>0</v>
      </c>
      <c r="D15" s="235"/>
      <c r="E15" s="236"/>
      <c r="F15" s="235"/>
    </row>
    <row r="16" spans="1:6" x14ac:dyDescent="0.3">
      <c r="B16" s="225">
        <v>0.05</v>
      </c>
      <c r="D16" s="235"/>
      <c r="E16" s="236"/>
      <c r="F16" s="235"/>
    </row>
    <row r="17" spans="2:9" x14ac:dyDescent="0.3">
      <c r="B17" s="225">
        <v>0.1</v>
      </c>
      <c r="D17" s="235"/>
      <c r="E17" s="236"/>
      <c r="F17" s="235"/>
    </row>
    <row r="18" spans="2:9" x14ac:dyDescent="0.3">
      <c r="B18" s="225">
        <v>0.15</v>
      </c>
      <c r="D18" s="235"/>
      <c r="E18" s="236"/>
      <c r="F18" s="235"/>
    </row>
    <row r="19" spans="2:9" x14ac:dyDescent="0.3">
      <c r="B19" s="225">
        <v>0.2</v>
      </c>
      <c r="D19" s="235"/>
      <c r="E19" s="236"/>
      <c r="F19" s="235"/>
    </row>
    <row r="20" spans="2:9" x14ac:dyDescent="0.3">
      <c r="B20" s="225">
        <v>0.25</v>
      </c>
      <c r="D20" s="235"/>
      <c r="E20" s="236"/>
      <c r="F20" s="235"/>
    </row>
    <row r="21" spans="2:9" x14ac:dyDescent="0.3">
      <c r="B21" s="225">
        <v>0.3</v>
      </c>
      <c r="D21" s="235"/>
      <c r="E21" s="236"/>
      <c r="F21" s="235"/>
    </row>
    <row r="22" spans="2:9" x14ac:dyDescent="0.3">
      <c r="B22" s="225">
        <v>0.35</v>
      </c>
      <c r="D22" s="235"/>
      <c r="E22" s="236"/>
      <c r="F22" s="235"/>
    </row>
    <row r="23" spans="2:9" x14ac:dyDescent="0.3">
      <c r="B23" s="225">
        <v>0.4</v>
      </c>
      <c r="D23" s="235"/>
      <c r="E23" s="236"/>
      <c r="F23" s="235"/>
      <c r="I23" s="225"/>
    </row>
    <row r="24" spans="2:9" x14ac:dyDescent="0.3">
      <c r="B24" s="225">
        <v>0.45</v>
      </c>
      <c r="D24" s="235"/>
      <c r="E24" s="236"/>
      <c r="F24" s="235"/>
      <c r="G24" s="238"/>
      <c r="H24" s="239"/>
      <c r="I24" s="225"/>
    </row>
    <row r="25" spans="2:9" x14ac:dyDescent="0.3">
      <c r="B25" s="225">
        <v>0.5</v>
      </c>
      <c r="D25" s="235"/>
      <c r="E25" s="236"/>
      <c r="F25" s="235"/>
      <c r="H25" s="240"/>
      <c r="I25" s="225"/>
    </row>
    <row r="26" spans="2:9" x14ac:dyDescent="0.3">
      <c r="B26" s="225">
        <v>0.55000000000000004</v>
      </c>
      <c r="D26" s="235"/>
      <c r="E26" s="236"/>
      <c r="F26" s="235"/>
      <c r="G26" s="238"/>
      <c r="H26" s="240"/>
      <c r="I26" s="225"/>
    </row>
    <row r="27" spans="2:9" x14ac:dyDescent="0.3">
      <c r="B27" s="225">
        <v>0.6</v>
      </c>
      <c r="D27" s="235"/>
      <c r="E27" s="236"/>
      <c r="F27" s="235"/>
      <c r="H27" s="240"/>
      <c r="I27" s="225"/>
    </row>
    <row r="28" spans="2:9" x14ac:dyDescent="0.3">
      <c r="B28" s="225">
        <v>0.65</v>
      </c>
      <c r="D28" s="235"/>
      <c r="E28" s="236"/>
      <c r="F28" s="235"/>
      <c r="G28" s="238"/>
      <c r="H28" s="240"/>
      <c r="I28" s="225"/>
    </row>
    <row r="29" spans="2:9" x14ac:dyDescent="0.3">
      <c r="B29" s="225">
        <v>0.7</v>
      </c>
      <c r="D29" s="235"/>
      <c r="E29" s="235"/>
      <c r="F29" s="235"/>
      <c r="H29" s="240"/>
      <c r="I29" s="225"/>
    </row>
    <row r="30" spans="2:9" x14ac:dyDescent="0.3">
      <c r="B30" s="225">
        <v>0.75</v>
      </c>
      <c r="D30" s="235"/>
      <c r="E30" s="235"/>
      <c r="F30" s="235"/>
      <c r="G30" s="238"/>
      <c r="H30" s="240"/>
      <c r="I30" s="225"/>
    </row>
    <row r="31" spans="2:9" x14ac:dyDescent="0.3">
      <c r="B31" s="225">
        <v>0.8</v>
      </c>
      <c r="D31" s="235"/>
      <c r="E31" s="235"/>
      <c r="F31" s="235"/>
      <c r="I31" s="225"/>
    </row>
    <row r="32" spans="2:9" x14ac:dyDescent="0.3">
      <c r="B32" s="225">
        <v>0.85</v>
      </c>
      <c r="D32" s="235"/>
      <c r="E32" s="235"/>
      <c r="F32" s="235"/>
    </row>
    <row r="33" spans="1:6" x14ac:dyDescent="0.3">
      <c r="B33" s="225">
        <v>0.9</v>
      </c>
      <c r="D33" s="235"/>
      <c r="E33" s="235"/>
      <c r="F33" s="235"/>
    </row>
    <row r="34" spans="1:6" x14ac:dyDescent="0.3">
      <c r="B34" s="225">
        <v>0.95</v>
      </c>
      <c r="D34" s="235"/>
      <c r="E34" s="235"/>
      <c r="F34" s="235"/>
    </row>
    <row r="35" spans="1:6" x14ac:dyDescent="0.3">
      <c r="B35" s="225">
        <v>1</v>
      </c>
      <c r="D35" s="235"/>
      <c r="E35" s="235"/>
    </row>
    <row r="36" spans="1:6" x14ac:dyDescent="0.3">
      <c r="D36" s="235"/>
    </row>
    <row r="37" spans="1:6" x14ac:dyDescent="0.3">
      <c r="D37" s="235"/>
    </row>
    <row r="38" spans="1:6" x14ac:dyDescent="0.3">
      <c r="D38" s="235"/>
    </row>
    <row r="40" spans="1:6" x14ac:dyDescent="0.3">
      <c r="A40" s="245" t="s">
        <v>133</v>
      </c>
      <c r="B40" s="246" t="str">
        <f>Inputs!G40</f>
        <v>CECOLIN 
2 valent, 1 dose/vial, liquid</v>
      </c>
      <c r="C40" s="246" t="str">
        <f>Inputs!K40</f>
        <v>WALRINVAX 
2 valent, 1 dose/vial, liquid</v>
      </c>
      <c r="D40" s="246" t="str">
        <f>Inputs!M40</f>
        <v>GARDASIL4
 4 valent, 1 dose/vial, liquid</v>
      </c>
      <c r="E40" s="247" t="str">
        <f>Inputs!O40</f>
        <v>Fully customizable option - insert name here</v>
      </c>
    </row>
    <row r="41" spans="1:6" x14ac:dyDescent="0.3">
      <c r="A41" s="248">
        <f>Inputs!$G$8</f>
        <v>2026</v>
      </c>
      <c r="B41" s="237">
        <f>IF(Inputs!G$44=2,((Inputs!$G$10*(1+Inputs!$G$13)^($A41-Inputs!$G$8))*(SUM(Inputs!$G$16*Inputs!$G$17,Inputs!$G$19*Inputs!$G$20,Inputs!$G$22*Inputs!$G$23))+(Inputs!$G$10*(1+Inputs!$G$13)^($A41-Inputs!$G$8))*(SUM(Inputs!$G$16*Inputs!$G$18,Inputs!$G$19*Inputs!$G$21,Inputs!$G$22*Inputs!$G$24)))+((Inputs!$G$11*(1+Inputs!$G$13)^($A41-Inputs!$G$8))*(SUM(Inputs!$H$16*Inputs!$H$17,Inputs!$H$19*Inputs!$H$20,Inputs!$H$22*Inputs!$H$23))+(Inputs!$G$11*(1+Inputs!$G$13)^($A41-Inputs!$G$8))*(SUM(Inputs!$H$16*Inputs!$H$18,Inputs!$H$19*Inputs!$H$21,Inputs!$H$22*Inputs!$H$24)))+((Inputs!$G$12*(1+Inputs!$G$13)^($A41-Inputs!$G$8))*(SUM(Inputs!$I$16*Inputs!$I$17,Inputs!$I$19*Inputs!$I$20,Inputs!$I$22*Inputs!$I$23))+(Inputs!$G$12*(1+Inputs!$G$13)^($A41-Inputs!$G$8))*(SUM(Inputs!$I$16*Inputs!$I$18,Inputs!$I$19*Inputs!$I$21,Inputs!$I$22*Inputs!$I$24))),(Inputs!$G$10*(1+Inputs!$G$13)^($A41-Inputs!$G$8))*(SUM(Inputs!$G$16*Inputs!$G$17,Inputs!$G$19*Inputs!$G$20,Inputs!$G$22*Inputs!$G$23))+(Inputs!$G$11*(1+Inputs!$G$13)^($A41-Inputs!$G$8))*(SUM(Inputs!$H$16*Inputs!$H$17,Inputs!$H$19*Inputs!$H$20,Inputs!$H$22*Inputs!$H$23))+(Inputs!$G$12*(1+Inputs!$G$13)^($A41-Inputs!$G$8))*(SUM(Inputs!$I$16*Inputs!$I$17,Inputs!$I$19*Inputs!$I$20,Inputs!$I$22*Inputs!$I$23)))</f>
        <v>160050</v>
      </c>
      <c r="C41" s="237">
        <f>IF(Inputs!K$44=2,((Inputs!$G$10*(1+Inputs!$G$13)^($A41-Inputs!$G$8))*(SUM(Inputs!$G$16*Inputs!$G$17,Inputs!$G$19*Inputs!$G$20,Inputs!$G$22*Inputs!$G$23))+(Inputs!$G$10*(1+Inputs!$G$13)^($A41-Inputs!$G$8))*(SUM(Inputs!$G$16*Inputs!$G$18,Inputs!$G$19*Inputs!$G$21,Inputs!$G$22*Inputs!$G$24)))+((Inputs!$G$11*(1+Inputs!$G$13)^($A41-Inputs!$G$8))*(SUM(Inputs!$H$16*Inputs!$H$17,Inputs!$H$19*Inputs!$H$20,Inputs!$H$22*Inputs!$H$23))+(Inputs!$G$11*(1+Inputs!$G$13)^($A41-Inputs!$G$8))*(SUM(Inputs!$H$16*Inputs!$H$18,Inputs!$H$19*Inputs!$H$21,Inputs!$H$22*Inputs!$H$24)))+((Inputs!$G$12*(1+Inputs!$G$13)^($A41-Inputs!$G$8))*(SUM(Inputs!$I$16*Inputs!$I$17,Inputs!$I$19*Inputs!$I$20,Inputs!$I$22*Inputs!$I$23))+(Inputs!$G$12*(1+Inputs!$G$13)^($A41-Inputs!$G$8))*(SUM(Inputs!$I$16*Inputs!$I$18,Inputs!$I$19*Inputs!$I$21,Inputs!$I$22*Inputs!$I$24))),(Inputs!$G$10*(1+Inputs!$G$13)^($A41-Inputs!$G$8))*(SUM(Inputs!$G$16*Inputs!$G$17,Inputs!$G$19*Inputs!$G$20,Inputs!$G$22*Inputs!$G$23))+(Inputs!$G$11*(1+Inputs!$G$13)^($A41-Inputs!$G$8))*(SUM(Inputs!$H$16*Inputs!$H$17,Inputs!$H$19*Inputs!$H$20,Inputs!$H$22*Inputs!$H$23))+(Inputs!$G$12*(1+Inputs!$G$13)^($A41-Inputs!$G$8))*(SUM(Inputs!$I$16*Inputs!$I$17,Inputs!$I$19*Inputs!$I$20,Inputs!$I$22*Inputs!$I$23)))</f>
        <v>301525</v>
      </c>
      <c r="D41" s="237">
        <f>IF(Inputs!M$44=2,((Inputs!$G$10*(1+Inputs!$G$13)^($A41-Inputs!$G$8))*(SUM(Inputs!$G$16*Inputs!$G$17,Inputs!$G$19*Inputs!$G$20,Inputs!$G$22*Inputs!$G$23))+(Inputs!$G$10*(1+Inputs!$G$13)^($A41-Inputs!$G$8))*(SUM(Inputs!$G$16*Inputs!$G$18,Inputs!$G$19*Inputs!$G$21,Inputs!$G$22*Inputs!$G$24)))+((Inputs!$G$11*(1+Inputs!$G$13)^($A41-Inputs!$G$8))*(SUM(Inputs!$H$16*Inputs!$H$17,Inputs!$H$19*Inputs!$H$20,Inputs!$H$22*Inputs!$H$23))+(Inputs!$G$11*(1+Inputs!$G$13)^($A41-Inputs!$G$8))*(SUM(Inputs!$H$16*Inputs!$H$18,Inputs!$H$19*Inputs!$H$21,Inputs!$H$22*Inputs!$H$24)))+((Inputs!$G$12*(1+Inputs!$G$13)^($A41-Inputs!$G$8))*(SUM(Inputs!$I$16*Inputs!$I$17,Inputs!$I$19*Inputs!$I$20,Inputs!$I$22*Inputs!$I$23))+(Inputs!$G$12*(1+Inputs!$G$13)^($A41-Inputs!$G$8))*(SUM(Inputs!$I$16*Inputs!$I$18,Inputs!$I$19*Inputs!$I$21,Inputs!$I$22*Inputs!$I$24))),(Inputs!$G$10*(1+Inputs!$G$13)^($A41-Inputs!$G$8))*(SUM(Inputs!$G$16*Inputs!$G$17,Inputs!$G$19*Inputs!$G$20,Inputs!$G$22*Inputs!$G$23))+(Inputs!$G$11*(1+Inputs!$G$13)^($A41-Inputs!$G$8))*(SUM(Inputs!$H$16*Inputs!$H$17,Inputs!$H$19*Inputs!$H$20,Inputs!$H$22*Inputs!$H$23))+(Inputs!$G$12*(1+Inputs!$G$13)^($A41-Inputs!$G$8))*(SUM(Inputs!$I$16*Inputs!$I$17,Inputs!$I$19*Inputs!$I$20,Inputs!$I$22*Inputs!$I$23)))</f>
        <v>160050</v>
      </c>
      <c r="E41" s="237">
        <f>IF(Inputs!O$44=2,((Inputs!$G$10*(1+Inputs!$G$13)^($A41-Inputs!$G$8))*(SUM(Inputs!$G$16*Inputs!$G$17,Inputs!$G$19*Inputs!$G$20,Inputs!$G$22*Inputs!$G$23))+(Inputs!$G$10*(1+Inputs!$G$13)^($A41-Inputs!$G$8))*(SUM(Inputs!$G$16*Inputs!$G$18,Inputs!$G$19*Inputs!$G$21,Inputs!$G$22*Inputs!$G$24)))+((Inputs!$G$11*(1+Inputs!$G$13)^($A41-Inputs!$G$8))*(SUM(Inputs!$H$16*Inputs!$H$17,Inputs!$H$19*Inputs!$H$20,Inputs!$H$22*Inputs!$H$23))+(Inputs!$G$11*(1+Inputs!$G$13)^($A41-Inputs!$G$8))*(SUM(Inputs!$H$16*Inputs!$H$18,Inputs!$H$19*Inputs!$H$21,Inputs!$H$22*Inputs!$H$24)))+((Inputs!$G$12*(1+Inputs!$G$13)^($A41-Inputs!$G$8))*(SUM(Inputs!$I$16*Inputs!$I$17,Inputs!$I$19*Inputs!$I$20,Inputs!$I$22*Inputs!$I$23))+(Inputs!$G$12*(1+Inputs!$G$13)^($A41-Inputs!$G$8))*(SUM(Inputs!$I$16*Inputs!$I$18,Inputs!$I$19*Inputs!$I$21,Inputs!$I$22*Inputs!$I$24))),(Inputs!$G$10*(1+Inputs!$G$13)^($A41-Inputs!$G$8))*(SUM(Inputs!$G$16*Inputs!$G$17,Inputs!$G$19*Inputs!$G$20,Inputs!$G$22*Inputs!$G$23))+(Inputs!$G$11*(1+Inputs!$G$13)^($A41-Inputs!$G$8))*(SUM(Inputs!$H$16*Inputs!$H$17,Inputs!$H$19*Inputs!$H$20,Inputs!$H$22*Inputs!$H$23))+(Inputs!$G$12*(1+Inputs!$G$13)^($A41-Inputs!$G$8))*(SUM(Inputs!$I$16*Inputs!$I$17,Inputs!$I$19*Inputs!$I$20,Inputs!$I$22*Inputs!$I$23)))</f>
        <v>160050</v>
      </c>
    </row>
    <row r="42" spans="1:6" x14ac:dyDescent="0.3">
      <c r="A42" s="248">
        <f>Inputs!$G$8+1</f>
        <v>2027</v>
      </c>
      <c r="B42" s="237">
        <f>IF(Inputs!G$44=2,((Inputs!$G$10*(1+Inputs!$G$13)^($A42-Inputs!$G$8))*(SUM(Inputs!$G$16*Inputs!$G$17,Inputs!$G$19*Inputs!$G$20,Inputs!$G$22*Inputs!$G$23))+(Inputs!$G$10*(1+Inputs!$G$13)^($A42-Inputs!$G$8))*(SUM(Inputs!$G$16*Inputs!$G$18,Inputs!$G$19*Inputs!$G$21,Inputs!$G$22*Inputs!$G$24)))+((Inputs!$G$11*(1+Inputs!$G$13)^($A42-Inputs!$G$8))*(SUM(Inputs!$H$16*Inputs!$H$17,Inputs!$H$19*Inputs!$H$20,Inputs!$H$22*Inputs!$H$23))+(Inputs!$G$11*(1+Inputs!$G$13)^($A42-Inputs!$G$8))*(SUM(Inputs!$H$16*Inputs!$H$18,Inputs!$H$19*Inputs!$H$21,Inputs!$H$22*Inputs!$H$24)))+((Inputs!$G$12*(1+Inputs!$G$13)^($A42-Inputs!$G$8))*(SUM(Inputs!$I$16*Inputs!$I$17,Inputs!$I$19*Inputs!$I$20,Inputs!$I$22*Inputs!$I$23))+(Inputs!$G$12*(1+Inputs!$G$13)^($A42-Inputs!$G$8))*(SUM(Inputs!$I$16*Inputs!$I$18,Inputs!$I$19*Inputs!$I$21,Inputs!$I$22*Inputs!$I$24))),(Inputs!$G$10*(1+Inputs!$G$13)^($A42-Inputs!$G$8))*(SUM(Inputs!$G$16*Inputs!$G$17,Inputs!$G$19*Inputs!$G$20,Inputs!$G$22*Inputs!$G$23))+(Inputs!$G$11*(1+Inputs!$G$13)^($A42-Inputs!$G$8))*(SUM(Inputs!$H$16*Inputs!$H$17,Inputs!$H$19*Inputs!$H$20,Inputs!$H$22*Inputs!$H$23))+(Inputs!$G$12*(1+Inputs!$G$13)^($A42-Inputs!$G$8))*(SUM(Inputs!$I$16*Inputs!$I$17,Inputs!$I$19*Inputs!$I$20,Inputs!$I$22*Inputs!$I$23)))</f>
        <v>163251</v>
      </c>
      <c r="C42" s="237">
        <f>IF(Inputs!K$44=2,((Inputs!$G$10*(1+Inputs!$G$13)^($A42-Inputs!$G$8))*(SUM(Inputs!$G$16*Inputs!$G$17,Inputs!$G$19*Inputs!$G$20,Inputs!$G$22*Inputs!$G$23))+(Inputs!$G$10*(1+Inputs!$G$13)^($A42-Inputs!$G$8))*(SUM(Inputs!$G$16*Inputs!$G$18,Inputs!$G$19*Inputs!$G$21,Inputs!$G$22*Inputs!$G$24)))+((Inputs!$G$11*(1+Inputs!$G$13)^($A42-Inputs!$G$8))*(SUM(Inputs!$H$16*Inputs!$H$17,Inputs!$H$19*Inputs!$H$20,Inputs!$H$22*Inputs!$H$23))+(Inputs!$G$11*(1+Inputs!$G$13)^($A42-Inputs!$G$8))*(SUM(Inputs!$H$16*Inputs!$H$18,Inputs!$H$19*Inputs!$H$21,Inputs!$H$22*Inputs!$H$24)))+((Inputs!$G$12*(1+Inputs!$G$13)^($A42-Inputs!$G$8))*(SUM(Inputs!$I$16*Inputs!$I$17,Inputs!$I$19*Inputs!$I$20,Inputs!$I$22*Inputs!$I$23))+(Inputs!$G$12*(1+Inputs!$G$13)^($A42-Inputs!$G$8))*(SUM(Inputs!$I$16*Inputs!$I$18,Inputs!$I$19*Inputs!$I$21,Inputs!$I$22*Inputs!$I$24))),(Inputs!$G$10*(1+Inputs!$G$13)^($A42-Inputs!$G$8))*(SUM(Inputs!$G$16*Inputs!$G$17,Inputs!$G$19*Inputs!$G$20,Inputs!$G$22*Inputs!$G$23))+(Inputs!$G$11*(1+Inputs!$G$13)^($A42-Inputs!$G$8))*(SUM(Inputs!$H$16*Inputs!$H$17,Inputs!$H$19*Inputs!$H$20,Inputs!$H$22*Inputs!$H$23))+(Inputs!$G$12*(1+Inputs!$G$13)^($A42-Inputs!$G$8))*(SUM(Inputs!$I$16*Inputs!$I$17,Inputs!$I$19*Inputs!$I$20,Inputs!$I$22*Inputs!$I$23)))</f>
        <v>307555.5</v>
      </c>
      <c r="D42" s="237">
        <f>IF(Inputs!M$44=2,((Inputs!$G$10*(1+Inputs!$G$13)^($A42-Inputs!$G$8))*(SUM(Inputs!$G$16*Inputs!$G$17,Inputs!$G$19*Inputs!$G$20,Inputs!$G$22*Inputs!$G$23))+(Inputs!$G$10*(1+Inputs!$G$13)^($A42-Inputs!$G$8))*(SUM(Inputs!$G$16*Inputs!$G$18,Inputs!$G$19*Inputs!$G$21,Inputs!$G$22*Inputs!$G$24)))+((Inputs!$G$11*(1+Inputs!$G$13)^($A42-Inputs!$G$8))*(SUM(Inputs!$H$16*Inputs!$H$17,Inputs!$H$19*Inputs!$H$20,Inputs!$H$22*Inputs!$H$23))+(Inputs!$G$11*(1+Inputs!$G$13)^($A42-Inputs!$G$8))*(SUM(Inputs!$H$16*Inputs!$H$18,Inputs!$H$19*Inputs!$H$21,Inputs!$H$22*Inputs!$H$24)))+((Inputs!$G$12*(1+Inputs!$G$13)^($A42-Inputs!$G$8))*(SUM(Inputs!$I$16*Inputs!$I$17,Inputs!$I$19*Inputs!$I$20,Inputs!$I$22*Inputs!$I$23))+(Inputs!$G$12*(1+Inputs!$G$13)^($A42-Inputs!$G$8))*(SUM(Inputs!$I$16*Inputs!$I$18,Inputs!$I$19*Inputs!$I$21,Inputs!$I$22*Inputs!$I$24))),(Inputs!$G$10*(1+Inputs!$G$13)^($A42-Inputs!$G$8))*(SUM(Inputs!$G$16*Inputs!$G$17,Inputs!$G$19*Inputs!$G$20,Inputs!$G$22*Inputs!$G$23))+(Inputs!$G$11*(1+Inputs!$G$13)^($A42-Inputs!$G$8))*(SUM(Inputs!$H$16*Inputs!$H$17,Inputs!$H$19*Inputs!$H$20,Inputs!$H$22*Inputs!$H$23))+(Inputs!$G$12*(1+Inputs!$G$13)^($A42-Inputs!$G$8))*(SUM(Inputs!$I$16*Inputs!$I$17,Inputs!$I$19*Inputs!$I$20,Inputs!$I$22*Inputs!$I$23)))</f>
        <v>163251</v>
      </c>
      <c r="E42" s="237">
        <f>IF(Inputs!O$44=2,((Inputs!$G$10*(1+Inputs!$G$13)^($A42-Inputs!$G$8))*(SUM(Inputs!$G$16*Inputs!$G$17,Inputs!$G$19*Inputs!$G$20,Inputs!$G$22*Inputs!$G$23))+(Inputs!$G$10*(1+Inputs!$G$13)^($A42-Inputs!$G$8))*(SUM(Inputs!$G$16*Inputs!$G$18,Inputs!$G$19*Inputs!$G$21,Inputs!$G$22*Inputs!$G$24)))+((Inputs!$G$11*(1+Inputs!$G$13)^($A42-Inputs!$G$8))*(SUM(Inputs!$H$16*Inputs!$H$17,Inputs!$H$19*Inputs!$H$20,Inputs!$H$22*Inputs!$H$23))+(Inputs!$G$11*(1+Inputs!$G$13)^($A42-Inputs!$G$8))*(SUM(Inputs!$H$16*Inputs!$H$18,Inputs!$H$19*Inputs!$H$21,Inputs!$H$22*Inputs!$H$24)))+((Inputs!$G$12*(1+Inputs!$G$13)^($A42-Inputs!$G$8))*(SUM(Inputs!$I$16*Inputs!$I$17,Inputs!$I$19*Inputs!$I$20,Inputs!$I$22*Inputs!$I$23))+(Inputs!$G$12*(1+Inputs!$G$13)^($A42-Inputs!$G$8))*(SUM(Inputs!$I$16*Inputs!$I$18,Inputs!$I$19*Inputs!$I$21,Inputs!$I$22*Inputs!$I$24))),(Inputs!$G$10*(1+Inputs!$G$13)^($A42-Inputs!$G$8))*(SUM(Inputs!$G$16*Inputs!$G$17,Inputs!$G$19*Inputs!$G$20,Inputs!$G$22*Inputs!$G$23))+(Inputs!$G$11*(1+Inputs!$G$13)^($A42-Inputs!$G$8))*(SUM(Inputs!$H$16*Inputs!$H$17,Inputs!$H$19*Inputs!$H$20,Inputs!$H$22*Inputs!$H$23))+(Inputs!$G$12*(1+Inputs!$G$13)^($A42-Inputs!$G$8))*(SUM(Inputs!$I$16*Inputs!$I$17,Inputs!$I$19*Inputs!$I$20,Inputs!$I$22*Inputs!$I$23)))</f>
        <v>163251</v>
      </c>
    </row>
    <row r="43" spans="1:6" x14ac:dyDescent="0.3">
      <c r="A43" s="248">
        <f>Inputs!$G$8+2</f>
        <v>2028</v>
      </c>
      <c r="B43" s="237">
        <f>IF(Inputs!G$44=2,((Inputs!$G$10*(1+Inputs!$G$13)^($A43-Inputs!$G$8))*(SUM(Inputs!$G$16*Inputs!$G$17,Inputs!$G$19*Inputs!$G$20,Inputs!$G$22*Inputs!$G$23))+(Inputs!$G$10*(1+Inputs!$G$13)^($A43-Inputs!$G$8))*(SUM(Inputs!$G$16*Inputs!$G$18,Inputs!$G$19*Inputs!$G$21,Inputs!$G$22*Inputs!$G$24)))+((Inputs!$G$11*(1+Inputs!$G$13)^($A43-Inputs!$G$8))*(SUM(Inputs!$H$16*Inputs!$H$17,Inputs!$H$19*Inputs!$H$20,Inputs!$H$22*Inputs!$H$23))+(Inputs!$G$11*(1+Inputs!$G$13)^($A43-Inputs!$G$8))*(SUM(Inputs!$H$16*Inputs!$H$18,Inputs!$H$19*Inputs!$H$21,Inputs!$H$22*Inputs!$H$24)))+((Inputs!$G$12*(1+Inputs!$G$13)^($A43-Inputs!$G$8))*(SUM(Inputs!$I$16*Inputs!$I$17,Inputs!$I$19*Inputs!$I$20,Inputs!$I$22*Inputs!$I$23))+(Inputs!$G$12*(1+Inputs!$G$13)^($A43-Inputs!$G$8))*(SUM(Inputs!$I$16*Inputs!$I$18,Inputs!$I$19*Inputs!$I$21,Inputs!$I$22*Inputs!$I$24))),(Inputs!$G$10*(1+Inputs!$G$13)^($A43-Inputs!$G$8))*(SUM(Inputs!$G$16*Inputs!$G$17,Inputs!$G$19*Inputs!$G$20,Inputs!$G$22*Inputs!$G$23))+(Inputs!$G$11*(1+Inputs!$G$13)^($A43-Inputs!$G$8))*(SUM(Inputs!$H$16*Inputs!$H$17,Inputs!$H$19*Inputs!$H$20,Inputs!$H$22*Inputs!$H$23))+(Inputs!$G$12*(1+Inputs!$G$13)^($A43-Inputs!$G$8))*(SUM(Inputs!$I$16*Inputs!$I$17,Inputs!$I$19*Inputs!$I$20,Inputs!$I$22*Inputs!$I$23)))</f>
        <v>166516.02000000002</v>
      </c>
      <c r="C43" s="237">
        <f>IF(Inputs!K$44=2,((Inputs!$G$10*(1+Inputs!$G$13)^($A43-Inputs!$G$8))*(SUM(Inputs!$G$16*Inputs!$G$17,Inputs!$G$19*Inputs!$G$20,Inputs!$G$22*Inputs!$G$23))+(Inputs!$G$10*(1+Inputs!$G$13)^($A43-Inputs!$G$8))*(SUM(Inputs!$G$16*Inputs!$G$18,Inputs!$G$19*Inputs!$G$21,Inputs!$G$22*Inputs!$G$24)))+((Inputs!$G$11*(1+Inputs!$G$13)^($A43-Inputs!$G$8))*(SUM(Inputs!$H$16*Inputs!$H$17,Inputs!$H$19*Inputs!$H$20,Inputs!$H$22*Inputs!$H$23))+(Inputs!$G$11*(1+Inputs!$G$13)^($A43-Inputs!$G$8))*(SUM(Inputs!$H$16*Inputs!$H$18,Inputs!$H$19*Inputs!$H$21,Inputs!$H$22*Inputs!$H$24)))+((Inputs!$G$12*(1+Inputs!$G$13)^($A43-Inputs!$G$8))*(SUM(Inputs!$I$16*Inputs!$I$17,Inputs!$I$19*Inputs!$I$20,Inputs!$I$22*Inputs!$I$23))+(Inputs!$G$12*(1+Inputs!$G$13)^($A43-Inputs!$G$8))*(SUM(Inputs!$I$16*Inputs!$I$18,Inputs!$I$19*Inputs!$I$21,Inputs!$I$22*Inputs!$I$24))),(Inputs!$G$10*(1+Inputs!$G$13)^($A43-Inputs!$G$8))*(SUM(Inputs!$G$16*Inputs!$G$17,Inputs!$G$19*Inputs!$G$20,Inputs!$G$22*Inputs!$G$23))+(Inputs!$G$11*(1+Inputs!$G$13)^($A43-Inputs!$G$8))*(SUM(Inputs!$H$16*Inputs!$H$17,Inputs!$H$19*Inputs!$H$20,Inputs!$H$22*Inputs!$H$23))+(Inputs!$G$12*(1+Inputs!$G$13)^($A43-Inputs!$G$8))*(SUM(Inputs!$I$16*Inputs!$I$17,Inputs!$I$19*Inputs!$I$20,Inputs!$I$22*Inputs!$I$23)))</f>
        <v>313706.61</v>
      </c>
      <c r="D43" s="237">
        <f>IF(Inputs!M$44=2,((Inputs!$G$10*(1+Inputs!$G$13)^($A43-Inputs!$G$8))*(SUM(Inputs!$G$16*Inputs!$G$17,Inputs!$G$19*Inputs!$G$20,Inputs!$G$22*Inputs!$G$23))+(Inputs!$G$10*(1+Inputs!$G$13)^($A43-Inputs!$G$8))*(SUM(Inputs!$G$16*Inputs!$G$18,Inputs!$G$19*Inputs!$G$21,Inputs!$G$22*Inputs!$G$24)))+((Inputs!$G$11*(1+Inputs!$G$13)^($A43-Inputs!$G$8))*(SUM(Inputs!$H$16*Inputs!$H$17,Inputs!$H$19*Inputs!$H$20,Inputs!$H$22*Inputs!$H$23))+(Inputs!$G$11*(1+Inputs!$G$13)^($A43-Inputs!$G$8))*(SUM(Inputs!$H$16*Inputs!$H$18,Inputs!$H$19*Inputs!$H$21,Inputs!$H$22*Inputs!$H$24)))+((Inputs!$G$12*(1+Inputs!$G$13)^($A43-Inputs!$G$8))*(SUM(Inputs!$I$16*Inputs!$I$17,Inputs!$I$19*Inputs!$I$20,Inputs!$I$22*Inputs!$I$23))+(Inputs!$G$12*(1+Inputs!$G$13)^($A43-Inputs!$G$8))*(SUM(Inputs!$I$16*Inputs!$I$18,Inputs!$I$19*Inputs!$I$21,Inputs!$I$22*Inputs!$I$24))),(Inputs!$G$10*(1+Inputs!$G$13)^($A43-Inputs!$G$8))*(SUM(Inputs!$G$16*Inputs!$G$17,Inputs!$G$19*Inputs!$G$20,Inputs!$G$22*Inputs!$G$23))+(Inputs!$G$11*(1+Inputs!$G$13)^($A43-Inputs!$G$8))*(SUM(Inputs!$H$16*Inputs!$H$17,Inputs!$H$19*Inputs!$H$20,Inputs!$H$22*Inputs!$H$23))+(Inputs!$G$12*(1+Inputs!$G$13)^($A43-Inputs!$G$8))*(SUM(Inputs!$I$16*Inputs!$I$17,Inputs!$I$19*Inputs!$I$20,Inputs!$I$22*Inputs!$I$23)))</f>
        <v>166516.02000000002</v>
      </c>
      <c r="E43" s="237">
        <f>IF(Inputs!O$44=2,((Inputs!$G$10*(1+Inputs!$G$13)^($A43-Inputs!$G$8))*(SUM(Inputs!$G$16*Inputs!$G$17,Inputs!$G$19*Inputs!$G$20,Inputs!$G$22*Inputs!$G$23))+(Inputs!$G$10*(1+Inputs!$G$13)^($A43-Inputs!$G$8))*(SUM(Inputs!$G$16*Inputs!$G$18,Inputs!$G$19*Inputs!$G$21,Inputs!$G$22*Inputs!$G$24)))+((Inputs!$G$11*(1+Inputs!$G$13)^($A43-Inputs!$G$8))*(SUM(Inputs!$H$16*Inputs!$H$17,Inputs!$H$19*Inputs!$H$20,Inputs!$H$22*Inputs!$H$23))+(Inputs!$G$11*(1+Inputs!$G$13)^($A43-Inputs!$G$8))*(SUM(Inputs!$H$16*Inputs!$H$18,Inputs!$H$19*Inputs!$H$21,Inputs!$H$22*Inputs!$H$24)))+((Inputs!$G$12*(1+Inputs!$G$13)^($A43-Inputs!$G$8))*(SUM(Inputs!$I$16*Inputs!$I$17,Inputs!$I$19*Inputs!$I$20,Inputs!$I$22*Inputs!$I$23))+(Inputs!$G$12*(1+Inputs!$G$13)^($A43-Inputs!$G$8))*(SUM(Inputs!$I$16*Inputs!$I$18,Inputs!$I$19*Inputs!$I$21,Inputs!$I$22*Inputs!$I$24))),(Inputs!$G$10*(1+Inputs!$G$13)^($A43-Inputs!$G$8))*(SUM(Inputs!$G$16*Inputs!$G$17,Inputs!$G$19*Inputs!$G$20,Inputs!$G$22*Inputs!$G$23))+(Inputs!$G$11*(1+Inputs!$G$13)^($A43-Inputs!$G$8))*(SUM(Inputs!$H$16*Inputs!$H$17,Inputs!$H$19*Inputs!$H$20,Inputs!$H$22*Inputs!$H$23))+(Inputs!$G$12*(1+Inputs!$G$13)^($A43-Inputs!$G$8))*(SUM(Inputs!$I$16*Inputs!$I$17,Inputs!$I$19*Inputs!$I$20,Inputs!$I$22*Inputs!$I$23)))</f>
        <v>166516.02000000002</v>
      </c>
    </row>
    <row r="44" spans="1:6" x14ac:dyDescent="0.3">
      <c r="A44" s="248">
        <f>Inputs!$G$8+3</f>
        <v>2029</v>
      </c>
      <c r="B44" s="237">
        <f>IF(Inputs!G$44=2,((Inputs!$G$10*(1+Inputs!$G$13)^($A44-Inputs!$G$8))*(SUM(Inputs!$G$16*Inputs!$G$17,Inputs!$G$19*Inputs!$G$20,Inputs!$G$22*Inputs!$G$23))+(Inputs!$G$10*(1+Inputs!$G$13)^($A44-Inputs!$G$8))*(SUM(Inputs!$G$16*Inputs!$G$18,Inputs!$G$19*Inputs!$G$21,Inputs!$G$22*Inputs!$G$24)))+((Inputs!$G$11*(1+Inputs!$G$13)^($A44-Inputs!$G$8))*(SUM(Inputs!$H$16*Inputs!$H$17,Inputs!$H$19*Inputs!$H$20,Inputs!$H$22*Inputs!$H$23))+(Inputs!$G$11*(1+Inputs!$G$13)^($A44-Inputs!$G$8))*(SUM(Inputs!$H$16*Inputs!$H$18,Inputs!$H$19*Inputs!$H$21,Inputs!$H$22*Inputs!$H$24)))+((Inputs!$G$12*(1+Inputs!$G$13)^($A44-Inputs!$G$8))*(SUM(Inputs!$I$16*Inputs!$I$17,Inputs!$I$19*Inputs!$I$20,Inputs!$I$22*Inputs!$I$23))+(Inputs!$G$12*(1+Inputs!$G$13)^($A44-Inputs!$G$8))*(SUM(Inputs!$I$16*Inputs!$I$18,Inputs!$I$19*Inputs!$I$21,Inputs!$I$22*Inputs!$I$24))),(Inputs!$G$10*(1+Inputs!$G$13)^($A44-Inputs!$G$8))*(SUM(Inputs!$G$16*Inputs!$G$17,Inputs!$G$19*Inputs!$G$20,Inputs!$G$22*Inputs!$G$23))+(Inputs!$G$11*(1+Inputs!$G$13)^($A44-Inputs!$G$8))*(SUM(Inputs!$H$16*Inputs!$H$17,Inputs!$H$19*Inputs!$H$20,Inputs!$H$22*Inputs!$H$23))+(Inputs!$G$12*(1+Inputs!$G$13)^($A44-Inputs!$G$8))*(SUM(Inputs!$I$16*Inputs!$I$17,Inputs!$I$19*Inputs!$I$20,Inputs!$I$22*Inputs!$I$23)))</f>
        <v>169846.34039999996</v>
      </c>
      <c r="C44" s="237">
        <f>IF(Inputs!K$44=2,((Inputs!$G$10*(1+Inputs!$G$13)^($A44-Inputs!$G$8))*(SUM(Inputs!$G$16*Inputs!$G$17,Inputs!$G$19*Inputs!$G$20,Inputs!$G$22*Inputs!$G$23))+(Inputs!$G$10*(1+Inputs!$G$13)^($A44-Inputs!$G$8))*(SUM(Inputs!$G$16*Inputs!$G$18,Inputs!$G$19*Inputs!$G$21,Inputs!$G$22*Inputs!$G$24)))+((Inputs!$G$11*(1+Inputs!$G$13)^($A44-Inputs!$G$8))*(SUM(Inputs!$H$16*Inputs!$H$17,Inputs!$H$19*Inputs!$H$20,Inputs!$H$22*Inputs!$H$23))+(Inputs!$G$11*(1+Inputs!$G$13)^($A44-Inputs!$G$8))*(SUM(Inputs!$H$16*Inputs!$H$18,Inputs!$H$19*Inputs!$H$21,Inputs!$H$22*Inputs!$H$24)))+((Inputs!$G$12*(1+Inputs!$G$13)^($A44-Inputs!$G$8))*(SUM(Inputs!$I$16*Inputs!$I$17,Inputs!$I$19*Inputs!$I$20,Inputs!$I$22*Inputs!$I$23))+(Inputs!$G$12*(1+Inputs!$G$13)^($A44-Inputs!$G$8))*(SUM(Inputs!$I$16*Inputs!$I$18,Inputs!$I$19*Inputs!$I$21,Inputs!$I$22*Inputs!$I$24))),(Inputs!$G$10*(1+Inputs!$G$13)^($A44-Inputs!$G$8))*(SUM(Inputs!$G$16*Inputs!$G$17,Inputs!$G$19*Inputs!$G$20,Inputs!$G$22*Inputs!$G$23))+(Inputs!$G$11*(1+Inputs!$G$13)^($A44-Inputs!$G$8))*(SUM(Inputs!$H$16*Inputs!$H$17,Inputs!$H$19*Inputs!$H$20,Inputs!$H$22*Inputs!$H$23))+(Inputs!$G$12*(1+Inputs!$G$13)^($A44-Inputs!$G$8))*(SUM(Inputs!$I$16*Inputs!$I$17,Inputs!$I$19*Inputs!$I$20,Inputs!$I$22*Inputs!$I$23)))</f>
        <v>319980.74219999992</v>
      </c>
      <c r="D44" s="237">
        <f>IF(Inputs!M$44=2,((Inputs!$G$10*(1+Inputs!$G$13)^($A44-Inputs!$G$8))*(SUM(Inputs!$G$16*Inputs!$G$17,Inputs!$G$19*Inputs!$G$20,Inputs!$G$22*Inputs!$G$23))+(Inputs!$G$10*(1+Inputs!$G$13)^($A44-Inputs!$G$8))*(SUM(Inputs!$G$16*Inputs!$G$18,Inputs!$G$19*Inputs!$G$21,Inputs!$G$22*Inputs!$G$24)))+((Inputs!$G$11*(1+Inputs!$G$13)^($A44-Inputs!$G$8))*(SUM(Inputs!$H$16*Inputs!$H$17,Inputs!$H$19*Inputs!$H$20,Inputs!$H$22*Inputs!$H$23))+(Inputs!$G$11*(1+Inputs!$G$13)^($A44-Inputs!$G$8))*(SUM(Inputs!$H$16*Inputs!$H$18,Inputs!$H$19*Inputs!$H$21,Inputs!$H$22*Inputs!$H$24)))+((Inputs!$G$12*(1+Inputs!$G$13)^($A44-Inputs!$G$8))*(SUM(Inputs!$I$16*Inputs!$I$17,Inputs!$I$19*Inputs!$I$20,Inputs!$I$22*Inputs!$I$23))+(Inputs!$G$12*(1+Inputs!$G$13)^($A44-Inputs!$G$8))*(SUM(Inputs!$I$16*Inputs!$I$18,Inputs!$I$19*Inputs!$I$21,Inputs!$I$22*Inputs!$I$24))),(Inputs!$G$10*(1+Inputs!$G$13)^($A44-Inputs!$G$8))*(SUM(Inputs!$G$16*Inputs!$G$17,Inputs!$G$19*Inputs!$G$20,Inputs!$G$22*Inputs!$G$23))+(Inputs!$G$11*(1+Inputs!$G$13)^($A44-Inputs!$G$8))*(SUM(Inputs!$H$16*Inputs!$H$17,Inputs!$H$19*Inputs!$H$20,Inputs!$H$22*Inputs!$H$23))+(Inputs!$G$12*(1+Inputs!$G$13)^($A44-Inputs!$G$8))*(SUM(Inputs!$I$16*Inputs!$I$17,Inputs!$I$19*Inputs!$I$20,Inputs!$I$22*Inputs!$I$23)))</f>
        <v>169846.34039999996</v>
      </c>
      <c r="E44" s="237">
        <f>IF(Inputs!O$44=2,((Inputs!$G$10*(1+Inputs!$G$13)^($A44-Inputs!$G$8))*(SUM(Inputs!$G$16*Inputs!$G$17,Inputs!$G$19*Inputs!$G$20,Inputs!$G$22*Inputs!$G$23))+(Inputs!$G$10*(1+Inputs!$G$13)^($A44-Inputs!$G$8))*(SUM(Inputs!$G$16*Inputs!$G$18,Inputs!$G$19*Inputs!$G$21,Inputs!$G$22*Inputs!$G$24)))+((Inputs!$G$11*(1+Inputs!$G$13)^($A44-Inputs!$G$8))*(SUM(Inputs!$H$16*Inputs!$H$17,Inputs!$H$19*Inputs!$H$20,Inputs!$H$22*Inputs!$H$23))+(Inputs!$G$11*(1+Inputs!$G$13)^($A44-Inputs!$G$8))*(SUM(Inputs!$H$16*Inputs!$H$18,Inputs!$H$19*Inputs!$H$21,Inputs!$H$22*Inputs!$H$24)))+((Inputs!$G$12*(1+Inputs!$G$13)^($A44-Inputs!$G$8))*(SUM(Inputs!$I$16*Inputs!$I$17,Inputs!$I$19*Inputs!$I$20,Inputs!$I$22*Inputs!$I$23))+(Inputs!$G$12*(1+Inputs!$G$13)^($A44-Inputs!$G$8))*(SUM(Inputs!$I$16*Inputs!$I$18,Inputs!$I$19*Inputs!$I$21,Inputs!$I$22*Inputs!$I$24))),(Inputs!$G$10*(1+Inputs!$G$13)^($A44-Inputs!$G$8))*(SUM(Inputs!$G$16*Inputs!$G$17,Inputs!$G$19*Inputs!$G$20,Inputs!$G$22*Inputs!$G$23))+(Inputs!$G$11*(1+Inputs!$G$13)^($A44-Inputs!$G$8))*(SUM(Inputs!$H$16*Inputs!$H$17,Inputs!$H$19*Inputs!$H$20,Inputs!$H$22*Inputs!$H$23))+(Inputs!$G$12*(1+Inputs!$G$13)^($A44-Inputs!$G$8))*(SUM(Inputs!$I$16*Inputs!$I$17,Inputs!$I$19*Inputs!$I$20,Inputs!$I$22*Inputs!$I$23)))</f>
        <v>169846.34039999996</v>
      </c>
    </row>
    <row r="45" spans="1:6" x14ac:dyDescent="0.3">
      <c r="A45" s="248">
        <f>Inputs!$G$8+4</f>
        <v>2030</v>
      </c>
      <c r="B45" s="237">
        <f>IF(Inputs!G$44=2,((Inputs!$G$10*(1+Inputs!$G$13)^($A45-Inputs!$G$8))*(SUM(Inputs!$G$16*Inputs!$G$17,Inputs!$G$19*Inputs!$G$20,Inputs!$G$22*Inputs!$G$23))+(Inputs!$G$10*(1+Inputs!$G$13)^($A45-Inputs!$G$8))*(SUM(Inputs!$G$16*Inputs!$G$18,Inputs!$G$19*Inputs!$G$21,Inputs!$G$22*Inputs!$G$24)))+((Inputs!$G$11*(1+Inputs!$G$13)^($A45-Inputs!$G$8))*(SUM(Inputs!$H$16*Inputs!$H$17,Inputs!$H$19*Inputs!$H$20,Inputs!$H$22*Inputs!$H$23))+(Inputs!$G$11*(1+Inputs!$G$13)^($A45-Inputs!$G$8))*(SUM(Inputs!$H$16*Inputs!$H$18,Inputs!$H$19*Inputs!$H$21,Inputs!$H$22*Inputs!$H$24)))+((Inputs!$G$12*(1+Inputs!$G$13)^($A45-Inputs!$G$8))*(SUM(Inputs!$I$16*Inputs!$I$17,Inputs!$I$19*Inputs!$I$20,Inputs!$I$22*Inputs!$I$23))+(Inputs!$G$12*(1+Inputs!$G$13)^($A45-Inputs!$G$8))*(SUM(Inputs!$I$16*Inputs!$I$18,Inputs!$I$19*Inputs!$I$21,Inputs!$I$22*Inputs!$I$24))),(Inputs!$G$10*(1+Inputs!$G$13)^($A45-Inputs!$G$8))*(SUM(Inputs!$G$16*Inputs!$G$17,Inputs!$G$19*Inputs!$G$20,Inputs!$G$22*Inputs!$G$23))+(Inputs!$G$11*(1+Inputs!$G$13)^($A45-Inputs!$G$8))*(SUM(Inputs!$H$16*Inputs!$H$17,Inputs!$H$19*Inputs!$H$20,Inputs!$H$22*Inputs!$H$23))+(Inputs!$G$12*(1+Inputs!$G$13)^($A45-Inputs!$G$8))*(SUM(Inputs!$I$16*Inputs!$I$17,Inputs!$I$19*Inputs!$I$20,Inputs!$I$22*Inputs!$I$23)))</f>
        <v>173243.26720799998</v>
      </c>
      <c r="C45" s="237">
        <f>IF(Inputs!K$44=2,((Inputs!$G$10*(1+Inputs!$G$13)^($A45-Inputs!$G$8))*(SUM(Inputs!$G$16*Inputs!$G$17,Inputs!$G$19*Inputs!$G$20,Inputs!$G$22*Inputs!$G$23))+(Inputs!$G$10*(1+Inputs!$G$13)^($A45-Inputs!$G$8))*(SUM(Inputs!$G$16*Inputs!$G$18,Inputs!$G$19*Inputs!$G$21,Inputs!$G$22*Inputs!$G$24)))+((Inputs!$G$11*(1+Inputs!$G$13)^($A45-Inputs!$G$8))*(SUM(Inputs!$H$16*Inputs!$H$17,Inputs!$H$19*Inputs!$H$20,Inputs!$H$22*Inputs!$H$23))+(Inputs!$G$11*(1+Inputs!$G$13)^($A45-Inputs!$G$8))*(SUM(Inputs!$H$16*Inputs!$H$18,Inputs!$H$19*Inputs!$H$21,Inputs!$H$22*Inputs!$H$24)))+((Inputs!$G$12*(1+Inputs!$G$13)^($A45-Inputs!$G$8))*(SUM(Inputs!$I$16*Inputs!$I$17,Inputs!$I$19*Inputs!$I$20,Inputs!$I$22*Inputs!$I$23))+(Inputs!$G$12*(1+Inputs!$G$13)^($A45-Inputs!$G$8))*(SUM(Inputs!$I$16*Inputs!$I$18,Inputs!$I$19*Inputs!$I$21,Inputs!$I$22*Inputs!$I$24))),(Inputs!$G$10*(1+Inputs!$G$13)^($A45-Inputs!$G$8))*(SUM(Inputs!$G$16*Inputs!$G$17,Inputs!$G$19*Inputs!$G$20,Inputs!$G$22*Inputs!$G$23))+(Inputs!$G$11*(1+Inputs!$G$13)^($A45-Inputs!$G$8))*(SUM(Inputs!$H$16*Inputs!$H$17,Inputs!$H$19*Inputs!$H$20,Inputs!$H$22*Inputs!$H$23))+(Inputs!$G$12*(1+Inputs!$G$13)^($A45-Inputs!$G$8))*(SUM(Inputs!$I$16*Inputs!$I$17,Inputs!$I$19*Inputs!$I$20,Inputs!$I$22*Inputs!$I$23)))</f>
        <v>326380.35704400006</v>
      </c>
      <c r="D45" s="237">
        <f>IF(Inputs!M$44=2,((Inputs!$G$10*(1+Inputs!$G$13)^($A45-Inputs!$G$8))*(SUM(Inputs!$G$16*Inputs!$G$17,Inputs!$G$19*Inputs!$G$20,Inputs!$G$22*Inputs!$G$23))+(Inputs!$G$10*(1+Inputs!$G$13)^($A45-Inputs!$G$8))*(SUM(Inputs!$G$16*Inputs!$G$18,Inputs!$G$19*Inputs!$G$21,Inputs!$G$22*Inputs!$G$24)))+((Inputs!$G$11*(1+Inputs!$G$13)^($A45-Inputs!$G$8))*(SUM(Inputs!$H$16*Inputs!$H$17,Inputs!$H$19*Inputs!$H$20,Inputs!$H$22*Inputs!$H$23))+(Inputs!$G$11*(1+Inputs!$G$13)^($A45-Inputs!$G$8))*(SUM(Inputs!$H$16*Inputs!$H$18,Inputs!$H$19*Inputs!$H$21,Inputs!$H$22*Inputs!$H$24)))+((Inputs!$G$12*(1+Inputs!$G$13)^($A45-Inputs!$G$8))*(SUM(Inputs!$I$16*Inputs!$I$17,Inputs!$I$19*Inputs!$I$20,Inputs!$I$22*Inputs!$I$23))+(Inputs!$G$12*(1+Inputs!$G$13)^($A45-Inputs!$G$8))*(SUM(Inputs!$I$16*Inputs!$I$18,Inputs!$I$19*Inputs!$I$21,Inputs!$I$22*Inputs!$I$24))),(Inputs!$G$10*(1+Inputs!$G$13)^($A45-Inputs!$G$8))*(SUM(Inputs!$G$16*Inputs!$G$17,Inputs!$G$19*Inputs!$G$20,Inputs!$G$22*Inputs!$G$23))+(Inputs!$G$11*(1+Inputs!$G$13)^($A45-Inputs!$G$8))*(SUM(Inputs!$H$16*Inputs!$H$17,Inputs!$H$19*Inputs!$H$20,Inputs!$H$22*Inputs!$H$23))+(Inputs!$G$12*(1+Inputs!$G$13)^($A45-Inputs!$G$8))*(SUM(Inputs!$I$16*Inputs!$I$17,Inputs!$I$19*Inputs!$I$20,Inputs!$I$22*Inputs!$I$23)))</f>
        <v>173243.26720799998</v>
      </c>
      <c r="E45" s="237">
        <f>IF(Inputs!O$44=2,((Inputs!$G$10*(1+Inputs!$G$13)^($A45-Inputs!$G$8))*(SUM(Inputs!$G$16*Inputs!$G$17,Inputs!$G$19*Inputs!$G$20,Inputs!$G$22*Inputs!$G$23))+(Inputs!$G$10*(1+Inputs!$G$13)^($A45-Inputs!$G$8))*(SUM(Inputs!$G$16*Inputs!$G$18,Inputs!$G$19*Inputs!$G$21,Inputs!$G$22*Inputs!$G$24)))+((Inputs!$G$11*(1+Inputs!$G$13)^($A45-Inputs!$G$8))*(SUM(Inputs!$H$16*Inputs!$H$17,Inputs!$H$19*Inputs!$H$20,Inputs!$H$22*Inputs!$H$23))+(Inputs!$G$11*(1+Inputs!$G$13)^($A45-Inputs!$G$8))*(SUM(Inputs!$H$16*Inputs!$H$18,Inputs!$H$19*Inputs!$H$21,Inputs!$H$22*Inputs!$H$24)))+((Inputs!$G$12*(1+Inputs!$G$13)^($A45-Inputs!$G$8))*(SUM(Inputs!$I$16*Inputs!$I$17,Inputs!$I$19*Inputs!$I$20,Inputs!$I$22*Inputs!$I$23))+(Inputs!$G$12*(1+Inputs!$G$13)^($A45-Inputs!$G$8))*(SUM(Inputs!$I$16*Inputs!$I$18,Inputs!$I$19*Inputs!$I$21,Inputs!$I$22*Inputs!$I$24))),(Inputs!$G$10*(1+Inputs!$G$13)^($A45-Inputs!$G$8))*(SUM(Inputs!$G$16*Inputs!$G$17,Inputs!$G$19*Inputs!$G$20,Inputs!$G$22*Inputs!$G$23))+(Inputs!$G$11*(1+Inputs!$G$13)^($A45-Inputs!$G$8))*(SUM(Inputs!$H$16*Inputs!$H$17,Inputs!$H$19*Inputs!$H$20,Inputs!$H$22*Inputs!$H$23))+(Inputs!$G$12*(1+Inputs!$G$13)^($A45-Inputs!$G$8))*(SUM(Inputs!$I$16*Inputs!$I$17,Inputs!$I$19*Inputs!$I$20,Inputs!$I$22*Inputs!$I$23)))</f>
        <v>173243.26720799998</v>
      </c>
    </row>
    <row r="46" spans="1:6" x14ac:dyDescent="0.3">
      <c r="A46" s="248" t="s">
        <v>134</v>
      </c>
    </row>
    <row r="47" spans="1:6" x14ac:dyDescent="0.3">
      <c r="A47" s="248">
        <f>Inputs!$G$8</f>
        <v>2026</v>
      </c>
      <c r="B47">
        <f>+IF(Inputs!G$44=2,((Inputs!$G$25*SUM(Inputs!$G$27*Inputs!$G$28,Inputs!$G$30*Inputs!$G$31,Inputs!$G$33*Inputs!$G$34))+(Inputs!$G$25*SUM(Inputs!$G$27*Inputs!$G$29,Inputs!$G$30*Inputs!$G$32,Inputs!$G$33*Inputs!$G$35))),(Inputs!$G$25*SUM(Inputs!$G$27*Inputs!$G$28,Inputs!$G$30*Inputs!$G$31,Inputs!$G$33*Inputs!$G$34)))</f>
        <v>360000</v>
      </c>
      <c r="C47">
        <f>+IF(Inputs!K$44=2,((Inputs!$G$25*SUM(Inputs!$G$27*Inputs!$G$28,Inputs!$G$30*Inputs!$G$31,Inputs!$G$33*Inputs!$G$34))+(Inputs!$G$25*SUM(Inputs!$G$27*Inputs!$G$29,Inputs!$G$30*Inputs!$G$32,Inputs!$G$33*Inputs!$G$35))),(Inputs!$G$25*SUM(Inputs!$G$27*Inputs!$G$28,Inputs!$G$30*Inputs!$G$31,Inputs!$G$33*Inputs!$G$34)))</f>
        <v>680000</v>
      </c>
      <c r="D47">
        <f>+IF(Inputs!M$44=2,((Inputs!$G$25*SUM(Inputs!$G$27*Inputs!$G$28,Inputs!$G$30*Inputs!$G$31,Inputs!$G$33*Inputs!$G$34))+(Inputs!$G$25*SUM(Inputs!$G$27*Inputs!$G$29,Inputs!$G$30*Inputs!$G$32,Inputs!$G$33*Inputs!$G$35))),(Inputs!$G$25*SUM(Inputs!$G$27*Inputs!$G$28,Inputs!$G$30*Inputs!$G$31,Inputs!$G$33*Inputs!$G$34)))</f>
        <v>360000</v>
      </c>
      <c r="E47">
        <f>+IF(Inputs!O$44=2,((Inputs!$G$25*SUM(Inputs!$G$27*Inputs!$G$28,Inputs!$G$30*Inputs!$G$31,Inputs!$G$33*Inputs!$G$34))+(Inputs!$G$25*SUM(Inputs!$G$27*Inputs!$G$29,Inputs!$G$30*Inputs!$G$32,Inputs!$G$33*Inputs!$G$35))),(Inputs!$G$25*SUM(Inputs!$G$27*Inputs!$G$28,Inputs!$G$30*Inputs!$G$31,Inputs!$G$33*Inputs!$G$34)))</f>
        <v>360000</v>
      </c>
    </row>
    <row r="48" spans="1:6" x14ac:dyDescent="0.3">
      <c r="A48" s="248" t="s">
        <v>135</v>
      </c>
      <c r="B48" s="237"/>
      <c r="E48" s="250"/>
    </row>
    <row r="49" spans="1:13" x14ac:dyDescent="0.3">
      <c r="A49" s="248">
        <f>Inputs!$G$8</f>
        <v>2026</v>
      </c>
      <c r="B49" s="237">
        <f>B41*(Inputs!$G$49+Inputs!$G$52)</f>
        <v>208486.18421052632</v>
      </c>
      <c r="C49" s="237">
        <f>C41*(Inputs!$K$49+Inputs!$K$52)</f>
        <v>392775.98684210522</v>
      </c>
      <c r="D49" s="237">
        <f>D41*(Inputs!$M$49+Inputs!$M$52)</f>
        <v>217845.83333333334</v>
      </c>
      <c r="E49" s="249">
        <f>E41*(Inputs!$O$49+Inputs!$O$52)</f>
        <v>208486.18421052632</v>
      </c>
    </row>
    <row r="50" spans="1:13" x14ac:dyDescent="0.3">
      <c r="A50" s="248">
        <f>Inputs!$G$8+1</f>
        <v>2027</v>
      </c>
      <c r="B50" s="237">
        <f>B42*(Inputs!$G$49+Inputs!$G$52)-(B41*Inputs!$G$52)</f>
        <v>172643.40789473683</v>
      </c>
      <c r="C50" s="237">
        <f>C42*(Inputs!$K$49+Inputs!$K$52)-(C41*Inputs!$K$52)</f>
        <v>325250.25657894736</v>
      </c>
      <c r="D50" s="237">
        <f>D42*(Inputs!$M$49+Inputs!$M$52)-(D41*Inputs!$M$52)</f>
        <v>182190.25</v>
      </c>
      <c r="E50" s="249">
        <f>E42*(Inputs!$O$49+Inputs!$O$52)-(E41*Inputs!$O$52)</f>
        <v>172643.40789473683</v>
      </c>
    </row>
    <row r="51" spans="1:13" x14ac:dyDescent="0.3">
      <c r="A51" s="248">
        <f>Inputs!$G$8+2</f>
        <v>2028</v>
      </c>
      <c r="B51" s="237">
        <f>B43*(Inputs!$G$49+Inputs!$G$52)-(B42*Inputs!$G$52)</f>
        <v>176096.27605263158</v>
      </c>
      <c r="C51" s="237">
        <f>C43*(Inputs!$K$49+Inputs!$K$52)-(C42*Inputs!$K$52)</f>
        <v>331755.26171052631</v>
      </c>
      <c r="D51" s="237">
        <f>D43*(Inputs!$M$49+Inputs!$M$52)-(D42*Inputs!$M$52)</f>
        <v>185834.05500000002</v>
      </c>
      <c r="E51" s="249">
        <f>E43*(Inputs!$O$49+Inputs!$O$52)-(E42*Inputs!$O$52)</f>
        <v>176096.27605263158</v>
      </c>
    </row>
    <row r="52" spans="1:13" x14ac:dyDescent="0.3">
      <c r="A52" s="248">
        <f>Inputs!$G$8+3</f>
        <v>2029</v>
      </c>
      <c r="B52" s="237">
        <f>B44*(Inputs!$G$49+Inputs!$G$52)-(B43*Inputs!$G$52)</f>
        <v>179618.20157368414</v>
      </c>
      <c r="C52" s="237">
        <f>C44*(Inputs!$K$49+Inputs!$K$52)-(C43*Inputs!$K$52)</f>
        <v>338390.36694473668</v>
      </c>
      <c r="D52" s="237">
        <f>D44*(Inputs!$M$49+Inputs!$M$52)-(D43*Inputs!$M$52)</f>
        <v>189550.73609999995</v>
      </c>
      <c r="E52" s="249">
        <f>E44*(Inputs!$O$49+Inputs!$O$52)-(E43*Inputs!$O$52)</f>
        <v>179618.20157368414</v>
      </c>
    </row>
    <row r="53" spans="1:13" x14ac:dyDescent="0.3">
      <c r="A53" s="248">
        <f>Inputs!$G$8+4</f>
        <v>2030</v>
      </c>
      <c r="B53" s="237">
        <f>B45*(Inputs!$G$49+Inputs!$G$52)-(B44*Inputs!$G$52)</f>
        <v>183210.56560515787</v>
      </c>
      <c r="C53" s="237">
        <f>C45*(Inputs!$K$49+Inputs!$K$52)-(C44*Inputs!$K$52)</f>
        <v>345158.17428363167</v>
      </c>
      <c r="D53" s="237">
        <f>D45*(Inputs!$M$49+Inputs!$M$52)-(D44*Inputs!$M$52)</f>
        <v>193341.75082199997</v>
      </c>
      <c r="E53" s="249">
        <f>E45*(Inputs!$O$49+Inputs!$O$52)-(E44*Inputs!$O$52)</f>
        <v>183210.56560515787</v>
      </c>
    </row>
    <row r="54" spans="1:13" x14ac:dyDescent="0.3">
      <c r="A54" s="248" t="s">
        <v>136</v>
      </c>
      <c r="E54" s="250"/>
    </row>
    <row r="55" spans="1:13" x14ac:dyDescent="0.3">
      <c r="A55" s="251">
        <f>Inputs!$G$8</f>
        <v>2026</v>
      </c>
      <c r="B55" s="252">
        <f>B47*Inputs!G49</f>
        <v>378947.36842105258</v>
      </c>
      <c r="C55" s="252">
        <f>C47*Inputs!K49</f>
        <v>715789.47368421045</v>
      </c>
      <c r="D55" s="252">
        <f>D47*Inputs!M49</f>
        <v>400000</v>
      </c>
      <c r="E55" s="253">
        <f>E47*Inputs!O49</f>
        <v>378947.36842105258</v>
      </c>
    </row>
    <row r="56" spans="1:13" x14ac:dyDescent="0.3">
      <c r="B56" s="237"/>
      <c r="C56" s="237"/>
      <c r="D56" s="237"/>
      <c r="E56" s="237"/>
    </row>
    <row r="57" spans="1:13" x14ac:dyDescent="0.3">
      <c r="A57" t="s">
        <v>137</v>
      </c>
      <c r="B57" t="str">
        <f>$B$40</f>
        <v>CECOLIN 
2 valent, 1 dose/vial, liquid</v>
      </c>
      <c r="E57" t="str">
        <f>$C$40</f>
        <v>WALRINVAX 
2 valent, 1 dose/vial, liquid</v>
      </c>
      <c r="H57" t="str">
        <f>$D$40</f>
        <v>GARDASIL4
 4 valent, 1 dose/vial, liquid</v>
      </c>
      <c r="K57" t="str">
        <f>$E$40</f>
        <v>Fully customizable option - insert name here</v>
      </c>
    </row>
    <row r="58" spans="1:13" x14ac:dyDescent="0.3">
      <c r="B58" t="s">
        <v>92</v>
      </c>
      <c r="C58" t="s">
        <v>93</v>
      </c>
      <c r="D58" t="s">
        <v>94</v>
      </c>
      <c r="E58" t="s">
        <v>92</v>
      </c>
      <c r="F58" t="s">
        <v>93</v>
      </c>
      <c r="G58" t="s">
        <v>94</v>
      </c>
      <c r="H58" t="s">
        <v>92</v>
      </c>
      <c r="I58" t="s">
        <v>93</v>
      </c>
      <c r="J58" t="s">
        <v>94</v>
      </c>
      <c r="K58" t="s">
        <v>92</v>
      </c>
      <c r="L58" t="s">
        <v>93</v>
      </c>
      <c r="M58" t="s">
        <v>94</v>
      </c>
    </row>
    <row r="59" spans="1:13" x14ac:dyDescent="0.3">
      <c r="A59">
        <f>Inputs!$G$8</f>
        <v>2026</v>
      </c>
      <c r="B59" s="237">
        <f>IF(Inputs!G$44=2,((Inputs!$G$9*(1+Inputs!$G$13)^(Results!$D11-Inputs!$G$8))*(Inputs!$G$16*Inputs!$G$17)+(Inputs!$G$9*(1+Inputs!$G$13)^(Results!$D11-Inputs!$G$8))*(Inputs!$G$16*Inputs!$G$18)),(Inputs!$G$9*(1+Inputs!$G$13)^(Results!$D11-Inputs!$G$8))*(Inputs!$G$16*Inputs!$G$17))</f>
        <v>112560.01119999998</v>
      </c>
      <c r="C59" s="237">
        <f>IF(Inputs!G$44=2,((Inputs!$G$9*(1+Inputs!$G$13)^(Results!$D11-Inputs!$G$8))*(Inputs!$G$19*Inputs!$G$20)+(Inputs!$G$9*(1+Inputs!$G$13)^(Results!$D11-Inputs!$G$8))*(Inputs!$G$19*Inputs!$G$21)),(Inputs!$G$9*(1+Inputs!$G$13)^(Results!$D11-Inputs!$G$8))*(Inputs!$G$19*Inputs!$G$20))</f>
        <v>24120.002399999998</v>
      </c>
      <c r="D59" s="237">
        <f>IF(Inputs!G$44=2,((Inputs!$G$9*(1+Inputs!$G$13)^(Results!$D11-Inputs!$G$8))*(Inputs!$G$22*Inputs!$G$23)+(Inputs!$G$9*(1+Inputs!$G$13)^(Results!$D11-Inputs!$G$8))*(Inputs!$G$22*Inputs!$G$24)),(Inputs!$G$9*(1+Inputs!$G$13)^(Results!$D11-Inputs!$G$8))*(Inputs!$G$22*Inputs!$G$23))</f>
        <v>24120.002399999998</v>
      </c>
      <c r="E59" s="237">
        <f>IF(Inputs!K$44=2,((Inputs!$G$9*(1+Inputs!$G$13)^(Results!$D11-Inputs!$G$8))*(Inputs!$G$16*Inputs!$G$17)+(Inputs!$G$9*(1+Inputs!$G$13)^(Results!$D11-Inputs!$G$8))*(Inputs!$G$16*Inputs!$G$18)),(Inputs!$G$9*(1+Inputs!$G$13)^(Results!$D11-Inputs!$G$8))*(Inputs!$G$16*Inputs!$G$17))</f>
        <v>211050.02099999995</v>
      </c>
      <c r="F59" s="237">
        <f>IF(Inputs!K$44=2,((Inputs!$G$9*(1+Inputs!$G$13)^(Results!$D11-Inputs!$G$8))*(Inputs!$G$19*Inputs!$G$20)+(Inputs!$G$9*(1+Inputs!$G$13)^(Results!$D11-Inputs!$G$8))*(Inputs!$G$19*Inputs!$G$21)),(Inputs!$G$9*(1+Inputs!$G$13)^(Results!$D11-Inputs!$G$8))*(Inputs!$G$19*Inputs!$G$20))</f>
        <v>45225.004499999995</v>
      </c>
      <c r="G59" s="237">
        <f>IF(Inputs!K$44=2,((Inputs!$G$9*(1+Inputs!$G$13)^(Results!$D11-Inputs!$G$8))*(Inputs!$G$22*Inputs!$G$23)+(Inputs!$G$9*(1+Inputs!$G$13)^(Results!$D11-Inputs!$G$8))*(Inputs!$G$22*Inputs!$G$24)),(Inputs!$G$9*(1+Inputs!$G$13)^(Results!$D11-Inputs!$G$8))*(Inputs!$G$22*Inputs!$G$23))</f>
        <v>46732.504649999995</v>
      </c>
      <c r="H59" s="237">
        <f>IF(Inputs!M$44=2,((Inputs!$G$9*(1+Inputs!$G$13)^(Results!$D11-Inputs!$G$8))*(Inputs!$G$16*Inputs!$G$17)+(Inputs!$G$9*(1+Inputs!$G$13)^(Results!$D11-Inputs!$G$8))*(Inputs!$G$16*Inputs!$G$18)),(Inputs!$G$9*(1+Inputs!$G$13)^(Results!$D11-Inputs!$G$8))*(Inputs!$G$16*Inputs!$G$17))</f>
        <v>112560.01119999998</v>
      </c>
      <c r="I59" s="237">
        <f>IF(Inputs!M$44=2,((Inputs!$G$9*(1+Inputs!$G$13)^(Results!$D11-Inputs!$G$8))*(Inputs!$G$19*Inputs!$G$20)+(Inputs!$G$9*(1+Inputs!$G$13)^(Results!$D11-Inputs!$G$8))*(Inputs!$G$19*Inputs!$G$21)),(Inputs!$G$9*(1+Inputs!$G$13)^(Results!$D11-Inputs!$G$8))*(Inputs!$G$19*Inputs!$G$20))</f>
        <v>24120.002399999998</v>
      </c>
      <c r="J59" s="237">
        <f>IF(Inputs!M$44=2,((Inputs!$G$9*(1+Inputs!$G$13)^(Results!$D11-Inputs!$G$8))*(Inputs!$G$22*Inputs!$G$23)+(Inputs!$G$9*(1+Inputs!$G$13)^(Results!$D11-Inputs!$G$8))*(Inputs!$G$22*Inputs!$G$24)),(Inputs!$G$9*(1+Inputs!$G$13)^(Results!$D11-Inputs!$G$8))*(Inputs!$G$22*Inputs!$G$23))</f>
        <v>24120.002399999998</v>
      </c>
      <c r="K59" s="237">
        <f>IF(Inputs!O$44=2,((Inputs!$G$9*(1+Inputs!$G$13)^(Results!$D11-Inputs!$G$8))*(Inputs!$G$16*Inputs!$G$17)+(Inputs!$G$9*(1+Inputs!$G$13)^(Results!$D11-Inputs!$G$8))*(Inputs!$G$16*Inputs!$G$18)),(Inputs!$G$9*(1+Inputs!$G$13)^(Results!$D11-Inputs!$G$8))*(Inputs!$G$16*Inputs!$G$17))</f>
        <v>112560.01119999998</v>
      </c>
      <c r="L59" s="237">
        <f>IF(Inputs!O$44=2,((Inputs!$G$9*(1+Inputs!$G$13)^(Results!$D11-Inputs!$G$8))*(Inputs!$G$19*Inputs!$G$20)+(Inputs!$G$9*(1+Inputs!$G$13)^(Results!$D11-Inputs!$G$8))*(Inputs!$G$19*Inputs!$G$21)),(Inputs!$G$9*(1+Inputs!$G$13)^(Results!$D11-Inputs!$G$8))*(Inputs!$G$19*Inputs!$G$20))</f>
        <v>24120.002399999998</v>
      </c>
      <c r="M59" s="237">
        <f>IF(Inputs!O$44=2,((Inputs!$G$9*(1+Inputs!$G$13)^(Results!$D11-Inputs!$G$8))*(Inputs!$G$22*Inputs!$G$23)+(Inputs!$G$9*(1+Inputs!$G$13)^(Results!$D11-Inputs!$G$8))*(Inputs!$G$22*Inputs!$G$24)),(Inputs!$G$9*(1+Inputs!$G$13)^(Results!$D11-Inputs!$G$8))*(Inputs!$G$22*Inputs!$G$23))</f>
        <v>24120.002399999998</v>
      </c>
    </row>
    <row r="60" spans="1:13" x14ac:dyDescent="0.3">
      <c r="A60">
        <f>Inputs!$G$8+1</f>
        <v>2027</v>
      </c>
      <c r="B60" s="237">
        <f>IF(Inputs!G$44=2,((Inputs!$G$9*(1+Inputs!$G$13)^(Results!$D12-Inputs!$G$8))*(Inputs!$G$16*Inputs!$G$17)+(Inputs!$G$9*(1+Inputs!$G$13)^(Results!$D12-Inputs!$G$8))*(Inputs!$G$16*Inputs!$G$18)),(Inputs!$G$9*(1+Inputs!$G$13)^(Results!$D12-Inputs!$G$8))*(Inputs!$G$16*Inputs!$G$17))</f>
        <v>114811.21142399998</v>
      </c>
      <c r="C60" s="237">
        <f>IF(Inputs!G$44=2,((Inputs!$G$9*(1+Inputs!$G$13)^(Results!$D12-Inputs!$G$8))*(Inputs!$G$19*Inputs!$G$20)+(Inputs!$G$9*(1+Inputs!$G$13)^(Results!$D12-Inputs!$G$8))*(Inputs!$G$19*Inputs!$G$21)),(Inputs!$G$9*(1+Inputs!$G$13)^(Results!$D12-Inputs!$G$8))*(Inputs!$G$19*Inputs!$G$20))</f>
        <v>24602.402447999997</v>
      </c>
      <c r="D60" s="237">
        <f>IF(Inputs!G$44=2,((Inputs!$G$9*(1+Inputs!$G$13)^(Results!$D12-Inputs!$G$8))*(Inputs!$G$22*Inputs!$G$23)+(Inputs!$G$9*(1+Inputs!$G$13)^(Results!$D12-Inputs!$G$8))*(Inputs!$G$22*Inputs!$G$24)),(Inputs!$G$9*(1+Inputs!$G$13)^(Results!$D12-Inputs!$G$8))*(Inputs!$G$22*Inputs!$G$23))</f>
        <v>24602.402447999997</v>
      </c>
      <c r="E60" s="237">
        <f>IF(Inputs!K$44=2,((Inputs!$G$9*(1+Inputs!$G$13)^(Results!$D12-Inputs!$G$8))*(Inputs!$G$16*Inputs!$G$17)+(Inputs!$G$9*(1+Inputs!$G$13)^(Results!$D12-Inputs!$G$8))*(Inputs!$G$16*Inputs!$G$18)),(Inputs!$G$9*(1+Inputs!$G$13)^(Results!$D12-Inputs!$G$8))*(Inputs!$G$16*Inputs!$G$17))</f>
        <v>215271.02141999995</v>
      </c>
      <c r="F60" s="237">
        <f>IF(Inputs!K$44=2,((Inputs!$G$9*(1+Inputs!$G$13)^(Results!$D12-Inputs!$G$8))*(Inputs!$G$19*Inputs!$G$20)+(Inputs!$G$9*(1+Inputs!$G$13)^(Results!$D12-Inputs!$G$8))*(Inputs!$G$19*Inputs!$G$21)),(Inputs!$G$9*(1+Inputs!$G$13)^(Results!$D12-Inputs!$G$8))*(Inputs!$G$19*Inputs!$G$20))</f>
        <v>46129.504589999997</v>
      </c>
      <c r="G60" s="237">
        <f>IF(Inputs!K$44=2,((Inputs!$G$9*(1+Inputs!$G$13)^(Results!$D12-Inputs!$G$8))*(Inputs!$G$22*Inputs!$G$23)+(Inputs!$G$9*(1+Inputs!$G$13)^(Results!$D12-Inputs!$G$8))*(Inputs!$G$22*Inputs!$G$24)),(Inputs!$G$9*(1+Inputs!$G$13)^(Results!$D12-Inputs!$G$8))*(Inputs!$G$22*Inputs!$G$23))</f>
        <v>47667.154742999992</v>
      </c>
      <c r="H60" s="237">
        <f>IF(Inputs!M$44=2,((Inputs!$G$9*(1+Inputs!$G$13)^(Results!$D12-Inputs!$G$8))*(Inputs!$G$16*Inputs!$G$17)+(Inputs!$G$9*(1+Inputs!$G$13)^(Results!$D12-Inputs!$G$8))*(Inputs!$G$16*Inputs!$G$18)),(Inputs!$G$9*(1+Inputs!$G$13)^(Results!$D12-Inputs!$G$8))*(Inputs!$G$16*Inputs!$G$17))</f>
        <v>114811.21142399998</v>
      </c>
      <c r="I60" s="237">
        <f>IF(Inputs!M$44=2,((Inputs!$G$9*(1+Inputs!$G$13)^(Results!$D12-Inputs!$G$8))*(Inputs!$G$19*Inputs!$G$20)+(Inputs!$G$9*(1+Inputs!$G$13)^(Results!$D12-Inputs!$G$8))*(Inputs!$G$19*Inputs!$G$21)),(Inputs!$G$9*(1+Inputs!$G$13)^(Results!$D12-Inputs!$G$8))*(Inputs!$G$19*Inputs!$G$20))</f>
        <v>24602.402447999997</v>
      </c>
      <c r="J60" s="237">
        <f>IF(Inputs!M$44=2,((Inputs!$G$9*(1+Inputs!$G$13)^(Results!$D12-Inputs!$G$8))*(Inputs!$G$22*Inputs!$G$23)+(Inputs!$G$9*(1+Inputs!$G$13)^(Results!$D12-Inputs!$G$8))*(Inputs!$G$22*Inputs!$G$24)),(Inputs!$G$9*(1+Inputs!$G$13)^(Results!$D12-Inputs!$G$8))*(Inputs!$G$22*Inputs!$G$23))</f>
        <v>24602.402447999997</v>
      </c>
      <c r="K60" s="237">
        <f>IF(Inputs!O$44=2,((Inputs!$G$9*(1+Inputs!$G$13)^(Results!$D12-Inputs!$G$8))*(Inputs!$G$16*Inputs!$G$17)+(Inputs!$G$9*(1+Inputs!$G$13)^(Results!$D12-Inputs!$G$8))*(Inputs!$G$16*Inputs!$G$18)),(Inputs!$G$9*(1+Inputs!$G$13)^(Results!$D12-Inputs!$G$8))*(Inputs!$G$16*Inputs!$G$17))</f>
        <v>114811.21142399998</v>
      </c>
      <c r="L60" s="237">
        <f>IF(Inputs!O$44=2,((Inputs!$G$9*(1+Inputs!$G$13)^(Results!$D12-Inputs!$G$8))*(Inputs!$G$19*Inputs!$G$20)+(Inputs!$G$9*(1+Inputs!$G$13)^(Results!$D12-Inputs!$G$8))*(Inputs!$G$19*Inputs!$G$21)),(Inputs!$G$9*(1+Inputs!$G$13)^(Results!$D12-Inputs!$G$8))*(Inputs!$G$19*Inputs!$G$20))</f>
        <v>24602.402447999997</v>
      </c>
      <c r="M60" s="237">
        <f>IF(Inputs!O$44=2,((Inputs!$G$9*(1+Inputs!$G$13)^(Results!$D12-Inputs!$G$8))*(Inputs!$G$22*Inputs!$G$23)+(Inputs!$G$9*(1+Inputs!$G$13)^(Results!$D12-Inputs!$G$8))*(Inputs!$G$22*Inputs!$G$24)),(Inputs!$G$9*(1+Inputs!$G$13)^(Results!$D12-Inputs!$G$8))*(Inputs!$G$22*Inputs!$G$23))</f>
        <v>24602.402447999997</v>
      </c>
    </row>
    <row r="61" spans="1:13" x14ac:dyDescent="0.3">
      <c r="A61">
        <f>Inputs!$G$8+2</f>
        <v>2028</v>
      </c>
      <c r="B61" s="237">
        <f>IF(Inputs!G$44=2,((Inputs!$G$9*(1+Inputs!$G$13)^(Results!$D13-Inputs!$G$8))*(Inputs!$G$16*Inputs!$G$17)+(Inputs!$G$9*(1+Inputs!$G$13)^(Results!$D13-Inputs!$G$8))*(Inputs!$G$16*Inputs!$G$18)),(Inputs!$G$9*(1+Inputs!$G$13)^(Results!$D13-Inputs!$G$8))*(Inputs!$G$16*Inputs!$G$17))</f>
        <v>117107.43565247998</v>
      </c>
      <c r="C61" s="237">
        <f>IF(Inputs!G$44=2,((Inputs!$G$9*(1+Inputs!$G$13)^(Results!$D13-Inputs!$G$8))*(Inputs!$G$19*Inputs!$G$20)+(Inputs!$G$9*(1+Inputs!$G$13)^(Results!$D13-Inputs!$G$8))*(Inputs!$G$19*Inputs!$G$21)),(Inputs!$G$9*(1+Inputs!$G$13)^(Results!$D13-Inputs!$G$8))*(Inputs!$G$19*Inputs!$G$20))</f>
        <v>25094.450496959998</v>
      </c>
      <c r="D61" s="237">
        <f>IF(Inputs!G$44=2,((Inputs!$G$9*(1+Inputs!$G$13)^(Results!$D13-Inputs!$G$8))*(Inputs!$G$22*Inputs!$G$23)+(Inputs!$G$9*(1+Inputs!$G$13)^(Results!$D13-Inputs!$G$8))*(Inputs!$G$22*Inputs!$G$24)),(Inputs!$G$9*(1+Inputs!$G$13)^(Results!$D13-Inputs!$G$8))*(Inputs!$G$22*Inputs!$G$23))</f>
        <v>25094.450496959998</v>
      </c>
      <c r="E61" s="237">
        <f>IF(Inputs!K$44=2,((Inputs!$G$9*(1+Inputs!$G$13)^(Results!$D13-Inputs!$G$8))*(Inputs!$G$16*Inputs!$G$17)+(Inputs!$G$9*(1+Inputs!$G$13)^(Results!$D13-Inputs!$G$8))*(Inputs!$G$16*Inputs!$G$18)),(Inputs!$G$9*(1+Inputs!$G$13)^(Results!$D13-Inputs!$G$8))*(Inputs!$G$16*Inputs!$G$17))</f>
        <v>219576.44184839996</v>
      </c>
      <c r="F61" s="237">
        <f>IF(Inputs!K$44=2,((Inputs!$G$9*(1+Inputs!$G$13)^(Results!$D13-Inputs!$G$8))*(Inputs!$G$19*Inputs!$G$20)+(Inputs!$G$9*(1+Inputs!$G$13)^(Results!$D13-Inputs!$G$8))*(Inputs!$G$19*Inputs!$G$21)),(Inputs!$G$9*(1+Inputs!$G$13)^(Results!$D13-Inputs!$G$8))*(Inputs!$G$19*Inputs!$G$20))</f>
        <v>47052.094681799994</v>
      </c>
      <c r="G61" s="237">
        <f>IF(Inputs!K$44=2,((Inputs!$G$9*(1+Inputs!$G$13)^(Results!$D13-Inputs!$G$8))*(Inputs!$G$22*Inputs!$G$23)+(Inputs!$G$9*(1+Inputs!$G$13)^(Results!$D13-Inputs!$G$8))*(Inputs!$G$22*Inputs!$G$24)),(Inputs!$G$9*(1+Inputs!$G$13)^(Results!$D13-Inputs!$G$8))*(Inputs!$G$22*Inputs!$G$23))</f>
        <v>48620.497837859992</v>
      </c>
      <c r="H61" s="237">
        <f>IF(Inputs!M$44=2,((Inputs!$G$9*(1+Inputs!$G$13)^(Results!$D13-Inputs!$G$8))*(Inputs!$G$16*Inputs!$G$17)+(Inputs!$G$9*(1+Inputs!$G$13)^(Results!$D13-Inputs!$G$8))*(Inputs!$G$16*Inputs!$G$18)),(Inputs!$G$9*(1+Inputs!$G$13)^(Results!$D13-Inputs!$G$8))*(Inputs!$G$16*Inputs!$G$17))</f>
        <v>117107.43565247998</v>
      </c>
      <c r="I61" s="237">
        <f>IF(Inputs!M$44=2,((Inputs!$G$9*(1+Inputs!$G$13)^(Results!$D13-Inputs!$G$8))*(Inputs!$G$19*Inputs!$G$20)+(Inputs!$G$9*(1+Inputs!$G$13)^(Results!$D13-Inputs!$G$8))*(Inputs!$G$19*Inputs!$G$21)),(Inputs!$G$9*(1+Inputs!$G$13)^(Results!$D13-Inputs!$G$8))*(Inputs!$G$19*Inputs!$G$20))</f>
        <v>25094.450496959998</v>
      </c>
      <c r="J61" s="237">
        <f>IF(Inputs!M$44=2,((Inputs!$G$9*(1+Inputs!$G$13)^(Results!$D13-Inputs!$G$8))*(Inputs!$G$22*Inputs!$G$23)+(Inputs!$G$9*(1+Inputs!$G$13)^(Results!$D13-Inputs!$G$8))*(Inputs!$G$22*Inputs!$G$24)),(Inputs!$G$9*(1+Inputs!$G$13)^(Results!$D13-Inputs!$G$8))*(Inputs!$G$22*Inputs!$G$23))</f>
        <v>25094.450496959998</v>
      </c>
      <c r="K61" s="237">
        <f>IF(Inputs!O$44=2,((Inputs!$G$9*(1+Inputs!$G$13)^(Results!$D13-Inputs!$G$8))*(Inputs!$G$16*Inputs!$G$17)+(Inputs!$G$9*(1+Inputs!$G$13)^(Results!$D13-Inputs!$G$8))*(Inputs!$G$16*Inputs!$G$18)),(Inputs!$G$9*(1+Inputs!$G$13)^(Results!$D13-Inputs!$G$8))*(Inputs!$G$16*Inputs!$G$17))</f>
        <v>117107.43565247998</v>
      </c>
      <c r="L61" s="237">
        <f>IF(Inputs!O$44=2,((Inputs!$G$9*(1+Inputs!$G$13)^(Results!$D13-Inputs!$G$8))*(Inputs!$G$19*Inputs!$G$20)+(Inputs!$G$9*(1+Inputs!$G$13)^(Results!$D13-Inputs!$G$8))*(Inputs!$G$19*Inputs!$G$21)),(Inputs!$G$9*(1+Inputs!$G$13)^(Results!$D13-Inputs!$G$8))*(Inputs!$G$19*Inputs!$G$20))</f>
        <v>25094.450496959998</v>
      </c>
      <c r="M61" s="237">
        <f>IF(Inputs!O$44=2,((Inputs!$G$9*(1+Inputs!$G$13)^(Results!$D13-Inputs!$G$8))*(Inputs!$G$22*Inputs!$G$23)+(Inputs!$G$9*(1+Inputs!$G$13)^(Results!$D13-Inputs!$G$8))*(Inputs!$G$22*Inputs!$G$24)),(Inputs!$G$9*(1+Inputs!$G$13)^(Results!$D13-Inputs!$G$8))*(Inputs!$G$22*Inputs!$G$23))</f>
        <v>25094.450496959998</v>
      </c>
    </row>
    <row r="62" spans="1:13" x14ac:dyDescent="0.3">
      <c r="A62">
        <f>Inputs!$G$8+3</f>
        <v>2029</v>
      </c>
      <c r="B62" s="237">
        <f>IF(Inputs!G$44=2,((Inputs!$G$9*(1+Inputs!$G$13)^(Results!$D14-Inputs!$G$8))*(Inputs!$G$16*Inputs!$G$17)+(Inputs!$G$9*(1+Inputs!$G$13)^(Results!$D14-Inputs!$G$8))*(Inputs!$G$16*Inputs!$G$18)),(Inputs!$G$9*(1+Inputs!$G$13)^(Results!$D14-Inputs!$G$8))*(Inputs!$G$16*Inputs!$G$17))</f>
        <v>119449.58436552958</v>
      </c>
      <c r="C62" s="237">
        <f>IF(Inputs!G$44=2,((Inputs!$G$9*(1+Inputs!$G$13)^(Results!$D14-Inputs!$G$8))*(Inputs!$G$19*Inputs!$G$20)+(Inputs!$G$9*(1+Inputs!$G$13)^(Results!$D14-Inputs!$G$8))*(Inputs!$G$19*Inputs!$G$21)),(Inputs!$G$9*(1+Inputs!$G$13)^(Results!$D14-Inputs!$G$8))*(Inputs!$G$19*Inputs!$G$20))</f>
        <v>25596.339506899196</v>
      </c>
      <c r="D62" s="237">
        <f>IF(Inputs!G$44=2,((Inputs!$G$9*(1+Inputs!$G$13)^(Results!$D14-Inputs!$G$8))*(Inputs!$G$22*Inputs!$G$23)+(Inputs!$G$9*(1+Inputs!$G$13)^(Results!$D14-Inputs!$G$8))*(Inputs!$G$22*Inputs!$G$24)),(Inputs!$G$9*(1+Inputs!$G$13)^(Results!$D14-Inputs!$G$8))*(Inputs!$G$22*Inputs!$G$23))</f>
        <v>25596.339506899196</v>
      </c>
      <c r="E62" s="237">
        <f>IF(Inputs!K$44=2,((Inputs!$G$9*(1+Inputs!$G$13)^(Results!$D14-Inputs!$G$8))*(Inputs!$G$16*Inputs!$G$17)+(Inputs!$G$9*(1+Inputs!$G$13)^(Results!$D14-Inputs!$G$8))*(Inputs!$G$16*Inputs!$G$18)),(Inputs!$G$9*(1+Inputs!$G$13)^(Results!$D14-Inputs!$G$8))*(Inputs!$G$16*Inputs!$G$17))</f>
        <v>223967.97068536794</v>
      </c>
      <c r="F62" s="237">
        <f>IF(Inputs!K$44=2,((Inputs!$G$9*(1+Inputs!$G$13)^(Results!$D14-Inputs!$G$8))*(Inputs!$G$19*Inputs!$G$20)+(Inputs!$G$9*(1+Inputs!$G$13)^(Results!$D14-Inputs!$G$8))*(Inputs!$G$19*Inputs!$G$21)),(Inputs!$G$9*(1+Inputs!$G$13)^(Results!$D14-Inputs!$G$8))*(Inputs!$G$19*Inputs!$G$20))</f>
        <v>47993.136575435987</v>
      </c>
      <c r="G62" s="237">
        <f>IF(Inputs!K$44=2,((Inputs!$G$9*(1+Inputs!$G$13)^(Results!$D14-Inputs!$G$8))*(Inputs!$G$22*Inputs!$G$23)+(Inputs!$G$9*(1+Inputs!$G$13)^(Results!$D14-Inputs!$G$8))*(Inputs!$G$22*Inputs!$G$24)),(Inputs!$G$9*(1+Inputs!$G$13)^(Results!$D14-Inputs!$G$8))*(Inputs!$G$22*Inputs!$G$23))</f>
        <v>49592.907794617189</v>
      </c>
      <c r="H62" s="237">
        <f>IF(Inputs!M$44=2,((Inputs!$G$9*(1+Inputs!$G$13)^(Results!$D14-Inputs!$G$8))*(Inputs!$G$16*Inputs!$G$17)+(Inputs!$G$9*(1+Inputs!$G$13)^(Results!$D14-Inputs!$G$8))*(Inputs!$G$16*Inputs!$G$18)),(Inputs!$G$9*(1+Inputs!$G$13)^(Results!$D14-Inputs!$G$8))*(Inputs!$G$16*Inputs!$G$17))</f>
        <v>119449.58436552958</v>
      </c>
      <c r="I62" s="237">
        <f>IF(Inputs!M$44=2,((Inputs!$G$9*(1+Inputs!$G$13)^(Results!$D14-Inputs!$G$8))*(Inputs!$G$19*Inputs!$G$20)+(Inputs!$G$9*(1+Inputs!$G$13)^(Results!$D14-Inputs!$G$8))*(Inputs!$G$19*Inputs!$G$21)),(Inputs!$G$9*(1+Inputs!$G$13)^(Results!$D14-Inputs!$G$8))*(Inputs!$G$19*Inputs!$G$20))</f>
        <v>25596.339506899196</v>
      </c>
      <c r="J62" s="237">
        <f>IF(Inputs!M$44=2,((Inputs!$G$9*(1+Inputs!$G$13)^(Results!$D14-Inputs!$G$8))*(Inputs!$G$22*Inputs!$G$23)+(Inputs!$G$9*(1+Inputs!$G$13)^(Results!$D14-Inputs!$G$8))*(Inputs!$G$22*Inputs!$G$24)),(Inputs!$G$9*(1+Inputs!$G$13)^(Results!$D14-Inputs!$G$8))*(Inputs!$G$22*Inputs!$G$23))</f>
        <v>25596.339506899196</v>
      </c>
      <c r="K62" s="237">
        <f>IF(Inputs!O$44=2,((Inputs!$G$9*(1+Inputs!$G$13)^(Results!$D14-Inputs!$G$8))*(Inputs!$G$16*Inputs!$G$17)+(Inputs!$G$9*(1+Inputs!$G$13)^(Results!$D14-Inputs!$G$8))*(Inputs!$G$16*Inputs!$G$18)),(Inputs!$G$9*(1+Inputs!$G$13)^(Results!$D14-Inputs!$G$8))*(Inputs!$G$16*Inputs!$G$17))</f>
        <v>119449.58436552958</v>
      </c>
      <c r="L62" s="237">
        <f>IF(Inputs!O$44=2,((Inputs!$G$9*(1+Inputs!$G$13)^(Results!$D14-Inputs!$G$8))*(Inputs!$G$19*Inputs!$G$20)+(Inputs!$G$9*(1+Inputs!$G$13)^(Results!$D14-Inputs!$G$8))*(Inputs!$G$19*Inputs!$G$21)),(Inputs!$G$9*(1+Inputs!$G$13)^(Results!$D14-Inputs!$G$8))*(Inputs!$G$19*Inputs!$G$20))</f>
        <v>25596.339506899196</v>
      </c>
      <c r="M62" s="237">
        <f>IF(Inputs!O$44=2,((Inputs!$G$9*(1+Inputs!$G$13)^(Results!$D14-Inputs!$G$8))*(Inputs!$G$22*Inputs!$G$23)+(Inputs!$G$9*(1+Inputs!$G$13)^(Results!$D14-Inputs!$G$8))*(Inputs!$G$22*Inputs!$G$24)),(Inputs!$G$9*(1+Inputs!$G$13)^(Results!$D14-Inputs!$G$8))*(Inputs!$G$22*Inputs!$G$23))</f>
        <v>25596.339506899196</v>
      </c>
    </row>
    <row r="63" spans="1:13" x14ac:dyDescent="0.3">
      <c r="A63">
        <f>Inputs!$G$8+4</f>
        <v>2030</v>
      </c>
      <c r="B63" s="237">
        <f>IF(Inputs!G$44=2,((Inputs!$G$9*(1+Inputs!$G$13)^(Results!$D15-Inputs!$G$8))*(Inputs!$G$16*Inputs!$G$17)+(Inputs!$G$9*(1+Inputs!$G$13)^(Results!$D15-Inputs!$G$8))*(Inputs!$G$16*Inputs!$G$18)),(Inputs!$G$9*(1+Inputs!$G$13)^(Results!$D15-Inputs!$G$8))*(Inputs!$G$16*Inputs!$G$17))</f>
        <v>121838.57605284017</v>
      </c>
      <c r="C63" s="237">
        <f>IF(Inputs!G$44=2,((Inputs!$G$9*(1+Inputs!$G$13)^(Results!$D15-Inputs!$G$8))*(Inputs!$G$19*Inputs!$G$20)+(Inputs!$G$9*(1+Inputs!$G$13)^(Results!$D15-Inputs!$G$8))*(Inputs!$G$19*Inputs!$G$21)),(Inputs!$G$9*(1+Inputs!$G$13)^(Results!$D15-Inputs!$G$8))*(Inputs!$G$19*Inputs!$G$20))</f>
        <v>26108.266297037182</v>
      </c>
      <c r="D63" s="237">
        <f>IF(Inputs!G$44=2,((Inputs!$G$9*(1+Inputs!$G$13)^(Results!$D15-Inputs!$G$8))*(Inputs!$G$22*Inputs!$G$23)+(Inputs!$G$9*(1+Inputs!$G$13)^(Results!$D15-Inputs!$G$8))*(Inputs!$G$22*Inputs!$G$24)),(Inputs!$G$9*(1+Inputs!$G$13)^(Results!$D15-Inputs!$G$8))*(Inputs!$G$22*Inputs!$G$23))</f>
        <v>26108.266297037182</v>
      </c>
      <c r="E63" s="237">
        <f>IF(Inputs!K$44=2,((Inputs!$G$9*(1+Inputs!$G$13)^(Results!$D15-Inputs!$G$8))*(Inputs!$G$16*Inputs!$G$17)+(Inputs!$G$9*(1+Inputs!$G$13)^(Results!$D15-Inputs!$G$8))*(Inputs!$G$16*Inputs!$G$18)),(Inputs!$G$9*(1+Inputs!$G$13)^(Results!$D15-Inputs!$G$8))*(Inputs!$G$16*Inputs!$G$17))</f>
        <v>228447.33009907533</v>
      </c>
      <c r="F63" s="237">
        <f>IF(Inputs!K$44=2,((Inputs!$G$9*(1+Inputs!$G$13)^(Results!$D15-Inputs!$G$8))*(Inputs!$G$19*Inputs!$G$20)+(Inputs!$G$9*(1+Inputs!$G$13)^(Results!$D15-Inputs!$G$8))*(Inputs!$G$19*Inputs!$G$21)),(Inputs!$G$9*(1+Inputs!$G$13)^(Results!$D15-Inputs!$G$8))*(Inputs!$G$19*Inputs!$G$20))</f>
        <v>48952.999306944715</v>
      </c>
      <c r="G63" s="237">
        <f>IF(Inputs!K$44=2,((Inputs!$G$9*(1+Inputs!$G$13)^(Results!$D15-Inputs!$G$8))*(Inputs!$G$22*Inputs!$G$23)+(Inputs!$G$9*(1+Inputs!$G$13)^(Results!$D15-Inputs!$G$8))*(Inputs!$G$22*Inputs!$G$24)),(Inputs!$G$9*(1+Inputs!$G$13)^(Results!$D15-Inputs!$G$8))*(Inputs!$G$22*Inputs!$G$23))</f>
        <v>50584.765950509536</v>
      </c>
      <c r="H63" s="237">
        <f>IF(Inputs!M$44=2,((Inputs!$G$9*(1+Inputs!$G$13)^(Results!$D15-Inputs!$G$8))*(Inputs!$G$16*Inputs!$G$17)+(Inputs!$G$9*(1+Inputs!$G$13)^(Results!$D15-Inputs!$G$8))*(Inputs!$G$16*Inputs!$G$18)),(Inputs!$G$9*(1+Inputs!$G$13)^(Results!$D15-Inputs!$G$8))*(Inputs!$G$16*Inputs!$G$17))</f>
        <v>121838.57605284017</v>
      </c>
      <c r="I63" s="237">
        <f>IF(Inputs!M$44=2,((Inputs!$G$9*(1+Inputs!$G$13)^(Results!$D15-Inputs!$G$8))*(Inputs!$G$19*Inputs!$G$20)+(Inputs!$G$9*(1+Inputs!$G$13)^(Results!$D15-Inputs!$G$8))*(Inputs!$G$19*Inputs!$G$21)),(Inputs!$G$9*(1+Inputs!$G$13)^(Results!$D15-Inputs!$G$8))*(Inputs!$G$19*Inputs!$G$20))</f>
        <v>26108.266297037182</v>
      </c>
      <c r="J63" s="237">
        <f>IF(Inputs!M$44=2,((Inputs!$G$9*(1+Inputs!$G$13)^(Results!$D15-Inputs!$G$8))*(Inputs!$G$22*Inputs!$G$23)+(Inputs!$G$9*(1+Inputs!$G$13)^(Results!$D15-Inputs!$G$8))*(Inputs!$G$22*Inputs!$G$24)),(Inputs!$G$9*(1+Inputs!$G$13)^(Results!$D15-Inputs!$G$8))*(Inputs!$G$22*Inputs!$G$23))</f>
        <v>26108.266297037182</v>
      </c>
      <c r="K63" s="237">
        <f>IF(Inputs!O$44=2,((Inputs!$G$9*(1+Inputs!$G$13)^(Results!$D15-Inputs!$G$8))*(Inputs!$G$16*Inputs!$G$17)+(Inputs!$G$9*(1+Inputs!$G$13)^(Results!$D15-Inputs!$G$8))*(Inputs!$G$16*Inputs!$G$18)),(Inputs!$G$9*(1+Inputs!$G$13)^(Results!$D15-Inputs!$G$8))*(Inputs!$G$16*Inputs!$G$17))</f>
        <v>121838.57605284017</v>
      </c>
      <c r="L63" s="237">
        <f>IF(Inputs!O$44=2,((Inputs!$G$9*(1+Inputs!$G$13)^(Results!$D15-Inputs!$G$8))*(Inputs!$G$19*Inputs!$G$20)+(Inputs!$G$9*(1+Inputs!$G$13)^(Results!$D15-Inputs!$G$8))*(Inputs!$G$19*Inputs!$G$21)),(Inputs!$G$9*(1+Inputs!$G$13)^(Results!$D15-Inputs!$G$8))*(Inputs!$G$19*Inputs!$G$20))</f>
        <v>26108.266297037182</v>
      </c>
      <c r="M63" s="237">
        <f>IF(Inputs!O$44=2,((Inputs!$G$9*(1+Inputs!$G$13)^(Results!$D15-Inputs!$G$8))*(Inputs!$G$22*Inputs!$G$23)+(Inputs!$G$9*(1+Inputs!$G$13)^(Results!$D15-Inputs!$G$8))*(Inputs!$G$22*Inputs!$G$24)),(Inputs!$G$9*(1+Inputs!$G$13)^(Results!$D15-Inputs!$G$8))*(Inputs!$G$22*Inputs!$G$23))</f>
        <v>26108.266297037182</v>
      </c>
    </row>
    <row r="64" spans="1:13" x14ac:dyDescent="0.3">
      <c r="A64" s="248" t="s">
        <v>138</v>
      </c>
    </row>
    <row r="65" spans="1:13" x14ac:dyDescent="0.3">
      <c r="A65" s="248">
        <f>Inputs!$G$8</f>
        <v>2026</v>
      </c>
      <c r="B65">
        <f>IF(Inputs!G$44=2,((Inputs!$G$25*Inputs!$G$27*Inputs!$G$28)+(Inputs!$G$25*Inputs!$G$27*Inputs!$G$29)),(Inputs!$G$25*Inputs!$G$27*Inputs!$G$28))</f>
        <v>324000</v>
      </c>
      <c r="C65">
        <f>IF(Inputs!G$44=2,((Inputs!$G$25*Inputs!$G$30*Inputs!$G$31)+(Inputs!$G$25*Inputs!$G$30*Inputs!$G$32)),(Inputs!$G$25*Inputs!$G$30*Inputs!$G$31))</f>
        <v>36000</v>
      </c>
      <c r="D65">
        <f>IF(Inputs!G$44=2,((Inputs!$G$25*Inputs!$G$33*Inputs!$G$34)+(Inputs!$G$25*Inputs!$G$33*Inputs!$G$35)),(Inputs!$G$25*Inputs!$G$33*Inputs!$G$34))</f>
        <v>0</v>
      </c>
      <c r="E65">
        <f>IF(Inputs!K$44=2,((Inputs!$G$25*Inputs!$G$27*Inputs!$G$28)+(Inputs!$G$25*Inputs!$G$27*Inputs!$G$29)),(Inputs!$G$25*Inputs!$G$27*Inputs!$G$28))</f>
        <v>612000</v>
      </c>
      <c r="F65">
        <f>IF(Inputs!K$44=2,((Inputs!$G$25*Inputs!$G$30*Inputs!$G$31)+(Inputs!$G$25*Inputs!$G$30*Inputs!$G$32)),(Inputs!$G$25*Inputs!$G$30*Inputs!$G$31))</f>
        <v>68000</v>
      </c>
      <c r="G65">
        <f>IF(Inputs!K$44=2,((Inputs!$G$25*Inputs!$G$33*Inputs!$G$34)+(Inputs!$G$25*Inputs!$G$33*Inputs!$G$35)),(Inputs!$G$25*Inputs!$G$33*Inputs!$G$34))</f>
        <v>0</v>
      </c>
      <c r="H65">
        <f>IF(Inputs!M$44=2,((Inputs!$G$25*Inputs!$G$27*Inputs!$G$28)+(Inputs!$G$25*Inputs!$G$27*Inputs!$G$29)),(Inputs!$G$25*Inputs!$G$27*Inputs!$G$28))</f>
        <v>324000</v>
      </c>
      <c r="I65">
        <f>IF(Inputs!M$44=2,((Inputs!$G$25*Inputs!$G$30*Inputs!$G$31)+(Inputs!$G$25*Inputs!$G$30*Inputs!$G$32)),(Inputs!$G$25*Inputs!$G$30*Inputs!$G$31))</f>
        <v>36000</v>
      </c>
      <c r="J65">
        <f>IF(Inputs!M$44=2,((Inputs!$G$25*Inputs!$G$33*Inputs!$G$34)+(Inputs!$G$25*Inputs!$G$33*Inputs!$G$35)),(Inputs!$G$25*Inputs!$G$33*Inputs!$G$34))</f>
        <v>0</v>
      </c>
      <c r="K65">
        <f>IF(Inputs!O$44=2,((Inputs!$G$25*Inputs!$G$27*Inputs!$G$28)+(Inputs!$G$25*Inputs!$G$27*Inputs!$G$29)),(Inputs!$G$25*Inputs!$G$27*Inputs!$G$28))</f>
        <v>324000</v>
      </c>
      <c r="L65">
        <f>IF(Inputs!O$44=2,((Inputs!$G$25*Inputs!$G$30*Inputs!$G$31)+(Inputs!$G$25*Inputs!$G$30*Inputs!$G$32)),(Inputs!$G$25*Inputs!$G$30*Inputs!$G$31))</f>
        <v>36000</v>
      </c>
      <c r="M65">
        <f>IF(Inputs!O$44=2,((Inputs!$G$25*Inputs!$G$33*Inputs!$G$34)+(Inputs!$G$25*Inputs!$G$33*Inputs!$G$35)),(Inputs!$G$25*Inputs!$G$33*Inputs!$G$34))</f>
        <v>0</v>
      </c>
    </row>
  </sheetData>
  <phoneticPr fontId="79" type="noConversion"/>
  <pageMargins left="0.7" right="0.7" top="0.75" bottom="0.75" header="0.3" footer="0.3"/>
  <pageSetup paperSize="9" orientation="portrait" r:id="rId1"/>
  <headerFooter>
    <oddHeader>&amp;L&amp;"Calibri"&amp;10&amp;K000000Classified as 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1738-9013-4C85-9AD3-9D6F1A1E81DD}">
  <sheetPr codeName="Sheet3"/>
  <dimension ref="A1:C2"/>
  <sheetViews>
    <sheetView workbookViewId="0">
      <selection activeCell="G7" sqref="G7"/>
    </sheetView>
  </sheetViews>
  <sheetFormatPr defaultColWidth="8.6640625" defaultRowHeight="14.4" x14ac:dyDescent="0.3"/>
  <cols>
    <col min="1" max="1" width="10.44140625" bestFit="1" customWidth="1"/>
    <col min="2" max="2" width="10.44140625" style="282" bestFit="1" customWidth="1"/>
  </cols>
  <sheetData>
    <row r="1" spans="1:3" x14ac:dyDescent="0.3">
      <c r="A1" t="s">
        <v>139</v>
      </c>
      <c r="B1" s="282" t="s">
        <v>140</v>
      </c>
      <c r="C1" t="s">
        <v>141</v>
      </c>
    </row>
    <row r="2" spans="1:3" x14ac:dyDescent="0.3">
      <c r="A2" s="281">
        <v>1</v>
      </c>
      <c r="B2" s="282">
        <v>45946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89426CD6990C48B571977008B5B929" ma:contentTypeVersion="13" ma:contentTypeDescription="Create a new document." ma:contentTypeScope="" ma:versionID="0e01c7bc96b6eed3db98ed54fdc55eb5">
  <xsd:schema xmlns:xsd="http://www.w3.org/2001/XMLSchema" xmlns:xs="http://www.w3.org/2001/XMLSchema" xmlns:p="http://schemas.microsoft.com/office/2006/metadata/properties" xmlns:ns3="6825cbcc-075a-4232-9296-e9bac03f9e0c" xmlns:ns4="6f211968-1ce9-4ce8-bc32-9c87e03ae60e" targetNamespace="http://schemas.microsoft.com/office/2006/metadata/properties" ma:root="true" ma:fieldsID="3d38f0102057625f23cc481bc4af9216" ns3:_="" ns4:_="">
    <xsd:import namespace="6825cbcc-075a-4232-9296-e9bac03f9e0c"/>
    <xsd:import namespace="6f211968-1ce9-4ce8-bc32-9c87e03ae60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25cbcc-075a-4232-9296-e9bac03f9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211968-1ce9-4ce8-bc32-9c87e03ae6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564C82-A93A-469E-A667-E6054C7D7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25cbcc-075a-4232-9296-e9bac03f9e0c"/>
    <ds:schemaRef ds:uri="6f211968-1ce9-4ce8-bc32-9c87e03ae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9E5AC5-64B2-4B7B-9D75-A7C00E9C1AC0}">
  <ds:schemaRefs>
    <ds:schemaRef ds:uri="http://schemas.microsoft.com/sharepoint/v3/contenttype/forms"/>
  </ds:schemaRefs>
</ds:datastoreItem>
</file>

<file path=customXml/itemProps3.xml><?xml version="1.0" encoding="utf-8"?>
<ds:datastoreItem xmlns:ds="http://schemas.openxmlformats.org/officeDocument/2006/customXml" ds:itemID="{56C1983F-F266-4005-8EC6-D5065FD753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READ ME FIRST</vt:lpstr>
      <vt:lpstr>Inputs</vt:lpstr>
      <vt:lpstr>Dashboard</vt:lpstr>
      <vt:lpstr>Results</vt:lpstr>
      <vt:lpstr>Data</vt:lpstr>
      <vt:lpstr>Version</vt:lpstr>
      <vt:lpstr>Dashboard!Print_Area</vt:lpstr>
      <vt:lpstr>Inputs!Print_Area</vt:lpstr>
      <vt:lpstr>Results!Print_Area</vt:lpstr>
    </vt:vector>
  </TitlesOfParts>
  <Manager/>
  <Company>PATH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Allison Clifford</cp:lastModifiedBy>
  <cp:revision/>
  <dcterms:created xsi:type="dcterms:W3CDTF">2018-05-24T13:25:57Z</dcterms:created>
  <dcterms:modified xsi:type="dcterms:W3CDTF">2026-01-27T21:21:40Z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5e72d3-b6ef-4c9c-b371-eb3c79f627ee_Enabled">
    <vt:lpwstr>true</vt:lpwstr>
  </property>
  <property fmtid="{D5CDD505-2E9C-101B-9397-08002B2CF9AE}" pid="3" name="MSIP_Label_8f5e72d3-b6ef-4c9c-b371-eb3c79f627ee_SetDate">
    <vt:lpwstr>2019-12-04T11:02:07Z</vt:lpwstr>
  </property>
  <property fmtid="{D5CDD505-2E9C-101B-9397-08002B2CF9AE}" pid="4" name="MSIP_Label_8f5e72d3-b6ef-4c9c-b371-eb3c79f627ee_Method">
    <vt:lpwstr>Privileged</vt:lpwstr>
  </property>
  <property fmtid="{D5CDD505-2E9C-101B-9397-08002B2CF9AE}" pid="5" name="MSIP_Label_8f5e72d3-b6ef-4c9c-b371-eb3c79f627ee_Name">
    <vt:lpwstr>8f5e72d3-b6ef-4c9c-b371-eb3c79f627ee</vt:lpwstr>
  </property>
  <property fmtid="{D5CDD505-2E9C-101B-9397-08002B2CF9AE}" pid="6" name="MSIP_Label_8f5e72d3-b6ef-4c9c-b371-eb3c79f627ee_SiteId">
    <vt:lpwstr>1de6d9f3-0daf-4df6-b9d6-5959f16f6118</vt:lpwstr>
  </property>
  <property fmtid="{D5CDD505-2E9C-101B-9397-08002B2CF9AE}" pid="7" name="MSIP_Label_8f5e72d3-b6ef-4c9c-b371-eb3c79f627ee_ActionId">
    <vt:lpwstr>b8e400df-7c36-45f2-9454-000070304384</vt:lpwstr>
  </property>
  <property fmtid="{D5CDD505-2E9C-101B-9397-08002B2CF9AE}" pid="8" name="MSIP_Label_8f5e72d3-b6ef-4c9c-b371-eb3c79f627ee_ContentBits">
    <vt:lpwstr>1</vt:lpwstr>
  </property>
  <property fmtid="{D5CDD505-2E9C-101B-9397-08002B2CF9AE}" pid="9" name="ContentTypeId">
    <vt:lpwstr>0x010100AC89426CD6990C48B571977008B5B929</vt:lpwstr>
  </property>
</Properties>
</file>