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api.box.com/wopi/files/2115756378882/WOPIServiceId_TP_BOX_2/WOPIUserId_-/"/>
    </mc:Choice>
  </mc:AlternateContent>
  <xr:revisionPtr revIDLastSave="49" documentId="13_ncr:1_{7922F966-00F3-4B1F-A5A8-DAA9F5461815}" xr6:coauthVersionLast="47" xr6:coauthVersionMax="47" xr10:uidLastSave="{8CA11C45-1B16-4078-8E6D-202F9A37FEF9}"/>
  <workbookProtection workbookAlgorithmName="SHA-512" workbookHashValue="Bt1Aqdm/Ozzs+7ezYzTtfzGcAVOTiSW/mW33dwEwjMrP90XKPYbKofau5+vpVCV+dLIDbYd49qP+6SdJ9z6iWg==" workbookSaltValue="EN/TgsWxOhptx7A5CcJBjQ==" workbookSpinCount="100000" lockStructure="1"/>
  <bookViews>
    <workbookView xWindow="28680" yWindow="-4290" windowWidth="29040" windowHeight="15720" xr2:uid="{00000000-000D-0000-FFFF-FFFF00000000}"/>
  </bookViews>
  <sheets>
    <sheet name="Instructions" sheetId="15" r:id="rId1"/>
    <sheet name="Saisie des données" sheetId="16" r:id="rId2"/>
    <sheet name="Tableau de bord" sheetId="17" r:id="rId3"/>
    <sheet name="Résultats" sheetId="18" r:id="rId4"/>
    <sheet name="Data" sheetId="3" state="hidden" r:id="rId5"/>
    <sheet name="Version" sheetId="14" state="hidden" r:id="rId6"/>
  </sheets>
  <definedNames>
    <definedName name="_xlnm.Print_Area" localSheetId="3">Résultats!$B$3:$M$51</definedName>
    <definedName name="_xlnm.Print_Area" localSheetId="1">'Saisie des données'!$E$3:$Q$80</definedName>
    <definedName name="_xlnm.Print_Area" localSheetId="2">'Tableau de bord'!$B$3:$M$37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4" i="16" l="1"/>
  <c r="G9" i="16"/>
  <c r="M43" i="16"/>
  <c r="K43" i="16"/>
  <c r="G43" i="16"/>
  <c r="E47" i="3"/>
  <c r="D47" i="3"/>
  <c r="C47" i="3"/>
  <c r="B47" i="3"/>
  <c r="H15" i="16" l="1"/>
  <c r="I15" i="16"/>
  <c r="M45" i="16" l="1"/>
  <c r="K45" i="16"/>
  <c r="G45" i="16"/>
  <c r="A65" i="3" l="1"/>
  <c r="A63" i="3"/>
  <c r="A62" i="3"/>
  <c r="A61" i="3"/>
  <c r="A60" i="3"/>
  <c r="A59" i="3"/>
  <c r="A55" i="3" l="1"/>
  <c r="A53" i="3"/>
  <c r="A52" i="3"/>
  <c r="A51" i="3"/>
  <c r="A50" i="3"/>
  <c r="A49" i="3"/>
  <c r="A47" i="3"/>
  <c r="E40" i="3"/>
  <c r="K57" i="3" s="1"/>
  <c r="D40" i="3"/>
  <c r="H57" i="3" s="1"/>
  <c r="C40" i="3"/>
  <c r="E57" i="3" s="1"/>
  <c r="B40" i="3"/>
  <c r="B57" i="3" s="1"/>
  <c r="A45" i="3"/>
  <c r="A44" i="3"/>
  <c r="A43" i="3"/>
  <c r="A42" i="3"/>
  <c r="A41" i="3"/>
  <c r="G15" i="16"/>
  <c r="G26" i="16"/>
  <c r="C45" i="3" l="1"/>
  <c r="E45" i="3"/>
  <c r="B45" i="3"/>
  <c r="D45" i="3"/>
  <c r="D41" i="3"/>
  <c r="B41" i="3"/>
  <c r="E41" i="3"/>
  <c r="C41" i="3"/>
  <c r="E42" i="3"/>
  <c r="C42" i="3"/>
  <c r="B42" i="3"/>
  <c r="D42" i="3"/>
  <c r="E43" i="3"/>
  <c r="C43" i="3"/>
  <c r="B43" i="3"/>
  <c r="D43" i="3"/>
  <c r="C44" i="3"/>
  <c r="E44" i="3"/>
  <c r="B44" i="3"/>
  <c r="D44" i="3"/>
  <c r="D50" i="18"/>
  <c r="D49" i="18"/>
  <c r="D48" i="18"/>
  <c r="D47" i="18"/>
  <c r="D46" i="18"/>
  <c r="D41" i="18"/>
  <c r="D40" i="18"/>
  <c r="D39" i="18"/>
  <c r="D38" i="18"/>
  <c r="D37" i="18"/>
  <c r="M49" i="16"/>
  <c r="K49" i="16"/>
  <c r="M48" i="16"/>
  <c r="K48" i="16"/>
  <c r="G48" i="16"/>
  <c r="K46" i="16"/>
  <c r="M46" i="16"/>
  <c r="G46" i="16"/>
  <c r="F6" i="18"/>
  <c r="F8" i="17" s="1"/>
  <c r="H6" i="18"/>
  <c r="H8" i="17" s="1"/>
  <c r="J6" i="18"/>
  <c r="J8" i="17" s="1"/>
  <c r="L6" i="18"/>
  <c r="L8" i="17" s="1"/>
  <c r="D11" i="18"/>
  <c r="D12" i="18"/>
  <c r="D13" i="18"/>
  <c r="D14" i="18"/>
  <c r="D15" i="18"/>
  <c r="D20" i="18"/>
  <c r="D21" i="18"/>
  <c r="D22" i="18"/>
  <c r="D23" i="18"/>
  <c r="D24" i="18"/>
  <c r="D28" i="18"/>
  <c r="D29" i="18"/>
  <c r="D30" i="18"/>
  <c r="D31" i="18"/>
  <c r="D32" i="18"/>
  <c r="G49" i="16"/>
  <c r="O49" i="16"/>
  <c r="J12" i="18" l="1"/>
  <c r="L12" i="18"/>
  <c r="F11" i="18"/>
  <c r="J11" i="18"/>
  <c r="L11" i="18"/>
  <c r="H11" i="18"/>
  <c r="L15" i="18"/>
  <c r="H15" i="18"/>
  <c r="J15" i="18"/>
  <c r="L14" i="18"/>
  <c r="H14" i="18"/>
  <c r="J14" i="18"/>
  <c r="H13" i="18"/>
  <c r="L13" i="18"/>
  <c r="J13" i="18"/>
  <c r="H12" i="18"/>
  <c r="F12" i="18"/>
  <c r="F15" i="18"/>
  <c r="F14" i="18"/>
  <c r="F13" i="18"/>
  <c r="I63" i="3"/>
  <c r="H60" i="3"/>
  <c r="J65" i="3"/>
  <c r="J62" i="3"/>
  <c r="H62" i="3"/>
  <c r="I60" i="3"/>
  <c r="I59" i="3"/>
  <c r="I65" i="3"/>
  <c r="J63" i="3"/>
  <c r="H63" i="3"/>
  <c r="H65" i="3"/>
  <c r="J59" i="3"/>
  <c r="I61" i="3"/>
  <c r="I62" i="3"/>
  <c r="H59" i="3"/>
  <c r="J60" i="3"/>
  <c r="J61" i="3"/>
  <c r="H61" i="3"/>
  <c r="M65" i="3"/>
  <c r="L62" i="3"/>
  <c r="K59" i="3"/>
  <c r="L65" i="3"/>
  <c r="K65" i="3"/>
  <c r="M61" i="3"/>
  <c r="K61" i="3"/>
  <c r="M63" i="3"/>
  <c r="M59" i="3"/>
  <c r="M62" i="3"/>
  <c r="K62" i="3"/>
  <c r="K63" i="3"/>
  <c r="L60" i="3"/>
  <c r="L61" i="3"/>
  <c r="L59" i="3"/>
  <c r="L63" i="3"/>
  <c r="M60" i="3"/>
  <c r="K60" i="3"/>
  <c r="E65" i="3"/>
  <c r="G60" i="3"/>
  <c r="F63" i="3"/>
  <c r="F59" i="3"/>
  <c r="G63" i="3"/>
  <c r="E61" i="3"/>
  <c r="F60" i="3"/>
  <c r="E59" i="3"/>
  <c r="G59" i="3"/>
  <c r="E62" i="3"/>
  <c r="E63" i="3"/>
  <c r="G65" i="3"/>
  <c r="F61" i="3"/>
  <c r="F65" i="3"/>
  <c r="F62" i="3"/>
  <c r="C49" i="3"/>
  <c r="G61" i="3"/>
  <c r="G62" i="3"/>
  <c r="E60" i="3"/>
  <c r="D65" i="3"/>
  <c r="B65" i="3"/>
  <c r="B55" i="3"/>
  <c r="C61" i="3"/>
  <c r="C62" i="3"/>
  <c r="C63" i="3"/>
  <c r="C59" i="3"/>
  <c r="D60" i="3"/>
  <c r="B60" i="3"/>
  <c r="D61" i="3"/>
  <c r="B61" i="3"/>
  <c r="D59" i="3"/>
  <c r="B62" i="3"/>
  <c r="C65" i="3"/>
  <c r="D63" i="3"/>
  <c r="B63" i="3"/>
  <c r="C60" i="3"/>
  <c r="B49" i="3"/>
  <c r="B59" i="3"/>
  <c r="D62" i="3"/>
  <c r="C55" i="3"/>
  <c r="D55" i="3"/>
  <c r="D49" i="3"/>
  <c r="E49" i="3"/>
  <c r="E55" i="3"/>
  <c r="H24" i="18" l="1"/>
  <c r="H41" i="18" s="1"/>
  <c r="B50" i="3"/>
  <c r="C53" i="3"/>
  <c r="D52" i="3"/>
  <c r="C52" i="3"/>
  <c r="C51" i="3"/>
  <c r="E52" i="3"/>
  <c r="B51" i="3"/>
  <c r="E51" i="3"/>
  <c r="E50" i="3"/>
  <c r="H21" i="18"/>
  <c r="H38" i="18" s="1"/>
  <c r="D51" i="3"/>
  <c r="E53" i="3"/>
  <c r="B52" i="3"/>
  <c r="B53" i="3"/>
  <c r="D50" i="3"/>
  <c r="D53" i="3"/>
  <c r="C50" i="3"/>
  <c r="L20" i="18"/>
  <c r="L21" i="18"/>
  <c r="L38" i="18" s="1"/>
  <c r="J21" i="18"/>
  <c r="J38" i="18" s="1"/>
  <c r="J20" i="18"/>
  <c r="J24" i="18"/>
  <c r="J41" i="18" s="1"/>
  <c r="F21" i="18"/>
  <c r="F38" i="18" s="1"/>
  <c r="L24" i="18"/>
  <c r="H20" i="18"/>
  <c r="L23" i="18"/>
  <c r="L40" i="18" s="1"/>
  <c r="F24" i="18"/>
  <c r="F41" i="18" s="1"/>
  <c r="F20" i="18"/>
  <c r="J22" i="18"/>
  <c r="J39" i="18" s="1"/>
  <c r="F22" i="18"/>
  <c r="F39" i="18" s="1"/>
  <c r="H23" i="18"/>
  <c r="H40" i="18" s="1"/>
  <c r="H22" i="18"/>
  <c r="H39" i="18" s="1"/>
  <c r="L22" i="18"/>
  <c r="F23" i="18"/>
  <c r="F40" i="18" s="1"/>
  <c r="J23" i="18"/>
  <c r="J40" i="18" s="1"/>
  <c r="L10" i="18"/>
  <c r="J10" i="18"/>
  <c r="F10" i="18"/>
  <c r="H10" i="18"/>
  <c r="J28" i="18" l="1"/>
  <c r="J37" i="18"/>
  <c r="J46" i="18" s="1"/>
  <c r="L28" i="18"/>
  <c r="L37" i="18"/>
  <c r="L46" i="18" s="1"/>
  <c r="L39" i="18"/>
  <c r="L48" i="18" s="1"/>
  <c r="H28" i="18"/>
  <c r="H37" i="18"/>
  <c r="H46" i="18" s="1"/>
  <c r="F37" i="18"/>
  <c r="F46" i="18" s="1"/>
  <c r="L41" i="18"/>
  <c r="L50" i="18" s="1"/>
  <c r="F28" i="18"/>
  <c r="L49" i="18"/>
  <c r="L47" i="18"/>
  <c r="F48" i="18"/>
  <c r="H47" i="18"/>
  <c r="F50" i="18"/>
  <c r="J49" i="18"/>
  <c r="H49" i="18"/>
  <c r="H50" i="18"/>
  <c r="F47" i="18"/>
  <c r="H48" i="18"/>
  <c r="J50" i="18"/>
  <c r="J47" i="18"/>
  <c r="F49" i="18"/>
  <c r="J48" i="18"/>
  <c r="J29" i="18"/>
  <c r="J30" i="18"/>
  <c r="L19" i="18"/>
  <c r="L10" i="17" s="1"/>
  <c r="L11" i="17" s="1"/>
  <c r="J31" i="18"/>
  <c r="F29" i="18"/>
  <c r="J32" i="18"/>
  <c r="L29" i="18"/>
  <c r="J19" i="18"/>
  <c r="J10" i="17" s="1"/>
  <c r="J11" i="17" s="1"/>
  <c r="F19" i="18"/>
  <c r="F10" i="17" s="1"/>
  <c r="F11" i="17" s="1"/>
  <c r="F31" i="18"/>
  <c r="H31" i="18"/>
  <c r="F32" i="18"/>
  <c r="H30" i="18"/>
  <c r="H29" i="18"/>
  <c r="F30" i="18"/>
  <c r="L31" i="18"/>
  <c r="H32" i="18"/>
  <c r="L32" i="18"/>
  <c r="H19" i="18"/>
  <c r="H10" i="17" s="1"/>
  <c r="H11" i="17" s="1"/>
  <c r="L30" i="18"/>
  <c r="J13" i="17" l="1"/>
  <c r="L36" i="18"/>
  <c r="L15" i="17" s="1"/>
  <c r="L16" i="17" s="1"/>
  <c r="F13" i="17"/>
  <c r="H13" i="17"/>
  <c r="L13" i="17"/>
  <c r="J27" i="17"/>
  <c r="J28" i="17" s="1"/>
  <c r="H27" i="17"/>
  <c r="H28" i="17" s="1"/>
  <c r="H30" i="17"/>
  <c r="J30" i="17"/>
  <c r="F30" i="17"/>
  <c r="F27" i="17"/>
  <c r="F28" i="17" s="1"/>
  <c r="K13" i="17" l="1"/>
  <c r="L45" i="18"/>
  <c r="L18" i="17" s="1"/>
  <c r="L19" i="17" s="1"/>
  <c r="I13" i="17"/>
  <c r="M13" i="17"/>
  <c r="J36" i="18"/>
  <c r="J45" i="18"/>
  <c r="H36" i="18"/>
  <c r="H15" i="17" s="1"/>
  <c r="H45" i="18"/>
  <c r="H18" i="17" s="1"/>
  <c r="F36" i="18"/>
  <c r="F15" i="17" s="1"/>
  <c r="F16" i="17" s="1"/>
  <c r="M16" i="17" s="1"/>
  <c r="F45" i="18"/>
  <c r="F18" i="17" s="1"/>
  <c r="F19" i="17" s="1"/>
  <c r="M19" i="17" l="1"/>
  <c r="J32" i="17"/>
  <c r="J33" i="17" s="1"/>
  <c r="F32" i="17"/>
  <c r="F33" i="17" s="1"/>
  <c r="J15" i="17"/>
  <c r="K15" i="17" s="1"/>
  <c r="H32" i="17"/>
  <c r="H33" i="17" s="1"/>
  <c r="J35" i="17"/>
  <c r="J36" i="17" s="1"/>
  <c r="H35" i="17"/>
  <c r="H36" i="17" s="1"/>
  <c r="F35" i="17"/>
  <c r="F36" i="17" s="1"/>
  <c r="J18" i="17"/>
  <c r="J19" i="17" s="1"/>
  <c r="K19" i="17" s="1"/>
  <c r="M15" i="17"/>
  <c r="M18" i="17"/>
  <c r="I18" i="17"/>
  <c r="H19" i="17"/>
  <c r="I19" i="17" s="1"/>
  <c r="H16" i="17"/>
  <c r="I16" i="17" s="1"/>
  <c r="I15" i="17"/>
  <c r="J16" i="17" l="1"/>
  <c r="K16" i="17" s="1"/>
  <c r="K18" i="17"/>
</calcChain>
</file>

<file path=xl/sharedStrings.xml><?xml version="1.0" encoding="utf-8"?>
<sst xmlns="http://schemas.openxmlformats.org/spreadsheetml/2006/main" count="225" uniqueCount="154">
  <si>
    <r>
      <rPr>
        <sz val="26"/>
        <color rgb="FF000000"/>
        <rFont val="Arial"/>
        <family val="2"/>
      </rPr>
      <t>Calculateur du coût du</t>
    </r>
    <r>
      <rPr>
        <sz val="11"/>
        <color theme="1"/>
        <rFont val="Arial"/>
        <family val="2"/>
      </rPr>
      <t xml:space="preserve"> </t>
    </r>
    <r>
      <rPr>
        <b/>
        <sz val="32"/>
        <color rgb="FFAE0012"/>
        <rFont val="Arial"/>
        <family val="2"/>
      </rPr>
      <t>vaccin contre le papillomavirus humain</t>
    </r>
  </si>
  <si>
    <t>pour les pays à revenu intermédiaire</t>
  </si>
  <si>
    <t>Version 1.0 / Janvier 2026</t>
  </si>
  <si>
    <r>
      <rPr>
        <sz val="12"/>
        <color rgb="FF000000"/>
        <rFont val="Arial"/>
        <family val="2"/>
      </rPr>
      <t>Si vous avez des questions ou si vous avez besoin d’aide, contactez l’équipe Health Economics &amp; Outcomes Research de PATH :</t>
    </r>
    <r>
      <rPr>
        <sz val="12"/>
        <color rgb="FF000000"/>
        <rFont val="Arial"/>
        <family val="2"/>
      </rPr>
      <t xml:space="preserve"> </t>
    </r>
    <r>
      <rPr>
        <u/>
        <sz val="12"/>
        <color rgb="FF000000"/>
        <rFont val="Arial"/>
        <family val="2"/>
      </rPr>
      <t>HEOR@path.org</t>
    </r>
  </si>
  <si>
    <t>Vue d’ensemble</t>
  </si>
  <si>
    <t>Manuel d’utilisation</t>
  </si>
  <si>
    <t>Saisie des données</t>
  </si>
  <si>
    <t>Les cases violettes indiquent un menu déroulant dans lequel l’utilisateur peut sélectionner un choix prédéfini. Cliquez sur la case et une flèche déroulante apparaîtra. En cliquant sur la flèche, l’utilisateur peut choisir parmi plusieurs options.</t>
  </si>
  <si>
    <t>Les cases vertes doivent être remplies par l’utilisateur. Des exemples de données sont inclus dans le modèle, mais ces informations doivent être mises à jour afin de refléter le programme de vaccination local et les données associées.</t>
  </si>
  <si>
    <t>Les cases blanches incluent des informations figées, qui ne peuvent pas être modifiées par l’utilisateur.</t>
  </si>
  <si>
    <t>Programme de vaccination</t>
  </si>
  <si>
    <t>Saisissez les données relatives à votre programme de vaccination : population cible annuelle pour une cohorte d’âge unique (CAU), taux de croissance annuel de la population et couverture prévue pour chaque dose du schéma de vaccination. Si aucune campagne visant une cohorte multi-âges (CMA) n’est prévue, veuillez indiquer zéro pour la population CMA.</t>
  </si>
  <si>
    <t>Options et coût du vaccin anti-HPV</t>
  </si>
  <si>
    <t>► Sélectionnez les vaccins qui vous intéressent dans le menu déroulant (options 1 à 3) ou saisissez directement les caractéristiques du produit (option 4). 
► Saisissez le prix prévu par dose. Des prix indicatifs sont fournis, mais ils doivent être confirmés auprès de votre organisme d’approvisionnement ou du fabricant.
► Indiquez le taux de perte prévu pour chaque présentation et, le cas échéant, le coût prévu du traitement, du transport international et des fournitures.
► Indiquez un taux tampon, le cas échéant.</t>
  </si>
  <si>
    <t>Ressources</t>
  </si>
  <si>
    <t>Prix du vaccin</t>
  </si>
  <si>
    <t>Base de données relative aux achats de vaccins MI4A de l’OMS</t>
  </si>
  <si>
    <t>Frais de traitement</t>
  </si>
  <si>
    <t>Site Web de l’UNICEF - Frais de traitement</t>
  </si>
  <si>
    <t>Coût des fournitures</t>
  </si>
  <si>
    <t>Site Web de l’UNICEF - Données de tarification</t>
  </si>
  <si>
    <t>Coûts des programmes de vaccination</t>
  </si>
  <si>
    <t>Coût supplémentaire d’administration par dose</t>
  </si>
  <si>
    <t>Catalogue des coûts d’administration des vaccins</t>
  </si>
  <si>
    <t>Analyse de scénario optionnelle pour l’utilisation de plusieurs vaccins</t>
  </si>
  <si>
    <t>Tableau de bord</t>
  </si>
  <si>
    <t>Le tableau de bord fournit des données récapitulatives des résultats de l’analyse principale et des scénarios A, B et C si l’analyse de scénario optionnelle pour l’utilisation de plusieurs vaccins est renseignée. La mise en forme conditionnelle est utilisée afin de mettre en évidence les économies potentielles (en vert) et les pertes potentielles (en rouge). Les données récapitulatives des résultats sont fournies séparément pour le coût du vaccin (achat du vaccin et des fournitures, et expédition internationale), pour les coûts des programmes de vaccination (coût du vaccin plus coût d’administration) et pour les exigences de volume de la chaîne du froid.</t>
  </si>
  <si>
    <t>Résultats</t>
  </si>
  <si>
    <t>La feuille de calcul Résultats présente des informations sur les coûts, sur un an et sur une période de cinq ans, pour chaque option de vaccination présentée dans la feuille de calcul Saisie des données pour le scénario principal. Les résultats sont fournis séparément pour les exigences de volume de la chaîne du froid, pour le coût du vaccin (achat du vaccin et des fournitures, et expédition internationale) et pour les coûts des programmes de vaccination (coût du vaccin plus coût d’administration).</t>
  </si>
  <si>
    <t>Formules de calcul*</t>
  </si>
  <si>
    <r>
      <rPr>
        <b/>
        <sz val="12"/>
        <color theme="1"/>
        <rFont val="Arial"/>
        <family val="2"/>
      </rPr>
      <t>Nombre de doses administrées</t>
    </r>
    <r>
      <rPr>
        <sz val="12"/>
        <color theme="1"/>
        <rFont val="Arial"/>
        <family val="2"/>
      </rPr>
      <t xml:space="preserve"> = Population CAU/CMA cible x couverture D1 de chaque option d’administration x proportion de chaque option d’administration + population CAU/CMA cible x couverture D2 de chaque option d’administration x proportion de chaque option d’administration (si applicable)
</t>
    </r>
    <r>
      <rPr>
        <b/>
        <sz val="12"/>
        <color theme="1"/>
        <rFont val="Arial"/>
        <family val="2"/>
      </rPr>
      <t>Nombre total de doses nécessaires</t>
    </r>
    <r>
      <rPr>
        <sz val="12"/>
        <color theme="1"/>
        <rFont val="Arial"/>
        <family val="2"/>
      </rPr>
      <t xml:space="preserve"> = Nombre de doses administrées x facteur de perte + doses tampons facultatives
</t>
    </r>
    <r>
      <rPr>
        <b/>
        <sz val="12"/>
        <color theme="1"/>
        <rFont val="Arial"/>
        <family val="2"/>
      </rPr>
      <t>Volume total requis de la chaîne du froid</t>
    </r>
    <r>
      <rPr>
        <sz val="12"/>
        <color theme="1"/>
        <rFont val="Arial"/>
        <family val="2"/>
      </rPr>
      <t> = Volume de la chaîne du froid par dose en cm</t>
    </r>
    <r>
      <rPr>
        <vertAlign val="superscript"/>
        <sz val="12"/>
        <color theme="1"/>
        <rFont val="Arial"/>
        <family val="2"/>
      </rPr>
      <t>3</t>
    </r>
    <r>
      <rPr>
        <sz val="12"/>
        <color theme="1"/>
        <rFont val="Arial"/>
        <family val="2"/>
      </rPr>
      <t xml:space="preserve"> x nombre total de doses nécessaires
</t>
    </r>
    <r>
      <rPr>
        <b/>
        <sz val="12"/>
        <color theme="1"/>
        <rFont val="Arial"/>
        <family val="2"/>
      </rPr>
      <t>Facteur de perte</t>
    </r>
    <r>
      <rPr>
        <sz val="12"/>
        <color theme="1"/>
        <rFont val="Arial"/>
        <family val="2"/>
      </rPr>
      <t xml:space="preserve"> = (1 / (1 - taux de perte))
</t>
    </r>
    <r>
      <rPr>
        <b/>
        <sz val="12"/>
        <color theme="1"/>
        <rFont val="Arial"/>
        <family val="2"/>
      </rPr>
      <t>Coût du vaccin</t>
    </r>
    <r>
      <rPr>
        <sz val="12"/>
        <color theme="1"/>
        <rFont val="Arial"/>
        <family val="2"/>
      </rPr>
      <t xml:space="preserve"> = Nombre total de doses nécessaires x (prix par dose + prix par dose x traitement à l’échelle internationale + prix par dose x transport international) + (nombre de doses administrées / volume de réceptacles de sécurité x prix du réceptacle de sécurité) + (nombre de doses administrées x prix d’une seringue)
</t>
    </r>
    <r>
      <rPr>
        <b/>
        <sz val="12"/>
        <color theme="1"/>
        <rFont val="Arial"/>
        <family val="2"/>
      </rPr>
      <t>Coût du programme de vaccination</t>
    </r>
    <r>
      <rPr>
        <sz val="12"/>
        <color theme="1"/>
        <rFont val="Arial"/>
        <family val="2"/>
      </rPr>
      <t> = Coût du vaccin + nombre de doses administrées x coût supplémentaire d’administration par dose + coûts d’introduction ou de changement (uniquement pour l’année 1)
* x = multiplié par</t>
    </r>
  </si>
  <si>
    <r>
      <rPr>
        <sz val="11"/>
        <color theme="1"/>
        <rFont val="Arial"/>
        <family val="2"/>
      </rPr>
      <t xml:space="preserve">Calculateur du coût du </t>
    </r>
    <r>
      <rPr>
        <b/>
        <sz val="11"/>
        <color rgb="FFAE0012"/>
        <rFont val="Arial"/>
        <family val="2"/>
      </rPr>
      <t>vaccin contre le papillomavirus humain</t>
    </r>
    <r>
      <rPr>
        <sz val="11"/>
        <color theme="5"/>
        <rFont val="Arial"/>
        <family val="2"/>
      </rPr>
      <t xml:space="preserve"> </t>
    </r>
    <r>
      <rPr>
        <sz val="11"/>
        <color rgb="FFC00000"/>
        <rFont val="Arial"/>
        <family val="2"/>
      </rPr>
      <t>p</t>
    </r>
    <r>
      <rPr>
        <sz val="11"/>
        <color rgb="FFAE0012"/>
        <rFont val="Arial"/>
        <family val="2"/>
      </rPr>
      <t>our les pays à revenu intermédiaire</t>
    </r>
  </si>
  <si>
    <t>Année de référence (début)</t>
  </si>
  <si>
    <t>Année prévue d’introduction ou de changement</t>
  </si>
  <si>
    <r>
      <rPr>
        <b/>
        <sz val="12"/>
        <color theme="1"/>
        <rFont val="Arial"/>
        <family val="2"/>
      </rPr>
      <t xml:space="preserve">Population cible - Routine
</t>
    </r>
    <r>
      <rPr>
        <sz val="12"/>
        <color theme="1"/>
        <rFont val="Arial"/>
        <family val="2"/>
      </rPr>
      <t>Cohorte d’âge unique (CAU)</t>
    </r>
  </si>
  <si>
    <t>personnes par an</t>
  </si>
  <si>
    <t>Filles âgées de 9 à 14 ans</t>
  </si>
  <si>
    <t>Garçons</t>
  </si>
  <si>
    <t>Filles âgées de 15 ans et plus et femmes</t>
  </si>
  <si>
    <t>Croissance annuelle de la population</t>
  </si>
  <si>
    <t>%, appliqué seulement à la cohorte d’âge unique</t>
  </si>
  <si>
    <t>Filles âgées de
9 à 14 ans</t>
  </si>
  <si>
    <t>Filles de
plus de 15 ans</t>
  </si>
  <si>
    <t>Options d’administration - Routine</t>
  </si>
  <si>
    <r>
      <rPr>
        <sz val="12"/>
        <color theme="1"/>
        <rFont val="Arial"/>
        <family val="2"/>
      </rPr>
      <t xml:space="preserve">La valeur doit être 100 % après addition des % de doses administrées sur chaque </t>
    </r>
    <r>
      <rPr>
        <b/>
        <i/>
        <sz val="12"/>
        <color theme="4"/>
        <rFont val="Arial"/>
        <family val="2"/>
      </rPr>
      <t xml:space="preserve">site </t>
    </r>
    <r>
      <rPr>
        <sz val="12"/>
        <color theme="1"/>
        <rFont val="Arial"/>
        <family val="2"/>
      </rPr>
      <t xml:space="preserve">dans les champs en </t>
    </r>
    <r>
      <rPr>
        <b/>
        <i/>
        <sz val="12"/>
        <color theme="1"/>
        <rFont val="Arial"/>
        <family val="2"/>
      </rPr>
      <t>gras</t>
    </r>
    <r>
      <rPr>
        <sz val="12"/>
        <color theme="1"/>
        <rFont val="Arial"/>
        <family val="2"/>
      </rPr>
      <t xml:space="preserve"> ci-dessous </t>
    </r>
    <r>
      <rPr>
        <b/>
        <sz val="12"/>
        <color theme="1"/>
        <rFont val="Arial"/>
        <family val="2"/>
      </rPr>
      <t>(REMARQUE :</t>
    </r>
    <r>
      <rPr>
        <b/>
        <sz val="12"/>
        <color theme="1"/>
        <rFont val="Arial"/>
        <family val="2"/>
      </rPr>
      <t xml:space="preserve"> </t>
    </r>
    <r>
      <rPr>
        <b/>
        <sz val="12"/>
        <color theme="1"/>
        <rFont val="Arial"/>
        <family val="2"/>
      </rPr>
      <t>les champs concernant la couverture de la dose 2 doivent être remplis en cas d’évaluation d’un vaccin dont l’administration en une seule dose n’a pas encore été approuvée)</t>
    </r>
    <r>
      <rPr>
        <sz val="12"/>
        <color theme="1"/>
        <rFont val="Arial"/>
        <family val="2"/>
      </rPr>
      <t>.</t>
    </r>
  </si>
  <si>
    <r>
      <rPr>
        <b/>
        <i/>
        <sz val="12"/>
        <color theme="1"/>
        <rFont val="Arial"/>
        <family val="2"/>
      </rPr>
      <t>% de doses administrées à l’</t>
    </r>
    <r>
      <rPr>
        <b/>
        <i/>
        <sz val="12"/>
        <color theme="4"/>
        <rFont val="Arial"/>
        <family val="2"/>
      </rPr>
      <t>école</t>
    </r>
    <r>
      <rPr>
        <b/>
        <i/>
        <sz val="12"/>
        <color theme="1"/>
        <rFont val="Arial"/>
        <family val="2"/>
      </rPr>
      <t xml:space="preserve"> - Routine</t>
    </r>
  </si>
  <si>
    <t>% de personnes vaccinées par ce biais</t>
  </si>
  <si>
    <t>Couverture attendue, dose 1, École - Routine</t>
  </si>
  <si>
    <t>couverture annuelle</t>
  </si>
  <si>
    <t>Couverture attendue, dose 2, École - Routine</t>
  </si>
  <si>
    <r>
      <rPr>
        <b/>
        <i/>
        <sz val="12"/>
        <color theme="1"/>
        <rFont val="Arial"/>
        <family val="2"/>
      </rPr>
      <t xml:space="preserve">% de doses administrées </t>
    </r>
    <r>
      <rPr>
        <b/>
        <i/>
        <sz val="12"/>
        <color theme="4"/>
        <rFont val="Arial"/>
        <family val="2"/>
      </rPr>
      <t>sur le terrain</t>
    </r>
    <r>
      <rPr>
        <b/>
        <i/>
        <sz val="12"/>
        <color theme="1"/>
        <rFont val="Arial"/>
        <family val="2"/>
      </rPr>
      <t xml:space="preserve"> - Routine</t>
    </r>
  </si>
  <si>
    <t>Couverture attendue, dose 1, Sur le terrain - Routine</t>
  </si>
  <si>
    <t>Couverture attendue, dose 2, Sur le terrain - Routine</t>
  </si>
  <si>
    <r>
      <rPr>
        <b/>
        <sz val="12"/>
        <color theme="1"/>
        <rFont val="Arial"/>
        <family val="2"/>
      </rPr>
      <t xml:space="preserve">Population cible - Campagne
</t>
    </r>
    <r>
      <rPr>
        <sz val="12"/>
        <color theme="1"/>
        <rFont val="Arial"/>
        <family val="2"/>
      </rPr>
      <t>Cohorte multi-âges (CMA)</t>
    </r>
  </si>
  <si>
    <t xml:space="preserve">personnes </t>
  </si>
  <si>
    <t>Options d’administration - Campagne</t>
  </si>
  <si>
    <r>
      <rPr>
        <b/>
        <i/>
        <sz val="12"/>
        <color theme="1"/>
        <rFont val="Arial"/>
        <family val="2"/>
      </rPr>
      <t>% de doses administrées à l’</t>
    </r>
    <r>
      <rPr>
        <b/>
        <i/>
        <sz val="12"/>
        <color theme="4"/>
        <rFont val="Arial"/>
        <family val="2"/>
      </rPr>
      <t>école</t>
    </r>
    <r>
      <rPr>
        <b/>
        <i/>
        <sz val="12"/>
        <color theme="1"/>
        <rFont val="Arial"/>
        <family val="2"/>
      </rPr>
      <t xml:space="preserve"> - Campagne</t>
    </r>
  </si>
  <si>
    <t>Couverture attendue, dose 1, École - Campagne</t>
  </si>
  <si>
    <t>couverture de la campagne</t>
  </si>
  <si>
    <t>Couverture attendue, dose 2, École - Campagne</t>
  </si>
  <si>
    <r>
      <rPr>
        <b/>
        <i/>
        <sz val="12"/>
        <color theme="1"/>
        <rFont val="Arial"/>
        <family val="2"/>
      </rPr>
      <t>% de doses administrées à l’</t>
    </r>
    <r>
      <rPr>
        <b/>
        <i/>
        <sz val="12"/>
        <color theme="4"/>
        <rFont val="Arial"/>
        <family val="2"/>
      </rPr>
      <t>établissement</t>
    </r>
    <r>
      <rPr>
        <b/>
        <i/>
        <sz val="12"/>
        <color theme="1"/>
        <rFont val="Arial"/>
        <family val="2"/>
      </rPr>
      <t xml:space="preserve"> - Campagne</t>
    </r>
  </si>
  <si>
    <r>
      <rPr>
        <b/>
        <i/>
        <sz val="12"/>
        <color theme="1"/>
        <rFont val="Arial"/>
        <family val="2"/>
      </rPr>
      <t xml:space="preserve">% de doses administrées </t>
    </r>
    <r>
      <rPr>
        <b/>
        <i/>
        <sz val="12"/>
        <color theme="4"/>
        <rFont val="Arial"/>
        <family val="2"/>
      </rPr>
      <t>sur le terrain</t>
    </r>
    <r>
      <rPr>
        <b/>
        <i/>
        <sz val="12"/>
        <color theme="1"/>
        <rFont val="Arial"/>
        <family val="2"/>
      </rPr>
      <t xml:space="preserve"> - Campagne</t>
    </r>
  </si>
  <si>
    <t>Couverture attendue, dose 1, Sur le terrain - Campagne</t>
  </si>
  <si>
    <t>Couverture attendue, dose 2, Sur le terrain - Campagne</t>
  </si>
  <si>
    <t>OPTION ACTUELLE ou PRÉFÉRÉE</t>
  </si>
  <si>
    <t>OPTION 2</t>
  </si>
  <si>
    <t>OPTION 3</t>
  </si>
  <si>
    <t>OPTION 4</t>
  </si>
  <si>
    <t>Vaccin et présentation retenus &gt;&gt;&gt;</t>
  </si>
  <si>
    <t>CECOLIN 
Bivalent, 1 dose/flacon, liquide</t>
  </si>
  <si>
    <t>WALRINVAX 
Bivalent, 1 dose/flacon, liquide</t>
  </si>
  <si>
    <t>GARDASIL4
Quadrivalent, 1 dose/flacon, liquide</t>
  </si>
  <si>
    <t>Option entièrement personnalisable - insérer le nom ici</t>
  </si>
  <si>
    <t>Prix par dose</t>
  </si>
  <si>
    <t>Prix indicatif par dose</t>
  </si>
  <si>
    <t>N/A</t>
  </si>
  <si>
    <t>Nombre de doses prévues</t>
  </si>
  <si>
    <t>Nombre indicatif de doses prévues</t>
  </si>
  <si>
    <r>
      <rPr>
        <b/>
        <sz val="12"/>
        <color theme="1"/>
        <rFont val="Arial"/>
        <family val="2"/>
      </rPr>
      <t>Volume de la chaîne du froid par dose
(en cm</t>
    </r>
    <r>
      <rPr>
        <b/>
        <vertAlign val="superscript"/>
        <sz val="12"/>
        <color theme="1"/>
        <rFont val="Arial"/>
        <family val="2"/>
      </rPr>
      <t>3</t>
    </r>
    <r>
      <rPr>
        <b/>
        <sz val="12"/>
        <color theme="1"/>
        <rFont val="Arial"/>
        <family val="2"/>
      </rPr>
      <t>)</t>
    </r>
  </si>
  <si>
    <t>Taux de perte</t>
  </si>
  <si>
    <t>Taux de perte indicatif</t>
  </si>
  <si>
    <t>Facteur de perte</t>
  </si>
  <si>
    <t>Traitement à l’échelle internationale
(en % du prix du vaccin)</t>
  </si>
  <si>
    <t>Transport international
(en % du prix du vaccin)</t>
  </si>
  <si>
    <t>Taux tampon</t>
  </si>
  <si>
    <t>Prix des réceptacles de sécurité</t>
  </si>
  <si>
    <t>Volume des réceptacles de sécurité</t>
  </si>
  <si>
    <t>Prix des seringues</t>
  </si>
  <si>
    <t>Coûts ponctuels d’introduction ou de changement de vaccin pour les  cohortes CAU et CMA
(montant forfaitaire ou budget pour la première année)</t>
  </si>
  <si>
    <t>École</t>
  </si>
  <si>
    <t>Établissement</t>
  </si>
  <si>
    <t>Sur le terrain</t>
  </si>
  <si>
    <t>IDCC</t>
  </si>
  <si>
    <t>Cliquez sur le symbole + à gauche pour afficher les informations.</t>
  </si>
  <si>
    <t>SCÉNARIO A</t>
  </si>
  <si>
    <t>Proportion d’options de vaccination utilisées dans le programme (%)*</t>
  </si>
  <si>
    <t>SCÉNARIO B</t>
  </si>
  <si>
    <t>SCÉNARIO C</t>
  </si>
  <si>
    <t>*Rappel : chaque scénario doit impliquer une combinaison d’au moins deux produits avec une proportion totale égale à 100 %.</t>
  </si>
  <si>
    <r>
      <rPr>
        <sz val="11"/>
        <color theme="1"/>
        <rFont val="Arial"/>
        <family val="2"/>
      </rPr>
      <t xml:space="preserve">Calculateur du coût du </t>
    </r>
    <r>
      <rPr>
        <b/>
        <sz val="11"/>
        <color rgb="FFAE0012"/>
        <rFont val="Arial"/>
        <family val="2"/>
      </rPr>
      <t>vaccin contre le papillomavirus humain</t>
    </r>
    <r>
      <rPr>
        <sz val="11"/>
        <color theme="5"/>
        <rFont val="Arial"/>
        <family val="2"/>
      </rPr>
      <t xml:space="preserve"> </t>
    </r>
    <r>
      <rPr>
        <sz val="11"/>
        <color rgb="FFAE0012"/>
        <rFont val="Arial"/>
        <family val="2"/>
      </rPr>
      <t>pour les pays à revenu intermédiaire</t>
    </r>
  </si>
  <si>
    <r>
      <rPr>
        <b/>
        <sz val="24"/>
        <color theme="0"/>
        <rFont val="Arial"/>
        <family val="2"/>
      </rPr>
      <t xml:space="preserve">Tableau de bord </t>
    </r>
    <r>
      <rPr>
        <b/>
        <sz val="24"/>
        <color theme="0"/>
        <rFont val="Aptos Narrow"/>
        <family val="2"/>
      </rPr>
      <t>-</t>
    </r>
    <r>
      <rPr>
        <b/>
        <sz val="24"/>
        <color theme="0"/>
        <rFont val="Arial"/>
        <family val="2"/>
      </rPr>
      <t xml:space="preserve"> Analyse principale</t>
    </r>
  </si>
  <si>
    <t xml:space="preserve"> </t>
  </si>
  <si>
    <t>Million de doses nécessaires</t>
  </si>
  <si>
    <t>5 ans</t>
  </si>
  <si>
    <t>Moyenne par an</t>
  </si>
  <si>
    <r>
      <rPr>
        <b/>
        <sz val="12"/>
        <color theme="1"/>
        <rFont val="Arial"/>
        <family val="2"/>
      </rPr>
      <t>Volume de la chaîne du froid*
(en millions de cm</t>
    </r>
    <r>
      <rPr>
        <b/>
        <vertAlign val="superscript"/>
        <sz val="12"/>
        <color theme="1"/>
        <rFont val="Arial"/>
        <family val="2"/>
      </rPr>
      <t>3</t>
    </r>
    <r>
      <rPr>
        <b/>
        <sz val="12"/>
        <color theme="1"/>
        <rFont val="Arial"/>
        <family val="2"/>
      </rPr>
      <t>)</t>
    </r>
  </si>
  <si>
    <t>Coût total du vaccin 
(en millions de dollars US)</t>
  </si>
  <si>
    <t>Coût total du programme de vaccination 
(en millions de dollars US)</t>
  </si>
  <si>
    <t>Les pourcentages indiquent l’augmentation ou la diminution du volume ou du coût de la chaîne du froid par rapport à l’option actuelle ou à l’option préférée.</t>
  </si>
  <si>
    <t>Tableau de bord - Analyse de scénario optionnelle</t>
  </si>
  <si>
    <t xml:space="preserve">Cliquez sur le symbole + à gauche pour afficher les informations. </t>
  </si>
  <si>
    <t>Coût total du vaccin
(en millions de dollars US)</t>
  </si>
  <si>
    <t>Coût total du programme de vaccination
(en millions de dollars US)</t>
  </si>
  <si>
    <r>
      <rPr>
        <sz val="11"/>
        <color theme="1"/>
        <rFont val="Arial"/>
        <family val="2"/>
      </rPr>
      <t xml:space="preserve">Calculateur du coût du </t>
    </r>
    <r>
      <rPr>
        <b/>
        <sz val="11"/>
        <color rgb="FFAE0012"/>
        <rFont val="Arial"/>
        <family val="2"/>
      </rPr>
      <t>vaccin contre le papillomavirus humain</t>
    </r>
    <r>
      <rPr>
        <sz val="11"/>
        <color theme="1"/>
        <rFont val="Arial"/>
        <family val="2"/>
      </rPr>
      <t xml:space="preserve"> </t>
    </r>
    <r>
      <rPr>
        <sz val="11"/>
        <color rgb="FFAE0012"/>
        <rFont val="Arial"/>
        <family val="2"/>
      </rPr>
      <t>pour les pays à revenu intermédiaire</t>
    </r>
  </si>
  <si>
    <t>Résultats - Analyse principale</t>
  </si>
  <si>
    <t>Nombre de doses administrées</t>
  </si>
  <si>
    <t>Total
pour 5 ans</t>
  </si>
  <si>
    <r>
      <rPr>
        <b/>
        <sz val="20"/>
        <color theme="0"/>
        <rFont val="Arial"/>
        <family val="2"/>
      </rPr>
      <t>Nombre de doses nécessaires</t>
    </r>
    <r>
      <rPr>
        <b/>
        <sz val="12"/>
        <color theme="0"/>
        <rFont val="Arial"/>
        <family val="2"/>
      </rPr>
      <t xml:space="preserve">
</t>
    </r>
    <r>
      <rPr>
        <i/>
        <sz val="10"/>
        <color theme="0"/>
        <rFont val="Arial"/>
        <family val="2"/>
      </rPr>
      <t>Doses tampons et doses perdues comprises</t>
    </r>
    <r>
      <rPr>
        <b/>
        <sz val="12"/>
        <color theme="0"/>
        <rFont val="Arial"/>
        <family val="2"/>
      </rPr>
      <t xml:space="preserve"> </t>
    </r>
  </si>
  <si>
    <r>
      <rPr>
        <b/>
        <sz val="20"/>
        <color theme="0"/>
        <rFont val="Arial"/>
        <family val="2"/>
      </rPr>
      <t>Volume requis de la chaîne du froid</t>
    </r>
    <r>
      <rPr>
        <b/>
        <sz val="12"/>
        <color theme="0"/>
        <rFont val="Arial"/>
        <family val="2"/>
      </rPr>
      <t xml:space="preserve">
</t>
    </r>
    <r>
      <rPr>
        <i/>
        <sz val="10"/>
        <color theme="0"/>
        <rFont val="Arial"/>
        <family val="2"/>
      </rPr>
      <t>cm</t>
    </r>
    <r>
      <rPr>
        <i/>
        <vertAlign val="superscript"/>
        <sz val="10"/>
        <color theme="0"/>
        <rFont val="Arial"/>
        <family val="2"/>
      </rPr>
      <t>3</t>
    </r>
  </si>
  <si>
    <r>
      <rPr>
        <b/>
        <sz val="20"/>
        <color theme="0"/>
        <rFont val="Arial"/>
        <family val="2"/>
      </rPr>
      <t>Coût du vaccin</t>
    </r>
    <r>
      <rPr>
        <b/>
        <sz val="12"/>
        <color theme="0"/>
        <rFont val="Arial"/>
        <family val="2"/>
      </rPr>
      <t xml:space="preserve">
</t>
    </r>
    <r>
      <rPr>
        <i/>
        <sz val="10"/>
        <color theme="0"/>
        <rFont val="Arial"/>
        <family val="2"/>
      </rPr>
      <t>Coût d’achat du vaccin et des fournitures</t>
    </r>
  </si>
  <si>
    <r>
      <rPr>
        <b/>
        <sz val="20"/>
        <color theme="0"/>
        <rFont val="Arial"/>
        <family val="2"/>
      </rPr>
      <t xml:space="preserve">Coût du programme de vaccination </t>
    </r>
    <r>
      <rPr>
        <b/>
        <sz val="12"/>
        <color theme="0"/>
        <rFont val="Arial"/>
        <family val="2"/>
      </rPr>
      <t xml:space="preserve">
</t>
    </r>
    <r>
      <rPr>
        <i/>
        <sz val="10"/>
        <color theme="0"/>
        <rFont val="Arial"/>
        <family val="2"/>
      </rPr>
      <t>Coût du vaccin + coût d’administration</t>
    </r>
  </si>
  <si>
    <t>Vaccin et présentation</t>
  </si>
  <si>
    <t>Doses prévues</t>
  </si>
  <si>
    <t>Perte</t>
  </si>
  <si>
    <r>
      <t>Volume de la chaîne du froid (cm</t>
    </r>
    <r>
      <rPr>
        <b/>
        <vertAlign val="superscript"/>
        <sz val="11"/>
        <color theme="1"/>
        <rFont val="Calibri"/>
        <family val="2"/>
        <scheme val="minor"/>
      </rPr>
      <t>3</t>
    </r>
    <r>
      <rPr>
        <b/>
        <sz val="11"/>
        <color theme="1"/>
        <rFont val="Calibri"/>
        <family val="2"/>
        <scheme val="minor"/>
      </rPr>
      <t>) par dose</t>
    </r>
  </si>
  <si>
    <t>Prix indicatif</t>
  </si>
  <si>
    <t>CERVARIX 
Bivalent, 2 doses/flacon, liquide</t>
  </si>
  <si>
    <t>GARDASIL9
 Nonavalent, 1 dose/flacon, liquide</t>
  </si>
  <si>
    <t>2 ou 3</t>
  </si>
  <si>
    <t>Nombre de doses administrées - Routine</t>
  </si>
  <si>
    <t>Nombre de doses administrées - Campagne</t>
  </si>
  <si>
    <t>Nombre de doses nécessaires - Routine</t>
  </si>
  <si>
    <t>Nombre de doses nécessaires - Campagne</t>
  </si>
  <si>
    <t>Nombre de doses administrées - Routine - Par option d’administration</t>
  </si>
  <si>
    <t>Nombre de doses administrées - Campagne - Par option d’administration</t>
  </si>
  <si>
    <t>Version</t>
  </si>
  <si>
    <t xml:space="preserve">Date </t>
  </si>
  <si>
    <t>Comment</t>
  </si>
  <si>
    <t>2.90 $ - 9.50 $</t>
  </si>
  <si>
    <t>10.25 $ - 14.14 $</t>
  </si>
  <si>
    <t>4.50 $ - 26.75 $</t>
  </si>
  <si>
    <t>13.50 $ - 33.25 $</t>
  </si>
  <si>
    <r>
      <t xml:space="preserve">Le </t>
    </r>
    <r>
      <rPr>
        <b/>
        <sz val="14"/>
        <color rgb="FF20242B"/>
        <rFont val="Arial"/>
        <family val="2"/>
      </rPr>
      <t>calculateur du coût du vaccin contre le papillomavirus humain</t>
    </r>
    <r>
      <rPr>
        <sz val="14"/>
        <color rgb="FF20242B"/>
        <rFont val="Arial"/>
        <family val="2"/>
      </rPr>
      <t xml:space="preserve"> pour les pays à revenu intermédiaire est un outil simple d’évaluation et de comparaison des coûts financiers des programmes de vaccination anti-VPH pour chaque vaccin anti-VPH disponible sur le marché mondial. L’objectif de ce modèle est d’aider les responsables politiques, au niveau national, dans les pays à revenu intermédiaire et/ou les pays qui ne sont plus éligibles au soutien de Gavi, l’Alliance du Vaccin, à comparer les produits et à estimer les coûts des programmes de vaccination pour les différents vaccins anti-VPH, en explorant jusqu’à quatre options de produit différentes à la fois. 
L’outil calcule les coûts et le volume de la chaîne du froid sur un an et sur une période totale de cinq ans.  L’estimation du coût comprend le coût du vaccin (achat des vaccins et du matériel nécessaire, expéditions internationales) et les coûts des programmes de vaccination (coût du vaccin plus coût d’administration).  Les estimations de volume de la chaîne du froid sont calculées à partir du nombre total de doses nécessaires et des informations de préqualification de l’Organisation Mondiale de la Santé concernant le volume de la chaîne du froid par dose, qui prennent en compte les doses tampons et les doses perdues, mais pas nécessairement le volume nominal inutilisable ou le volume requis à différents niveaux.</t>
    </r>
  </si>
  <si>
    <r>
      <rPr>
        <b/>
        <i/>
        <u/>
        <sz val="12"/>
        <color theme="1" tint="-0.499984740745262"/>
        <rFont val="Arial"/>
        <family val="2"/>
      </rPr>
      <t>Clause de non-responsabilité :</t>
    </r>
    <r>
      <rPr>
        <b/>
        <i/>
        <sz val="12"/>
        <color theme="1" tint="-0.499984740745262"/>
        <rFont val="Arial"/>
        <family val="2"/>
      </rPr>
      <t xml:space="preserve"> </t>
    </r>
    <r>
      <rPr>
        <i/>
        <sz val="12"/>
        <color theme="1" tint="-0.499984740745262"/>
        <rFont val="Arial"/>
        <family val="2"/>
      </rPr>
      <t xml:space="preserve">Le </t>
    </r>
    <r>
      <rPr>
        <b/>
        <i/>
        <sz val="12"/>
        <color theme="1" tint="-0.499984740745262"/>
        <rFont val="Arial"/>
        <family val="2"/>
      </rPr>
      <t>calculateur du coût du vaccin anti-VPH pour les pays à revenu intermédiaire</t>
    </r>
    <r>
      <rPr>
        <i/>
        <sz val="12"/>
        <color theme="1" tint="-0.499984740745262"/>
        <rFont val="Arial"/>
        <family val="2"/>
      </rPr>
      <t xml:space="preserve"> est un outil visant à éclairer la prise de décisions relative à l’introduction ou au changement de vaccins et le choix des produits. Il est important de noter que les coûts ne constituent qu’une partie de la réflexion et que, pour prendre leur décision concernant l’introduction ou le changement pour un nouveau vaccin ou le choix des produits, les parties prenantes doivent toujours tenir compte d’autres éléments de réflexion. Ce modèle propose un aperçu des coûts </t>
    </r>
    <r>
      <rPr>
        <b/>
        <i/>
        <sz val="12"/>
        <color theme="1" tint="-0.499984740745262"/>
        <rFont val="Arial"/>
        <family val="2"/>
      </rPr>
      <t>potentiels</t>
    </r>
    <r>
      <rPr>
        <i/>
        <sz val="12"/>
        <color theme="1" tint="-0.499984740745262"/>
        <rFont val="Arial"/>
        <family val="2"/>
      </rPr>
      <t xml:space="preserve"> relatifs aux différents produits et ne saurait remplacer une planification budgétaire détaillée une fois le produit sélectionné.</t>
    </r>
  </si>
  <si>
    <t>Données relatives au prix du vaccin contre le papillomavirus humain (VPH) de l’UNICEF</t>
  </si>
  <si>
    <t>Les coûts des programmes de vaccination comprennent le coût du vaccin et le coût d’administration. Le coût d’administration doit comprendre les dépenses supplémentaires nécessaires à l’administration des vaccins, autres que les coûts directs des vaccins et des produits de base. Il s’agit notamment des dépenses telles que les indemnités journalières, les indemnités de déplacement, les équipements de la chaîne du froid, les véhicules, le transport et le carburant, qui peuvent varier en fonction du lieu d’administration. Les coûts déjà engagés par le système de vaccination (coûts partagés) peuvent être exclus. Par exemple, le coût du transport du vaccin anti-VPH ne doit pas être inclus si le vaccin est transporté avec d’autres vaccins. Vous pouvez saisir séparément les coûts d’introduction ou de changement (montant forfaitaire la première année) et/ou un coût par dose administrée (appliqué chaque année).</t>
  </si>
  <si>
    <t>Cette option permet d’analyser le coût des programmes impliquant plusieurs vaccins anti-VPH utilisés simultanément dans le pays en ajustant la proportion pour un certain nombre d’options. Pour les pays qui utilisent ou prévoient d’utiliser plus d’un produit, le calculateur offre la possibilité de définir trois scénarios (A, B et C) avec différentes combinaisons de proportion d’utilisation des vaccins. Chaque scénario doit impliquer une combinaison d’au moins deux produits avec une proportion totale égale à 100 %.</t>
  </si>
  <si>
    <r>
      <t>% de doses administrées à l’</t>
    </r>
    <r>
      <rPr>
        <b/>
        <i/>
        <sz val="12"/>
        <color theme="4"/>
        <rFont val="Arial"/>
        <family val="2"/>
      </rPr>
      <t>établissement de santé</t>
    </r>
    <r>
      <rPr>
        <b/>
        <i/>
        <sz val="12"/>
        <color theme="1"/>
        <rFont val="Arial"/>
        <family val="2"/>
      </rPr>
      <t xml:space="preserve"> - Routine</t>
    </r>
  </si>
  <si>
    <t>Couverture attendue, dose 1, Formation sanitaire - Routine</t>
  </si>
  <si>
    <t>Couverture attendue, dose 2, Formation sanitaire - Routine</t>
  </si>
  <si>
    <t>Couverture attendue, dose 1,  Formation sanitaire - Campagne</t>
  </si>
  <si>
    <t>Couverture attendue, dose 2,  Formation sanitaire - Campagne</t>
  </si>
  <si>
    <t>Options et coût du vaccin anti-VPH</t>
  </si>
  <si>
    <t xml:space="preserve"> Formation sanitaire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</si>
</sst>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8" formatCode="&quot;$&quot;#,##0.00_);[Red]\(&quot;$&quot;#,##0.00\)"/>
    <numFmt numFmtId="44" formatCode="_(&quot;$&quot;* #,##0.00_);_(&quot;$&quot;* \(#,##0.00\);_(&quot;$&quot;* &quot;-&quot;??_);_(@_)"/>
    <numFmt numFmtId="164" formatCode="&quot;$&quot;#,##0.00"/>
    <numFmt numFmtId="165" formatCode="&quot;$&quot;#,##0"/>
    <numFmt numFmtId="166" formatCode="0.0%"/>
    <numFmt numFmtId="167" formatCode="0.0"/>
    <numFmt numFmtId="168" formatCode="#,##0.00&quot; $&quot;_);\(#,##0.00&quot; $&quot;\)"/>
    <numFmt numFmtId="169" formatCode="#,##0.00&quot; $&quot;"/>
    <numFmt numFmtId="170" formatCode="#,##0&quot; $&quot;"/>
  </numFmts>
  <fonts count="99" x14ac:knownFonts="1">
    <font>
      <sz val="11"/>
      <color theme="1"/>
      <name val="Calibri"/>
      <family val="2"/>
      <scheme val="minor"/>
    </font>
    <font>
      <b/>
      <sz val="11"/>
      <color theme="1"/>
      <name val="Calibri"/>
      <family val="2"/>
      <scheme val="minor"/>
    </font>
    <font>
      <sz val="11"/>
      <color theme="1"/>
      <name val="Calibri"/>
      <family val="2"/>
      <scheme val="minor"/>
    </font>
    <font>
      <u/>
      <sz val="11"/>
      <color rgb="FF0000FF"/>
      <name val="Calibri"/>
      <family val="2"/>
      <scheme val="minor"/>
    </font>
    <font>
      <u/>
      <sz val="11"/>
      <color theme="1"/>
      <name val="Calibri"/>
      <family val="2"/>
      <scheme val="minor"/>
    </font>
    <font>
      <b/>
      <sz val="11"/>
      <color rgb="FFFF0000"/>
      <name val="Calibri"/>
      <family val="2"/>
      <scheme val="minor"/>
    </font>
    <font>
      <sz val="12"/>
      <color theme="1"/>
      <name val="Arial"/>
      <family val="2"/>
    </font>
    <font>
      <b/>
      <sz val="12"/>
      <color theme="1"/>
      <name val="Arial"/>
      <family val="2"/>
    </font>
    <font>
      <b/>
      <sz val="14"/>
      <color theme="1"/>
      <name val="Arial"/>
      <family val="2"/>
    </font>
    <font>
      <b/>
      <sz val="14"/>
      <color theme="0"/>
      <name val="Arial"/>
      <family val="2"/>
    </font>
    <font>
      <b/>
      <sz val="18"/>
      <color theme="0"/>
      <name val="Arial"/>
      <family val="2"/>
    </font>
    <font>
      <u/>
      <sz val="12"/>
      <color rgb="FF0000FF"/>
      <name val="Arial"/>
      <family val="2"/>
    </font>
    <font>
      <u/>
      <sz val="12"/>
      <color theme="1"/>
      <name val="Arial"/>
      <family val="2"/>
    </font>
    <font>
      <b/>
      <sz val="12"/>
      <color theme="4"/>
      <name val="Arial"/>
      <family val="2"/>
    </font>
    <font>
      <sz val="12"/>
      <color theme="0"/>
      <name val="Arial"/>
      <family val="2"/>
    </font>
    <font>
      <b/>
      <sz val="22"/>
      <color theme="0"/>
      <name val="Arial"/>
      <family val="2"/>
    </font>
    <font>
      <b/>
      <sz val="12"/>
      <color rgb="FFFF0000"/>
      <name val="Arial"/>
      <family val="2"/>
    </font>
    <font>
      <b/>
      <sz val="12"/>
      <color theme="1" tint="-0.499984740745262"/>
      <name val="Arial"/>
      <family val="2"/>
    </font>
    <font>
      <b/>
      <i/>
      <sz val="12"/>
      <color theme="1" tint="-0.499984740745262"/>
      <name val="Arial"/>
      <family val="2"/>
    </font>
    <font>
      <sz val="12"/>
      <color rgb="FF000000"/>
      <name val="Arial"/>
      <family val="2"/>
    </font>
    <font>
      <sz val="14"/>
      <color rgb="FF000000"/>
      <name val="Arial"/>
      <family val="2"/>
    </font>
    <font>
      <sz val="14"/>
      <color theme="1" tint="-0.499984740745262"/>
      <name val="Arial"/>
      <family val="2"/>
    </font>
    <font>
      <b/>
      <sz val="14"/>
      <color theme="1" tint="-0.499984740745262"/>
      <name val="Arial"/>
      <family val="2"/>
    </font>
    <font>
      <sz val="18"/>
      <color theme="0"/>
      <name val="Arial"/>
      <family val="2"/>
    </font>
    <font>
      <u/>
      <sz val="12"/>
      <color rgb="FF000000"/>
      <name val="Arial"/>
      <family val="2"/>
    </font>
    <font>
      <b/>
      <sz val="11"/>
      <color rgb="FF000000"/>
      <name val="Arial"/>
      <family val="2"/>
    </font>
    <font>
      <b/>
      <sz val="18"/>
      <color rgb="FFAD0012"/>
      <name val="Arial"/>
      <family val="2"/>
    </font>
    <font>
      <b/>
      <sz val="20"/>
      <color rgb="FF000000"/>
      <name val="Arial"/>
      <family val="2"/>
    </font>
    <font>
      <b/>
      <sz val="26"/>
      <color rgb="FF000000"/>
      <name val="Arial"/>
      <family val="2"/>
    </font>
    <font>
      <sz val="11"/>
      <color theme="1"/>
      <name val="Arial"/>
      <family val="2"/>
    </font>
    <font>
      <sz val="16"/>
      <color theme="1"/>
      <name val="Arial"/>
      <family val="2"/>
    </font>
    <font>
      <b/>
      <sz val="16"/>
      <name val="Arial"/>
      <family val="2"/>
    </font>
    <font>
      <b/>
      <sz val="14"/>
      <name val="Arial"/>
      <family val="2"/>
    </font>
    <font>
      <b/>
      <sz val="10"/>
      <color theme="1"/>
      <name val="Arial"/>
      <family val="2"/>
    </font>
    <font>
      <sz val="14"/>
      <color theme="1"/>
      <name val="Arial"/>
      <family val="2"/>
    </font>
    <font>
      <b/>
      <sz val="14"/>
      <color rgb="FFFF0000"/>
      <name val="Arial"/>
      <family val="2"/>
    </font>
    <font>
      <b/>
      <sz val="11"/>
      <color theme="1"/>
      <name val="Arial"/>
      <family val="2"/>
    </font>
    <font>
      <i/>
      <sz val="10"/>
      <color theme="1"/>
      <name val="Arial"/>
      <family val="2"/>
    </font>
    <font>
      <b/>
      <sz val="18"/>
      <color theme="1"/>
      <name val="Arial"/>
      <family val="2"/>
    </font>
    <font>
      <b/>
      <sz val="20"/>
      <color theme="0"/>
      <name val="Arial"/>
      <family val="2"/>
    </font>
    <font>
      <b/>
      <sz val="16"/>
      <color theme="1"/>
      <name val="Arial"/>
      <family val="2"/>
    </font>
    <font>
      <b/>
      <sz val="28"/>
      <color theme="8"/>
      <name val="Arial"/>
      <family val="2"/>
    </font>
    <font>
      <i/>
      <sz val="16"/>
      <color theme="1"/>
      <name val="Arial"/>
      <family val="2"/>
    </font>
    <font>
      <i/>
      <sz val="14"/>
      <color theme="1"/>
      <name val="Arial"/>
      <family val="2"/>
    </font>
    <font>
      <b/>
      <i/>
      <sz val="12"/>
      <color theme="1"/>
      <name val="Arial"/>
      <family val="2"/>
    </font>
    <font>
      <b/>
      <vertAlign val="superscript"/>
      <sz val="12"/>
      <color theme="1"/>
      <name val="Arial"/>
      <family val="2"/>
    </font>
    <font>
      <b/>
      <sz val="10"/>
      <color rgb="FFFF0000"/>
      <name val="Arial"/>
      <family val="2"/>
    </font>
    <font>
      <i/>
      <sz val="10"/>
      <name val="Arial"/>
      <family val="2"/>
    </font>
    <font>
      <sz val="11"/>
      <name val="Arial"/>
      <family val="2"/>
    </font>
    <font>
      <b/>
      <sz val="11"/>
      <name val="Arial"/>
      <family val="2"/>
    </font>
    <font>
      <sz val="16"/>
      <name val="Arial"/>
      <family val="2"/>
    </font>
    <font>
      <b/>
      <sz val="36"/>
      <color theme="0"/>
      <name val="Arial"/>
      <family val="2"/>
    </font>
    <font>
      <b/>
      <sz val="24"/>
      <color theme="0"/>
      <name val="Arial"/>
      <family val="2"/>
    </font>
    <font>
      <sz val="10"/>
      <color theme="1"/>
      <name val="Arial"/>
      <family val="2"/>
    </font>
    <font>
      <b/>
      <sz val="20"/>
      <color theme="1"/>
      <name val="Arial"/>
      <family val="2"/>
    </font>
    <font>
      <i/>
      <sz val="12"/>
      <color theme="1"/>
      <name val="Arial"/>
      <family val="2"/>
    </font>
    <font>
      <b/>
      <sz val="12"/>
      <name val="Arial"/>
      <family val="2"/>
    </font>
    <font>
      <i/>
      <sz val="11"/>
      <name val="Arial"/>
      <family val="2"/>
    </font>
    <font>
      <b/>
      <sz val="10"/>
      <color theme="1" tint="-0.499984740745262"/>
      <name val="Arial"/>
      <family val="2"/>
    </font>
    <font>
      <b/>
      <sz val="10"/>
      <name val="Arial"/>
      <family val="2"/>
    </font>
    <font>
      <sz val="12"/>
      <color theme="9" tint="0.79998168889431442"/>
      <name val="Arial"/>
      <family val="2"/>
    </font>
    <font>
      <b/>
      <sz val="12"/>
      <color theme="9" tint="0.79998168889431442"/>
      <name val="Arial"/>
      <family val="2"/>
    </font>
    <font>
      <b/>
      <u/>
      <sz val="12"/>
      <color theme="1"/>
      <name val="Arial"/>
      <family val="2"/>
    </font>
    <font>
      <b/>
      <sz val="14"/>
      <color theme="9" tint="0.79998168889431442"/>
      <name val="Arial"/>
      <family val="2"/>
    </font>
    <font>
      <b/>
      <sz val="15"/>
      <color theme="9" tint="0.79998168889431442"/>
      <name val="Arial"/>
      <family val="2"/>
    </font>
    <font>
      <b/>
      <sz val="15"/>
      <color theme="1"/>
      <name val="Arial"/>
      <family val="2"/>
    </font>
    <font>
      <b/>
      <sz val="20"/>
      <color theme="9" tint="0.79998168889431442"/>
      <name val="Arial"/>
      <family val="2"/>
    </font>
    <font>
      <b/>
      <sz val="12"/>
      <color theme="0"/>
      <name val="Arial"/>
      <family val="2"/>
    </font>
    <font>
      <i/>
      <sz val="10"/>
      <color theme="0"/>
      <name val="Arial"/>
      <family val="2"/>
    </font>
    <font>
      <sz val="12"/>
      <name val="Arial"/>
      <family val="2"/>
    </font>
    <font>
      <sz val="11"/>
      <color theme="9"/>
      <name val="Arial"/>
      <family val="2"/>
    </font>
    <font>
      <b/>
      <sz val="12"/>
      <color theme="9"/>
      <name val="Arial"/>
      <family val="2"/>
    </font>
    <font>
      <i/>
      <vertAlign val="superscript"/>
      <sz val="10"/>
      <color theme="0"/>
      <name val="Arial"/>
      <family val="2"/>
    </font>
    <font>
      <b/>
      <sz val="14"/>
      <color theme="9"/>
      <name val="Arial"/>
      <family val="2"/>
    </font>
    <font>
      <b/>
      <i/>
      <sz val="12"/>
      <color theme="9"/>
      <name val="Arial"/>
      <family val="2"/>
    </font>
    <font>
      <b/>
      <i/>
      <u/>
      <sz val="12"/>
      <color theme="1" tint="-0.499984740745262"/>
      <name val="Arial"/>
      <family val="2"/>
    </font>
    <font>
      <i/>
      <sz val="12"/>
      <color theme="1" tint="-0.499984740745262"/>
      <name val="Arial"/>
      <family val="2"/>
    </font>
    <font>
      <sz val="11"/>
      <color theme="5"/>
      <name val="Arial"/>
      <family val="2"/>
    </font>
    <font>
      <sz val="11"/>
      <color theme="4" tint="-0.249977111117893"/>
      <name val="Arial"/>
      <family val="2"/>
    </font>
    <font>
      <sz val="8"/>
      <name val="Calibri"/>
      <family val="2"/>
      <scheme val="minor"/>
    </font>
    <font>
      <u/>
      <sz val="11"/>
      <color rgb="FF0000FF"/>
      <name val="Arial"/>
      <family val="2"/>
    </font>
    <font>
      <i/>
      <sz val="11"/>
      <color theme="1"/>
      <name val="Calibri"/>
      <family val="2"/>
      <scheme val="minor"/>
    </font>
    <font>
      <b/>
      <sz val="8"/>
      <color rgb="FFFF0000"/>
      <name val="Arial"/>
      <family val="2"/>
    </font>
    <font>
      <b/>
      <i/>
      <sz val="12"/>
      <color theme="4"/>
      <name val="Arial"/>
      <family val="2"/>
    </font>
    <font>
      <b/>
      <i/>
      <sz val="14"/>
      <color theme="1"/>
      <name val="Arial"/>
      <family val="2"/>
    </font>
    <font>
      <sz val="10"/>
      <name val="Arial"/>
      <family val="2"/>
    </font>
    <font>
      <i/>
      <sz val="16"/>
      <name val="Arial"/>
      <family val="2"/>
    </font>
    <font>
      <b/>
      <sz val="24"/>
      <color theme="0"/>
      <name val="Aptos Narrow"/>
      <family val="2"/>
    </font>
    <font>
      <vertAlign val="superscript"/>
      <sz val="12"/>
      <color theme="1"/>
      <name val="Arial"/>
      <family val="2"/>
    </font>
    <font>
      <b/>
      <sz val="26"/>
      <color rgb="FFC00000"/>
      <name val="Arial"/>
      <family val="2"/>
    </font>
    <font>
      <sz val="11"/>
      <color rgb="FFC00000"/>
      <name val="Arial"/>
      <family val="2"/>
    </font>
    <font>
      <sz val="14"/>
      <color rgb="FF20242B"/>
      <name val="Arial"/>
      <family val="2"/>
    </font>
    <font>
      <b/>
      <sz val="14"/>
      <color rgb="FF20242B"/>
      <name val="Arial"/>
      <family val="2"/>
    </font>
    <font>
      <b/>
      <sz val="32"/>
      <color rgb="FFAE0012"/>
      <name val="Arial"/>
      <family val="2"/>
    </font>
    <font>
      <b/>
      <sz val="18"/>
      <color rgb="FFAE0012"/>
      <name val="Arial"/>
      <family val="2"/>
    </font>
    <font>
      <b/>
      <sz val="11"/>
      <color rgb="FFAE0012"/>
      <name val="Arial"/>
      <family val="2"/>
    </font>
    <font>
      <sz val="11"/>
      <color rgb="FFAE0012"/>
      <name val="Arial"/>
      <family val="2"/>
    </font>
    <font>
      <sz val="26"/>
      <color rgb="FF000000"/>
      <name val="Arial"/>
      <family val="2"/>
    </font>
    <font>
      <b/>
      <vertAlign val="superscript"/>
      <sz val="11"/>
      <color theme="1"/>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rgb="FFE8EBEB"/>
        <bgColor indexed="64"/>
      </patternFill>
    </fill>
    <fill>
      <patternFill patternType="solid">
        <fgColor theme="1"/>
        <bgColor indexed="64"/>
      </patternFill>
    </fill>
    <fill>
      <patternFill patternType="solid">
        <fgColor rgb="FFD7EDEF"/>
        <bgColor indexed="64"/>
      </patternFill>
    </fill>
    <fill>
      <patternFill patternType="solid">
        <fgColor theme="4"/>
        <bgColor indexed="64"/>
      </patternFill>
    </fill>
    <fill>
      <patternFill patternType="solid">
        <fgColor rgb="FF66BAC3"/>
        <bgColor indexed="64"/>
      </patternFill>
    </fill>
    <fill>
      <patternFill patternType="solid">
        <fgColor rgb="FFD2EFDF"/>
        <bgColor indexed="64"/>
      </patternFill>
    </fill>
    <fill>
      <patternFill patternType="solid">
        <fgColor theme="4" tint="-0.249977111117893"/>
        <bgColor indexed="64"/>
      </patternFill>
    </fill>
    <fill>
      <patternFill patternType="solid">
        <fgColor theme="3"/>
        <bgColor indexed="64"/>
      </patternFill>
    </fill>
    <fill>
      <patternFill patternType="solid">
        <fgColor theme="1" tint="0.39997558519241921"/>
        <bgColor indexed="64"/>
      </patternFill>
    </fill>
    <fill>
      <patternFill patternType="solid">
        <fgColor theme="9" tint="0.39997558519241921"/>
        <bgColor indexed="64"/>
      </patternFill>
    </fill>
    <fill>
      <patternFill patternType="solid">
        <fgColor rgb="FFD4EAEC"/>
        <bgColor indexed="64"/>
      </patternFill>
    </fill>
    <fill>
      <patternFill patternType="solid">
        <fgColor rgb="FFD2F0DF"/>
        <bgColor indexed="64"/>
      </patternFill>
    </fill>
    <fill>
      <patternFill patternType="solid">
        <fgColor rgb="FFAE0012"/>
        <bgColor indexed="64"/>
      </patternFill>
    </fill>
    <fill>
      <patternFill patternType="solid">
        <fgColor theme="8"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right>
      <top style="thin">
        <color indexed="64"/>
      </top>
      <bottom style="thin">
        <color indexed="64"/>
      </bottom>
      <diagonal/>
    </border>
    <border>
      <left style="thin">
        <color theme="1"/>
      </left>
      <right style="thin">
        <color theme="0"/>
      </right>
      <top style="thin">
        <color theme="1"/>
      </top>
      <bottom/>
      <diagonal/>
    </border>
    <border>
      <left/>
      <right style="thin">
        <color theme="0"/>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right/>
      <top style="thin">
        <color theme="1"/>
      </top>
      <bottom style="thin">
        <color theme="1"/>
      </bottom>
      <diagonal/>
    </border>
    <border>
      <left style="thin">
        <color indexed="64"/>
      </left>
      <right style="thin">
        <color theme="0"/>
      </right>
      <top style="thin">
        <color indexed="64"/>
      </top>
      <bottom style="thin">
        <color indexed="64"/>
      </bottom>
      <diagonal/>
    </border>
    <border>
      <left style="thin">
        <color indexed="64"/>
      </left>
      <right style="thin">
        <color theme="0"/>
      </right>
      <top/>
      <bottom style="thin">
        <color indexed="64"/>
      </bottom>
      <diagonal/>
    </border>
    <border>
      <left style="thin">
        <color theme="1"/>
      </left>
      <right/>
      <top style="thin">
        <color indexed="64"/>
      </top>
      <bottom style="thin">
        <color indexed="64"/>
      </bottom>
      <diagonal/>
    </border>
    <border>
      <left style="thin">
        <color indexed="64"/>
      </left>
      <right style="thin">
        <color theme="0"/>
      </right>
      <top style="thin">
        <color indexed="64"/>
      </top>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cellStyleXfs>
  <cellXfs count="508">
    <xf numFmtId="0" fontId="0" fillId="0" borderId="0" xfId="0"/>
    <xf numFmtId="0" fontId="0" fillId="0" borderId="0" xfId="0" applyAlignment="1">
      <alignment horizontal="center" vertical="center"/>
    </xf>
    <xf numFmtId="9" fontId="0" fillId="0" borderId="0" xfId="0" applyNumberFormat="1" applyAlignment="1">
      <alignment horizontal="center" vertical="center"/>
    </xf>
    <xf numFmtId="0" fontId="1" fillId="0" borderId="0" xfId="0" applyFont="1" applyAlignment="1">
      <alignment horizontal="center" vertical="center"/>
    </xf>
    <xf numFmtId="37" fontId="0" fillId="0" borderId="0" xfId="1" applyNumberFormat="1" applyFont="1" applyAlignment="1">
      <alignment horizontal="center" vertical="center"/>
    </xf>
    <xf numFmtId="0" fontId="4" fillId="2" borderId="0" xfId="0" applyFont="1" applyFill="1" applyAlignment="1">
      <alignment vertical="center" wrapText="1"/>
    </xf>
    <xf numFmtId="0" fontId="1" fillId="0" borderId="0" xfId="0" applyFont="1" applyAlignment="1">
      <alignment horizontal="center"/>
    </xf>
    <xf numFmtId="0" fontId="0" fillId="0" borderId="0" xfId="0" applyAlignment="1">
      <alignment horizontal="left" vertical="center" wrapText="1"/>
    </xf>
    <xf numFmtId="0" fontId="5" fillId="0" borderId="0" xfId="0" applyFont="1"/>
    <xf numFmtId="0" fontId="6" fillId="2" borderId="0" xfId="0" applyFont="1" applyFill="1"/>
    <xf numFmtId="0" fontId="6" fillId="4" borderId="0" xfId="0" applyFont="1" applyFill="1"/>
    <xf numFmtId="0" fontId="6" fillId="2" borderId="0" xfId="0" applyFont="1" applyFill="1" applyAlignment="1">
      <alignment horizontal="left" wrapText="1"/>
    </xf>
    <xf numFmtId="0" fontId="8" fillId="2" borderId="0" xfId="0" applyFont="1" applyFill="1" applyAlignment="1">
      <alignment horizontal="center"/>
    </xf>
    <xf numFmtId="0" fontId="8" fillId="6" borderId="0" xfId="0" applyFont="1" applyFill="1" applyAlignment="1">
      <alignment horizontal="center"/>
    </xf>
    <xf numFmtId="0" fontId="6" fillId="6" borderId="0" xfId="0" applyFont="1" applyFill="1"/>
    <xf numFmtId="0" fontId="6" fillId="2" borderId="0" xfId="0" applyFont="1" applyFill="1" applyAlignment="1">
      <alignment horizontal="center" vertical="center" wrapText="1"/>
    </xf>
    <xf numFmtId="0" fontId="9" fillId="7" borderId="0" xfId="0" applyFont="1" applyFill="1" applyAlignment="1">
      <alignment horizontal="center"/>
    </xf>
    <xf numFmtId="0" fontId="6" fillId="7" borderId="0" xfId="0" applyFont="1" applyFill="1"/>
    <xf numFmtId="0" fontId="10" fillId="9" borderId="0" xfId="0" applyFont="1" applyFill="1" applyAlignment="1">
      <alignment horizontal="center"/>
    </xf>
    <xf numFmtId="0" fontId="6" fillId="9" borderId="0" xfId="0" applyFont="1" applyFill="1"/>
    <xf numFmtId="0" fontId="6" fillId="10" borderId="0" xfId="0" applyFont="1" applyFill="1"/>
    <xf numFmtId="0" fontId="11" fillId="2" borderId="0" xfId="3" applyFont="1" applyFill="1" applyBorder="1" applyAlignment="1">
      <alignment horizontal="left" vertical="center"/>
    </xf>
    <xf numFmtId="0" fontId="12" fillId="2" borderId="0" xfId="0" applyFont="1" applyFill="1" applyAlignment="1">
      <alignment horizontal="center" vertical="center"/>
    </xf>
    <xf numFmtId="0" fontId="6" fillId="2" borderId="0" xfId="0" applyFont="1" applyFill="1" applyAlignment="1">
      <alignment horizontal="left" vertical="center" wrapText="1"/>
    </xf>
    <xf numFmtId="0" fontId="11" fillId="2" borderId="0" xfId="3" applyFont="1" applyFill="1" applyBorder="1" applyAlignment="1">
      <alignment horizontal="left" vertical="center" wrapText="1"/>
    </xf>
    <xf numFmtId="0" fontId="12" fillId="2" borderId="0" xfId="0" applyFont="1" applyFill="1" applyAlignment="1">
      <alignment horizontal="center" vertical="center" wrapText="1"/>
    </xf>
    <xf numFmtId="0" fontId="6" fillId="2" borderId="1" xfId="0" applyFont="1" applyFill="1" applyBorder="1" applyAlignment="1">
      <alignment vertical="center" wrapText="1"/>
    </xf>
    <xf numFmtId="0" fontId="6" fillId="10" borderId="0" xfId="0" applyFont="1" applyFill="1" applyAlignment="1">
      <alignment vertical="center" wrapText="1"/>
    </xf>
    <xf numFmtId="0" fontId="6" fillId="13" borderId="1" xfId="0" applyFont="1" applyFill="1" applyBorder="1" applyAlignment="1">
      <alignment vertical="center" wrapText="1"/>
    </xf>
    <xf numFmtId="0" fontId="6" fillId="5" borderId="1" xfId="0" applyFont="1" applyFill="1" applyBorder="1" applyAlignment="1">
      <alignment vertical="center" wrapText="1"/>
    </xf>
    <xf numFmtId="0" fontId="6" fillId="14" borderId="0" xfId="0" applyFont="1" applyFill="1"/>
    <xf numFmtId="0" fontId="14" fillId="15" borderId="0" xfId="0" applyFont="1" applyFill="1"/>
    <xf numFmtId="0" fontId="6" fillId="15" borderId="0" xfId="0" applyFont="1" applyFill="1"/>
    <xf numFmtId="0" fontId="16" fillId="4" borderId="0" xfId="0" applyFont="1" applyFill="1" applyAlignment="1">
      <alignment horizontal="left" vertical="center" wrapText="1"/>
    </xf>
    <xf numFmtId="0" fontId="19" fillId="4" borderId="0" xfId="0" applyFont="1" applyFill="1" applyAlignment="1">
      <alignment vertical="center" wrapText="1"/>
    </xf>
    <xf numFmtId="0" fontId="20" fillId="2" borderId="0" xfId="0" applyFont="1" applyFill="1" applyAlignment="1">
      <alignment horizontal="left" vertical="center" wrapText="1"/>
    </xf>
    <xf numFmtId="0" fontId="23" fillId="15" borderId="0" xfId="0" applyFont="1" applyFill="1" applyAlignment="1">
      <alignment vertical="center"/>
    </xf>
    <xf numFmtId="0" fontId="19" fillId="4" borderId="0" xfId="0" applyFont="1" applyFill="1" applyAlignment="1">
      <alignment vertical="center"/>
    </xf>
    <xf numFmtId="0" fontId="26" fillId="2" borderId="0" xfId="0" applyFont="1" applyFill="1" applyAlignment="1">
      <alignment vertical="center" wrapText="1"/>
    </xf>
    <xf numFmtId="0" fontId="27" fillId="2" borderId="0" xfId="0" applyFont="1" applyFill="1" applyAlignment="1">
      <alignment horizontal="center" vertical="center" wrapText="1"/>
    </xf>
    <xf numFmtId="0" fontId="28" fillId="2" borderId="0" xfId="0" applyFont="1" applyFill="1" applyAlignment="1">
      <alignment vertical="center" wrapText="1"/>
    </xf>
    <xf numFmtId="0" fontId="29" fillId="2" borderId="0" xfId="0" applyFont="1" applyFill="1" applyAlignment="1" applyProtection="1">
      <alignment horizontal="center" vertical="center"/>
      <protection hidden="1"/>
    </xf>
    <xf numFmtId="9" fontId="30" fillId="2" borderId="0" xfId="0" applyNumberFormat="1" applyFont="1" applyFill="1" applyAlignment="1" applyProtection="1">
      <alignment horizontal="center" vertical="center"/>
      <protection hidden="1"/>
    </xf>
    <xf numFmtId="0" fontId="30" fillId="2" borderId="0" xfId="0" applyFont="1" applyFill="1" applyAlignment="1" applyProtection="1">
      <alignment horizontal="center" vertical="center"/>
      <protection hidden="1"/>
    </xf>
    <xf numFmtId="9" fontId="30" fillId="2" borderId="0" xfId="2" applyFont="1" applyFill="1" applyBorder="1" applyAlignment="1" applyProtection="1">
      <alignment horizontal="center" vertical="center"/>
      <protection hidden="1"/>
    </xf>
    <xf numFmtId="0" fontId="31" fillId="2" borderId="0" xfId="0" applyFont="1" applyFill="1" applyAlignment="1" applyProtection="1">
      <alignment horizontal="center" vertical="center" wrapText="1"/>
      <protection hidden="1"/>
    </xf>
    <xf numFmtId="0" fontId="29" fillId="10" borderId="0" xfId="0" applyFont="1" applyFill="1" applyAlignment="1" applyProtection="1">
      <alignment horizontal="center" vertical="center"/>
      <protection hidden="1"/>
    </xf>
    <xf numFmtId="0" fontId="32" fillId="10" borderId="0" xfId="0" applyFont="1" applyFill="1" applyAlignment="1" applyProtection="1">
      <alignment horizontal="left" vertical="center" wrapText="1"/>
      <protection hidden="1"/>
    </xf>
    <xf numFmtId="9" fontId="34" fillId="5" borderId="1" xfId="0" applyNumberFormat="1" applyFont="1" applyFill="1" applyBorder="1" applyAlignment="1" applyProtection="1">
      <alignment horizontal="center" vertical="center"/>
      <protection locked="0"/>
    </xf>
    <xf numFmtId="0" fontId="34" fillId="10" borderId="0" xfId="0" applyFont="1" applyFill="1" applyAlignment="1" applyProtection="1">
      <alignment horizontal="center" vertical="center"/>
      <protection hidden="1"/>
    </xf>
    <xf numFmtId="9" fontId="30" fillId="10" borderId="0" xfId="0" applyNumberFormat="1" applyFont="1" applyFill="1" applyAlignment="1" applyProtection="1">
      <alignment horizontal="center" vertical="center"/>
      <protection hidden="1"/>
    </xf>
    <xf numFmtId="0" fontId="30" fillId="10" borderId="0" xfId="0" applyFont="1" applyFill="1" applyAlignment="1" applyProtection="1">
      <alignment horizontal="center" vertical="center"/>
      <protection hidden="1"/>
    </xf>
    <xf numFmtId="9" fontId="30" fillId="10" borderId="0" xfId="2" applyFont="1" applyFill="1" applyBorder="1" applyAlignment="1" applyProtection="1">
      <alignment horizontal="center" vertical="center"/>
      <protection hidden="1"/>
    </xf>
    <xf numFmtId="0" fontId="31" fillId="10" borderId="0" xfId="0" applyFont="1" applyFill="1" applyAlignment="1" applyProtection="1">
      <alignment horizontal="center" vertical="center" wrapText="1"/>
      <protection hidden="1"/>
    </xf>
    <xf numFmtId="0" fontId="35" fillId="10" borderId="0" xfId="0" applyFont="1" applyFill="1" applyAlignment="1" applyProtection="1">
      <alignment horizontal="center" vertical="center"/>
      <protection hidden="1"/>
    </xf>
    <xf numFmtId="164" fontId="29" fillId="2" borderId="0" xfId="0" applyNumberFormat="1" applyFont="1" applyFill="1" applyAlignment="1" applyProtection="1">
      <alignment horizontal="center" vertical="center"/>
      <protection hidden="1"/>
    </xf>
    <xf numFmtId="164" fontId="29" fillId="10" borderId="0" xfId="0" applyNumberFormat="1" applyFont="1" applyFill="1" applyAlignment="1" applyProtection="1">
      <alignment horizontal="center" vertical="center"/>
      <protection hidden="1"/>
    </xf>
    <xf numFmtId="0" fontId="36" fillId="10" borderId="0" xfId="0" applyFont="1" applyFill="1" applyAlignment="1" applyProtection="1">
      <alignment horizontal="center" vertical="center"/>
      <protection hidden="1"/>
    </xf>
    <xf numFmtId="0" fontId="37" fillId="10" borderId="0" xfId="0" applyFont="1" applyFill="1" applyAlignment="1" applyProtection="1">
      <alignment horizontal="center" vertical="center" wrapText="1"/>
      <protection hidden="1"/>
    </xf>
    <xf numFmtId="164" fontId="16" fillId="2" borderId="0" xfId="0" applyNumberFormat="1" applyFont="1" applyFill="1" applyAlignment="1" applyProtection="1">
      <alignment vertical="center" wrapText="1"/>
      <protection hidden="1"/>
    </xf>
    <xf numFmtId="164" fontId="16" fillId="10" borderId="2" xfId="0" applyNumberFormat="1" applyFont="1" applyFill="1" applyBorder="1" applyAlignment="1" applyProtection="1">
      <alignment vertical="center" wrapText="1"/>
      <protection hidden="1"/>
    </xf>
    <xf numFmtId="0" fontId="38" fillId="10" borderId="2" xfId="0" applyFont="1" applyFill="1" applyBorder="1" applyAlignment="1" applyProtection="1">
      <alignment horizontal="left"/>
      <protection hidden="1"/>
    </xf>
    <xf numFmtId="0" fontId="29" fillId="10" borderId="2" xfId="0" applyFont="1" applyFill="1" applyBorder="1" applyAlignment="1" applyProtection="1">
      <alignment horizontal="center" vertical="center"/>
      <protection hidden="1"/>
    </xf>
    <xf numFmtId="164" fontId="16" fillId="10" borderId="0" xfId="0" applyNumberFormat="1" applyFont="1" applyFill="1" applyAlignment="1" applyProtection="1">
      <alignment vertical="center" wrapText="1"/>
      <protection hidden="1"/>
    </xf>
    <xf numFmtId="0" fontId="39" fillId="11" borderId="0" xfId="0" applyFont="1" applyFill="1" applyAlignment="1" applyProtection="1">
      <alignment horizontal="center" vertical="center"/>
      <protection hidden="1"/>
    </xf>
    <xf numFmtId="0" fontId="29" fillId="11" borderId="0" xfId="0" applyFont="1" applyFill="1" applyAlignment="1" applyProtection="1">
      <alignment horizontal="center" vertical="center"/>
      <protection hidden="1"/>
    </xf>
    <xf numFmtId="164" fontId="6" fillId="2" borderId="0" xfId="0" applyNumberFormat="1" applyFont="1" applyFill="1" applyAlignment="1" applyProtection="1">
      <alignment horizontal="center" vertical="center"/>
      <protection hidden="1"/>
    </xf>
    <xf numFmtId="164" fontId="6" fillId="10" borderId="0" xfId="0" applyNumberFormat="1" applyFont="1" applyFill="1" applyAlignment="1" applyProtection="1">
      <alignment horizontal="center" vertical="center"/>
      <protection hidden="1"/>
    </xf>
    <xf numFmtId="164" fontId="30" fillId="10" borderId="0" xfId="0" applyNumberFormat="1" applyFont="1" applyFill="1" applyAlignment="1" applyProtection="1">
      <alignment horizontal="center" vertical="center"/>
      <protection locked="0"/>
    </xf>
    <xf numFmtId="164" fontId="8" fillId="10" borderId="0" xfId="0" applyNumberFormat="1" applyFont="1" applyFill="1" applyAlignment="1" applyProtection="1">
      <alignment horizontal="center" vertical="center"/>
      <protection hidden="1"/>
    </xf>
    <xf numFmtId="165" fontId="6" fillId="2" borderId="0" xfId="0" applyNumberFormat="1" applyFont="1" applyFill="1" applyAlignment="1" applyProtection="1">
      <alignment horizontal="center" vertical="center" wrapText="1"/>
      <protection hidden="1"/>
    </xf>
    <xf numFmtId="165" fontId="6" fillId="10" borderId="0" xfId="0" applyNumberFormat="1" applyFont="1" applyFill="1" applyAlignment="1" applyProtection="1">
      <alignment horizontal="center" vertical="center" wrapText="1"/>
      <protection hidden="1"/>
    </xf>
    <xf numFmtId="165" fontId="30" fillId="10" borderId="0" xfId="0" applyNumberFormat="1" applyFont="1" applyFill="1" applyAlignment="1" applyProtection="1">
      <alignment horizontal="center" vertical="center" wrapText="1"/>
      <protection locked="0"/>
    </xf>
    <xf numFmtId="165" fontId="8" fillId="10" borderId="0" xfId="0" applyNumberFormat="1"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8" fillId="10" borderId="0" xfId="0" applyFont="1" applyFill="1" applyAlignment="1" applyProtection="1">
      <alignment horizontal="center" vertical="center"/>
      <protection hidden="1"/>
    </xf>
    <xf numFmtId="0" fontId="40" fillId="10" borderId="0" xfId="0" applyFont="1" applyFill="1" applyAlignment="1" applyProtection="1">
      <alignment vertical="center"/>
      <protection hidden="1"/>
    </xf>
    <xf numFmtId="0" fontId="41" fillId="10" borderId="0" xfId="0" applyFont="1" applyFill="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1" fontId="6" fillId="2" borderId="0" xfId="2" applyNumberFormat="1" applyFont="1" applyFill="1" applyBorder="1" applyAlignment="1" applyProtection="1">
      <alignment horizontal="center" vertical="center"/>
      <protection hidden="1"/>
    </xf>
    <xf numFmtId="1" fontId="6" fillId="10" borderId="0" xfId="2" applyNumberFormat="1" applyFont="1" applyFill="1" applyBorder="1" applyAlignment="1" applyProtection="1">
      <alignment horizontal="center" vertical="center"/>
      <protection hidden="1"/>
    </xf>
    <xf numFmtId="1" fontId="30" fillId="10" borderId="12" xfId="2" applyNumberFormat="1" applyFont="1" applyFill="1" applyBorder="1" applyAlignment="1" applyProtection="1">
      <alignment horizontal="center" vertical="center"/>
      <protection locked="0"/>
    </xf>
    <xf numFmtId="1" fontId="8" fillId="13" borderId="1" xfId="2" applyNumberFormat="1" applyFont="1" applyFill="1" applyBorder="1" applyAlignment="1" applyProtection="1">
      <alignment horizontal="center" vertical="center"/>
      <protection locked="0"/>
    </xf>
    <xf numFmtId="1" fontId="8" fillId="10" borderId="7" xfId="2" applyNumberFormat="1" applyFont="1" applyFill="1" applyBorder="1" applyAlignment="1" applyProtection="1">
      <alignment horizontal="center" vertical="center"/>
      <protection hidden="1"/>
    </xf>
    <xf numFmtId="164" fontId="6" fillId="2" borderId="0" xfId="2" applyNumberFormat="1" applyFont="1" applyFill="1" applyBorder="1" applyAlignment="1" applyProtection="1">
      <alignment horizontal="center" vertical="center"/>
      <protection hidden="1"/>
    </xf>
    <xf numFmtId="164" fontId="6" fillId="10" borderId="0" xfId="2" applyNumberFormat="1" applyFont="1" applyFill="1" applyBorder="1" applyAlignment="1" applyProtection="1">
      <alignment horizontal="center" vertical="center"/>
      <protection hidden="1"/>
    </xf>
    <xf numFmtId="164" fontId="30" fillId="10" borderId="12" xfId="2" applyNumberFormat="1" applyFont="1" applyFill="1" applyBorder="1" applyAlignment="1" applyProtection="1">
      <alignment horizontal="center" vertical="center"/>
      <protection locked="0"/>
    </xf>
    <xf numFmtId="164" fontId="8" fillId="10" borderId="7" xfId="2" applyNumberFormat="1" applyFont="1" applyFill="1" applyBorder="1" applyAlignment="1" applyProtection="1">
      <alignment horizontal="center" vertical="center"/>
      <protection hidden="1"/>
    </xf>
    <xf numFmtId="9" fontId="6" fillId="2" borderId="0" xfId="2" applyFont="1" applyFill="1" applyBorder="1" applyAlignment="1" applyProtection="1">
      <alignment horizontal="center" vertical="center"/>
      <protection hidden="1"/>
    </xf>
    <xf numFmtId="9" fontId="6" fillId="10" borderId="0" xfId="2" applyFont="1" applyFill="1" applyBorder="1" applyAlignment="1" applyProtection="1">
      <alignment horizontal="center" vertical="center"/>
      <protection hidden="1"/>
    </xf>
    <xf numFmtId="9" fontId="30" fillId="10" borderId="12" xfId="2" applyFont="1" applyFill="1" applyBorder="1" applyAlignment="1" applyProtection="1">
      <alignment horizontal="center" vertical="center"/>
      <protection locked="0"/>
    </xf>
    <xf numFmtId="9" fontId="8" fillId="13" borderId="1" xfId="2" applyFont="1" applyFill="1" applyBorder="1" applyAlignment="1" applyProtection="1">
      <alignment horizontal="center" vertical="center"/>
      <protection locked="0"/>
    </xf>
    <xf numFmtId="9" fontId="8" fillId="10" borderId="7" xfId="2" applyFont="1" applyFill="1" applyBorder="1" applyAlignment="1" applyProtection="1">
      <alignment horizontal="center" vertical="center"/>
      <protection hidden="1"/>
    </xf>
    <xf numFmtId="166" fontId="6" fillId="2" borderId="0" xfId="2" applyNumberFormat="1" applyFont="1" applyFill="1" applyBorder="1" applyAlignment="1" applyProtection="1">
      <alignment horizontal="center" vertical="center"/>
      <protection hidden="1"/>
    </xf>
    <xf numFmtId="166" fontId="6" fillId="10" borderId="0" xfId="2" applyNumberFormat="1" applyFont="1" applyFill="1" applyBorder="1" applyAlignment="1" applyProtection="1">
      <alignment horizontal="center" vertical="center"/>
      <protection hidden="1"/>
    </xf>
    <xf numFmtId="166" fontId="30" fillId="10" borderId="12" xfId="2" applyNumberFormat="1" applyFont="1" applyFill="1" applyBorder="1" applyAlignment="1" applyProtection="1">
      <alignment horizontal="center" vertical="center"/>
      <protection locked="0"/>
    </xf>
    <xf numFmtId="166" fontId="8" fillId="13" borderId="1" xfId="2" applyNumberFormat="1" applyFont="1" applyFill="1" applyBorder="1" applyAlignment="1" applyProtection="1">
      <alignment horizontal="center" vertical="center"/>
      <protection locked="0"/>
    </xf>
    <xf numFmtId="166" fontId="8" fillId="10" borderId="7" xfId="2" applyNumberFormat="1" applyFont="1" applyFill="1" applyBorder="1" applyAlignment="1" applyProtection="1">
      <alignment horizontal="center" vertical="center"/>
      <protection hidden="1"/>
    </xf>
    <xf numFmtId="0" fontId="8" fillId="2" borderId="0" xfId="0" applyFont="1" applyFill="1" applyAlignment="1" applyProtection="1">
      <alignment vertical="center"/>
      <protection hidden="1"/>
    </xf>
    <xf numFmtId="0" fontId="8" fillId="10" borderId="0" xfId="0" applyFont="1" applyFill="1" applyAlignment="1" applyProtection="1">
      <alignment vertical="center"/>
      <protection hidden="1"/>
    </xf>
    <xf numFmtId="2" fontId="30" fillId="10" borderId="0" xfId="0" applyNumberFormat="1" applyFont="1" applyFill="1" applyAlignment="1" applyProtection="1">
      <alignment horizontal="center" vertical="center"/>
      <protection hidden="1"/>
    </xf>
    <xf numFmtId="2" fontId="34" fillId="2" borderId="1" xfId="0" applyNumberFormat="1" applyFont="1" applyFill="1" applyBorder="1" applyAlignment="1" applyProtection="1">
      <alignment horizontal="center" vertical="center"/>
      <protection hidden="1"/>
    </xf>
    <xf numFmtId="2" fontId="34" fillId="10" borderId="0" xfId="0" applyNumberFormat="1" applyFont="1" applyFill="1" applyAlignment="1" applyProtection="1">
      <alignment horizontal="center" vertical="center"/>
      <protection hidden="1"/>
    </xf>
    <xf numFmtId="0" fontId="29" fillId="0" borderId="0" xfId="0" applyFont="1" applyAlignment="1" applyProtection="1">
      <alignment horizontal="center" vertical="center"/>
      <protection hidden="1"/>
    </xf>
    <xf numFmtId="9" fontId="42" fillId="10" borderId="12" xfId="2" applyFont="1" applyFill="1" applyBorder="1" applyAlignment="1" applyProtection="1">
      <alignment horizontal="center" vertical="center"/>
      <protection hidden="1"/>
    </xf>
    <xf numFmtId="9" fontId="43" fillId="0" borderId="8" xfId="2" applyFont="1" applyFill="1" applyBorder="1" applyAlignment="1" applyProtection="1">
      <alignment horizontal="center" vertical="center"/>
      <protection hidden="1"/>
    </xf>
    <xf numFmtId="9" fontId="43" fillId="10" borderId="7" xfId="2" applyFont="1" applyFill="1" applyBorder="1" applyAlignment="1" applyProtection="1">
      <alignment horizontal="center" vertical="center"/>
      <protection hidden="1"/>
    </xf>
    <xf numFmtId="0" fontId="44" fillId="2" borderId="8" xfId="0" applyFont="1" applyFill="1" applyBorder="1" applyAlignment="1" applyProtection="1">
      <alignment horizontal="center" vertical="center" wrapText="1"/>
      <protection hidden="1"/>
    </xf>
    <xf numFmtId="9" fontId="8" fillId="13" borderId="6" xfId="2" applyFont="1" applyFill="1" applyBorder="1" applyAlignment="1" applyProtection="1">
      <alignment horizontal="center" vertical="center"/>
      <protection locked="0"/>
    </xf>
    <xf numFmtId="2" fontId="6" fillId="2" borderId="0" xfId="2" applyNumberFormat="1" applyFont="1" applyFill="1" applyBorder="1" applyAlignment="1" applyProtection="1">
      <alignment horizontal="center" vertical="center"/>
      <protection hidden="1"/>
    </xf>
    <xf numFmtId="2" fontId="6" fillId="10" borderId="0" xfId="2" applyNumberFormat="1" applyFont="1" applyFill="1" applyBorder="1" applyAlignment="1" applyProtection="1">
      <alignment horizontal="center" vertical="center"/>
      <protection hidden="1"/>
    </xf>
    <xf numFmtId="2" fontId="30" fillId="10" borderId="12" xfId="2" applyNumberFormat="1" applyFont="1" applyFill="1" applyBorder="1" applyAlignment="1" applyProtection="1">
      <alignment horizontal="center" vertical="center"/>
      <protection locked="0"/>
    </xf>
    <xf numFmtId="2" fontId="34" fillId="10" borderId="7" xfId="2" applyNumberFormat="1" applyFont="1" applyFill="1" applyBorder="1" applyAlignment="1" applyProtection="1">
      <alignment horizontal="center" vertical="center"/>
      <protection hidden="1"/>
    </xf>
    <xf numFmtId="1" fontId="34" fillId="10" borderId="7" xfId="2" applyNumberFormat="1" applyFont="1" applyFill="1" applyBorder="1" applyAlignment="1" applyProtection="1">
      <alignment horizontal="center" vertical="center"/>
      <protection hidden="1"/>
    </xf>
    <xf numFmtId="0" fontId="16" fillId="2" borderId="0" xfId="0" applyFont="1" applyFill="1" applyAlignment="1" applyProtection="1">
      <alignment vertical="center" wrapText="1"/>
      <protection hidden="1"/>
    </xf>
    <xf numFmtId="0" fontId="16" fillId="10" borderId="0" xfId="0" applyFont="1" applyFill="1" applyAlignment="1" applyProtection="1">
      <alignment vertical="center" wrapText="1"/>
      <protection hidden="1"/>
    </xf>
    <xf numFmtId="7" fontId="30" fillId="10" borderId="0" xfId="1" applyNumberFormat="1" applyFont="1" applyFill="1" applyBorder="1" applyAlignment="1" applyProtection="1">
      <alignment horizontal="center" vertical="center"/>
      <protection locked="0"/>
    </xf>
    <xf numFmtId="0" fontId="6" fillId="2" borderId="0" xfId="0" applyFont="1" applyFill="1" applyAlignment="1" applyProtection="1">
      <alignment vertical="center" wrapText="1"/>
      <protection hidden="1"/>
    </xf>
    <xf numFmtId="0" fontId="6" fillId="10" borderId="0" xfId="0" applyFont="1" applyFill="1" applyAlignment="1" applyProtection="1">
      <alignment vertical="center" wrapText="1"/>
      <protection hidden="1"/>
    </xf>
    <xf numFmtId="0" fontId="46" fillId="10" borderId="0" xfId="0" applyFont="1" applyFill="1" applyAlignment="1" applyProtection="1">
      <alignment horizontal="center" vertical="center" wrapText="1"/>
      <protection hidden="1"/>
    </xf>
    <xf numFmtId="0" fontId="40" fillId="10"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wrapText="1"/>
      <protection hidden="1"/>
    </xf>
    <xf numFmtId="0" fontId="8" fillId="10" borderId="0" xfId="0" applyFont="1" applyFill="1" applyAlignment="1" applyProtection="1">
      <alignment horizontal="center" vertical="center" wrapText="1"/>
      <protection hidden="1"/>
    </xf>
    <xf numFmtId="0" fontId="30" fillId="10" borderId="0" xfId="0" applyFont="1" applyFill="1" applyAlignment="1" applyProtection="1">
      <alignment horizontal="center" vertical="center" wrapText="1"/>
      <protection locked="0"/>
    </xf>
    <xf numFmtId="0" fontId="34" fillId="10" borderId="0" xfId="0" applyFont="1" applyFill="1" applyAlignment="1" applyProtection="1">
      <alignment vertical="center" wrapText="1"/>
      <protection hidden="1"/>
    </xf>
    <xf numFmtId="0" fontId="34" fillId="5" borderId="1" xfId="0" applyFont="1" applyFill="1" applyBorder="1" applyAlignment="1" applyProtection="1">
      <alignment horizontal="center" vertical="center" wrapText="1"/>
      <protection locked="0"/>
    </xf>
    <xf numFmtId="0" fontId="39" fillId="11" borderId="14" xfId="0" applyFont="1" applyFill="1" applyBorder="1" applyAlignment="1" applyProtection="1">
      <alignment horizontal="center" vertical="center" wrapText="1"/>
      <protection hidden="1"/>
    </xf>
    <xf numFmtId="0" fontId="7" fillId="10" borderId="0" xfId="0" applyFont="1" applyFill="1" applyAlignment="1" applyProtection="1">
      <alignment horizontal="center" vertical="center" wrapText="1"/>
      <protection hidden="1"/>
    </xf>
    <xf numFmtId="0" fontId="7" fillId="2" borderId="1" xfId="0" applyFont="1" applyFill="1" applyBorder="1" applyAlignment="1" applyProtection="1">
      <alignment horizontal="center" vertical="center"/>
      <protection hidden="1"/>
    </xf>
    <xf numFmtId="0" fontId="8" fillId="10" borderId="15" xfId="0" applyFont="1" applyFill="1" applyBorder="1" applyAlignment="1" applyProtection="1">
      <alignment vertical="center"/>
      <protection hidden="1"/>
    </xf>
    <xf numFmtId="0" fontId="29" fillId="2" borderId="0" xfId="0" applyFont="1" applyFill="1" applyAlignment="1" applyProtection="1">
      <alignment vertical="center" wrapText="1"/>
      <protection hidden="1"/>
    </xf>
    <xf numFmtId="0" fontId="29" fillId="10" borderId="0" xfId="0" applyFont="1" applyFill="1" applyAlignment="1" applyProtection="1">
      <alignment vertical="center" wrapText="1"/>
      <protection hidden="1"/>
    </xf>
    <xf numFmtId="0" fontId="47" fillId="10" borderId="0" xfId="0" applyFont="1" applyFill="1" applyAlignment="1" applyProtection="1">
      <alignment horizontal="center" vertical="center" wrapText="1"/>
      <protection hidden="1"/>
    </xf>
    <xf numFmtId="9" fontId="48" fillId="10" borderId="0" xfId="2" applyFont="1" applyFill="1" applyBorder="1" applyAlignment="1" applyProtection="1">
      <alignment horizontal="center" vertical="center"/>
      <protection hidden="1"/>
    </xf>
    <xf numFmtId="0" fontId="49" fillId="10" borderId="0" xfId="0" applyFont="1" applyFill="1" applyAlignment="1" applyProtection="1">
      <alignment horizontal="center" vertical="center" wrapText="1"/>
      <protection hidden="1"/>
    </xf>
    <xf numFmtId="0" fontId="6" fillId="2" borderId="0" xfId="0" applyFont="1" applyFill="1" applyAlignment="1" applyProtection="1">
      <alignment horizontal="center" vertical="center" wrapText="1"/>
      <protection hidden="1"/>
    </xf>
    <xf numFmtId="0" fontId="6" fillId="10" borderId="0" xfId="0" applyFont="1" applyFill="1" applyAlignment="1" applyProtection="1">
      <alignment vertical="center"/>
      <protection hidden="1"/>
    </xf>
    <xf numFmtId="0" fontId="30" fillId="10" borderId="0" xfId="0" applyFont="1" applyFill="1" applyAlignment="1" applyProtection="1">
      <alignment horizontal="left" vertical="center" wrapText="1"/>
      <protection hidden="1"/>
    </xf>
    <xf numFmtId="9" fontId="30" fillId="2" borderId="3" xfId="2" applyFont="1" applyFill="1" applyBorder="1" applyAlignment="1" applyProtection="1">
      <alignment horizontal="center" vertical="center"/>
      <protection hidden="1"/>
    </xf>
    <xf numFmtId="0" fontId="7" fillId="2" borderId="0" xfId="0" applyFont="1" applyFill="1" applyAlignment="1" applyProtection="1">
      <alignment horizontal="left" vertical="center" wrapText="1"/>
      <protection hidden="1"/>
    </xf>
    <xf numFmtId="3" fontId="30" fillId="2" borderId="9" xfId="0" applyNumberFormat="1" applyFont="1" applyFill="1" applyBorder="1" applyAlignment="1" applyProtection="1">
      <alignment horizontal="center" vertical="center"/>
      <protection hidden="1"/>
    </xf>
    <xf numFmtId="0" fontId="7" fillId="2" borderId="0" xfId="0" applyFont="1" applyFill="1" applyAlignment="1" applyProtection="1">
      <alignment horizontal="center" vertical="center" wrapText="1"/>
      <protection hidden="1"/>
    </xf>
    <xf numFmtId="0" fontId="30" fillId="10" borderId="0" xfId="0" applyFont="1" applyFill="1" applyAlignment="1" applyProtection="1">
      <alignment horizontal="left" vertical="center"/>
      <protection hidden="1"/>
    </xf>
    <xf numFmtId="0" fontId="30" fillId="2" borderId="3" xfId="0" applyFont="1" applyFill="1" applyBorder="1" applyAlignment="1" applyProtection="1">
      <alignment horizontal="center" vertical="center"/>
      <protection hidden="1"/>
    </xf>
    <xf numFmtId="0" fontId="40" fillId="2" borderId="0" xfId="0" applyFont="1" applyFill="1" applyAlignment="1" applyProtection="1">
      <alignment horizontal="center" vertical="center"/>
      <protection hidden="1"/>
    </xf>
    <xf numFmtId="0" fontId="40" fillId="10" borderId="0" xfId="0" applyFont="1" applyFill="1" applyAlignment="1" applyProtection="1">
      <alignment horizontal="center" vertical="center"/>
      <protection hidden="1"/>
    </xf>
    <xf numFmtId="0" fontId="40" fillId="10" borderId="0" xfId="0" applyFont="1" applyFill="1" applyAlignment="1" applyProtection="1">
      <alignment horizontal="left" vertical="center"/>
      <protection hidden="1"/>
    </xf>
    <xf numFmtId="0" fontId="35" fillId="2" borderId="0" xfId="0" applyFont="1" applyFill="1" applyAlignment="1" applyProtection="1">
      <alignment horizontal="right" vertical="center"/>
      <protection hidden="1"/>
    </xf>
    <xf numFmtId="0" fontId="35" fillId="10" borderId="0" xfId="0" applyFont="1" applyFill="1" applyAlignment="1" applyProtection="1">
      <alignment horizontal="right" vertical="center"/>
      <protection hidden="1"/>
    </xf>
    <xf numFmtId="0" fontId="35" fillId="10" borderId="0" xfId="0" applyFont="1" applyFill="1" applyAlignment="1" applyProtection="1">
      <alignment vertical="center"/>
      <protection hidden="1"/>
    </xf>
    <xf numFmtId="0" fontId="51" fillId="14" borderId="0" xfId="0" applyFont="1" applyFill="1" applyAlignment="1" applyProtection="1">
      <alignment horizontal="center" vertical="center"/>
      <protection hidden="1"/>
    </xf>
    <xf numFmtId="0" fontId="29" fillId="14" borderId="0" xfId="0" applyFont="1" applyFill="1" applyAlignment="1" applyProtection="1">
      <alignment horizontal="center" vertical="center"/>
      <protection hidden="1"/>
    </xf>
    <xf numFmtId="0" fontId="53" fillId="2" borderId="0" xfId="0" applyFont="1" applyFill="1" applyAlignment="1" applyProtection="1">
      <alignment horizontal="left" vertical="center" wrapText="1"/>
      <protection hidden="1"/>
    </xf>
    <xf numFmtId="0" fontId="54" fillId="10" borderId="0" xfId="0" applyFont="1" applyFill="1" applyAlignment="1" applyProtection="1">
      <alignment vertical="center"/>
      <protection hidden="1"/>
    </xf>
    <xf numFmtId="0" fontId="43" fillId="10" borderId="0" xfId="0" applyFont="1" applyFill="1" applyAlignment="1" applyProtection="1">
      <alignment horizontal="left" vertical="center"/>
      <protection hidden="1"/>
    </xf>
    <xf numFmtId="0" fontId="43" fillId="2" borderId="0" xfId="0" applyFont="1" applyFill="1" applyAlignment="1" applyProtection="1">
      <alignment horizontal="left" vertical="center"/>
      <protection hidden="1"/>
    </xf>
    <xf numFmtId="164" fontId="6" fillId="8" borderId="0" xfId="0" applyNumberFormat="1" applyFont="1" applyFill="1" applyAlignment="1" applyProtection="1">
      <alignment horizontal="center" vertical="center"/>
      <protection hidden="1"/>
    </xf>
    <xf numFmtId="164" fontId="22" fillId="8" borderId="0" xfId="0" applyNumberFormat="1" applyFont="1" applyFill="1" applyAlignment="1" applyProtection="1">
      <alignment horizontal="center" vertical="center"/>
      <protection hidden="1"/>
    </xf>
    <xf numFmtId="0" fontId="7" fillId="8" borderId="0" xfId="0" applyFont="1" applyFill="1" applyAlignment="1" applyProtection="1">
      <alignment horizontal="center" vertical="center" wrapText="1"/>
      <protection hidden="1"/>
    </xf>
    <xf numFmtId="0" fontId="55" fillId="2" borderId="1" xfId="0" applyFont="1" applyFill="1" applyBorder="1" applyAlignment="1" applyProtection="1">
      <alignment horizontal="center" vertical="center" wrapText="1"/>
      <protection hidden="1"/>
    </xf>
    <xf numFmtId="0" fontId="55" fillId="8" borderId="0" xfId="0" applyFont="1" applyFill="1" applyAlignment="1" applyProtection="1">
      <alignment horizontal="center" vertical="center" wrapText="1"/>
      <protection hidden="1"/>
    </xf>
    <xf numFmtId="0" fontId="7" fillId="8" borderId="0" xfId="0" applyFont="1" applyFill="1" applyAlignment="1" applyProtection="1">
      <alignment vertical="center" wrapText="1"/>
      <protection hidden="1"/>
    </xf>
    <xf numFmtId="164" fontId="36" fillId="8" borderId="0" xfId="0" applyNumberFormat="1" applyFont="1" applyFill="1" applyAlignment="1" applyProtection="1">
      <alignment horizontal="center" vertical="center"/>
      <protection hidden="1"/>
    </xf>
    <xf numFmtId="164" fontId="36" fillId="2" borderId="0" xfId="0" applyNumberFormat="1" applyFont="1" applyFill="1" applyAlignment="1" applyProtection="1">
      <alignment horizontal="center" vertical="center"/>
      <protection hidden="1"/>
    </xf>
    <xf numFmtId="0" fontId="56" fillId="8" borderId="0" xfId="0" applyFont="1" applyFill="1" applyAlignment="1" applyProtection="1">
      <alignment horizontal="center" vertical="center" wrapText="1"/>
      <protection hidden="1"/>
    </xf>
    <xf numFmtId="0" fontId="8" fillId="0" borderId="0" xfId="0" applyFont="1" applyAlignment="1" applyProtection="1">
      <alignment horizontal="center" vertical="center"/>
      <protection hidden="1"/>
    </xf>
    <xf numFmtId="9" fontId="58" fillId="8" borderId="0" xfId="2" applyFont="1" applyFill="1" applyBorder="1" applyAlignment="1" applyProtection="1">
      <alignment horizontal="left" vertical="center"/>
      <protection hidden="1"/>
    </xf>
    <xf numFmtId="9" fontId="59" fillId="8" borderId="0" xfId="2" applyFont="1" applyFill="1" applyBorder="1" applyAlignment="1" applyProtection="1">
      <alignment horizontal="left" vertical="center"/>
      <protection hidden="1"/>
    </xf>
    <xf numFmtId="0" fontId="55" fillId="8" borderId="0" xfId="0" applyFont="1" applyFill="1" applyAlignment="1" applyProtection="1">
      <alignment horizontal="right" vertical="center" wrapText="1"/>
      <protection hidden="1"/>
    </xf>
    <xf numFmtId="2" fontId="32" fillId="8" borderId="0" xfId="0" applyNumberFormat="1" applyFont="1" applyFill="1" applyAlignment="1" applyProtection="1">
      <alignment horizontal="center" vertical="center"/>
      <protection hidden="1"/>
    </xf>
    <xf numFmtId="2" fontId="6" fillId="8" borderId="0" xfId="0" applyNumberFormat="1" applyFont="1" applyFill="1" applyAlignment="1" applyProtection="1">
      <alignment horizontal="center" vertical="center"/>
      <protection hidden="1"/>
    </xf>
    <xf numFmtId="0" fontId="61" fillId="8" borderId="0" xfId="0" applyFont="1" applyFill="1" applyAlignment="1" applyProtection="1">
      <alignment vertical="center"/>
      <protection hidden="1"/>
    </xf>
    <xf numFmtId="0" fontId="16" fillId="8" borderId="0" xfId="0" applyFont="1" applyFill="1" applyAlignment="1" applyProtection="1">
      <alignment vertical="center" wrapText="1"/>
      <protection hidden="1"/>
    </xf>
    <xf numFmtId="0" fontId="13" fillId="8" borderId="0" xfId="0" applyFont="1" applyFill="1" applyAlignment="1" applyProtection="1">
      <alignment vertical="center"/>
      <protection hidden="1"/>
    </xf>
    <xf numFmtId="0" fontId="16" fillId="8" borderId="0" xfId="0" applyFont="1" applyFill="1" applyAlignment="1" applyProtection="1">
      <alignment horizontal="center" vertical="center" wrapText="1"/>
      <protection hidden="1"/>
    </xf>
    <xf numFmtId="0" fontId="62" fillId="8" borderId="0" xfId="0" applyFont="1" applyFill="1" applyAlignment="1" applyProtection="1">
      <alignment horizontal="center" vertical="center" wrapText="1"/>
      <protection hidden="1"/>
    </xf>
    <xf numFmtId="0" fontId="63" fillId="8" borderId="0" xfId="0" applyFont="1" applyFill="1" applyAlignment="1" applyProtection="1">
      <alignment horizontal="center" vertical="center" wrapText="1"/>
      <protection hidden="1"/>
    </xf>
    <xf numFmtId="0" fontId="8" fillId="8" borderId="0" xfId="0" applyFont="1" applyFill="1" applyAlignment="1" applyProtection="1">
      <alignment horizontal="center" vertical="center" wrapText="1"/>
      <protection hidden="1"/>
    </xf>
    <xf numFmtId="0" fontId="8" fillId="8" borderId="0" xfId="0" applyFont="1" applyFill="1" applyAlignment="1" applyProtection="1">
      <alignment horizontal="center" vertical="center"/>
      <protection hidden="1"/>
    </xf>
    <xf numFmtId="0" fontId="36" fillId="8" borderId="0" xfId="0" applyFont="1" applyFill="1" applyAlignment="1" applyProtection="1">
      <alignment horizontal="center" vertical="center"/>
      <protection hidden="1"/>
    </xf>
    <xf numFmtId="0" fontId="36" fillId="8" borderId="0" xfId="0" applyFont="1" applyFill="1" applyAlignment="1" applyProtection="1">
      <alignment horizontal="center" vertical="center" wrapText="1"/>
      <protection hidden="1"/>
    </xf>
    <xf numFmtId="0" fontId="64" fillId="8" borderId="0" xfId="0" applyFont="1" applyFill="1" applyAlignment="1" applyProtection="1">
      <alignment vertical="center" wrapText="1"/>
      <protection hidden="1"/>
    </xf>
    <xf numFmtId="0" fontId="65" fillId="8" borderId="0" xfId="0" applyFont="1" applyFill="1" applyAlignment="1" applyProtection="1">
      <alignment vertical="center" wrapText="1"/>
      <protection hidden="1"/>
    </xf>
    <xf numFmtId="0" fontId="65" fillId="8" borderId="0" xfId="0" applyFont="1" applyFill="1" applyAlignment="1" applyProtection="1">
      <alignment horizontal="center" vertical="center" wrapText="1"/>
      <protection hidden="1"/>
    </xf>
    <xf numFmtId="0" fontId="66" fillId="8" borderId="0" xfId="0" applyFont="1" applyFill="1" applyAlignment="1" applyProtection="1">
      <alignment horizontal="left" vertical="center" wrapText="1"/>
      <protection hidden="1"/>
    </xf>
    <xf numFmtId="0" fontId="29" fillId="2" borderId="0" xfId="0" applyFont="1" applyFill="1" applyProtection="1">
      <protection hidden="1"/>
    </xf>
    <xf numFmtId="0" fontId="29" fillId="3" borderId="0" xfId="0" applyFont="1" applyFill="1" applyProtection="1">
      <protection hidden="1"/>
    </xf>
    <xf numFmtId="165" fontId="6" fillId="3" borderId="0" xfId="0" applyNumberFormat="1" applyFont="1" applyFill="1" applyAlignment="1" applyProtection="1">
      <alignment horizontal="center" vertical="center"/>
      <protection hidden="1"/>
    </xf>
    <xf numFmtId="0" fontId="55" fillId="3" borderId="0" xfId="0" applyFont="1" applyFill="1" applyAlignment="1" applyProtection="1">
      <alignment horizontal="right" vertical="center" wrapText="1"/>
      <protection hidden="1"/>
    </xf>
    <xf numFmtId="0" fontId="55" fillId="2" borderId="1" xfId="0" applyFont="1" applyFill="1" applyBorder="1" applyAlignment="1" applyProtection="1">
      <alignment horizontal="right" vertical="center" wrapText="1"/>
      <protection hidden="1"/>
    </xf>
    <xf numFmtId="0" fontId="29" fillId="3" borderId="0" xfId="0" applyFont="1" applyFill="1" applyAlignment="1" applyProtection="1">
      <alignment horizontal="center" vertical="center"/>
      <protection hidden="1"/>
    </xf>
    <xf numFmtId="165" fontId="8" fillId="3" borderId="0" xfId="0" applyNumberFormat="1" applyFont="1" applyFill="1" applyAlignment="1" applyProtection="1">
      <alignment horizontal="center" vertical="center"/>
      <protection hidden="1"/>
    </xf>
    <xf numFmtId="0" fontId="44" fillId="3" borderId="0" xfId="0" applyFont="1" applyFill="1" applyAlignment="1" applyProtection="1">
      <alignment horizontal="right" vertical="center" wrapText="1"/>
      <protection hidden="1"/>
    </xf>
    <xf numFmtId="0" fontId="44" fillId="2" borderId="1" xfId="0" applyFont="1" applyFill="1" applyBorder="1" applyAlignment="1" applyProtection="1">
      <alignment horizontal="right" vertical="center" wrapText="1"/>
      <protection hidden="1"/>
    </xf>
    <xf numFmtId="0" fontId="7" fillId="3" borderId="0" xfId="0" applyFont="1" applyFill="1" applyAlignment="1" applyProtection="1">
      <alignment horizontal="center" vertical="center" wrapText="1"/>
      <protection hidden="1"/>
    </xf>
    <xf numFmtId="165" fontId="69" fillId="3" borderId="10" xfId="0" applyNumberFormat="1" applyFont="1" applyFill="1" applyBorder="1" applyAlignment="1" applyProtection="1">
      <alignment horizontal="center" vertical="center"/>
      <protection hidden="1"/>
    </xf>
    <xf numFmtId="165" fontId="69" fillId="3" borderId="0" xfId="0" applyNumberFormat="1" applyFont="1" applyFill="1" applyAlignment="1" applyProtection="1">
      <alignment horizontal="center" vertical="center"/>
      <protection hidden="1"/>
    </xf>
    <xf numFmtId="0" fontId="55" fillId="3" borderId="10" xfId="0" applyFont="1" applyFill="1" applyBorder="1" applyAlignment="1" applyProtection="1">
      <alignment horizontal="right" vertical="center" wrapText="1"/>
      <protection hidden="1"/>
    </xf>
    <xf numFmtId="0" fontId="8" fillId="3" borderId="0" xfId="0" applyFont="1" applyFill="1" applyAlignment="1" applyProtection="1">
      <alignment horizontal="center" vertical="center"/>
      <protection hidden="1"/>
    </xf>
    <xf numFmtId="3" fontId="6" fillId="2" borderId="1" xfId="0" applyNumberFormat="1" applyFont="1" applyFill="1" applyBorder="1" applyAlignment="1" applyProtection="1">
      <alignment horizontal="center" vertical="center"/>
      <protection hidden="1"/>
    </xf>
    <xf numFmtId="3" fontId="6" fillId="3" borderId="0" xfId="0" applyNumberFormat="1" applyFont="1" applyFill="1" applyAlignment="1" applyProtection="1">
      <alignment horizontal="center" vertical="center"/>
      <protection hidden="1"/>
    </xf>
    <xf numFmtId="0" fontId="7" fillId="3" borderId="0" xfId="0" applyFont="1" applyFill="1" applyAlignment="1" applyProtection="1">
      <alignment vertical="center" wrapText="1"/>
      <protection hidden="1"/>
    </xf>
    <xf numFmtId="0" fontId="7" fillId="3" borderId="2" xfId="0" applyFont="1" applyFill="1" applyBorder="1" applyAlignment="1" applyProtection="1">
      <alignment horizontal="center" vertical="center" wrapText="1"/>
      <protection hidden="1"/>
    </xf>
    <xf numFmtId="0" fontId="70" fillId="2" borderId="0" xfId="0" applyFont="1" applyFill="1" applyProtection="1">
      <protection hidden="1"/>
    </xf>
    <xf numFmtId="0" fontId="71" fillId="3" borderId="0" xfId="0" applyFont="1" applyFill="1" applyAlignment="1" applyProtection="1">
      <alignment vertical="center" wrapText="1"/>
      <protection hidden="1"/>
    </xf>
    <xf numFmtId="0" fontId="70" fillId="3" borderId="0" xfId="0" applyFont="1" applyFill="1" applyAlignment="1" applyProtection="1">
      <alignment horizontal="center" vertical="center"/>
      <protection hidden="1"/>
    </xf>
    <xf numFmtId="3" fontId="6" fillId="3" borderId="10" xfId="0" applyNumberFormat="1" applyFont="1" applyFill="1" applyBorder="1" applyAlignment="1" applyProtection="1">
      <alignment horizontal="center" vertical="center"/>
      <protection hidden="1"/>
    </xf>
    <xf numFmtId="3" fontId="73" fillId="2" borderId="1" xfId="0" applyNumberFormat="1" applyFont="1" applyFill="1" applyBorder="1" applyAlignment="1" applyProtection="1">
      <alignment horizontal="center" vertical="center"/>
      <protection hidden="1"/>
    </xf>
    <xf numFmtId="3" fontId="73" fillId="3" borderId="0" xfId="0" applyNumberFormat="1" applyFont="1" applyFill="1" applyAlignment="1" applyProtection="1">
      <alignment horizontal="center" vertical="center"/>
      <protection hidden="1"/>
    </xf>
    <xf numFmtId="0" fontId="74" fillId="3" borderId="0" xfId="0" applyFont="1" applyFill="1" applyAlignment="1" applyProtection="1">
      <alignment horizontal="right" vertical="center" wrapText="1"/>
      <protection hidden="1"/>
    </xf>
    <xf numFmtId="0" fontId="74" fillId="2" borderId="1" xfId="0" applyFont="1" applyFill="1" applyBorder="1" applyAlignment="1" applyProtection="1">
      <alignment horizontal="right" vertical="center" wrapText="1"/>
      <protection hidden="1"/>
    </xf>
    <xf numFmtId="0" fontId="7" fillId="3" borderId="0" xfId="0" applyFont="1" applyFill="1" applyAlignment="1" applyProtection="1">
      <alignment horizontal="center" vertical="center"/>
      <protection hidden="1"/>
    </xf>
    <xf numFmtId="0" fontId="29" fillId="2" borderId="0" xfId="0" applyFont="1" applyFill="1" applyAlignment="1" applyProtection="1">
      <alignment wrapText="1"/>
      <protection hidden="1"/>
    </xf>
    <xf numFmtId="0" fontId="29" fillId="3" borderId="0" xfId="0" applyFont="1" applyFill="1" applyAlignment="1" applyProtection="1">
      <alignment wrapText="1"/>
      <protection hidden="1"/>
    </xf>
    <xf numFmtId="0" fontId="36" fillId="3" borderId="0" xfId="0" applyFont="1" applyFill="1" applyAlignment="1" applyProtection="1">
      <alignment vertical="center" wrapText="1"/>
      <protection hidden="1"/>
    </xf>
    <xf numFmtId="0" fontId="29" fillId="3" borderId="0" xfId="0" applyFont="1" applyFill="1" applyAlignment="1" applyProtection="1">
      <alignment horizontal="center" vertical="center" wrapText="1"/>
      <protection hidden="1"/>
    </xf>
    <xf numFmtId="1" fontId="8" fillId="10" borderId="0" xfId="2" applyNumberFormat="1" applyFont="1" applyFill="1" applyBorder="1" applyAlignment="1" applyProtection="1">
      <alignment horizontal="center" vertical="center"/>
      <protection hidden="1"/>
    </xf>
    <xf numFmtId="1" fontId="30" fillId="10" borderId="0" xfId="2" applyNumberFormat="1" applyFont="1" applyFill="1" applyBorder="1" applyAlignment="1" applyProtection="1">
      <alignment horizontal="center" vertical="center"/>
      <protection locked="0"/>
    </xf>
    <xf numFmtId="9" fontId="0" fillId="0" borderId="0" xfId="0" applyNumberFormat="1"/>
    <xf numFmtId="0" fontId="29" fillId="7" borderId="0" xfId="0" applyFont="1" applyFill="1" applyAlignment="1" applyProtection="1">
      <alignment horizontal="center" vertical="center"/>
      <protection hidden="1"/>
    </xf>
    <xf numFmtId="0" fontId="38" fillId="7" borderId="0" xfId="0" applyFont="1" applyFill="1" applyAlignment="1" applyProtection="1">
      <alignment horizontal="center" vertical="center"/>
      <protection hidden="1"/>
    </xf>
    <xf numFmtId="2" fontId="32" fillId="2" borderId="1" xfId="1" applyNumberFormat="1" applyFont="1" applyFill="1" applyBorder="1" applyAlignment="1" applyProtection="1">
      <alignment horizontal="center" vertical="center"/>
      <protection hidden="1"/>
    </xf>
    <xf numFmtId="2" fontId="32" fillId="2" borderId="1" xfId="0" applyNumberFormat="1" applyFont="1" applyFill="1" applyBorder="1" applyAlignment="1" applyProtection="1">
      <alignment horizontal="center" vertical="center"/>
      <protection hidden="1"/>
    </xf>
    <xf numFmtId="0" fontId="36" fillId="2" borderId="1" xfId="0" applyFont="1" applyFill="1" applyBorder="1" applyAlignment="1" applyProtection="1">
      <alignment horizontal="center" vertical="center"/>
      <protection hidden="1"/>
    </xf>
    <xf numFmtId="0" fontId="36" fillId="2" borderId="1" xfId="0" applyFont="1" applyFill="1" applyBorder="1" applyAlignment="1" applyProtection="1">
      <alignment horizontal="center" vertical="center" wrapText="1"/>
      <protection hidden="1"/>
    </xf>
    <xf numFmtId="164" fontId="46" fillId="10" borderId="0" xfId="0" applyNumberFormat="1" applyFont="1" applyFill="1" applyAlignment="1" applyProtection="1">
      <alignment horizontal="center" vertical="center" wrapText="1"/>
      <protection hidden="1"/>
    </xf>
    <xf numFmtId="164" fontId="46" fillId="10" borderId="0" xfId="0" applyNumberFormat="1" applyFont="1" applyFill="1" applyAlignment="1" applyProtection="1">
      <alignment vertical="center" wrapText="1"/>
      <protection hidden="1"/>
    </xf>
    <xf numFmtId="167" fontId="34" fillId="2" borderId="14" xfId="2" applyNumberFormat="1" applyFont="1" applyFill="1" applyBorder="1" applyAlignment="1" applyProtection="1">
      <alignment horizontal="center" vertical="center"/>
      <protection hidden="1"/>
    </xf>
    <xf numFmtId="9" fontId="0" fillId="0" borderId="0" xfId="2" applyFont="1" applyAlignment="1">
      <alignment horizontal="right" vertical="center"/>
    </xf>
    <xf numFmtId="0" fontId="0" fillId="0" borderId="0" xfId="2" applyNumberFormat="1" applyFont="1" applyAlignment="1">
      <alignment horizontal="right" vertical="center"/>
    </xf>
    <xf numFmtId="1" fontId="0" fillId="0" borderId="0" xfId="0" applyNumberFormat="1"/>
    <xf numFmtId="9" fontId="0" fillId="0" borderId="0" xfId="2" applyFont="1"/>
    <xf numFmtId="166" fontId="0" fillId="0" borderId="0" xfId="0" applyNumberFormat="1"/>
    <xf numFmtId="10" fontId="0" fillId="0" borderId="0" xfId="0" applyNumberFormat="1"/>
    <xf numFmtId="164" fontId="8" fillId="13" borderId="6" xfId="0" applyNumberFormat="1" applyFont="1" applyFill="1" applyBorder="1" applyAlignment="1" applyProtection="1">
      <alignment horizontal="center" vertical="center"/>
      <protection locked="0"/>
    </xf>
    <xf numFmtId="164" fontId="8" fillId="13" borderId="8" xfId="0" applyNumberFormat="1"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wrapText="1"/>
      <protection hidden="1"/>
    </xf>
    <xf numFmtId="0" fontId="0" fillId="0" borderId="9" xfId="0" applyBorder="1"/>
    <xf numFmtId="0" fontId="0" fillId="0" borderId="10" xfId="0" applyBorder="1"/>
    <xf numFmtId="0" fontId="0" fillId="0" borderId="11" xfId="0" applyBorder="1"/>
    <xf numFmtId="0" fontId="0" fillId="0" borderId="12" xfId="0" applyBorder="1"/>
    <xf numFmtId="1" fontId="0" fillId="0" borderId="13" xfId="0" applyNumberFormat="1" applyBorder="1"/>
    <xf numFmtId="0" fontId="0" fillId="0" borderId="13" xfId="0" applyBorder="1"/>
    <xf numFmtId="0" fontId="0" fillId="0" borderId="14" xfId="0" applyBorder="1"/>
    <xf numFmtId="1" fontId="0" fillId="0" borderId="2" xfId="0" applyNumberFormat="1" applyBorder="1"/>
    <xf numFmtId="1" fontId="0" fillId="0" borderId="15" xfId="0" applyNumberFormat="1" applyBorder="1"/>
    <xf numFmtId="0" fontId="1" fillId="0" borderId="0" xfId="0" applyFont="1" applyAlignment="1">
      <alignment horizontal="left" vertical="center"/>
    </xf>
    <xf numFmtId="0" fontId="1" fillId="0" borderId="0" xfId="0" applyFont="1"/>
    <xf numFmtId="0" fontId="80" fillId="2" borderId="8" xfId="3" applyFont="1" applyFill="1" applyBorder="1" applyAlignment="1" applyProtection="1">
      <alignment horizontal="center" vertical="center" wrapText="1"/>
      <protection hidden="1"/>
    </xf>
    <xf numFmtId="0" fontId="81" fillId="0" borderId="0" xfId="0" applyFont="1" applyAlignment="1">
      <alignment horizontal="left" vertical="center" wrapText="1"/>
    </xf>
    <xf numFmtId="0" fontId="7" fillId="2" borderId="9" xfId="0" applyFont="1" applyFill="1" applyBorder="1" applyAlignment="1" applyProtection="1">
      <alignment horizontal="center" vertical="center" wrapText="1"/>
      <protection hidden="1"/>
    </xf>
    <xf numFmtId="0" fontId="44" fillId="2" borderId="14" xfId="0" applyFont="1" applyFill="1" applyBorder="1" applyAlignment="1" applyProtection="1">
      <alignment horizontal="center" vertical="center" wrapText="1"/>
      <protection hidden="1"/>
    </xf>
    <xf numFmtId="1" fontId="34" fillId="10" borderId="13" xfId="2" applyNumberFormat="1" applyFont="1" applyFill="1" applyBorder="1" applyAlignment="1" applyProtection="1">
      <alignment horizontal="center" vertical="center"/>
      <protection hidden="1"/>
    </xf>
    <xf numFmtId="0" fontId="29" fillId="2" borderId="16" xfId="0" applyFont="1" applyFill="1" applyBorder="1" applyAlignment="1" applyProtection="1">
      <alignment horizontal="center" vertical="center"/>
      <protection hidden="1"/>
    </xf>
    <xf numFmtId="9" fontId="30" fillId="4" borderId="3" xfId="2" applyFont="1" applyFill="1" applyBorder="1" applyAlignment="1" applyProtection="1">
      <alignment horizontal="center" vertical="center"/>
      <protection hidden="1"/>
    </xf>
    <xf numFmtId="0" fontId="29" fillId="2" borderId="17" xfId="0" applyFont="1" applyFill="1" applyBorder="1" applyAlignment="1" applyProtection="1">
      <alignment horizontal="center" vertical="center"/>
      <protection hidden="1"/>
    </xf>
    <xf numFmtId="0" fontId="29" fillId="2" borderId="18" xfId="0" applyFont="1" applyFill="1" applyBorder="1" applyAlignment="1" applyProtection="1">
      <alignment horizontal="center" vertical="center"/>
      <protection hidden="1"/>
    </xf>
    <xf numFmtId="0" fontId="29" fillId="4" borderId="19" xfId="0" applyFont="1" applyFill="1" applyBorder="1" applyAlignment="1" applyProtection="1">
      <alignment horizontal="center" vertical="center"/>
      <protection hidden="1"/>
    </xf>
    <xf numFmtId="9" fontId="50" fillId="4" borderId="3" xfId="2" applyFont="1" applyFill="1" applyBorder="1" applyAlignment="1" applyProtection="1">
      <alignment horizontal="center" vertical="center"/>
      <protection hidden="1"/>
    </xf>
    <xf numFmtId="0" fontId="7" fillId="4" borderId="21" xfId="0" applyFont="1" applyFill="1" applyBorder="1" applyAlignment="1" applyProtection="1">
      <alignment horizontal="center" vertical="center" wrapText="1"/>
      <protection hidden="1"/>
    </xf>
    <xf numFmtId="0" fontId="29" fillId="2" borderId="19" xfId="0" applyFont="1" applyFill="1" applyBorder="1" applyAlignment="1" applyProtection="1">
      <alignment horizontal="center" vertical="center"/>
      <protection hidden="1"/>
    </xf>
    <xf numFmtId="0" fontId="44" fillId="2" borderId="22" xfId="0" applyFont="1" applyFill="1" applyBorder="1" applyAlignment="1" applyProtection="1">
      <alignment horizontal="center" vertical="center" wrapText="1"/>
      <protection hidden="1"/>
    </xf>
    <xf numFmtId="0" fontId="44" fillId="2" borderId="20" xfId="0" applyFont="1" applyFill="1" applyBorder="1" applyAlignment="1" applyProtection="1">
      <alignment horizontal="center" vertical="center" wrapText="1"/>
      <protection hidden="1"/>
    </xf>
    <xf numFmtId="9" fontId="84" fillId="13" borderId="1" xfId="2" applyFont="1" applyFill="1" applyBorder="1" applyAlignment="1" applyProtection="1">
      <alignment horizontal="center" vertical="center"/>
      <protection locked="0"/>
    </xf>
    <xf numFmtId="9" fontId="42" fillId="2" borderId="5" xfId="2" applyFont="1" applyFill="1" applyBorder="1" applyAlignment="1" applyProtection="1">
      <alignment horizontal="center" vertical="center"/>
      <protection hidden="1"/>
    </xf>
    <xf numFmtId="0" fontId="53" fillId="2" borderId="8" xfId="0" applyFont="1" applyFill="1" applyBorder="1" applyAlignment="1" applyProtection="1">
      <alignment horizontal="center" vertical="center" wrapText="1"/>
      <protection hidden="1"/>
    </xf>
    <xf numFmtId="9" fontId="53" fillId="13" borderId="14" xfId="2" applyFont="1" applyFill="1" applyBorder="1" applyAlignment="1" applyProtection="1">
      <alignment horizontal="center" vertical="center"/>
      <protection locked="0"/>
    </xf>
    <xf numFmtId="9" fontId="53" fillId="2" borderId="3" xfId="2" applyFont="1" applyFill="1" applyBorder="1" applyAlignment="1" applyProtection="1">
      <alignment horizontal="center" vertical="center"/>
      <protection hidden="1"/>
    </xf>
    <xf numFmtId="0" fontId="53" fillId="2" borderId="6" xfId="0" applyFont="1" applyFill="1" applyBorder="1" applyAlignment="1" applyProtection="1">
      <alignment horizontal="center" vertical="center" wrapText="1"/>
      <protection hidden="1"/>
    </xf>
    <xf numFmtId="9" fontId="53" fillId="13" borderId="9" xfId="2" applyFont="1" applyFill="1" applyBorder="1" applyAlignment="1" applyProtection="1">
      <alignment horizontal="center" vertical="center"/>
      <protection locked="0"/>
    </xf>
    <xf numFmtId="9" fontId="85" fillId="2" borderId="3" xfId="2" applyFont="1" applyFill="1" applyBorder="1" applyAlignment="1" applyProtection="1">
      <alignment horizontal="center" vertical="center"/>
      <protection hidden="1"/>
    </xf>
    <xf numFmtId="0" fontId="53" fillId="2" borderId="1" xfId="0" applyFont="1" applyFill="1" applyBorder="1" applyAlignment="1" applyProtection="1">
      <alignment horizontal="center" vertical="center" wrapText="1"/>
      <protection hidden="1"/>
    </xf>
    <xf numFmtId="9" fontId="86" fillId="2" borderId="3" xfId="2" applyFont="1" applyFill="1" applyBorder="1" applyAlignment="1" applyProtection="1">
      <alignment horizontal="center" vertical="center"/>
      <protection hidden="1"/>
    </xf>
    <xf numFmtId="167" fontId="0" fillId="0" borderId="0" xfId="0" applyNumberFormat="1"/>
    <xf numFmtId="14" fontId="0" fillId="0" borderId="0" xfId="0" applyNumberFormat="1"/>
    <xf numFmtId="0" fontId="29" fillId="0" borderId="0" xfId="0" applyFont="1" applyProtection="1">
      <protection hidden="1"/>
    </xf>
    <xf numFmtId="0" fontId="6" fillId="8" borderId="0" xfId="0" applyFont="1" applyFill="1" applyAlignment="1" applyProtection="1">
      <alignment vertical="center" wrapText="1"/>
      <protection hidden="1"/>
    </xf>
    <xf numFmtId="0" fontId="60" fillId="8" borderId="0" xfId="0" applyFont="1" applyFill="1" applyAlignment="1" applyProtection="1">
      <alignment vertical="center" wrapText="1"/>
      <protection hidden="1"/>
    </xf>
    <xf numFmtId="0" fontId="29" fillId="8" borderId="0" xfId="0" applyFont="1" applyFill="1" applyProtection="1">
      <protection hidden="1"/>
    </xf>
    <xf numFmtId="0" fontId="36" fillId="0" borderId="0" xfId="0" applyFont="1" applyProtection="1">
      <protection hidden="1"/>
    </xf>
    <xf numFmtId="2" fontId="6" fillId="8" borderId="0" xfId="1" applyNumberFormat="1" applyFont="1" applyFill="1" applyBorder="1" applyAlignment="1" applyProtection="1">
      <alignment horizontal="center" vertical="center"/>
      <protection hidden="1"/>
    </xf>
    <xf numFmtId="2" fontId="60" fillId="8" borderId="0" xfId="1" applyNumberFormat="1" applyFont="1" applyFill="1" applyBorder="1" applyAlignment="1" applyProtection="1">
      <alignment horizontal="center" vertical="center"/>
      <protection hidden="1"/>
    </xf>
    <xf numFmtId="2" fontId="29" fillId="0" borderId="0" xfId="0" applyNumberFormat="1" applyFont="1" applyProtection="1">
      <protection hidden="1"/>
    </xf>
    <xf numFmtId="2" fontId="32" fillId="2" borderId="1" xfId="2" applyNumberFormat="1" applyFont="1" applyFill="1" applyBorder="1" applyAlignment="1" applyProtection="1">
      <alignment horizontal="center" vertical="center"/>
      <protection hidden="1"/>
    </xf>
    <xf numFmtId="9" fontId="6" fillId="8" borderId="0" xfId="2" applyFont="1" applyFill="1" applyBorder="1" applyAlignment="1" applyProtection="1">
      <alignment horizontal="center" vertical="center"/>
      <protection hidden="1"/>
    </xf>
    <xf numFmtId="2" fontId="32" fillId="8" borderId="0" xfId="2" applyNumberFormat="1" applyFont="1" applyFill="1" applyBorder="1" applyAlignment="1" applyProtection="1">
      <alignment horizontal="center" vertical="center"/>
      <protection hidden="1"/>
    </xf>
    <xf numFmtId="2" fontId="59" fillId="8" borderId="0" xfId="1" applyNumberFormat="1" applyFont="1" applyFill="1" applyBorder="1" applyAlignment="1" applyProtection="1">
      <alignment horizontal="left" vertical="center"/>
      <protection hidden="1"/>
    </xf>
    <xf numFmtId="166" fontId="6" fillId="8" borderId="0" xfId="2" applyNumberFormat="1" applyFont="1" applyFill="1" applyBorder="1" applyAlignment="1" applyProtection="1">
      <alignment horizontal="center" vertical="center"/>
      <protection hidden="1"/>
    </xf>
    <xf numFmtId="165" fontId="6" fillId="8" borderId="0" xfId="0" applyNumberFormat="1" applyFont="1" applyFill="1" applyAlignment="1" applyProtection="1">
      <alignment horizontal="center" vertical="center" wrapText="1"/>
      <protection hidden="1"/>
    </xf>
    <xf numFmtId="4" fontId="22" fillId="2" borderId="2" xfId="0" applyNumberFormat="1" applyFont="1" applyFill="1" applyBorder="1" applyAlignment="1" applyProtection="1">
      <alignment horizontal="center" vertical="center"/>
      <protection hidden="1"/>
    </xf>
    <xf numFmtId="4" fontId="22" fillId="2" borderId="0" xfId="0" applyNumberFormat="1" applyFont="1" applyFill="1" applyAlignment="1" applyProtection="1">
      <alignment horizontal="center" vertical="center"/>
      <protection hidden="1"/>
    </xf>
    <xf numFmtId="4" fontId="22" fillId="8" borderId="0" xfId="0" applyNumberFormat="1" applyFont="1" applyFill="1" applyAlignment="1" applyProtection="1">
      <alignment horizontal="center" vertical="center"/>
      <protection hidden="1"/>
    </xf>
    <xf numFmtId="0" fontId="6" fillId="2" borderId="4" xfId="0" applyFont="1" applyFill="1" applyBorder="1" applyAlignment="1" applyProtection="1">
      <alignment horizontal="center" vertical="center" wrapText="1"/>
      <protection hidden="1"/>
    </xf>
    <xf numFmtId="0" fontId="6" fillId="2" borderId="15" xfId="0" applyFont="1" applyFill="1" applyBorder="1" applyAlignment="1" applyProtection="1">
      <alignment horizontal="center" vertical="center" wrapText="1"/>
      <protection hidden="1"/>
    </xf>
    <xf numFmtId="0" fontId="6" fillId="2" borderId="11" xfId="0" applyFont="1" applyFill="1" applyBorder="1" applyAlignment="1" applyProtection="1">
      <alignment horizontal="center" vertical="center" wrapText="1"/>
      <protection hidden="1"/>
    </xf>
    <xf numFmtId="8" fontId="0" fillId="0" borderId="0" xfId="0" applyNumberFormat="1"/>
    <xf numFmtId="3" fontId="30" fillId="4" borderId="9" xfId="0" applyNumberFormat="1" applyFont="1" applyFill="1" applyBorder="1" applyAlignment="1" applyProtection="1">
      <alignment horizontal="center" vertical="center"/>
      <protection hidden="1"/>
    </xf>
    <xf numFmtId="0" fontId="29" fillId="2" borderId="23" xfId="0" applyFont="1" applyFill="1" applyBorder="1" applyAlignment="1" applyProtection="1">
      <alignment horizontal="center" vertical="center"/>
      <protection hidden="1"/>
    </xf>
    <xf numFmtId="0" fontId="7" fillId="2" borderId="11" xfId="0" applyFont="1" applyFill="1" applyBorder="1" applyAlignment="1" applyProtection="1">
      <alignment horizontal="center" vertical="center"/>
      <protection hidden="1"/>
    </xf>
    <xf numFmtId="0" fontId="29" fillId="2" borderId="24" xfId="0" applyFont="1" applyFill="1" applyBorder="1" applyAlignment="1" applyProtection="1">
      <alignment horizontal="center" vertical="center"/>
      <protection hidden="1"/>
    </xf>
    <xf numFmtId="0" fontId="29" fillId="4" borderId="3" xfId="0" applyFont="1" applyFill="1" applyBorder="1" applyAlignment="1" applyProtection="1">
      <alignment horizontal="center" vertical="center"/>
      <protection hidden="1"/>
    </xf>
    <xf numFmtId="0" fontId="29" fillId="4" borderId="5" xfId="0" applyFont="1" applyFill="1" applyBorder="1" applyAlignment="1" applyProtection="1">
      <alignment horizontal="center" vertical="center"/>
      <protection hidden="1"/>
    </xf>
    <xf numFmtId="0" fontId="7" fillId="4" borderId="4" xfId="0" applyFont="1" applyFill="1" applyBorder="1" applyAlignment="1" applyProtection="1">
      <alignment horizontal="center" vertical="center" wrapText="1"/>
      <protection hidden="1"/>
    </xf>
    <xf numFmtId="0" fontId="29" fillId="2" borderId="26" xfId="0" applyFont="1" applyFill="1" applyBorder="1" applyAlignment="1" applyProtection="1">
      <alignment horizontal="center" vertical="center"/>
      <protection hidden="1"/>
    </xf>
    <xf numFmtId="9" fontId="8" fillId="2" borderId="1" xfId="2" applyFont="1" applyFill="1" applyBorder="1" applyAlignment="1" applyProtection="1">
      <alignment horizontal="center" vertical="center"/>
      <protection hidden="1"/>
    </xf>
    <xf numFmtId="9" fontId="7" fillId="4" borderId="1" xfId="2" applyFont="1" applyFill="1" applyBorder="1" applyAlignment="1" applyProtection="1">
      <alignment horizontal="center" vertical="center" wrapText="1"/>
      <protection hidden="1"/>
    </xf>
    <xf numFmtId="0" fontId="30" fillId="19" borderId="1" xfId="0" applyFont="1" applyFill="1" applyBorder="1" applyAlignment="1" applyProtection="1">
      <alignment horizontal="center" vertical="center" wrapText="1"/>
      <protection locked="0"/>
    </xf>
    <xf numFmtId="7" fontId="43" fillId="10" borderId="0" xfId="1" applyNumberFormat="1" applyFont="1" applyFill="1" applyBorder="1" applyAlignment="1" applyProtection="1">
      <alignment horizontal="center" vertical="center"/>
      <protection hidden="1"/>
    </xf>
    <xf numFmtId="1" fontId="43" fillId="2" borderId="8" xfId="2" applyNumberFormat="1" applyFont="1" applyFill="1" applyBorder="1" applyAlignment="1" applyProtection="1">
      <alignment horizontal="center" vertical="center"/>
      <protection hidden="1"/>
    </xf>
    <xf numFmtId="1" fontId="43" fillId="10" borderId="13" xfId="2" applyNumberFormat="1" applyFont="1" applyFill="1" applyBorder="1" applyAlignment="1" applyProtection="1">
      <alignment horizontal="center" vertical="center"/>
      <protection hidden="1"/>
    </xf>
    <xf numFmtId="1" fontId="43" fillId="10" borderId="7" xfId="2" applyNumberFormat="1" applyFont="1" applyFill="1" applyBorder="1" applyAlignment="1" applyProtection="1">
      <alignment horizontal="center" vertical="center"/>
      <protection hidden="1"/>
    </xf>
    <xf numFmtId="167" fontId="34" fillId="13" borderId="14" xfId="2" applyNumberFormat="1" applyFont="1" applyFill="1" applyBorder="1" applyAlignment="1" applyProtection="1">
      <alignment horizontal="center" vertical="center"/>
      <protection hidden="1"/>
    </xf>
    <xf numFmtId="0" fontId="15" fillId="15" borderId="0" xfId="0" applyFont="1" applyFill="1" applyAlignment="1">
      <alignment horizontal="center" vertical="center"/>
    </xf>
    <xf numFmtId="0" fontId="19" fillId="4" borderId="0" xfId="0" applyFont="1" applyFill="1" applyAlignment="1">
      <alignment horizontal="left" vertical="center" wrapText="1"/>
    </xf>
    <xf numFmtId="0" fontId="10" fillId="14" borderId="0" xfId="0" applyFont="1" applyFill="1" applyAlignment="1">
      <alignment horizontal="center" vertical="center"/>
    </xf>
    <xf numFmtId="0" fontId="6" fillId="2" borderId="0" xfId="0" applyFont="1" applyFill="1" applyAlignment="1">
      <alignment horizontal="left" vertical="top" wrapText="1"/>
    </xf>
    <xf numFmtId="9" fontId="53" fillId="13" borderId="3" xfId="2" applyFont="1" applyFill="1" applyBorder="1" applyAlignment="1" applyProtection="1">
      <alignment horizontal="center" vertical="center"/>
      <protection locked="0"/>
    </xf>
    <xf numFmtId="9" fontId="8" fillId="13" borderId="11" xfId="2" applyFont="1" applyFill="1" applyBorder="1" applyAlignment="1" applyProtection="1">
      <alignment horizontal="center" vertical="center"/>
      <protection locked="0"/>
    </xf>
    <xf numFmtId="9" fontId="43" fillId="0" borderId="15" xfId="2" applyFont="1" applyFill="1" applyBorder="1" applyAlignment="1" applyProtection="1">
      <alignment horizontal="center" vertical="center"/>
      <protection hidden="1"/>
    </xf>
    <xf numFmtId="166" fontId="8" fillId="13" borderId="4" xfId="2" applyNumberFormat="1" applyFont="1" applyFill="1" applyBorder="1" applyAlignment="1" applyProtection="1">
      <alignment horizontal="center" vertical="center"/>
      <protection locked="0"/>
    </xf>
    <xf numFmtId="9" fontId="8" fillId="13" borderId="4" xfId="2" applyFont="1" applyFill="1" applyBorder="1" applyAlignment="1" applyProtection="1">
      <alignment horizontal="center" vertical="center"/>
      <protection locked="0"/>
    </xf>
    <xf numFmtId="0" fontId="29" fillId="2" borderId="0" xfId="0" applyFont="1" applyFill="1" applyAlignment="1" applyProtection="1">
      <alignment horizontal="right" vertical="center"/>
      <protection hidden="1"/>
    </xf>
    <xf numFmtId="0" fontId="6" fillId="2" borderId="5" xfId="0" applyFont="1" applyFill="1" applyBorder="1" applyAlignment="1" applyProtection="1">
      <alignment horizontal="left" vertical="center" wrapText="1"/>
      <protection hidden="1"/>
    </xf>
    <xf numFmtId="0" fontId="6" fillId="2" borderId="4" xfId="0" applyFont="1" applyFill="1" applyBorder="1" applyAlignment="1" applyProtection="1">
      <alignment horizontal="left" vertical="center" wrapText="1"/>
      <protection hidden="1"/>
    </xf>
    <xf numFmtId="0" fontId="7" fillId="2" borderId="4" xfId="0" applyFont="1" applyFill="1" applyBorder="1" applyAlignment="1" applyProtection="1">
      <alignment horizontal="center" vertical="center" wrapText="1"/>
      <protection hidden="1"/>
    </xf>
    <xf numFmtId="1" fontId="8" fillId="13" borderId="4" xfId="2" applyNumberFormat="1"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hidden="1"/>
    </xf>
    <xf numFmtId="0" fontId="7" fillId="2" borderId="6" xfId="0" applyFont="1" applyFill="1" applyBorder="1" applyAlignment="1" applyProtection="1">
      <alignment horizontal="center" vertical="center" wrapText="1"/>
      <protection hidden="1"/>
    </xf>
    <xf numFmtId="0" fontId="7" fillId="2" borderId="8" xfId="0" applyFont="1" applyFill="1" applyBorder="1" applyAlignment="1" applyProtection="1">
      <alignment horizontal="center" vertical="center" wrapText="1"/>
      <protection hidden="1"/>
    </xf>
    <xf numFmtId="0" fontId="38" fillId="3" borderId="0" xfId="0" applyFont="1" applyFill="1" applyAlignment="1" applyProtection="1">
      <alignment horizontal="center" vertical="center"/>
      <protection hidden="1"/>
    </xf>
    <xf numFmtId="1" fontId="34" fillId="13" borderId="6" xfId="2" applyNumberFormat="1" applyFont="1" applyFill="1" applyBorder="1" applyAlignment="1" applyProtection="1">
      <alignment horizontal="center" vertical="center"/>
      <protection locked="0"/>
    </xf>
    <xf numFmtId="0" fontId="6" fillId="4" borderId="5" xfId="0" applyFont="1" applyFill="1" applyBorder="1" applyAlignment="1" applyProtection="1">
      <alignment horizontal="left" vertical="center" wrapText="1"/>
      <protection hidden="1"/>
    </xf>
    <xf numFmtId="0" fontId="6" fillId="4" borderId="4" xfId="0" applyFont="1" applyFill="1" applyBorder="1" applyAlignment="1" applyProtection="1">
      <alignment horizontal="left" vertical="center" wrapText="1"/>
      <protection hidden="1"/>
    </xf>
    <xf numFmtId="0" fontId="6" fillId="20" borderId="0" xfId="0" applyFont="1" applyFill="1"/>
    <xf numFmtId="0" fontId="78" fillId="20" borderId="0" xfId="0" applyFont="1" applyFill="1" applyAlignment="1" applyProtection="1">
      <alignment horizontal="center" vertical="center"/>
      <protection hidden="1"/>
    </xf>
    <xf numFmtId="0" fontId="29" fillId="20" borderId="0" xfId="0" applyFont="1" applyFill="1" applyAlignment="1" applyProtection="1">
      <alignment horizontal="center" vertical="center"/>
      <protection hidden="1"/>
    </xf>
    <xf numFmtId="0" fontId="29" fillId="20" borderId="0" xfId="0" applyFont="1" applyFill="1" applyAlignment="1" applyProtection="1">
      <alignment horizontal="center"/>
      <protection hidden="1"/>
    </xf>
    <xf numFmtId="0" fontId="29" fillId="4" borderId="0" xfId="0" applyFont="1" applyFill="1" applyAlignment="1" applyProtection="1">
      <alignment horizontal="center" vertical="center"/>
      <protection hidden="1"/>
    </xf>
    <xf numFmtId="168" fontId="8" fillId="13" borderId="6" xfId="1" applyNumberFormat="1" applyFont="1" applyFill="1" applyBorder="1" applyAlignment="1" applyProtection="1">
      <alignment horizontal="center" vertical="center"/>
      <protection hidden="1"/>
    </xf>
    <xf numFmtId="168" fontId="43" fillId="2" borderId="8" xfId="1" applyNumberFormat="1" applyFont="1" applyFill="1" applyBorder="1" applyAlignment="1" applyProtection="1">
      <alignment horizontal="center" vertical="center"/>
      <protection hidden="1"/>
    </xf>
    <xf numFmtId="168" fontId="8" fillId="13" borderId="4" xfId="2" applyNumberFormat="1" applyFont="1" applyFill="1" applyBorder="1" applyAlignment="1" applyProtection="1">
      <alignment horizontal="center" vertical="center"/>
      <protection locked="0"/>
    </xf>
    <xf numFmtId="168" fontId="8" fillId="13" borderId="1" xfId="2" applyNumberFormat="1" applyFont="1" applyFill="1" applyBorder="1" applyAlignment="1" applyProtection="1">
      <alignment horizontal="center" vertical="center"/>
      <protection locked="0"/>
    </xf>
    <xf numFmtId="169" fontId="8" fillId="13" borderId="7" xfId="0" applyNumberFormat="1" applyFont="1" applyFill="1" applyBorder="1" applyAlignment="1" applyProtection="1">
      <alignment horizontal="center" vertical="center"/>
      <protection locked="0"/>
    </xf>
    <xf numFmtId="170" fontId="8" fillId="13" borderId="6" xfId="0" applyNumberFormat="1" applyFont="1" applyFill="1" applyBorder="1" applyAlignment="1" applyProtection="1">
      <alignment horizontal="center" vertical="center" wrapText="1"/>
      <protection locked="0"/>
    </xf>
    <xf numFmtId="170" fontId="8" fillId="13" borderId="1" xfId="0" applyNumberFormat="1" applyFont="1" applyFill="1" applyBorder="1" applyAlignment="1" applyProtection="1">
      <alignment horizontal="center" vertical="center" wrapText="1"/>
      <protection locked="0"/>
    </xf>
    <xf numFmtId="169" fontId="22" fillId="2" borderId="0" xfId="0" applyNumberFormat="1" applyFont="1" applyFill="1" applyAlignment="1" applyProtection="1">
      <alignment horizontal="center" vertical="center"/>
      <protection hidden="1"/>
    </xf>
    <xf numFmtId="169" fontId="22" fillId="2" borderId="2" xfId="0" applyNumberFormat="1" applyFont="1" applyFill="1" applyBorder="1" applyAlignment="1" applyProtection="1">
      <alignment horizontal="center" vertical="center"/>
      <protection hidden="1"/>
    </xf>
    <xf numFmtId="170" fontId="8" fillId="2" borderId="1" xfId="0" applyNumberFormat="1" applyFont="1" applyFill="1" applyBorder="1" applyAlignment="1" applyProtection="1">
      <alignment horizontal="center" vertical="center"/>
      <protection hidden="1"/>
    </xf>
    <xf numFmtId="170" fontId="69" fillId="2" borderId="1" xfId="0" applyNumberFormat="1" applyFont="1" applyFill="1" applyBorder="1" applyAlignment="1" applyProtection="1">
      <alignment horizontal="center" vertical="center"/>
      <protection hidden="1"/>
    </xf>
    <xf numFmtId="170" fontId="6" fillId="2" borderId="1" xfId="0" applyNumberFormat="1" applyFont="1" applyFill="1" applyBorder="1" applyAlignment="1" applyProtection="1">
      <alignment horizontal="center" vertical="center"/>
      <protection hidden="1"/>
    </xf>
    <xf numFmtId="0" fontId="89" fillId="2" borderId="0" xfId="0" applyFont="1" applyFill="1" applyAlignment="1">
      <alignment horizontal="left" vertical="center" wrapText="1"/>
    </xf>
    <xf numFmtId="0" fontId="94" fillId="2" borderId="0" xfId="0" applyFont="1" applyFill="1" applyAlignment="1">
      <alignment horizontal="left" vertical="center" wrapText="1"/>
    </xf>
    <xf numFmtId="0" fontId="15" fillId="15" borderId="0" xfId="0" applyFont="1" applyFill="1" applyAlignment="1">
      <alignment horizontal="center" vertical="center"/>
    </xf>
    <xf numFmtId="0" fontId="91" fillId="2" borderId="0" xfId="0" applyFont="1" applyFill="1" applyAlignment="1">
      <alignment horizontal="left" vertical="center" wrapText="1"/>
    </xf>
    <xf numFmtId="0" fontId="21" fillId="2" borderId="0" xfId="0" applyFont="1" applyFill="1" applyAlignment="1">
      <alignment horizontal="left" vertical="center" wrapText="1"/>
    </xf>
    <xf numFmtId="0" fontId="18" fillId="4" borderId="0" xfId="0" applyFont="1" applyFill="1" applyAlignment="1">
      <alignment horizontal="left" vertical="center" wrapText="1"/>
    </xf>
    <xf numFmtId="0" fontId="17" fillId="4" borderId="0" xfId="0" applyFont="1" applyFill="1" applyAlignment="1">
      <alignment horizontal="left" vertical="center" wrapText="1"/>
    </xf>
    <xf numFmtId="49" fontId="25" fillId="2" borderId="0" xfId="0" applyNumberFormat="1" applyFont="1" applyFill="1" applyAlignment="1">
      <alignment horizontal="right" vertical="center" wrapText="1"/>
    </xf>
    <xf numFmtId="0" fontId="19" fillId="4" borderId="0" xfId="0" applyFont="1" applyFill="1" applyAlignment="1">
      <alignment horizontal="left" vertical="center" wrapText="1"/>
    </xf>
    <xf numFmtId="0" fontId="10" fillId="14" borderId="0" xfId="0" applyFont="1" applyFill="1" applyAlignment="1">
      <alignment horizontal="center" vertical="center"/>
    </xf>
    <xf numFmtId="0" fontId="6" fillId="10" borderId="12" xfId="0" applyFont="1" applyFill="1" applyBorder="1" applyAlignment="1">
      <alignment horizontal="left" vertical="center" wrapText="1"/>
    </xf>
    <xf numFmtId="0" fontId="6" fillId="10" borderId="0" xfId="0" applyFont="1" applyFill="1" applyAlignment="1">
      <alignment horizontal="left" vertical="center" wrapText="1"/>
    </xf>
    <xf numFmtId="0" fontId="6" fillId="10" borderId="0" xfId="0" applyFont="1" applyFill="1" applyAlignment="1">
      <alignment horizontal="left" vertical="top" wrapText="1"/>
    </xf>
    <xf numFmtId="0" fontId="13" fillId="10" borderId="9" xfId="0" applyFont="1" applyFill="1" applyBorder="1" applyAlignment="1">
      <alignment horizontal="center" vertical="center"/>
    </xf>
    <xf numFmtId="0" fontId="13" fillId="10" borderId="10" xfId="0" applyFont="1" applyFill="1" applyBorder="1" applyAlignment="1">
      <alignment horizontal="center" vertical="center"/>
    </xf>
    <xf numFmtId="0" fontId="13" fillId="10" borderId="11" xfId="0" applyFont="1" applyFill="1" applyBorder="1" applyAlignment="1">
      <alignment horizontal="center" vertical="center"/>
    </xf>
    <xf numFmtId="0" fontId="7" fillId="12" borderId="1" xfId="0" applyFont="1" applyFill="1" applyBorder="1" applyAlignment="1">
      <alignment horizontal="center" vertical="center" wrapText="1"/>
    </xf>
    <xf numFmtId="0" fontId="6" fillId="10" borderId="1" xfId="0" applyFont="1" applyFill="1" applyBorder="1" applyAlignment="1">
      <alignment horizontal="left" vertical="center" wrapText="1"/>
    </xf>
    <xf numFmtId="0" fontId="7" fillId="12" borderId="6" xfId="0" applyFont="1" applyFill="1" applyBorder="1" applyAlignment="1">
      <alignment horizontal="center" vertical="center" wrapText="1"/>
    </xf>
    <xf numFmtId="0" fontId="6" fillId="10" borderId="3" xfId="0" applyFont="1" applyFill="1" applyBorder="1" applyAlignment="1">
      <alignment horizontal="left" vertical="center" wrapText="1"/>
    </xf>
    <xf numFmtId="0" fontId="6" fillId="10" borderId="5" xfId="0" applyFont="1" applyFill="1" applyBorder="1" applyAlignment="1">
      <alignment horizontal="left" vertical="center" wrapText="1"/>
    </xf>
    <xf numFmtId="0" fontId="6" fillId="10" borderId="4" xfId="0" applyFont="1" applyFill="1" applyBorder="1" applyAlignment="1">
      <alignment horizontal="left" vertical="center" wrapText="1"/>
    </xf>
    <xf numFmtId="0" fontId="6" fillId="10" borderId="12" xfId="0" applyFont="1" applyFill="1" applyBorder="1" applyAlignment="1">
      <alignment horizontal="right" vertical="center" wrapText="1"/>
    </xf>
    <xf numFmtId="0" fontId="6" fillId="10" borderId="0" xfId="0" applyFont="1" applyFill="1" applyAlignment="1">
      <alignment horizontal="right" vertical="center" wrapText="1"/>
    </xf>
    <xf numFmtId="0" fontId="6" fillId="10" borderId="14" xfId="0" applyFont="1" applyFill="1" applyBorder="1" applyAlignment="1">
      <alignment horizontal="right" vertical="center" wrapText="1"/>
    </xf>
    <xf numFmtId="0" fontId="6" fillId="10" borderId="2" xfId="0" applyFont="1" applyFill="1" applyBorder="1" applyAlignment="1">
      <alignment horizontal="right" vertical="center" wrapText="1"/>
    </xf>
    <xf numFmtId="0" fontId="13" fillId="10" borderId="9"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3" fillId="10" borderId="11" xfId="0" applyFont="1" applyFill="1" applyBorder="1" applyAlignment="1">
      <alignment horizontal="center" vertical="center" wrapText="1"/>
    </xf>
    <xf numFmtId="0" fontId="11" fillId="18" borderId="0" xfId="3" applyFont="1" applyFill="1" applyBorder="1" applyAlignment="1">
      <alignment horizontal="left" vertical="center" wrapText="1"/>
    </xf>
    <xf numFmtId="0" fontId="11" fillId="18" borderId="13" xfId="3" applyFont="1" applyFill="1" applyBorder="1" applyAlignment="1">
      <alignment horizontal="left" vertical="center" wrapText="1"/>
    </xf>
    <xf numFmtId="0" fontId="11" fillId="10" borderId="0" xfId="3" applyFont="1" applyFill="1" applyBorder="1" applyAlignment="1">
      <alignment horizontal="left" vertical="center" wrapText="1"/>
    </xf>
    <xf numFmtId="0" fontId="11" fillId="10" borderId="13" xfId="3" applyFont="1" applyFill="1" applyBorder="1" applyAlignment="1">
      <alignment horizontal="left" vertical="center" wrapText="1"/>
    </xf>
    <xf numFmtId="0" fontId="11" fillId="10" borderId="2" xfId="3" applyFont="1" applyFill="1" applyBorder="1" applyAlignment="1">
      <alignment horizontal="left" vertical="center" wrapText="1"/>
    </xf>
    <xf numFmtId="0" fontId="11" fillId="10" borderId="15" xfId="3" applyFont="1" applyFill="1" applyBorder="1" applyAlignment="1">
      <alignment horizontal="left" vertical="center" wrapText="1"/>
    </xf>
    <xf numFmtId="0" fontId="6" fillId="2" borderId="0" xfId="0" applyFont="1" applyFill="1" applyAlignment="1">
      <alignment horizontal="left" vertical="top" wrapText="1"/>
    </xf>
    <xf numFmtId="0" fontId="10" fillId="9" borderId="0" xfId="0" applyFont="1" applyFill="1" applyAlignment="1">
      <alignment horizontal="center" vertical="center"/>
    </xf>
    <xf numFmtId="0" fontId="10" fillId="7" borderId="0" xfId="0" applyFont="1" applyFill="1" applyAlignment="1">
      <alignment horizontal="center" vertical="center"/>
    </xf>
    <xf numFmtId="0" fontId="8" fillId="6" borderId="0" xfId="0" applyFont="1" applyFill="1" applyAlignment="1">
      <alignment horizontal="center" vertical="center"/>
    </xf>
    <xf numFmtId="0" fontId="10" fillId="11" borderId="3" xfId="0" applyFont="1" applyFill="1" applyBorder="1" applyAlignment="1">
      <alignment horizontal="center"/>
    </xf>
    <xf numFmtId="0" fontId="10" fillId="11" borderId="5" xfId="0" applyFont="1" applyFill="1" applyBorder="1" applyAlignment="1">
      <alignment horizontal="center"/>
    </xf>
    <xf numFmtId="0" fontId="10" fillId="11" borderId="4" xfId="0" applyFont="1" applyFill="1" applyBorder="1" applyAlignment="1">
      <alignment horizontal="center"/>
    </xf>
    <xf numFmtId="0" fontId="6" fillId="10" borderId="3"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8" borderId="0" xfId="0" applyFont="1" applyFill="1" applyAlignment="1">
      <alignment horizontal="center" vertical="center" wrapText="1"/>
    </xf>
    <xf numFmtId="0" fontId="6" fillId="3" borderId="0" xfId="0" applyFont="1" applyFill="1" applyAlignment="1">
      <alignment horizontal="center" vertical="center" wrapText="1"/>
    </xf>
    <xf numFmtId="9" fontId="53" fillId="13" borderId="3" xfId="2" applyFont="1" applyFill="1" applyBorder="1" applyAlignment="1" applyProtection="1">
      <alignment horizontal="center" vertical="center"/>
      <protection locked="0"/>
    </xf>
    <xf numFmtId="9" fontId="53" fillId="13" borderId="5" xfId="2" applyFont="1" applyFill="1" applyBorder="1" applyAlignment="1" applyProtection="1">
      <alignment horizontal="center" vertical="center"/>
      <protection locked="0"/>
    </xf>
    <xf numFmtId="9" fontId="53" fillId="13" borderId="4" xfId="2" applyFont="1" applyFill="1" applyBorder="1" applyAlignment="1" applyProtection="1">
      <alignment horizontal="center" vertical="center"/>
      <protection locked="0"/>
    </xf>
    <xf numFmtId="1" fontId="82" fillId="10" borderId="12" xfId="2" applyNumberFormat="1" applyFont="1" applyFill="1" applyBorder="1" applyAlignment="1" applyProtection="1">
      <alignment horizontal="center" vertical="center" wrapText="1"/>
      <protection hidden="1"/>
    </xf>
    <xf numFmtId="1" fontId="82" fillId="10" borderId="0" xfId="2" applyNumberFormat="1" applyFont="1" applyFill="1" applyBorder="1" applyAlignment="1" applyProtection="1">
      <alignment horizontal="center" vertical="center" wrapText="1"/>
      <protection hidden="1"/>
    </xf>
    <xf numFmtId="0" fontId="39" fillId="12" borderId="0" xfId="0" applyFont="1" applyFill="1" applyAlignment="1" applyProtection="1">
      <alignment horizontal="center" vertical="center"/>
      <protection hidden="1"/>
    </xf>
    <xf numFmtId="1" fontId="34" fillId="13" borderId="9" xfId="2" applyNumberFormat="1" applyFont="1" applyFill="1" applyBorder="1" applyAlignment="1" applyProtection="1">
      <alignment horizontal="center" vertical="center"/>
      <protection locked="0"/>
    </xf>
    <xf numFmtId="1" fontId="34" fillId="13" borderId="10" xfId="2" applyNumberFormat="1" applyFont="1" applyFill="1" applyBorder="1" applyAlignment="1" applyProtection="1">
      <alignment horizontal="center" vertical="center"/>
      <protection locked="0"/>
    </xf>
    <xf numFmtId="1" fontId="34" fillId="13" borderId="11" xfId="2" applyNumberFormat="1" applyFont="1" applyFill="1" applyBorder="1" applyAlignment="1" applyProtection="1">
      <alignment horizontal="center" vertical="center"/>
      <protection locked="0"/>
    </xf>
    <xf numFmtId="1" fontId="43" fillId="2" borderId="14" xfId="2" applyNumberFormat="1" applyFont="1" applyFill="1" applyBorder="1" applyAlignment="1" applyProtection="1">
      <alignment horizontal="center" vertical="center"/>
      <protection hidden="1"/>
    </xf>
    <xf numFmtId="1" fontId="43" fillId="2" borderId="2" xfId="2" applyNumberFormat="1" applyFont="1" applyFill="1" applyBorder="1" applyAlignment="1" applyProtection="1">
      <alignment horizontal="center" vertical="center"/>
      <protection hidden="1"/>
    </xf>
    <xf numFmtId="1" fontId="43" fillId="2" borderId="15" xfId="2" applyNumberFormat="1" applyFont="1" applyFill="1" applyBorder="1" applyAlignment="1" applyProtection="1">
      <alignment horizontal="center" vertical="center"/>
      <protection hidden="1"/>
    </xf>
    <xf numFmtId="167" fontId="34" fillId="2" borderId="3" xfId="2" applyNumberFormat="1" applyFont="1" applyFill="1" applyBorder="1" applyAlignment="1" applyProtection="1">
      <alignment horizontal="center" vertical="center"/>
      <protection hidden="1"/>
    </xf>
    <xf numFmtId="167" fontId="34" fillId="2" borderId="5" xfId="2" applyNumberFormat="1" applyFont="1" applyFill="1" applyBorder="1" applyAlignment="1" applyProtection="1">
      <alignment horizontal="center" vertical="center"/>
      <protection hidden="1"/>
    </xf>
    <xf numFmtId="167" fontId="34" fillId="2" borderId="4" xfId="2" applyNumberFormat="1" applyFont="1" applyFill="1" applyBorder="1" applyAlignment="1" applyProtection="1">
      <alignment horizontal="center" vertical="center"/>
      <protection hidden="1"/>
    </xf>
    <xf numFmtId="9" fontId="8" fillId="13" borderId="9" xfId="2" applyFont="1" applyFill="1" applyBorder="1" applyAlignment="1" applyProtection="1">
      <alignment horizontal="center" vertical="center"/>
      <protection locked="0"/>
    </xf>
    <xf numFmtId="9" fontId="8" fillId="13" borderId="10" xfId="2" applyFont="1" applyFill="1" applyBorder="1" applyAlignment="1" applyProtection="1">
      <alignment horizontal="center" vertical="center"/>
      <protection locked="0"/>
    </xf>
    <xf numFmtId="9" fontId="8" fillId="13" borderId="11" xfId="2" applyFont="1" applyFill="1" applyBorder="1" applyAlignment="1" applyProtection="1">
      <alignment horizontal="center" vertical="center"/>
      <protection locked="0"/>
    </xf>
    <xf numFmtId="9" fontId="43" fillId="0" borderId="14" xfId="2" applyFont="1" applyFill="1" applyBorder="1" applyAlignment="1" applyProtection="1">
      <alignment horizontal="center" vertical="center"/>
      <protection hidden="1"/>
    </xf>
    <xf numFmtId="9" fontId="43" fillId="0" borderId="2" xfId="2" applyFont="1" applyFill="1" applyBorder="1" applyAlignment="1" applyProtection="1">
      <alignment horizontal="center" vertical="center"/>
      <protection hidden="1"/>
    </xf>
    <xf numFmtId="9" fontId="43" fillId="0" borderId="15" xfId="2" applyFont="1" applyFill="1" applyBorder="1" applyAlignment="1" applyProtection="1">
      <alignment horizontal="center" vertical="center"/>
      <protection hidden="1"/>
    </xf>
    <xf numFmtId="2" fontId="34" fillId="2" borderId="3" xfId="0" applyNumberFormat="1" applyFont="1" applyFill="1" applyBorder="1" applyAlignment="1" applyProtection="1">
      <alignment horizontal="center" vertical="center"/>
      <protection hidden="1"/>
    </xf>
    <xf numFmtId="2" fontId="34" fillId="2" borderId="5" xfId="0" applyNumberFormat="1" applyFont="1" applyFill="1" applyBorder="1" applyAlignment="1" applyProtection="1">
      <alignment horizontal="center" vertical="center"/>
      <protection hidden="1"/>
    </xf>
    <xf numFmtId="2" fontId="34" fillId="2" borderId="4" xfId="0" applyNumberFormat="1" applyFont="1" applyFill="1" applyBorder="1" applyAlignment="1" applyProtection="1">
      <alignment horizontal="center" vertical="center"/>
      <protection hidden="1"/>
    </xf>
    <xf numFmtId="166" fontId="8" fillId="13" borderId="3" xfId="2" applyNumberFormat="1" applyFont="1" applyFill="1" applyBorder="1" applyAlignment="1" applyProtection="1">
      <alignment horizontal="center" vertical="center"/>
      <protection locked="0"/>
    </xf>
    <xf numFmtId="166" fontId="8" fillId="13" borderId="5" xfId="2" applyNumberFormat="1" applyFont="1" applyFill="1" applyBorder="1" applyAlignment="1" applyProtection="1">
      <alignment horizontal="center" vertical="center"/>
      <protection locked="0"/>
    </xf>
    <xf numFmtId="166" fontId="8" fillId="13" borderId="4" xfId="2" applyNumberFormat="1" applyFont="1" applyFill="1" applyBorder="1" applyAlignment="1" applyProtection="1">
      <alignment horizontal="center" vertical="center"/>
      <protection locked="0"/>
    </xf>
    <xf numFmtId="9" fontId="8" fillId="13" borderId="3" xfId="2" applyFont="1" applyFill="1" applyBorder="1" applyAlignment="1" applyProtection="1">
      <alignment horizontal="center" vertical="center"/>
      <protection locked="0"/>
    </xf>
    <xf numFmtId="9" fontId="8" fillId="13" borderId="5" xfId="2" applyFont="1" applyFill="1" applyBorder="1" applyAlignment="1" applyProtection="1">
      <alignment horizontal="center" vertical="center"/>
      <protection locked="0"/>
    </xf>
    <xf numFmtId="9" fontId="8" fillId="13" borderId="4" xfId="2" applyFont="1" applyFill="1" applyBorder="1" applyAlignment="1" applyProtection="1">
      <alignment horizontal="center" vertical="center"/>
      <protection locked="0"/>
    </xf>
    <xf numFmtId="9" fontId="84" fillId="13" borderId="25" xfId="2" applyFont="1" applyFill="1" applyBorder="1" applyAlignment="1" applyProtection="1">
      <alignment horizontal="center" vertical="center"/>
      <protection locked="0"/>
    </xf>
    <xf numFmtId="9" fontId="84" fillId="13" borderId="5" xfId="2" applyFont="1" applyFill="1" applyBorder="1" applyAlignment="1" applyProtection="1">
      <alignment horizontal="center" vertical="center"/>
      <protection locked="0"/>
    </xf>
    <xf numFmtId="9" fontId="84" fillId="13" borderId="4" xfId="2" applyFont="1" applyFill="1" applyBorder="1" applyAlignment="1" applyProtection="1">
      <alignment horizontal="center" vertical="center"/>
      <protection locked="0"/>
    </xf>
    <xf numFmtId="0" fontId="33" fillId="10" borderId="0" xfId="0" applyFont="1" applyFill="1" applyAlignment="1" applyProtection="1">
      <alignment horizontal="left" vertical="center" wrapText="1"/>
      <protection hidden="1"/>
    </xf>
    <xf numFmtId="0" fontId="7" fillId="2" borderId="3" xfId="0" applyFont="1" applyFill="1" applyBorder="1" applyAlignment="1" applyProtection="1">
      <alignment horizontal="center" vertical="center"/>
      <protection hidden="1"/>
    </xf>
    <xf numFmtId="0" fontId="7" fillId="2" borderId="5"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protection hidden="1"/>
    </xf>
    <xf numFmtId="0" fontId="15" fillId="11" borderId="0" xfId="0" applyFont="1" applyFill="1" applyAlignment="1" applyProtection="1">
      <alignment horizontal="center" vertical="center"/>
      <protection hidden="1"/>
    </xf>
    <xf numFmtId="0" fontId="8" fillId="10" borderId="2" xfId="0" applyFont="1" applyFill="1" applyBorder="1" applyAlignment="1" applyProtection="1">
      <alignment horizontal="left"/>
      <protection hidden="1"/>
    </xf>
    <xf numFmtId="9" fontId="34" fillId="5" borderId="3" xfId="2" applyFont="1" applyFill="1" applyBorder="1" applyAlignment="1" applyProtection="1">
      <alignment horizontal="center" vertical="center"/>
      <protection locked="0"/>
    </xf>
    <xf numFmtId="9" fontId="34" fillId="5" borderId="5" xfId="2" applyFont="1" applyFill="1" applyBorder="1" applyAlignment="1" applyProtection="1">
      <alignment horizontal="center" vertical="center"/>
      <protection locked="0"/>
    </xf>
    <xf numFmtId="9" fontId="34" fillId="5" borderId="4" xfId="2" applyFont="1" applyFill="1" applyBorder="1" applyAlignment="1" applyProtection="1">
      <alignment horizontal="center" vertical="center"/>
      <protection locked="0"/>
    </xf>
    <xf numFmtId="0" fontId="52" fillId="14" borderId="0" xfId="0" applyFont="1" applyFill="1" applyAlignment="1" applyProtection="1">
      <alignment horizontal="center" vertical="center"/>
      <protection hidden="1"/>
    </xf>
    <xf numFmtId="0" fontId="6" fillId="2" borderId="5" xfId="0" applyFont="1" applyFill="1" applyBorder="1" applyAlignment="1" applyProtection="1">
      <alignment horizontal="left" vertical="center"/>
      <protection hidden="1"/>
    </xf>
    <xf numFmtId="0" fontId="6" fillId="2" borderId="4" xfId="0" applyFont="1" applyFill="1" applyBorder="1" applyAlignment="1" applyProtection="1">
      <alignment horizontal="left" vertical="center"/>
      <protection hidden="1"/>
    </xf>
    <xf numFmtId="0" fontId="6" fillId="4" borderId="5" xfId="0" applyFont="1" applyFill="1" applyBorder="1" applyAlignment="1" applyProtection="1">
      <alignment horizontal="left" vertical="center" wrapText="1"/>
      <protection hidden="1"/>
    </xf>
    <xf numFmtId="0" fontId="6" fillId="4" borderId="4" xfId="0" applyFont="1" applyFill="1" applyBorder="1" applyAlignment="1" applyProtection="1">
      <alignment horizontal="left" vertical="center" wrapText="1"/>
      <protection hidden="1"/>
    </xf>
    <xf numFmtId="0" fontId="6" fillId="2" borderId="5" xfId="0" applyFont="1" applyFill="1" applyBorder="1" applyAlignment="1" applyProtection="1">
      <alignment horizontal="left" vertical="center" wrapText="1"/>
      <protection hidden="1"/>
    </xf>
    <xf numFmtId="0" fontId="6" fillId="2" borderId="4" xfId="0" applyFont="1" applyFill="1" applyBorder="1" applyAlignment="1" applyProtection="1">
      <alignment horizontal="left" vertical="center" wrapText="1"/>
      <protection hidden="1"/>
    </xf>
    <xf numFmtId="0" fontId="53" fillId="2" borderId="5" xfId="0" applyFont="1" applyFill="1" applyBorder="1" applyAlignment="1" applyProtection="1">
      <alignment horizontal="left" vertical="center" wrapText="1"/>
      <protection hidden="1"/>
    </xf>
    <xf numFmtId="0" fontId="53" fillId="2" borderId="4" xfId="0" applyFont="1" applyFill="1" applyBorder="1" applyAlignment="1" applyProtection="1">
      <alignment horizontal="left" vertical="center" wrapText="1"/>
      <protection hidden="1"/>
    </xf>
    <xf numFmtId="0" fontId="55" fillId="2" borderId="5" xfId="0" applyFont="1" applyFill="1" applyBorder="1" applyAlignment="1" applyProtection="1">
      <alignment horizontal="left" vertical="center" wrapText="1"/>
      <protection hidden="1"/>
    </xf>
    <xf numFmtId="0" fontId="55" fillId="2" borderId="4" xfId="0" applyFont="1" applyFill="1" applyBorder="1" applyAlignment="1" applyProtection="1">
      <alignment horizontal="left" vertical="center" wrapText="1"/>
      <protection hidden="1"/>
    </xf>
    <xf numFmtId="3" fontId="8" fillId="13" borderId="3" xfId="0" applyNumberFormat="1" applyFont="1" applyFill="1" applyBorder="1" applyAlignment="1" applyProtection="1">
      <alignment horizontal="center" vertical="center"/>
      <protection locked="0"/>
    </xf>
    <xf numFmtId="3" fontId="8" fillId="13" borderId="5" xfId="0" applyNumberFormat="1" applyFont="1" applyFill="1" applyBorder="1" applyAlignment="1" applyProtection="1">
      <alignment horizontal="center" vertical="center"/>
      <protection locked="0"/>
    </xf>
    <xf numFmtId="3" fontId="8" fillId="13" borderId="4" xfId="0" applyNumberFormat="1" applyFont="1" applyFill="1" applyBorder="1" applyAlignment="1" applyProtection="1">
      <alignment horizontal="center" vertical="center"/>
      <protection locked="0"/>
    </xf>
    <xf numFmtId="9" fontId="8" fillId="2" borderId="25" xfId="2" applyFont="1" applyFill="1" applyBorder="1" applyAlignment="1" applyProtection="1">
      <alignment horizontal="center" vertical="center"/>
      <protection hidden="1"/>
    </xf>
    <xf numFmtId="9" fontId="8" fillId="2" borderId="5" xfId="2" applyFont="1" applyFill="1" applyBorder="1" applyAlignment="1" applyProtection="1">
      <alignment horizontal="center" vertical="center"/>
      <protection hidden="1"/>
    </xf>
    <xf numFmtId="9" fontId="8" fillId="2" borderId="4" xfId="2" applyFont="1" applyFill="1" applyBorder="1" applyAlignment="1" applyProtection="1">
      <alignment horizontal="center" vertical="center"/>
      <protection hidden="1"/>
    </xf>
    <xf numFmtId="0" fontId="8" fillId="13" borderId="3" xfId="0" applyFont="1" applyFill="1" applyBorder="1" applyAlignment="1" applyProtection="1">
      <alignment horizontal="center" vertical="center"/>
      <protection locked="0"/>
    </xf>
    <xf numFmtId="0" fontId="8" fillId="13" borderId="5" xfId="0" applyFont="1" applyFill="1" applyBorder="1" applyAlignment="1" applyProtection="1">
      <alignment horizontal="center" vertical="center"/>
      <protection locked="0"/>
    </xf>
    <xf numFmtId="0" fontId="8" fillId="13" borderId="4" xfId="0" applyFont="1" applyFill="1" applyBorder="1" applyAlignment="1" applyProtection="1">
      <alignment horizontal="center" vertical="center"/>
      <protection locked="0"/>
    </xf>
    <xf numFmtId="3" fontId="8" fillId="0" borderId="3" xfId="0" applyNumberFormat="1" applyFont="1" applyBorder="1" applyAlignment="1" applyProtection="1">
      <alignment horizontal="center" vertical="center"/>
      <protection hidden="1"/>
    </xf>
    <xf numFmtId="3" fontId="8" fillId="0" borderId="5" xfId="0" applyNumberFormat="1" applyFont="1" applyBorder="1" applyAlignment="1" applyProtection="1">
      <alignment horizontal="center" vertical="center"/>
      <protection hidden="1"/>
    </xf>
    <xf numFmtId="3" fontId="8" fillId="0" borderId="4" xfId="0" applyNumberFormat="1" applyFont="1" applyBorder="1" applyAlignment="1" applyProtection="1">
      <alignment horizontal="center" vertical="center"/>
      <protection hidden="1"/>
    </xf>
    <xf numFmtId="169" fontId="8" fillId="13" borderId="12" xfId="0" applyNumberFormat="1" applyFont="1" applyFill="1" applyBorder="1" applyAlignment="1" applyProtection="1">
      <alignment horizontal="center" vertical="center"/>
      <protection locked="0"/>
    </xf>
    <xf numFmtId="169" fontId="8" fillId="13" borderId="0" xfId="0" applyNumberFormat="1" applyFont="1" applyFill="1" applyAlignment="1" applyProtection="1">
      <alignment horizontal="center" vertical="center"/>
      <protection locked="0"/>
    </xf>
    <xf numFmtId="169" fontId="8" fillId="13" borderId="13" xfId="0" applyNumberFormat="1" applyFont="1" applyFill="1" applyBorder="1" applyAlignment="1" applyProtection="1">
      <alignment horizontal="center" vertical="center"/>
      <protection locked="0"/>
    </xf>
    <xf numFmtId="164" fontId="8" fillId="13" borderId="14" xfId="0" applyNumberFormat="1" applyFont="1" applyFill="1" applyBorder="1" applyAlignment="1" applyProtection="1">
      <alignment horizontal="center" vertical="center"/>
      <protection locked="0"/>
    </xf>
    <xf numFmtId="164" fontId="8" fillId="13" borderId="2" xfId="0" applyNumberFormat="1" applyFont="1" applyFill="1" applyBorder="1" applyAlignment="1" applyProtection="1">
      <alignment horizontal="center" vertical="center"/>
      <protection locked="0"/>
    </xf>
    <xf numFmtId="164" fontId="8" fillId="13" borderId="15" xfId="0" applyNumberFormat="1" applyFont="1" applyFill="1" applyBorder="1" applyAlignment="1" applyProtection="1">
      <alignment horizontal="center" vertical="center"/>
      <protection locked="0"/>
    </xf>
    <xf numFmtId="0" fontId="29" fillId="2" borderId="0" xfId="0" applyFont="1" applyFill="1" applyAlignment="1" applyProtection="1">
      <alignment horizontal="right" vertical="center"/>
      <protection hidden="1"/>
    </xf>
    <xf numFmtId="170" fontId="8" fillId="13" borderId="3" xfId="0" applyNumberFormat="1" applyFont="1" applyFill="1" applyBorder="1" applyAlignment="1" applyProtection="1">
      <alignment horizontal="center" vertical="center" wrapText="1"/>
      <protection locked="0"/>
    </xf>
    <xf numFmtId="170" fontId="8" fillId="13" borderId="5" xfId="0" applyNumberFormat="1" applyFont="1" applyFill="1" applyBorder="1" applyAlignment="1" applyProtection="1">
      <alignment horizontal="center" vertical="center" wrapText="1"/>
      <protection locked="0"/>
    </xf>
    <xf numFmtId="170" fontId="8" fillId="13" borderId="4" xfId="0" applyNumberFormat="1" applyFont="1" applyFill="1" applyBorder="1" applyAlignment="1" applyProtection="1">
      <alignment horizontal="center" vertical="center" wrapText="1"/>
      <protection locked="0"/>
    </xf>
    <xf numFmtId="164" fontId="8" fillId="13" borderId="9" xfId="0" applyNumberFormat="1" applyFont="1" applyFill="1" applyBorder="1" applyAlignment="1" applyProtection="1">
      <alignment horizontal="center" vertical="center"/>
      <protection locked="0"/>
    </xf>
    <xf numFmtId="164" fontId="8" fillId="13" borderId="10" xfId="0" applyNumberFormat="1" applyFont="1" applyFill="1" applyBorder="1" applyAlignment="1" applyProtection="1">
      <alignment horizontal="center" vertical="center"/>
      <protection locked="0"/>
    </xf>
    <xf numFmtId="164" fontId="8" fillId="13" borderId="11" xfId="0" applyNumberFormat="1" applyFont="1" applyFill="1" applyBorder="1" applyAlignment="1" applyProtection="1">
      <alignment horizontal="center" vertical="center"/>
      <protection locked="0"/>
    </xf>
    <xf numFmtId="168" fontId="43" fillId="2" borderId="2" xfId="1" applyNumberFormat="1" applyFont="1" applyFill="1" applyBorder="1" applyAlignment="1" applyProtection="1">
      <alignment horizontal="center" vertical="center"/>
      <protection hidden="1"/>
    </xf>
    <xf numFmtId="168" fontId="43" fillId="2" borderId="15" xfId="1" applyNumberFormat="1" applyFont="1" applyFill="1" applyBorder="1" applyAlignment="1" applyProtection="1">
      <alignment horizontal="center" vertical="center"/>
      <protection hidden="1"/>
    </xf>
    <xf numFmtId="168" fontId="8" fillId="13" borderId="10" xfId="1" applyNumberFormat="1" applyFont="1" applyFill="1" applyBorder="1" applyAlignment="1" applyProtection="1">
      <alignment horizontal="center" vertical="center"/>
      <protection hidden="1"/>
    </xf>
    <xf numFmtId="168" fontId="8" fillId="13" borderId="11" xfId="1" applyNumberFormat="1" applyFont="1" applyFill="1" applyBorder="1" applyAlignment="1" applyProtection="1">
      <alignment horizontal="center" vertical="center"/>
      <protection hidden="1"/>
    </xf>
    <xf numFmtId="168" fontId="8" fillId="13" borderId="3" xfId="2" applyNumberFormat="1" applyFont="1" applyFill="1" applyBorder="1" applyAlignment="1" applyProtection="1">
      <alignment horizontal="center" vertical="center"/>
      <protection locked="0"/>
    </xf>
    <xf numFmtId="168" fontId="8" fillId="13" borderId="5" xfId="2" applyNumberFormat="1" applyFont="1" applyFill="1" applyBorder="1" applyAlignment="1" applyProtection="1">
      <alignment horizontal="center" vertical="center"/>
      <protection locked="0"/>
    </xf>
    <xf numFmtId="168" fontId="8" fillId="13" borderId="4" xfId="2" applyNumberFormat="1" applyFont="1" applyFill="1" applyBorder="1" applyAlignment="1" applyProtection="1">
      <alignment horizontal="center" vertical="center"/>
      <protection locked="0"/>
    </xf>
    <xf numFmtId="1" fontId="8" fillId="13" borderId="3" xfId="2" applyNumberFormat="1" applyFont="1" applyFill="1" applyBorder="1" applyAlignment="1" applyProtection="1">
      <alignment horizontal="center" vertical="center"/>
      <protection locked="0"/>
    </xf>
    <xf numFmtId="1" fontId="8" fillId="13" borderId="5" xfId="2" applyNumberFormat="1" applyFont="1" applyFill="1" applyBorder="1" applyAlignment="1" applyProtection="1">
      <alignment horizontal="center" vertical="center"/>
      <protection locked="0"/>
    </xf>
    <xf numFmtId="1" fontId="8" fillId="13" borderId="4" xfId="2" applyNumberFormat="1"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wrapText="1"/>
      <protection hidden="1"/>
    </xf>
    <xf numFmtId="0" fontId="7" fillId="2" borderId="5" xfId="0" applyFont="1" applyFill="1" applyBorder="1" applyAlignment="1" applyProtection="1">
      <alignment horizontal="center" vertical="center" wrapText="1"/>
      <protection hidden="1"/>
    </xf>
    <xf numFmtId="0" fontId="7" fillId="2" borderId="4" xfId="0" applyFont="1" applyFill="1" applyBorder="1" applyAlignment="1" applyProtection="1">
      <alignment horizontal="center" vertical="center" wrapText="1"/>
      <protection hidden="1"/>
    </xf>
    <xf numFmtId="0" fontId="34" fillId="5" borderId="3" xfId="0" applyFont="1" applyFill="1" applyBorder="1" applyAlignment="1" applyProtection="1">
      <alignment horizontal="center" vertical="center" wrapText="1"/>
      <protection locked="0"/>
    </xf>
    <xf numFmtId="0" fontId="34" fillId="5" borderId="5" xfId="0" applyFont="1" applyFill="1" applyBorder="1" applyAlignment="1" applyProtection="1">
      <alignment horizontal="center" vertical="center" wrapText="1"/>
      <protection locked="0"/>
    </xf>
    <xf numFmtId="0" fontId="34" fillId="5" borderId="4"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hidden="1"/>
    </xf>
    <xf numFmtId="0" fontId="8" fillId="8" borderId="0" xfId="0" applyFont="1" applyFill="1" applyAlignment="1" applyProtection="1">
      <alignment horizontal="left" vertical="center"/>
      <protection hidden="1"/>
    </xf>
    <xf numFmtId="0" fontId="29" fillId="8" borderId="0" xfId="0" applyFont="1" applyFill="1" applyAlignment="1" applyProtection="1">
      <alignment horizontal="center"/>
      <protection hidden="1"/>
    </xf>
    <xf numFmtId="0" fontId="54" fillId="8" borderId="0" xfId="0" applyFont="1" applyFill="1" applyAlignment="1" applyProtection="1">
      <alignment horizontal="left" vertical="center" wrapText="1"/>
      <protection hidden="1"/>
    </xf>
    <xf numFmtId="0" fontId="57" fillId="8" borderId="0" xfId="0" applyFont="1" applyFill="1" applyAlignment="1" applyProtection="1">
      <alignment horizontal="right" vertical="center"/>
      <protection hidden="1"/>
    </xf>
    <xf numFmtId="0" fontId="7" fillId="2" borderId="6" xfId="0" applyFont="1" applyFill="1" applyBorder="1" applyAlignment="1" applyProtection="1">
      <alignment horizontal="center" vertical="center" wrapText="1"/>
      <protection hidden="1"/>
    </xf>
    <xf numFmtId="0" fontId="7" fillId="2" borderId="8" xfId="0" applyFont="1" applyFill="1" applyBorder="1" applyAlignment="1" applyProtection="1">
      <alignment horizontal="center" vertical="center" wrapText="1"/>
      <protection hidden="1"/>
    </xf>
    <xf numFmtId="0" fontId="52" fillId="9" borderId="0" xfId="0" applyFont="1" applyFill="1" applyAlignment="1" applyProtection="1">
      <alignment horizontal="center" vertical="center" wrapText="1"/>
      <protection hidden="1"/>
    </xf>
    <xf numFmtId="0" fontId="39" fillId="16" borderId="0" xfId="0" applyFont="1" applyFill="1" applyAlignment="1" applyProtection="1">
      <alignment horizontal="center" vertical="center" wrapText="1"/>
      <protection hidden="1"/>
    </xf>
    <xf numFmtId="0" fontId="67" fillId="17" borderId="0" xfId="0" applyFont="1" applyFill="1" applyAlignment="1" applyProtection="1">
      <alignment horizontal="center" vertical="center" wrapText="1"/>
      <protection hidden="1"/>
    </xf>
    <xf numFmtId="0" fontId="67" fillId="21" borderId="0" xfId="0" applyFont="1" applyFill="1" applyAlignment="1" applyProtection="1">
      <alignment horizontal="center" vertical="center" wrapText="1"/>
      <protection hidden="1"/>
    </xf>
    <xf numFmtId="0" fontId="29" fillId="20" borderId="0" xfId="0" applyFont="1" applyFill="1" applyAlignment="1" applyProtection="1">
      <alignment horizontal="center"/>
      <protection hidden="1"/>
    </xf>
    <xf numFmtId="0" fontId="38" fillId="3" borderId="0" xfId="0" applyFont="1" applyFill="1" applyAlignment="1" applyProtection="1">
      <alignment horizontal="center" vertical="center"/>
      <protection hidden="1"/>
    </xf>
    <xf numFmtId="0" fontId="39" fillId="17" borderId="0" xfId="0" applyFont="1" applyFill="1" applyAlignment="1" applyProtection="1">
      <alignment horizontal="center" vertical="center"/>
      <protection hidden="1"/>
    </xf>
    <xf numFmtId="0" fontId="52" fillId="7" borderId="0" xfId="0" applyFont="1" applyFill="1" applyAlignment="1" applyProtection="1">
      <alignment horizontal="center" vertical="center"/>
      <protection hidden="1"/>
    </xf>
    <xf numFmtId="0" fontId="11" fillId="10" borderId="2" xfId="3" applyFont="1" applyFill="1" applyBorder="1" applyAlignment="1">
      <alignment horizontal="left" vertical="center"/>
    </xf>
    <xf numFmtId="0" fontId="11" fillId="10" borderId="15" xfId="3" applyFont="1" applyFill="1" applyBorder="1" applyAlignment="1">
      <alignment horizontal="left" vertical="center"/>
    </xf>
  </cellXfs>
  <cellStyles count="4">
    <cellStyle name="Currency" xfId="1" builtinId="4"/>
    <cellStyle name="Hyperlink" xfId="3" builtinId="8"/>
    <cellStyle name="Normal" xfId="0" builtinId="0"/>
    <cellStyle name="Percent" xfId="2" builtinId="5"/>
  </cellStyles>
  <dxfs count="1">
    <dxf>
      <font>
        <strike val="0"/>
        <color theme="8"/>
      </font>
    </dxf>
  </dxfs>
  <tableStyles count="0" defaultTableStyle="TableStyleMedium2" defaultPivotStyle="PivotStyleLight16"/>
  <colors>
    <mruColors>
      <color rgb="FFAE0012"/>
      <color rgb="FFD2EFDF"/>
      <color rgb="FF66BAC3"/>
      <color rgb="FFDFE3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12</xdr:col>
      <xdr:colOff>1171575</xdr:colOff>
      <xdr:row>1</xdr:row>
      <xdr:rowOff>161925</xdr:rowOff>
    </xdr:from>
    <xdr:ext cx="1162050" cy="476250"/>
    <xdr:pic>
      <xdr:nvPicPr>
        <xdr:cNvPr id="2" name="Picture 1">
          <a:extLst>
            <a:ext uri="{FF2B5EF4-FFF2-40B4-BE49-F238E27FC236}">
              <a16:creationId xmlns:a16="http://schemas.microsoft.com/office/drawing/2014/main" id="{FA99F207-493F-4863-8521-69D82302381C}"/>
            </a:ext>
          </a:extLst>
        </xdr:cNvPr>
        <xdr:cNvPicPr>
          <a:picLocks noChangeAspect="1"/>
        </xdr:cNvPicPr>
      </xdr:nvPicPr>
      <xdr:blipFill>
        <a:blip xmlns:r="http://schemas.openxmlformats.org/officeDocument/2006/relationships" r:embed="rId1"/>
        <a:stretch>
          <a:fillRect/>
        </a:stretch>
      </xdr:blipFill>
      <xdr:spPr>
        <a:xfrm>
          <a:off x="7391400" y="352425"/>
          <a:ext cx="1162050" cy="476250"/>
        </a:xfrm>
        <a:prstGeom prst="rect">
          <a:avLst/>
        </a:prstGeom>
      </xdr:spPr>
    </xdr:pic>
    <xdr:clientData/>
  </xdr:oneCellAnchor>
  <xdr:twoCellAnchor>
    <xdr:from>
      <xdr:col>0</xdr:col>
      <xdr:colOff>50800</xdr:colOff>
      <xdr:row>1</xdr:row>
      <xdr:rowOff>361112</xdr:rowOff>
    </xdr:from>
    <xdr:to>
      <xdr:col>3</xdr:col>
      <xdr:colOff>660400</xdr:colOff>
      <xdr:row>2</xdr:row>
      <xdr:rowOff>176099</xdr:rowOff>
    </xdr:to>
    <xdr:sp macro="" textlink="">
      <xdr:nvSpPr>
        <xdr:cNvPr id="4" name="Triangle 3">
          <a:extLst>
            <a:ext uri="{FF2B5EF4-FFF2-40B4-BE49-F238E27FC236}">
              <a16:creationId xmlns:a16="http://schemas.microsoft.com/office/drawing/2014/main" id="{7891DD26-1C18-814E-8714-3F0C1CEBED7A}"/>
            </a:ext>
          </a:extLst>
        </xdr:cNvPr>
        <xdr:cNvSpPr/>
      </xdr:nvSpPr>
      <xdr:spPr>
        <a:xfrm>
          <a:off x="50800" y="551612"/>
          <a:ext cx="1409700" cy="1364387"/>
        </a:xfrm>
        <a:prstGeom prst="ellipse">
          <a:avLst/>
        </a:prstGeom>
        <a:solidFill>
          <a:srgbClr val="AE001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fr-FR" sz="2000" b="1">
              <a:latin typeface="Arial" panose="020B0604020202020204" pitchFamily="34" charset="0"/>
              <a:cs typeface="Arial" panose="020B0604020202020204" pitchFamily="34" charset="0"/>
            </a:rPr>
            <a:t>VPH</a:t>
          </a:r>
        </a:p>
      </xdr:txBody>
    </xdr:sp>
    <xdr:clientData/>
  </xdr:twoCellAnchor>
  <xdr:oneCellAnchor>
    <xdr:from>
      <xdr:col>22</xdr:col>
      <xdr:colOff>0</xdr:colOff>
      <xdr:row>5</xdr:row>
      <xdr:rowOff>476250</xdr:rowOff>
    </xdr:from>
    <xdr:ext cx="184731" cy="264560"/>
    <xdr:sp macro="" textlink="">
      <xdr:nvSpPr>
        <xdr:cNvPr id="3" name="TextBox 2">
          <a:extLst>
            <a:ext uri="{FF2B5EF4-FFF2-40B4-BE49-F238E27FC236}">
              <a16:creationId xmlns:a16="http://schemas.microsoft.com/office/drawing/2014/main" id="{7407ED3B-CBF1-E08B-EB3C-94DEEF4DBAA8}"/>
            </a:ext>
          </a:extLst>
        </xdr:cNvPr>
        <xdr:cNvSpPr txBox="1"/>
      </xdr:nvSpPr>
      <xdr:spPr>
        <a:xfrm>
          <a:off x="1286827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272146</xdr:colOff>
      <xdr:row>6</xdr:row>
      <xdr:rowOff>4920</xdr:rowOff>
    </xdr:from>
    <xdr:ext cx="242116" cy="717627"/>
    <xdr:pic>
      <xdr:nvPicPr>
        <xdr:cNvPr id="2" name="Picture 1">
          <a:extLst>
            <a:ext uri="{FF2B5EF4-FFF2-40B4-BE49-F238E27FC236}">
              <a16:creationId xmlns:a16="http://schemas.microsoft.com/office/drawing/2014/main" id="{F7AF0881-61FA-44E2-89AB-9EBA59F298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819" b="1819"/>
        <a:stretch/>
      </xdr:blipFill>
      <xdr:spPr>
        <a:xfrm>
          <a:off x="1504046" y="1109820"/>
          <a:ext cx="242116" cy="717627"/>
        </a:xfrm>
        <a:prstGeom prst="rect">
          <a:avLst/>
        </a:prstGeom>
      </xdr:spPr>
    </xdr:pic>
    <xdr:clientData/>
  </xdr:oneCellAnchor>
  <xdr:twoCellAnchor>
    <xdr:from>
      <xdr:col>2</xdr:col>
      <xdr:colOff>532915</xdr:colOff>
      <xdr:row>5</xdr:row>
      <xdr:rowOff>542425</xdr:rowOff>
    </xdr:from>
    <xdr:to>
      <xdr:col>3</xdr:col>
      <xdr:colOff>858035</xdr:colOff>
      <xdr:row>7</xdr:row>
      <xdr:rowOff>127000</xdr:rowOff>
    </xdr:to>
    <xdr:sp macro="" textlink="">
      <xdr:nvSpPr>
        <xdr:cNvPr id="3" name="TextBox 2">
          <a:extLst>
            <a:ext uri="{FF2B5EF4-FFF2-40B4-BE49-F238E27FC236}">
              <a16:creationId xmlns:a16="http://schemas.microsoft.com/office/drawing/2014/main" id="{0A9A7159-77C5-46DE-BB02-9D86FBA23325}"/>
            </a:ext>
          </a:extLst>
        </xdr:cNvPr>
        <xdr:cNvSpPr txBox="1"/>
      </xdr:nvSpPr>
      <xdr:spPr>
        <a:xfrm>
          <a:off x="1764815" y="1107575"/>
          <a:ext cx="699770" cy="308475"/>
        </a:xfrm>
        <a:prstGeom prst="rect">
          <a:avLst/>
        </a:prstGeom>
        <a:solidFill>
          <a:srgbClr val="E8EBE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000">
              <a:latin typeface="Arial" panose="020B0604020202020204" pitchFamily="34" charset="0"/>
              <a:cs typeface="Arial" panose="020B0604020202020204" pitchFamily="34" charset="0"/>
            </a:rPr>
            <a:t>Volume ou coût inférieur</a:t>
          </a:r>
        </a:p>
      </xdr:txBody>
    </xdr:sp>
    <xdr:clientData/>
  </xdr:twoCellAnchor>
  <xdr:twoCellAnchor>
    <xdr:from>
      <xdr:col>2</xdr:col>
      <xdr:colOff>527176</xdr:colOff>
      <xdr:row>7</xdr:row>
      <xdr:rowOff>415712</xdr:rowOff>
    </xdr:from>
    <xdr:to>
      <xdr:col>3</xdr:col>
      <xdr:colOff>852296</xdr:colOff>
      <xdr:row>7</xdr:row>
      <xdr:rowOff>658071</xdr:rowOff>
    </xdr:to>
    <xdr:sp macro="" textlink="">
      <xdr:nvSpPr>
        <xdr:cNvPr id="4" name="TextBox 3">
          <a:extLst>
            <a:ext uri="{FF2B5EF4-FFF2-40B4-BE49-F238E27FC236}">
              <a16:creationId xmlns:a16="http://schemas.microsoft.com/office/drawing/2014/main" id="{2BF365DC-D1C8-49D6-A71D-46009F859A9D}"/>
            </a:ext>
          </a:extLst>
        </xdr:cNvPr>
        <xdr:cNvSpPr txBox="1"/>
      </xdr:nvSpPr>
      <xdr:spPr>
        <a:xfrm>
          <a:off x="1759076" y="1476162"/>
          <a:ext cx="706120" cy="0"/>
        </a:xfrm>
        <a:prstGeom prst="rect">
          <a:avLst/>
        </a:prstGeom>
        <a:solidFill>
          <a:srgbClr val="E8EBE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000">
              <a:latin typeface="Arial" panose="020B0604020202020204" pitchFamily="34" charset="0"/>
              <a:cs typeface="Arial" panose="020B0604020202020204" pitchFamily="34" charset="0"/>
            </a:rPr>
            <a:t>Volume ou coût plus élevé</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20320</xdr:colOff>
      <xdr:row>5</xdr:row>
      <xdr:rowOff>273213</xdr:rowOff>
    </xdr:from>
    <xdr:ext cx="191815" cy="684335"/>
    <xdr:pic>
      <xdr:nvPicPr>
        <xdr:cNvPr id="2" name="Picture 1">
          <a:extLst>
            <a:ext uri="{FF2B5EF4-FFF2-40B4-BE49-F238E27FC236}">
              <a16:creationId xmlns:a16="http://schemas.microsoft.com/office/drawing/2014/main" id="{B2AA5B4B-2AFE-4C0D-9FC2-A9EDCE7E8EF4}"/>
            </a:ext>
          </a:extLst>
        </xdr:cNvPr>
        <xdr:cNvPicPr>
          <a:picLocks noChangeAspect="1"/>
        </xdr:cNvPicPr>
      </xdr:nvPicPr>
      <xdr:blipFill rotWithShape="1">
        <a:blip xmlns:r="http://schemas.openxmlformats.org/officeDocument/2006/relationships" r:embed="rId1"/>
        <a:srcRect t="2241"/>
        <a:stretch/>
      </xdr:blipFill>
      <xdr:spPr>
        <a:xfrm>
          <a:off x="1252220" y="1105063"/>
          <a:ext cx="191815" cy="684335"/>
        </a:xfrm>
        <a:prstGeom prst="rect">
          <a:avLst/>
        </a:prstGeom>
      </xdr:spPr>
    </xdr:pic>
    <xdr:clientData/>
  </xdr:oneCellAnchor>
  <xdr:twoCellAnchor>
    <xdr:from>
      <xdr:col>3</xdr:col>
      <xdr:colOff>229867</xdr:colOff>
      <xdr:row>5</xdr:row>
      <xdr:rowOff>248283</xdr:rowOff>
    </xdr:from>
    <xdr:to>
      <xdr:col>4</xdr:col>
      <xdr:colOff>76200</xdr:colOff>
      <xdr:row>5</xdr:row>
      <xdr:rowOff>422274</xdr:rowOff>
    </xdr:to>
    <xdr:sp macro="" textlink="">
      <xdr:nvSpPr>
        <xdr:cNvPr id="3" name="TextBox 2">
          <a:extLst>
            <a:ext uri="{FF2B5EF4-FFF2-40B4-BE49-F238E27FC236}">
              <a16:creationId xmlns:a16="http://schemas.microsoft.com/office/drawing/2014/main" id="{0C6A1D5C-94D9-4B1E-A30E-E050201B8E19}"/>
            </a:ext>
          </a:extLst>
        </xdr:cNvPr>
        <xdr:cNvSpPr txBox="1"/>
      </xdr:nvSpPr>
      <xdr:spPr>
        <a:xfrm>
          <a:off x="1461767" y="1105533"/>
          <a:ext cx="462283" cy="2541"/>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800">
              <a:latin typeface="Arial" panose="020B0604020202020204" pitchFamily="34" charset="0"/>
              <a:cs typeface="Arial" panose="020B0604020202020204" pitchFamily="34" charset="0"/>
            </a:rPr>
            <a:t>Volume ou coût inférieur</a:t>
          </a:r>
        </a:p>
      </xdr:txBody>
    </xdr:sp>
    <xdr:clientData/>
  </xdr:twoCellAnchor>
  <xdr:twoCellAnchor>
    <xdr:from>
      <xdr:col>3</xdr:col>
      <xdr:colOff>236220</xdr:colOff>
      <xdr:row>5</xdr:row>
      <xdr:rowOff>767081</xdr:rowOff>
    </xdr:from>
    <xdr:to>
      <xdr:col>4</xdr:col>
      <xdr:colOff>53341</xdr:colOff>
      <xdr:row>5</xdr:row>
      <xdr:rowOff>965201</xdr:rowOff>
    </xdr:to>
    <xdr:sp macro="" textlink="">
      <xdr:nvSpPr>
        <xdr:cNvPr id="4" name="TextBox 3">
          <a:extLst>
            <a:ext uri="{FF2B5EF4-FFF2-40B4-BE49-F238E27FC236}">
              <a16:creationId xmlns:a16="http://schemas.microsoft.com/office/drawing/2014/main" id="{7AF58A67-C46E-43E2-8745-2D3B15728A3D}"/>
            </a:ext>
          </a:extLst>
        </xdr:cNvPr>
        <xdr:cNvSpPr txBox="1"/>
      </xdr:nvSpPr>
      <xdr:spPr>
        <a:xfrm>
          <a:off x="1468120" y="1103631"/>
          <a:ext cx="433071" cy="1270"/>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800">
              <a:latin typeface="Arial" panose="020B0604020202020204" pitchFamily="34" charset="0"/>
              <a:cs typeface="Arial" panose="020B0604020202020204" pitchFamily="34" charset="0"/>
            </a:rPr>
            <a:t>Volume ou coût plus élevé</a:t>
          </a:r>
        </a:p>
      </xdr:txBody>
    </xdr:sp>
    <xdr:clientData/>
  </xdr:twoCellAnchor>
</xdr:wsDr>
</file>

<file path=xl/theme/theme1.xml><?xml version="1.0" encoding="utf-8"?>
<a:theme xmlns:a="http://schemas.openxmlformats.org/drawingml/2006/main" name="Office Theme">
  <a:themeElements>
    <a:clrScheme name="PATH - Shigella">
      <a:dk1>
        <a:srgbClr val="3F4856"/>
      </a:dk1>
      <a:lt1>
        <a:srgbClr val="FFFFFF"/>
      </a:lt1>
      <a:dk2>
        <a:srgbClr val="F65050"/>
      </a:dk2>
      <a:lt2>
        <a:srgbClr val="F5EFE9"/>
      </a:lt2>
      <a:accent1>
        <a:srgbClr val="009BA8"/>
      </a:accent1>
      <a:accent2>
        <a:srgbClr val="00602C"/>
      </a:accent2>
      <a:accent3>
        <a:srgbClr val="00AA49"/>
      </a:accent3>
      <a:accent4>
        <a:srgbClr val="FF2C3B"/>
      </a:accent4>
      <a:accent5>
        <a:srgbClr val="39339F"/>
      </a:accent5>
      <a:accent6>
        <a:srgbClr val="6863D8"/>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unicef.org/supply/handling-fees" TargetMode="External"/><Relationship Id="rId7" Type="http://schemas.openxmlformats.org/officeDocument/2006/relationships/drawing" Target="../drawings/drawing1.xml"/><Relationship Id="rId2" Type="http://schemas.openxmlformats.org/officeDocument/2006/relationships/hyperlink" Target="https://immunizationeconomics.org/thinkwell-idcc/" TargetMode="External"/><Relationship Id="rId1" Type="http://schemas.openxmlformats.org/officeDocument/2006/relationships/hyperlink" Target="https://www.unicef.org/supply/documents/syringe-and-safety-box-bundles-price-data" TargetMode="External"/><Relationship Id="rId6" Type="http://schemas.openxmlformats.org/officeDocument/2006/relationships/printerSettings" Target="../printerSettings/printerSettings1.bin"/><Relationship Id="rId5" Type="http://schemas.openxmlformats.org/officeDocument/2006/relationships/hyperlink" Target="https://www.unicef.org/supply/documents/human-papilloma-virus-hpv-vaccine-price-data" TargetMode="External"/><Relationship Id="rId4" Type="http://schemas.openxmlformats.org/officeDocument/2006/relationships/hyperlink" Target="https://www.who.int/teams/immunization-vaccines-and-biologicals/vaccine-access/mi4a/mi4a-vaccine-purchase-dat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immunizationeconomics.org/thinkwell-idcc/"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41BF7-4F8A-4679-9EA8-A8562BD00245}">
  <sheetPr codeName="Sheet1">
    <tabColor theme="3"/>
  </sheetPr>
  <dimension ref="A1:P58"/>
  <sheetViews>
    <sheetView tabSelected="1" zoomScaleNormal="100" zoomScaleSheetLayoutView="70" workbookViewId="0"/>
  </sheetViews>
  <sheetFormatPr defaultColWidth="8.77734375" defaultRowHeight="15" x14ac:dyDescent="0.25"/>
  <cols>
    <col min="1" max="1" width="4.21875" style="9" customWidth="1"/>
    <col min="2" max="3" width="3.21875" style="9" customWidth="1"/>
    <col min="4" max="4" width="8.77734375" style="9" customWidth="1"/>
    <col min="5" max="6" width="7.21875" style="9" customWidth="1"/>
    <col min="7" max="11" width="8.77734375" style="9"/>
    <col min="12" max="12" width="11.44140625" style="9" customWidth="1"/>
    <col min="13" max="13" width="32" style="9" customWidth="1"/>
    <col min="14" max="15" width="3.21875" style="9" customWidth="1"/>
    <col min="16" max="16" width="4.21875" style="9" customWidth="1"/>
    <col min="17" max="16384" width="8.77734375" style="9"/>
  </cols>
  <sheetData>
    <row r="1" spans="1:16" ht="15" customHeight="1" x14ac:dyDescent="0.25">
      <c r="A1" s="10"/>
      <c r="B1" s="333"/>
      <c r="C1" s="333"/>
      <c r="D1" s="333"/>
      <c r="E1" s="333"/>
      <c r="F1" s="333"/>
      <c r="G1" s="333"/>
      <c r="H1" s="333"/>
      <c r="I1" s="333"/>
      <c r="J1" s="333"/>
      <c r="K1" s="333"/>
      <c r="L1" s="333"/>
      <c r="M1" s="333"/>
      <c r="N1" s="333"/>
      <c r="O1" s="333"/>
      <c r="P1" s="10"/>
    </row>
    <row r="2" spans="1:16" ht="121.95" customHeight="1" x14ac:dyDescent="0.25">
      <c r="A2" s="10"/>
      <c r="C2" s="40"/>
      <c r="D2" s="40"/>
      <c r="E2" s="350" t="s">
        <v>0</v>
      </c>
      <c r="F2" s="350"/>
      <c r="G2" s="350"/>
      <c r="H2" s="350"/>
      <c r="I2" s="350"/>
      <c r="J2" s="350"/>
      <c r="K2" s="350"/>
      <c r="L2" s="350"/>
      <c r="M2" s="39"/>
      <c r="N2" s="39"/>
      <c r="P2" s="10"/>
    </row>
    <row r="3" spans="1:16" ht="54" customHeight="1" x14ac:dyDescent="0.25">
      <c r="A3" s="10"/>
      <c r="C3" s="38"/>
      <c r="D3" s="38"/>
      <c r="E3" s="351" t="s">
        <v>1</v>
      </c>
      <c r="F3" s="351"/>
      <c r="G3" s="351"/>
      <c r="H3" s="351"/>
      <c r="I3" s="351"/>
      <c r="J3" s="351"/>
      <c r="K3" s="351"/>
      <c r="L3" s="351"/>
      <c r="M3" s="357" t="s">
        <v>2</v>
      </c>
      <c r="N3" s="357"/>
      <c r="P3" s="10"/>
    </row>
    <row r="4" spans="1:16" ht="34.950000000000003" customHeight="1" x14ac:dyDescent="0.25">
      <c r="A4" s="10"/>
      <c r="B4" s="10"/>
      <c r="C4" s="358" t="s">
        <v>3</v>
      </c>
      <c r="D4" s="358"/>
      <c r="E4" s="358"/>
      <c r="F4" s="358"/>
      <c r="G4" s="358"/>
      <c r="H4" s="358"/>
      <c r="I4" s="358"/>
      <c r="J4" s="358"/>
      <c r="K4" s="358"/>
      <c r="L4" s="358"/>
      <c r="M4" s="358"/>
      <c r="N4" s="313"/>
      <c r="O4" s="10"/>
      <c r="P4" s="10"/>
    </row>
    <row r="5" spans="1:16" ht="7.95" customHeight="1" x14ac:dyDescent="0.25">
      <c r="A5" s="10"/>
      <c r="B5" s="10"/>
      <c r="C5" s="10"/>
      <c r="D5" s="37"/>
      <c r="E5" s="37"/>
      <c r="F5" s="37"/>
      <c r="G5" s="37"/>
      <c r="H5" s="37"/>
      <c r="I5" s="37"/>
      <c r="J5" s="37"/>
      <c r="K5" s="37"/>
      <c r="L5" s="37"/>
      <c r="M5" s="37"/>
      <c r="N5" s="37"/>
      <c r="O5" s="10"/>
      <c r="P5" s="10"/>
    </row>
    <row r="6" spans="1:16" ht="46.2" customHeight="1" x14ac:dyDescent="0.25">
      <c r="A6" s="10"/>
      <c r="B6" s="32"/>
      <c r="C6" s="36"/>
      <c r="D6" s="352" t="s">
        <v>4</v>
      </c>
      <c r="E6" s="352"/>
      <c r="F6" s="352"/>
      <c r="G6" s="352"/>
      <c r="H6" s="352"/>
      <c r="I6" s="352"/>
      <c r="J6" s="352"/>
      <c r="K6" s="352"/>
      <c r="L6" s="352"/>
      <c r="M6" s="352"/>
      <c r="N6" s="312"/>
      <c r="O6" s="36"/>
      <c r="P6" s="10"/>
    </row>
    <row r="7" spans="1:16" ht="7.95" customHeight="1" x14ac:dyDescent="0.25">
      <c r="A7" s="10"/>
      <c r="B7" s="10"/>
      <c r="C7" s="10"/>
      <c r="D7" s="10"/>
      <c r="E7" s="10"/>
      <c r="F7" s="10"/>
      <c r="G7" s="10"/>
      <c r="H7" s="10"/>
      <c r="I7" s="10"/>
      <c r="J7" s="10"/>
      <c r="K7" s="10"/>
      <c r="L7" s="10"/>
      <c r="M7" s="10"/>
      <c r="N7" s="10"/>
      <c r="O7" s="10"/>
      <c r="P7" s="10"/>
    </row>
    <row r="8" spans="1:16" ht="326.25" customHeight="1" x14ac:dyDescent="0.25">
      <c r="A8" s="10"/>
      <c r="B8" s="10"/>
      <c r="D8" s="353" t="s">
        <v>142</v>
      </c>
      <c r="E8" s="354"/>
      <c r="F8" s="354"/>
      <c r="G8" s="354"/>
      <c r="H8" s="354"/>
      <c r="I8" s="354"/>
      <c r="J8" s="354"/>
      <c r="K8" s="354"/>
      <c r="L8" s="354"/>
      <c r="M8" s="354"/>
      <c r="N8" s="35"/>
      <c r="O8" s="10"/>
      <c r="P8" s="10"/>
    </row>
    <row r="9" spans="1:16" ht="7.95" customHeight="1" x14ac:dyDescent="0.25">
      <c r="A9" s="10"/>
      <c r="B9" s="10"/>
      <c r="C9" s="10"/>
      <c r="D9" s="34"/>
      <c r="E9" s="34"/>
      <c r="F9" s="34"/>
      <c r="G9" s="34"/>
      <c r="H9" s="34"/>
      <c r="I9" s="34"/>
      <c r="J9" s="34"/>
      <c r="K9" s="34"/>
      <c r="L9" s="34"/>
      <c r="M9" s="34"/>
      <c r="N9" s="34"/>
      <c r="O9" s="10"/>
      <c r="P9" s="10"/>
    </row>
    <row r="10" spans="1:16" ht="108.75" customHeight="1" x14ac:dyDescent="0.25">
      <c r="A10" s="10"/>
      <c r="B10" s="10"/>
      <c r="C10" s="10"/>
      <c r="D10" s="355" t="s">
        <v>143</v>
      </c>
      <c r="E10" s="356"/>
      <c r="F10" s="356"/>
      <c r="G10" s="356"/>
      <c r="H10" s="356"/>
      <c r="I10" s="356"/>
      <c r="J10" s="356"/>
      <c r="K10" s="356"/>
      <c r="L10" s="356"/>
      <c r="M10" s="356"/>
      <c r="N10" s="33"/>
      <c r="O10" s="10"/>
      <c r="P10" s="10"/>
    </row>
    <row r="11" spans="1:16" ht="7.95" customHeight="1" x14ac:dyDescent="0.25">
      <c r="A11" s="10"/>
      <c r="B11" s="10"/>
      <c r="C11" s="10"/>
      <c r="D11" s="10"/>
      <c r="E11" s="10"/>
      <c r="F11" s="10"/>
      <c r="G11" s="10"/>
      <c r="H11" s="10"/>
      <c r="I11" s="10"/>
      <c r="J11" s="10"/>
      <c r="K11" s="10"/>
      <c r="L11" s="10"/>
      <c r="M11" s="10"/>
      <c r="N11" s="10"/>
      <c r="O11" s="10"/>
      <c r="P11" s="10"/>
    </row>
    <row r="12" spans="1:16" ht="49.2" customHeight="1" x14ac:dyDescent="0.25">
      <c r="A12" s="10"/>
      <c r="B12" s="32"/>
      <c r="C12" s="31"/>
      <c r="D12" s="352" t="s">
        <v>5</v>
      </c>
      <c r="E12" s="352"/>
      <c r="F12" s="352"/>
      <c r="G12" s="352"/>
      <c r="H12" s="352"/>
      <c r="I12" s="352"/>
      <c r="J12" s="352"/>
      <c r="K12" s="352"/>
      <c r="L12" s="352"/>
      <c r="M12" s="352"/>
      <c r="N12" s="312"/>
      <c r="O12" s="31"/>
      <c r="P12" s="10"/>
    </row>
    <row r="13" spans="1:16" ht="4.95" customHeight="1" x14ac:dyDescent="0.25">
      <c r="A13" s="10"/>
      <c r="B13" s="10"/>
      <c r="C13" s="10"/>
      <c r="D13" s="10"/>
      <c r="E13" s="10"/>
      <c r="F13" s="10"/>
      <c r="G13" s="10"/>
      <c r="H13" s="10"/>
      <c r="I13" s="10"/>
      <c r="J13" s="10"/>
      <c r="K13" s="10"/>
      <c r="L13" s="10"/>
      <c r="M13" s="10"/>
      <c r="N13" s="10"/>
      <c r="O13" s="10"/>
      <c r="P13" s="10"/>
    </row>
    <row r="14" spans="1:16" ht="28.95" customHeight="1" x14ac:dyDescent="0.25">
      <c r="A14" s="10"/>
      <c r="B14" s="10"/>
      <c r="C14" s="30"/>
      <c r="D14" s="359" t="s">
        <v>6</v>
      </c>
      <c r="E14" s="359"/>
      <c r="F14" s="359"/>
      <c r="G14" s="359"/>
      <c r="H14" s="359"/>
      <c r="I14" s="359"/>
      <c r="J14" s="359"/>
      <c r="K14" s="359"/>
      <c r="L14" s="359"/>
      <c r="M14" s="359"/>
      <c r="N14" s="314"/>
      <c r="O14" s="10"/>
      <c r="P14" s="10"/>
    </row>
    <row r="15" spans="1:16" ht="7.95" customHeight="1" x14ac:dyDescent="0.25">
      <c r="A15" s="10"/>
      <c r="B15" s="10"/>
      <c r="O15" s="10"/>
      <c r="P15" s="10"/>
    </row>
    <row r="16" spans="1:16" ht="15.45" customHeight="1" x14ac:dyDescent="0.25">
      <c r="A16" s="10"/>
      <c r="B16" s="10"/>
      <c r="D16" s="29"/>
      <c r="E16" s="362" t="s">
        <v>7</v>
      </c>
      <c r="F16" s="362"/>
      <c r="G16" s="362"/>
      <c r="H16" s="362"/>
      <c r="I16" s="362"/>
      <c r="J16" s="362"/>
      <c r="K16" s="362"/>
      <c r="L16" s="362"/>
      <c r="M16" s="362"/>
      <c r="N16" s="315"/>
      <c r="O16" s="10"/>
      <c r="P16" s="10"/>
    </row>
    <row r="17" spans="1:16" ht="13.2" customHeight="1" x14ac:dyDescent="0.25">
      <c r="A17" s="10"/>
      <c r="B17" s="10"/>
      <c r="D17" s="27"/>
      <c r="E17" s="362"/>
      <c r="F17" s="362"/>
      <c r="G17" s="362"/>
      <c r="H17" s="362"/>
      <c r="I17" s="362"/>
      <c r="J17" s="362"/>
      <c r="K17" s="362"/>
      <c r="L17" s="362"/>
      <c r="M17" s="362"/>
      <c r="N17" s="315"/>
      <c r="O17" s="10"/>
      <c r="P17" s="10"/>
    </row>
    <row r="18" spans="1:16" ht="19.95" customHeight="1" x14ac:dyDescent="0.25">
      <c r="A18" s="10"/>
      <c r="B18" s="10"/>
      <c r="D18" s="27"/>
      <c r="E18" s="362"/>
      <c r="F18" s="362"/>
      <c r="G18" s="362"/>
      <c r="H18" s="362"/>
      <c r="I18" s="362"/>
      <c r="J18" s="362"/>
      <c r="K18" s="362"/>
      <c r="L18" s="362"/>
      <c r="M18" s="362"/>
      <c r="N18" s="315"/>
      <c r="O18" s="10"/>
      <c r="P18" s="10"/>
    </row>
    <row r="19" spans="1:16" ht="6" customHeight="1" x14ac:dyDescent="0.25">
      <c r="A19" s="10"/>
      <c r="B19" s="10"/>
      <c r="D19" s="27"/>
      <c r="E19" s="27"/>
      <c r="F19" s="20"/>
      <c r="G19" s="20"/>
      <c r="H19" s="20"/>
      <c r="I19" s="20"/>
      <c r="J19" s="20"/>
      <c r="K19" s="20"/>
      <c r="L19" s="20"/>
      <c r="M19" s="20"/>
      <c r="O19" s="10"/>
      <c r="P19" s="10"/>
    </row>
    <row r="20" spans="1:16" ht="15.45" customHeight="1" x14ac:dyDescent="0.25">
      <c r="A20" s="10"/>
      <c r="B20" s="10"/>
      <c r="D20" s="28"/>
      <c r="E20" s="362" t="s">
        <v>8</v>
      </c>
      <c r="F20" s="362"/>
      <c r="G20" s="362"/>
      <c r="H20" s="362"/>
      <c r="I20" s="362"/>
      <c r="J20" s="362"/>
      <c r="K20" s="362"/>
      <c r="L20" s="362"/>
      <c r="M20" s="362"/>
      <c r="N20" s="23"/>
      <c r="O20" s="10"/>
      <c r="P20" s="10"/>
    </row>
    <row r="21" spans="1:16" ht="16.95" customHeight="1" x14ac:dyDescent="0.25">
      <c r="A21" s="10"/>
      <c r="B21" s="10"/>
      <c r="D21" s="27"/>
      <c r="E21" s="362"/>
      <c r="F21" s="362"/>
      <c r="G21" s="362"/>
      <c r="H21" s="362"/>
      <c r="I21" s="362"/>
      <c r="J21" s="362"/>
      <c r="K21" s="362"/>
      <c r="L21" s="362"/>
      <c r="M21" s="362"/>
      <c r="N21" s="23"/>
      <c r="O21" s="10"/>
      <c r="P21" s="10"/>
    </row>
    <row r="22" spans="1:16" ht="6" customHeight="1" x14ac:dyDescent="0.25">
      <c r="A22" s="10"/>
      <c r="B22" s="10"/>
      <c r="D22" s="27"/>
      <c r="E22" s="27"/>
      <c r="F22" s="20"/>
      <c r="G22" s="20"/>
      <c r="H22" s="20"/>
      <c r="I22" s="20"/>
      <c r="J22" s="20"/>
      <c r="K22" s="20"/>
      <c r="L22" s="20"/>
      <c r="M22" s="20"/>
      <c r="O22" s="10"/>
      <c r="P22" s="10"/>
    </row>
    <row r="23" spans="1:16" x14ac:dyDescent="0.25">
      <c r="A23" s="10"/>
      <c r="B23" s="10"/>
      <c r="D23" s="26"/>
      <c r="E23" s="360" t="s">
        <v>9</v>
      </c>
      <c r="F23" s="361"/>
      <c r="G23" s="361"/>
      <c r="H23" s="361"/>
      <c r="I23" s="361"/>
      <c r="J23" s="361"/>
      <c r="K23" s="361"/>
      <c r="L23" s="361"/>
      <c r="M23" s="361"/>
      <c r="N23" s="23"/>
      <c r="O23" s="10"/>
      <c r="P23" s="10"/>
    </row>
    <row r="24" spans="1:16" ht="10.199999999999999" customHeight="1" x14ac:dyDescent="0.25">
      <c r="A24" s="10"/>
      <c r="B24" s="10"/>
      <c r="D24" s="20"/>
      <c r="E24" s="20"/>
      <c r="F24" s="20"/>
      <c r="G24" s="20"/>
      <c r="H24" s="20"/>
      <c r="I24" s="20"/>
      <c r="J24" s="20"/>
      <c r="K24" s="20"/>
      <c r="L24" s="20"/>
      <c r="M24" s="20"/>
      <c r="O24" s="10"/>
      <c r="P24" s="10"/>
    </row>
    <row r="25" spans="1:16" ht="78.75" customHeight="1" x14ac:dyDescent="0.25">
      <c r="A25" s="10"/>
      <c r="B25" s="10"/>
      <c r="D25" s="366" t="s">
        <v>10</v>
      </c>
      <c r="E25" s="366"/>
      <c r="F25" s="366"/>
      <c r="G25" s="367" t="s">
        <v>11</v>
      </c>
      <c r="H25" s="367"/>
      <c r="I25" s="367"/>
      <c r="J25" s="367"/>
      <c r="K25" s="367"/>
      <c r="L25" s="367"/>
      <c r="M25" s="367"/>
      <c r="N25" s="23"/>
      <c r="O25" s="10"/>
      <c r="P25" s="10"/>
    </row>
    <row r="26" spans="1:16" ht="7.95" customHeight="1" x14ac:dyDescent="0.25">
      <c r="A26" s="10"/>
      <c r="B26" s="10"/>
      <c r="D26" s="20"/>
      <c r="E26" s="20"/>
      <c r="F26" s="20"/>
      <c r="G26" s="20"/>
      <c r="H26" s="20"/>
      <c r="I26" s="20"/>
      <c r="J26" s="20"/>
      <c r="K26" s="20"/>
      <c r="L26" s="20"/>
      <c r="M26" s="20"/>
      <c r="O26" s="10"/>
      <c r="P26" s="10"/>
    </row>
    <row r="27" spans="1:16" ht="132" customHeight="1" x14ac:dyDescent="0.25">
      <c r="A27" s="10"/>
      <c r="B27" s="10"/>
      <c r="D27" s="366" t="s">
        <v>12</v>
      </c>
      <c r="E27" s="366"/>
      <c r="F27" s="366"/>
      <c r="G27" s="367" t="s">
        <v>13</v>
      </c>
      <c r="H27" s="367"/>
      <c r="I27" s="367"/>
      <c r="J27" s="367"/>
      <c r="K27" s="367"/>
      <c r="L27" s="367"/>
      <c r="M27" s="367"/>
      <c r="N27" s="23"/>
      <c r="O27" s="10"/>
      <c r="P27" s="10"/>
    </row>
    <row r="28" spans="1:16" ht="24.45" customHeight="1" x14ac:dyDescent="0.25">
      <c r="A28" s="10"/>
      <c r="B28" s="10"/>
      <c r="D28" s="376" t="s">
        <v>14</v>
      </c>
      <c r="E28" s="377"/>
      <c r="F28" s="377"/>
      <c r="G28" s="377"/>
      <c r="H28" s="377"/>
      <c r="I28" s="377"/>
      <c r="J28" s="377"/>
      <c r="K28" s="377"/>
      <c r="L28" s="377"/>
      <c r="M28" s="378"/>
      <c r="N28" s="25"/>
      <c r="O28" s="10"/>
      <c r="P28" s="10"/>
    </row>
    <row r="29" spans="1:16" ht="19.2" customHeight="1" x14ac:dyDescent="0.25">
      <c r="A29" s="10"/>
      <c r="B29" s="10"/>
      <c r="D29" s="372" t="s">
        <v>15</v>
      </c>
      <c r="E29" s="373"/>
      <c r="F29" s="373"/>
      <c r="G29" s="379" t="s">
        <v>16</v>
      </c>
      <c r="H29" s="379"/>
      <c r="I29" s="379"/>
      <c r="J29" s="379"/>
      <c r="K29" s="379"/>
      <c r="L29" s="379"/>
      <c r="M29" s="380"/>
      <c r="N29" s="25"/>
      <c r="O29" s="10"/>
      <c r="P29" s="10"/>
    </row>
    <row r="30" spans="1:16" ht="34.5" customHeight="1" x14ac:dyDescent="0.25">
      <c r="A30" s="10"/>
      <c r="B30" s="10"/>
      <c r="D30" s="372"/>
      <c r="E30" s="373"/>
      <c r="F30" s="373"/>
      <c r="G30" s="379" t="s">
        <v>144</v>
      </c>
      <c r="H30" s="379"/>
      <c r="I30" s="379"/>
      <c r="J30" s="379"/>
      <c r="K30" s="379"/>
      <c r="L30" s="379"/>
      <c r="M30" s="380"/>
      <c r="N30" s="24"/>
      <c r="O30" s="10"/>
      <c r="P30" s="10"/>
    </row>
    <row r="31" spans="1:16" ht="27.45" customHeight="1" x14ac:dyDescent="0.25">
      <c r="A31" s="10"/>
      <c r="B31" s="10"/>
      <c r="D31" s="372" t="s">
        <v>17</v>
      </c>
      <c r="E31" s="373"/>
      <c r="F31" s="373"/>
      <c r="G31" s="381" t="s">
        <v>18</v>
      </c>
      <c r="H31" s="381"/>
      <c r="I31" s="381"/>
      <c r="J31" s="381"/>
      <c r="K31" s="381"/>
      <c r="L31" s="381"/>
      <c r="M31" s="382"/>
      <c r="N31" s="23"/>
      <c r="O31" s="10"/>
      <c r="P31" s="10"/>
    </row>
    <row r="32" spans="1:16" ht="29.7" customHeight="1" x14ac:dyDescent="0.25">
      <c r="A32" s="10"/>
      <c r="B32" s="10"/>
      <c r="D32" s="374" t="s">
        <v>19</v>
      </c>
      <c r="E32" s="375"/>
      <c r="F32" s="375"/>
      <c r="G32" s="383" t="s">
        <v>20</v>
      </c>
      <c r="H32" s="383"/>
      <c r="I32" s="383"/>
      <c r="J32" s="383"/>
      <c r="K32" s="383"/>
      <c r="L32" s="383"/>
      <c r="M32" s="384"/>
      <c r="N32" s="23"/>
      <c r="O32" s="10"/>
      <c r="P32" s="10"/>
    </row>
    <row r="33" spans="1:16" ht="7.95" customHeight="1" x14ac:dyDescent="0.25">
      <c r="A33" s="10"/>
      <c r="B33" s="10"/>
      <c r="D33" s="20"/>
      <c r="E33" s="20"/>
      <c r="F33" s="20"/>
      <c r="G33" s="20"/>
      <c r="H33" s="20"/>
      <c r="I33" s="20"/>
      <c r="J33" s="20"/>
      <c r="K33" s="20"/>
      <c r="L33" s="20"/>
      <c r="M33" s="20"/>
      <c r="O33" s="10"/>
      <c r="P33" s="10"/>
    </row>
    <row r="34" spans="1:16" ht="169.5" customHeight="1" x14ac:dyDescent="0.25">
      <c r="A34" s="10"/>
      <c r="B34" s="10"/>
      <c r="D34" s="368" t="s">
        <v>21</v>
      </c>
      <c r="E34" s="368"/>
      <c r="F34" s="368"/>
      <c r="G34" s="369" t="s">
        <v>145</v>
      </c>
      <c r="H34" s="370"/>
      <c r="I34" s="370"/>
      <c r="J34" s="370"/>
      <c r="K34" s="370"/>
      <c r="L34" s="370"/>
      <c r="M34" s="371"/>
      <c r="N34" s="23"/>
      <c r="O34" s="10"/>
      <c r="P34" s="10"/>
    </row>
    <row r="35" spans="1:16" ht="18" customHeight="1" x14ac:dyDescent="0.25">
      <c r="A35" s="10"/>
      <c r="B35" s="10"/>
      <c r="D35" s="363" t="s">
        <v>14</v>
      </c>
      <c r="E35" s="364"/>
      <c r="F35" s="364"/>
      <c r="G35" s="364"/>
      <c r="H35" s="364"/>
      <c r="I35" s="364"/>
      <c r="J35" s="364"/>
      <c r="K35" s="364"/>
      <c r="L35" s="364"/>
      <c r="M35" s="365"/>
      <c r="N35" s="22"/>
      <c r="O35" s="10"/>
      <c r="P35" s="10"/>
    </row>
    <row r="36" spans="1:16" ht="53.25" customHeight="1" x14ac:dyDescent="0.25">
      <c r="A36" s="10"/>
      <c r="B36" s="10"/>
      <c r="D36" s="374" t="s">
        <v>22</v>
      </c>
      <c r="E36" s="375"/>
      <c r="F36" s="375"/>
      <c r="G36" s="506" t="s">
        <v>23</v>
      </c>
      <c r="H36" s="506"/>
      <c r="I36" s="506"/>
      <c r="J36" s="506"/>
      <c r="K36" s="506"/>
      <c r="L36" s="506"/>
      <c r="M36" s="507"/>
      <c r="N36" s="21"/>
      <c r="O36" s="10"/>
      <c r="P36" s="10"/>
    </row>
    <row r="37" spans="1:16" ht="7.95" customHeight="1" x14ac:dyDescent="0.25">
      <c r="A37" s="10"/>
      <c r="B37" s="10"/>
      <c r="D37" s="20"/>
      <c r="E37" s="20"/>
      <c r="F37" s="20"/>
      <c r="G37" s="20"/>
      <c r="H37" s="20"/>
      <c r="I37" s="20"/>
      <c r="J37" s="20"/>
      <c r="K37" s="20"/>
      <c r="L37" s="20"/>
      <c r="M37" s="20"/>
      <c r="O37" s="10"/>
      <c r="P37" s="10"/>
    </row>
    <row r="38" spans="1:16" ht="25.2" customHeight="1" x14ac:dyDescent="0.4">
      <c r="A38" s="10"/>
      <c r="B38" s="10"/>
      <c r="D38" s="389" t="s">
        <v>24</v>
      </c>
      <c r="E38" s="390"/>
      <c r="F38" s="390"/>
      <c r="G38" s="390"/>
      <c r="H38" s="390"/>
      <c r="I38" s="390"/>
      <c r="J38" s="390"/>
      <c r="K38" s="390"/>
      <c r="L38" s="390"/>
      <c r="M38" s="391"/>
      <c r="N38" s="12"/>
      <c r="O38" s="10"/>
      <c r="P38" s="10"/>
    </row>
    <row r="39" spans="1:16" ht="7.95" customHeight="1" x14ac:dyDescent="0.25">
      <c r="A39" s="10"/>
      <c r="B39" s="10"/>
      <c r="D39" s="20"/>
      <c r="E39" s="20"/>
      <c r="F39" s="20"/>
      <c r="G39" s="20"/>
      <c r="H39" s="20"/>
      <c r="I39" s="20"/>
      <c r="J39" s="20"/>
      <c r="K39" s="20"/>
      <c r="L39" s="20"/>
      <c r="M39" s="20"/>
      <c r="O39" s="10"/>
      <c r="P39" s="10"/>
    </row>
    <row r="40" spans="1:16" ht="87.45" customHeight="1" x14ac:dyDescent="0.25">
      <c r="A40" s="10"/>
      <c r="B40" s="10"/>
      <c r="D40" s="392" t="s">
        <v>146</v>
      </c>
      <c r="E40" s="393"/>
      <c r="F40" s="393"/>
      <c r="G40" s="393"/>
      <c r="H40" s="393"/>
      <c r="I40" s="393"/>
      <c r="J40" s="393"/>
      <c r="K40" s="393"/>
      <c r="L40" s="393"/>
      <c r="M40" s="394"/>
      <c r="N40" s="15"/>
      <c r="O40" s="10"/>
      <c r="P40" s="10"/>
    </row>
    <row r="41" spans="1:16" ht="7.95" customHeight="1" x14ac:dyDescent="0.25">
      <c r="A41" s="10"/>
      <c r="B41" s="10"/>
      <c r="O41" s="10"/>
      <c r="P41" s="10"/>
    </row>
    <row r="42" spans="1:16" ht="34.200000000000003" customHeight="1" x14ac:dyDescent="0.4">
      <c r="A42" s="10"/>
      <c r="B42" s="10"/>
      <c r="C42" s="19"/>
      <c r="D42" s="386" t="s">
        <v>25</v>
      </c>
      <c r="E42" s="386"/>
      <c r="F42" s="386"/>
      <c r="G42" s="386"/>
      <c r="H42" s="386"/>
      <c r="I42" s="386"/>
      <c r="J42" s="386"/>
      <c r="K42" s="386"/>
      <c r="L42" s="386"/>
      <c r="M42" s="386"/>
      <c r="N42" s="18"/>
      <c r="O42" s="10"/>
      <c r="P42" s="10"/>
    </row>
    <row r="43" spans="1:16" ht="7.95" customHeight="1" x14ac:dyDescent="0.25">
      <c r="A43" s="10"/>
      <c r="B43" s="10"/>
      <c r="O43" s="10"/>
      <c r="P43" s="10"/>
    </row>
    <row r="44" spans="1:16" ht="96.45" customHeight="1" x14ac:dyDescent="0.25">
      <c r="A44" s="10"/>
      <c r="B44" s="10"/>
      <c r="D44" s="395" t="s">
        <v>26</v>
      </c>
      <c r="E44" s="395"/>
      <c r="F44" s="395"/>
      <c r="G44" s="395"/>
      <c r="H44" s="395"/>
      <c r="I44" s="395"/>
      <c r="J44" s="395"/>
      <c r="K44" s="395"/>
      <c r="L44" s="395"/>
      <c r="M44" s="395"/>
      <c r="N44" s="15"/>
      <c r="O44" s="10"/>
      <c r="P44" s="10"/>
    </row>
    <row r="45" spans="1:16" ht="7.95" customHeight="1" x14ac:dyDescent="0.25">
      <c r="A45" s="10"/>
      <c r="B45" s="10"/>
      <c r="O45" s="10"/>
      <c r="P45" s="10"/>
    </row>
    <row r="46" spans="1:16" ht="34.950000000000003" customHeight="1" x14ac:dyDescent="0.3">
      <c r="A46" s="10"/>
      <c r="B46" s="10"/>
      <c r="C46" s="17"/>
      <c r="D46" s="387" t="s">
        <v>27</v>
      </c>
      <c r="E46" s="387"/>
      <c r="F46" s="387"/>
      <c r="G46" s="387"/>
      <c r="H46" s="387"/>
      <c r="I46" s="387"/>
      <c r="J46" s="387"/>
      <c r="K46" s="387"/>
      <c r="L46" s="387"/>
      <c r="M46" s="387"/>
      <c r="N46" s="16"/>
      <c r="O46" s="10"/>
      <c r="P46" s="10"/>
    </row>
    <row r="47" spans="1:16" ht="7.95" customHeight="1" x14ac:dyDescent="0.3">
      <c r="A47" s="10"/>
      <c r="B47" s="10"/>
      <c r="D47" s="12"/>
      <c r="E47" s="12"/>
      <c r="F47" s="12"/>
      <c r="G47" s="12"/>
      <c r="H47" s="12"/>
      <c r="I47" s="12"/>
      <c r="J47" s="12"/>
      <c r="K47" s="12"/>
      <c r="L47" s="12"/>
      <c r="M47" s="12"/>
      <c r="N47" s="12"/>
      <c r="O47" s="10"/>
      <c r="P47" s="10"/>
    </row>
    <row r="48" spans="1:16" ht="84" customHeight="1" x14ac:dyDescent="0.25">
      <c r="A48" s="10"/>
      <c r="B48" s="10"/>
      <c r="D48" s="396" t="s">
        <v>28</v>
      </c>
      <c r="E48" s="396"/>
      <c r="F48" s="396"/>
      <c r="G48" s="396"/>
      <c r="H48" s="396"/>
      <c r="I48" s="396"/>
      <c r="J48" s="396"/>
      <c r="K48" s="396"/>
      <c r="L48" s="396"/>
      <c r="M48" s="396"/>
      <c r="N48" s="15"/>
      <c r="O48" s="10"/>
      <c r="P48" s="10"/>
    </row>
    <row r="49" spans="1:16" ht="7.95" customHeight="1" x14ac:dyDescent="0.3">
      <c r="A49" s="10"/>
      <c r="B49" s="10"/>
      <c r="D49" s="12"/>
      <c r="E49" s="12"/>
      <c r="F49" s="12"/>
      <c r="G49" s="12"/>
      <c r="H49" s="12"/>
      <c r="I49" s="12"/>
      <c r="J49" s="12"/>
      <c r="K49" s="12"/>
      <c r="L49" s="12"/>
      <c r="M49" s="12"/>
      <c r="N49" s="12"/>
      <c r="O49" s="10"/>
      <c r="P49" s="10"/>
    </row>
    <row r="50" spans="1:16" ht="25.2" customHeight="1" x14ac:dyDescent="0.3">
      <c r="A50" s="10"/>
      <c r="B50" s="10"/>
      <c r="C50" s="14"/>
      <c r="D50" s="388" t="s">
        <v>29</v>
      </c>
      <c r="E50" s="388"/>
      <c r="F50" s="388"/>
      <c r="G50" s="388"/>
      <c r="H50" s="388"/>
      <c r="I50" s="388"/>
      <c r="J50" s="388"/>
      <c r="K50" s="388"/>
      <c r="L50" s="388"/>
      <c r="M50" s="388"/>
      <c r="N50" s="13"/>
      <c r="O50" s="10"/>
      <c r="P50" s="10"/>
    </row>
    <row r="51" spans="1:16" ht="7.95" customHeight="1" x14ac:dyDescent="0.3">
      <c r="A51" s="10"/>
      <c r="B51" s="10"/>
      <c r="D51" s="12"/>
      <c r="E51" s="12"/>
      <c r="F51" s="12"/>
      <c r="G51" s="12"/>
      <c r="H51" s="12"/>
      <c r="I51" s="12"/>
      <c r="J51" s="12"/>
      <c r="K51" s="12"/>
      <c r="L51" s="12"/>
      <c r="M51" s="12"/>
      <c r="N51" s="12"/>
      <c r="O51" s="10"/>
      <c r="P51" s="10"/>
    </row>
    <row r="52" spans="1:16" ht="237" customHeight="1" x14ac:dyDescent="0.25">
      <c r="A52" s="10"/>
      <c r="B52" s="10"/>
      <c r="D52" s="385" t="s">
        <v>30</v>
      </c>
      <c r="E52" s="385"/>
      <c r="F52" s="385"/>
      <c r="G52" s="385"/>
      <c r="H52" s="385"/>
      <c r="I52" s="385"/>
      <c r="J52" s="385"/>
      <c r="K52" s="385"/>
      <c r="L52" s="385"/>
      <c r="M52" s="385"/>
      <c r="N52" s="11"/>
      <c r="O52" s="10"/>
      <c r="P52" s="10"/>
    </row>
    <row r="53" spans="1:16" ht="7.95" customHeight="1" x14ac:dyDescent="0.25">
      <c r="A53" s="10"/>
      <c r="B53" s="10"/>
      <c r="C53" s="10"/>
      <c r="D53" s="10"/>
      <c r="E53" s="10"/>
      <c r="F53" s="10"/>
      <c r="G53" s="10"/>
      <c r="H53" s="10"/>
      <c r="I53" s="10"/>
      <c r="J53" s="10"/>
      <c r="K53" s="10"/>
      <c r="L53" s="10"/>
      <c r="M53" s="10"/>
      <c r="N53" s="10"/>
      <c r="O53" s="10"/>
      <c r="P53" s="10"/>
    </row>
    <row r="55" spans="1:16" x14ac:dyDescent="0.25">
      <c r="D55" s="5"/>
    </row>
    <row r="56" spans="1:16" x14ac:dyDescent="0.25">
      <c r="D56" s="5"/>
    </row>
    <row r="57" spans="1:16" x14ac:dyDescent="0.25">
      <c r="D57" s="5"/>
    </row>
    <row r="58" spans="1:16" x14ac:dyDescent="0.25">
      <c r="D58" s="5"/>
    </row>
  </sheetData>
  <sheetProtection algorithmName="SHA-512" hashValue="/oyHxfkV7dzQ5CVoqYHdpXPXeni1KxIG9Ry0gm7H9iwfMzTkj2qo3W1Rt/y+0RFW2zeJ2fOiVGjEbULHqBhxiA==" saltValue="6m1rErIi0dWsQoPOV7KFiA==" spinCount="100000" sheet="1" objects="1" scenarios="1"/>
  <mergeCells count="37">
    <mergeCell ref="D36:F36"/>
    <mergeCell ref="G36:M36"/>
    <mergeCell ref="D52:M52"/>
    <mergeCell ref="D42:M42"/>
    <mergeCell ref="D46:M46"/>
    <mergeCell ref="D50:M50"/>
    <mergeCell ref="D38:M38"/>
    <mergeCell ref="D40:M40"/>
    <mergeCell ref="D44:M44"/>
    <mergeCell ref="D48:M48"/>
    <mergeCell ref="D35:M35"/>
    <mergeCell ref="D25:F25"/>
    <mergeCell ref="G25:M25"/>
    <mergeCell ref="D27:F27"/>
    <mergeCell ref="G27:M27"/>
    <mergeCell ref="D34:F34"/>
    <mergeCell ref="G34:M34"/>
    <mergeCell ref="D31:F31"/>
    <mergeCell ref="D32:F32"/>
    <mergeCell ref="D28:M28"/>
    <mergeCell ref="G30:M30"/>
    <mergeCell ref="G31:M31"/>
    <mergeCell ref="G32:M32"/>
    <mergeCell ref="G29:M29"/>
    <mergeCell ref="D29:F30"/>
    <mergeCell ref="D14:M14"/>
    <mergeCell ref="D6:M6"/>
    <mergeCell ref="E23:M23"/>
    <mergeCell ref="E16:M18"/>
    <mergeCell ref="E20:M21"/>
    <mergeCell ref="E2:L2"/>
    <mergeCell ref="E3:L3"/>
    <mergeCell ref="D12:M12"/>
    <mergeCell ref="D8:M8"/>
    <mergeCell ref="D10:M10"/>
    <mergeCell ref="M3:N3"/>
    <mergeCell ref="C4:M4"/>
  </mergeCells>
  <hyperlinks>
    <hyperlink ref="G32" r:id="rId1" xr:uid="{F103155F-0ECD-42B8-BDF2-276001A1689B}"/>
    <hyperlink ref="G36:M36" r:id="rId2" display="Immunization Delivery Cost Catalogue" xr:uid="{0FC6E934-9AFB-46EB-A28E-9A236A6521A7}"/>
    <hyperlink ref="G31" r:id="rId3" xr:uid="{87471D11-F6F7-4195-8440-65361C4D0DA4}"/>
    <hyperlink ref="G29:M29" r:id="rId4" display="WHO MI4A Vaccine Purchase Database" xr:uid="{39B4F633-AF43-43C9-9922-AB6330EF2E03}"/>
    <hyperlink ref="G30:M30" r:id="rId5" display="UNICEF Human Papilloma Virus (HPV) vaccine price data" xr:uid="{E66FDE4F-CFDC-45E7-A5A0-94578B583329}"/>
  </hyperlinks>
  <pageMargins left="0.25" right="0.25" top="0.75" bottom="0.75" header="0.3" footer="0.3"/>
  <pageSetup paperSize="9" scale="70" orientation="portrait" r:id="rId6"/>
  <rowBreaks count="1" manualBreakCount="1">
    <brk id="49" max="16383" man="1"/>
  </rowBreaks>
  <colBreaks count="1" manualBreakCount="1">
    <brk id="16" max="1048575" man="1"/>
  </col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E85B-7571-444F-8D86-B2E3CE3A231D}">
  <sheetPr codeName="Sheet2">
    <tabColor theme="4" tint="-0.249977111117893"/>
  </sheetPr>
  <dimension ref="A1:S152"/>
  <sheetViews>
    <sheetView zoomScaleNormal="100" workbookViewId="0"/>
  </sheetViews>
  <sheetFormatPr defaultColWidth="8.77734375" defaultRowHeight="13.8" outlineLevelRow="1" x14ac:dyDescent="0.3"/>
  <cols>
    <col min="1" max="1" width="1.21875" style="41" customWidth="1"/>
    <col min="2" max="3" width="1.77734375" style="41" customWidth="1"/>
    <col min="4" max="4" width="3.21875" style="41" customWidth="1"/>
    <col min="5" max="5" width="4" style="41" customWidth="1"/>
    <col min="6" max="6" width="43.44140625" style="41" customWidth="1"/>
    <col min="7" max="7" width="8.44140625" style="41" customWidth="1"/>
    <col min="8" max="8" width="10" style="41" customWidth="1"/>
    <col min="9" max="9" width="8.44140625" style="41" customWidth="1"/>
    <col min="10" max="10" width="1.44140625" style="41" customWidth="1"/>
    <col min="11" max="11" width="22.77734375" style="41" customWidth="1"/>
    <col min="12" max="12" width="1.44140625" style="41" customWidth="1"/>
    <col min="13" max="13" width="22.77734375" style="41" customWidth="1"/>
    <col min="14" max="14" width="2.21875" style="41" customWidth="1"/>
    <col min="15" max="15" width="22.77734375" style="41" customWidth="1"/>
    <col min="16" max="16" width="5.6640625" style="41" customWidth="1"/>
    <col min="17" max="17" width="5.77734375" style="41" customWidth="1"/>
    <col min="18" max="18" width="4.77734375" style="41" customWidth="1"/>
    <col min="19" max="16384" width="8.77734375" style="41"/>
  </cols>
  <sheetData>
    <row r="1" spans="1:18" ht="7.95" customHeight="1" x14ac:dyDescent="0.3">
      <c r="B1" s="334"/>
      <c r="C1" s="334"/>
      <c r="D1" s="334"/>
      <c r="E1" s="334"/>
      <c r="F1" s="334"/>
      <c r="G1" s="334"/>
      <c r="H1" s="334"/>
      <c r="I1" s="334"/>
      <c r="J1" s="334"/>
      <c r="K1" s="334"/>
      <c r="L1" s="334"/>
      <c r="M1" s="334"/>
      <c r="N1" s="334"/>
      <c r="O1" s="334"/>
      <c r="P1" s="334"/>
      <c r="Q1" s="334"/>
    </row>
    <row r="2" spans="1:18" ht="19.2" customHeight="1" x14ac:dyDescent="0.3">
      <c r="B2" s="468" t="s">
        <v>31</v>
      </c>
      <c r="C2" s="468"/>
      <c r="D2" s="468"/>
      <c r="E2" s="468"/>
      <c r="F2" s="468"/>
      <c r="G2" s="468"/>
      <c r="H2" s="468"/>
      <c r="I2" s="468"/>
      <c r="J2" s="468"/>
      <c r="K2" s="468"/>
      <c r="L2" s="468"/>
      <c r="M2" s="468"/>
      <c r="N2" s="468"/>
      <c r="O2" s="468"/>
      <c r="P2" s="468"/>
      <c r="Q2" s="468"/>
    </row>
    <row r="3" spans="1:18" ht="14.7" customHeight="1" x14ac:dyDescent="0.3">
      <c r="A3" s="155"/>
      <c r="B3" s="154"/>
      <c r="C3" s="154"/>
      <c r="D3" s="154"/>
      <c r="E3" s="46"/>
      <c r="F3" s="46"/>
      <c r="G3" s="46"/>
      <c r="H3" s="46"/>
      <c r="I3" s="46"/>
      <c r="J3" s="46"/>
      <c r="K3" s="46"/>
      <c r="L3" s="46"/>
      <c r="M3" s="46"/>
      <c r="N3" s="46"/>
      <c r="O3" s="153"/>
      <c r="P3" s="153"/>
      <c r="Q3" s="46"/>
      <c r="R3" s="152"/>
    </row>
    <row r="4" spans="1:18" ht="60" customHeight="1" x14ac:dyDescent="0.3">
      <c r="B4" s="46"/>
      <c r="C4" s="151"/>
      <c r="D4" s="151"/>
      <c r="E4" s="151"/>
      <c r="F4" s="439" t="s">
        <v>6</v>
      </c>
      <c r="G4" s="439"/>
      <c r="H4" s="439"/>
      <c r="I4" s="439"/>
      <c r="J4" s="439"/>
      <c r="K4" s="439"/>
      <c r="L4" s="439"/>
      <c r="M4" s="439"/>
      <c r="N4" s="439"/>
      <c r="O4" s="439"/>
      <c r="P4" s="150"/>
      <c r="Q4" s="148"/>
      <c r="R4" s="147"/>
    </row>
    <row r="5" spans="1:18" ht="7.95" customHeight="1" x14ac:dyDescent="0.3">
      <c r="B5" s="46"/>
      <c r="C5" s="46"/>
      <c r="D5" s="46"/>
      <c r="E5" s="46"/>
      <c r="F5" s="149"/>
      <c r="G5" s="148"/>
      <c r="H5" s="148"/>
      <c r="I5" s="148"/>
      <c r="J5" s="148"/>
      <c r="K5" s="46"/>
      <c r="L5" s="148"/>
      <c r="M5" s="46"/>
      <c r="N5" s="46"/>
      <c r="O5" s="46"/>
      <c r="P5" s="46"/>
      <c r="Q5" s="148"/>
      <c r="R5" s="147"/>
    </row>
    <row r="6" spans="1:18" ht="46.2" customHeight="1" x14ac:dyDescent="0.3">
      <c r="B6" s="46"/>
      <c r="C6" s="46"/>
      <c r="D6" s="402" t="s">
        <v>10</v>
      </c>
      <c r="E6" s="402"/>
      <c r="F6" s="402"/>
      <c r="G6" s="402"/>
      <c r="H6" s="402"/>
      <c r="I6" s="402"/>
      <c r="J6" s="402"/>
      <c r="K6" s="402"/>
      <c r="L6" s="402"/>
      <c r="M6" s="402"/>
      <c r="N6" s="402"/>
      <c r="O6" s="402"/>
      <c r="P6" s="77"/>
      <c r="Q6" s="136"/>
      <c r="R6" s="144"/>
    </row>
    <row r="7" spans="1:18" ht="7.95" customHeight="1" x14ac:dyDescent="0.3">
      <c r="B7" s="46"/>
      <c r="C7" s="46"/>
      <c r="D7" s="46"/>
      <c r="E7" s="46"/>
      <c r="F7" s="146"/>
      <c r="G7" s="146"/>
      <c r="H7" s="146"/>
      <c r="I7" s="146"/>
      <c r="J7" s="146"/>
      <c r="K7" s="146"/>
      <c r="L7" s="146"/>
      <c r="M7" s="146"/>
      <c r="N7" s="145"/>
      <c r="O7" s="136"/>
      <c r="P7" s="136"/>
      <c r="Q7" s="136"/>
      <c r="R7" s="144"/>
    </row>
    <row r="8" spans="1:18" ht="42" customHeight="1" x14ac:dyDescent="0.3">
      <c r="B8" s="46"/>
      <c r="C8" s="46"/>
      <c r="D8" s="255"/>
      <c r="E8" s="256"/>
      <c r="F8" s="298" t="s">
        <v>32</v>
      </c>
      <c r="G8" s="456">
        <v>2026</v>
      </c>
      <c r="H8" s="457"/>
      <c r="I8" s="458"/>
      <c r="J8" s="143"/>
      <c r="K8" s="440" t="s">
        <v>33</v>
      </c>
      <c r="L8" s="440"/>
      <c r="M8" s="440"/>
      <c r="N8" s="440"/>
      <c r="O8" s="441"/>
      <c r="P8" s="142"/>
      <c r="Q8" s="136"/>
      <c r="R8" s="141"/>
    </row>
    <row r="9" spans="1:18" ht="42" customHeight="1" x14ac:dyDescent="0.3">
      <c r="B9" s="46"/>
      <c r="C9" s="46"/>
      <c r="D9" s="300"/>
      <c r="E9" s="301"/>
      <c r="F9" s="302" t="s">
        <v>34</v>
      </c>
      <c r="G9" s="459">
        <f>SUM(G10:G13)</f>
        <v>201000.02</v>
      </c>
      <c r="H9" s="460"/>
      <c r="I9" s="461"/>
      <c r="J9" s="296"/>
      <c r="K9" s="442" t="s">
        <v>35</v>
      </c>
      <c r="L9" s="442"/>
      <c r="M9" s="442"/>
      <c r="N9" s="442"/>
      <c r="O9" s="443"/>
      <c r="P9" s="137"/>
      <c r="Q9" s="136"/>
      <c r="R9" s="139"/>
    </row>
    <row r="10" spans="1:18" ht="25.2" customHeight="1" x14ac:dyDescent="0.3">
      <c r="B10" s="46"/>
      <c r="C10" s="46"/>
      <c r="D10" s="46"/>
      <c r="E10" s="299"/>
      <c r="F10" s="293" t="s">
        <v>36</v>
      </c>
      <c r="G10" s="450">
        <v>100000</v>
      </c>
      <c r="H10" s="451"/>
      <c r="I10" s="452"/>
      <c r="J10" s="140"/>
      <c r="K10" s="322" t="s">
        <v>35</v>
      </c>
      <c r="L10" s="322"/>
      <c r="M10" s="322"/>
      <c r="N10" s="322"/>
      <c r="O10" s="323"/>
      <c r="P10" s="137"/>
      <c r="Q10" s="136"/>
      <c r="R10" s="139"/>
    </row>
    <row r="11" spans="1:18" ht="25.2" customHeight="1" x14ac:dyDescent="0.3">
      <c r="B11" s="46"/>
      <c r="C11" s="46"/>
      <c r="D11" s="46"/>
      <c r="E11" s="297"/>
      <c r="F11" s="292" t="s">
        <v>37</v>
      </c>
      <c r="G11" s="450">
        <v>100000</v>
      </c>
      <c r="H11" s="451"/>
      <c r="I11" s="452"/>
      <c r="J11" s="140"/>
      <c r="K11" s="322" t="s">
        <v>35</v>
      </c>
      <c r="L11" s="322"/>
      <c r="M11" s="322"/>
      <c r="N11" s="322"/>
      <c r="O11" s="323"/>
      <c r="P11" s="137"/>
      <c r="Q11" s="136"/>
      <c r="R11" s="139"/>
    </row>
    <row r="12" spans="1:18" ht="25.2" customHeight="1" x14ac:dyDescent="0.3">
      <c r="B12" s="46"/>
      <c r="C12" s="46"/>
      <c r="D12" s="46"/>
      <c r="E12" s="303"/>
      <c r="F12" s="294" t="s">
        <v>38</v>
      </c>
      <c r="G12" s="450">
        <v>1000</v>
      </c>
      <c r="H12" s="451"/>
      <c r="I12" s="452"/>
      <c r="J12" s="140"/>
      <c r="K12" s="322" t="s">
        <v>35</v>
      </c>
      <c r="L12" s="322"/>
      <c r="M12" s="322"/>
      <c r="N12" s="322"/>
      <c r="O12" s="323"/>
      <c r="P12" s="137"/>
      <c r="Q12" s="136"/>
      <c r="R12" s="139"/>
    </row>
    <row r="13" spans="1:18" ht="42" customHeight="1" x14ac:dyDescent="0.3">
      <c r="B13" s="46"/>
      <c r="C13" s="46"/>
      <c r="D13" s="297"/>
      <c r="E13" s="253"/>
      <c r="F13" s="324" t="s">
        <v>39</v>
      </c>
      <c r="G13" s="424">
        <v>0.02</v>
      </c>
      <c r="H13" s="425"/>
      <c r="I13" s="426"/>
      <c r="J13" s="138"/>
      <c r="K13" s="444" t="s">
        <v>40</v>
      </c>
      <c r="L13" s="444"/>
      <c r="M13" s="444"/>
      <c r="N13" s="444"/>
      <c r="O13" s="445"/>
      <c r="P13" s="137"/>
      <c r="Q13" s="136"/>
      <c r="R13" s="135"/>
    </row>
    <row r="14" spans="1:18" ht="81" customHeight="1" x14ac:dyDescent="0.3">
      <c r="B14" s="46"/>
      <c r="C14" s="46"/>
      <c r="D14" s="46"/>
      <c r="E14" s="46"/>
      <c r="F14" s="46"/>
      <c r="G14" s="305" t="s">
        <v>41</v>
      </c>
      <c r="H14" s="305" t="s">
        <v>37</v>
      </c>
      <c r="I14" s="305" t="s">
        <v>42</v>
      </c>
      <c r="J14" s="46"/>
      <c r="K14" s="46"/>
      <c r="L14" s="46"/>
      <c r="M14" s="46"/>
      <c r="N14" s="46"/>
      <c r="O14" s="46"/>
      <c r="P14" s="137"/>
      <c r="Q14" s="136"/>
      <c r="R14" s="135"/>
    </row>
    <row r="15" spans="1:18" ht="82.5" customHeight="1" x14ac:dyDescent="0.3">
      <c r="B15" s="46"/>
      <c r="C15" s="46"/>
      <c r="D15" s="300"/>
      <c r="E15" s="301"/>
      <c r="F15" s="302" t="s">
        <v>43</v>
      </c>
      <c r="G15" s="304">
        <f>SUM(G16,G19,G22)</f>
        <v>1</v>
      </c>
      <c r="H15" s="304">
        <f t="shared" ref="H15:I15" si="0">SUM(H16,H19,H22)</f>
        <v>1</v>
      </c>
      <c r="I15" s="304">
        <f t="shared" si="0"/>
        <v>1</v>
      </c>
      <c r="J15" s="254"/>
      <c r="K15" s="442" t="s">
        <v>44</v>
      </c>
      <c r="L15" s="442"/>
      <c r="M15" s="442"/>
      <c r="N15" s="442"/>
      <c r="O15" s="443"/>
      <c r="P15" s="137"/>
      <c r="Q15" s="136"/>
      <c r="R15" s="135"/>
    </row>
    <row r="16" spans="1:18" ht="42" customHeight="1" x14ac:dyDescent="0.3">
      <c r="B16" s="46"/>
      <c r="C16" s="46"/>
      <c r="D16" s="46"/>
      <c r="E16" s="260"/>
      <c r="F16" s="261" t="s">
        <v>45</v>
      </c>
      <c r="G16" s="263">
        <v>0.7</v>
      </c>
      <c r="H16" s="263">
        <v>0.7</v>
      </c>
      <c r="I16" s="263">
        <v>0.25</v>
      </c>
      <c r="J16" s="264"/>
      <c r="K16" s="448" t="s">
        <v>46</v>
      </c>
      <c r="L16" s="448"/>
      <c r="M16" s="448"/>
      <c r="N16" s="448"/>
      <c r="O16" s="449"/>
      <c r="P16" s="137"/>
      <c r="Q16" s="136"/>
      <c r="R16" s="135"/>
    </row>
    <row r="17" spans="2:18" ht="30" customHeight="1" x14ac:dyDescent="0.3">
      <c r="B17" s="46"/>
      <c r="C17" s="46"/>
      <c r="D17" s="46"/>
      <c r="E17" s="46"/>
      <c r="F17" s="265" t="s">
        <v>47</v>
      </c>
      <c r="G17" s="266">
        <v>0.8</v>
      </c>
      <c r="H17" s="266">
        <v>0.8</v>
      </c>
      <c r="I17" s="266">
        <v>0.8</v>
      </c>
      <c r="J17" s="267"/>
      <c r="K17" s="446" t="s">
        <v>48</v>
      </c>
      <c r="L17" s="446"/>
      <c r="M17" s="446"/>
      <c r="N17" s="446"/>
      <c r="O17" s="447"/>
      <c r="P17" s="137"/>
      <c r="Q17" s="136"/>
      <c r="R17" s="135"/>
    </row>
    <row r="18" spans="2:18" ht="30" customHeight="1" x14ac:dyDescent="0.3">
      <c r="B18" s="46"/>
      <c r="C18" s="46"/>
      <c r="D18" s="46"/>
      <c r="E18" s="46"/>
      <c r="F18" s="268" t="s">
        <v>49</v>
      </c>
      <c r="G18" s="269">
        <v>0.7</v>
      </c>
      <c r="H18" s="269">
        <v>0.7</v>
      </c>
      <c r="I18" s="269">
        <v>0.7</v>
      </c>
      <c r="J18" s="267"/>
      <c r="K18" s="446" t="s">
        <v>48</v>
      </c>
      <c r="L18" s="446"/>
      <c r="M18" s="446"/>
      <c r="N18" s="446"/>
      <c r="O18" s="447"/>
      <c r="P18" s="137"/>
      <c r="Q18" s="136"/>
      <c r="R18" s="135"/>
    </row>
    <row r="19" spans="2:18" ht="42" customHeight="1" x14ac:dyDescent="0.3">
      <c r="B19" s="46"/>
      <c r="C19" s="46"/>
      <c r="D19" s="46"/>
      <c r="E19" s="260"/>
      <c r="F19" s="261" t="s">
        <v>147</v>
      </c>
      <c r="G19" s="263">
        <v>0.15</v>
      </c>
      <c r="H19" s="263">
        <v>0.15</v>
      </c>
      <c r="I19" s="263">
        <v>0.25</v>
      </c>
      <c r="J19" s="264"/>
      <c r="K19" s="448" t="s">
        <v>46</v>
      </c>
      <c r="L19" s="448"/>
      <c r="M19" s="448"/>
      <c r="N19" s="448"/>
      <c r="O19" s="449"/>
      <c r="P19" s="137"/>
      <c r="Q19" s="136"/>
      <c r="R19" s="135"/>
    </row>
    <row r="20" spans="2:18" ht="30" customHeight="1" x14ac:dyDescent="0.3">
      <c r="B20" s="46"/>
      <c r="C20" s="46"/>
      <c r="D20" s="46"/>
      <c r="E20" s="46"/>
      <c r="F20" s="265" t="s">
        <v>148</v>
      </c>
      <c r="G20" s="266">
        <v>0.8</v>
      </c>
      <c r="H20" s="266">
        <v>0.8</v>
      </c>
      <c r="I20" s="266">
        <v>0.8</v>
      </c>
      <c r="J20" s="267"/>
      <c r="K20" s="446" t="s">
        <v>48</v>
      </c>
      <c r="L20" s="446"/>
      <c r="M20" s="446"/>
      <c r="N20" s="446"/>
      <c r="O20" s="447"/>
      <c r="P20" s="137"/>
      <c r="Q20" s="136"/>
      <c r="R20" s="135"/>
    </row>
    <row r="21" spans="2:18" ht="30" customHeight="1" x14ac:dyDescent="0.3">
      <c r="B21" s="46"/>
      <c r="C21" s="46"/>
      <c r="D21" s="46"/>
      <c r="E21" s="46"/>
      <c r="F21" s="268" t="s">
        <v>149</v>
      </c>
      <c r="G21" s="269">
        <v>0.7</v>
      </c>
      <c r="H21" s="269">
        <v>0.7</v>
      </c>
      <c r="I21" s="269">
        <v>0.7</v>
      </c>
      <c r="J21" s="267"/>
      <c r="K21" s="446" t="s">
        <v>48</v>
      </c>
      <c r="L21" s="446"/>
      <c r="M21" s="446"/>
      <c r="N21" s="446"/>
      <c r="O21" s="447"/>
      <c r="P21" s="137"/>
      <c r="Q21" s="136"/>
      <c r="R21" s="135"/>
    </row>
    <row r="22" spans="2:18" ht="42" customHeight="1" x14ac:dyDescent="0.3">
      <c r="B22" s="46"/>
      <c r="C22" s="46"/>
      <c r="D22" s="46"/>
      <c r="E22" s="260"/>
      <c r="F22" s="261" t="s">
        <v>50</v>
      </c>
      <c r="G22" s="263">
        <v>0.15</v>
      </c>
      <c r="H22" s="263">
        <v>0.15</v>
      </c>
      <c r="I22" s="263">
        <v>0.5</v>
      </c>
      <c r="J22" s="264"/>
      <c r="K22" s="448" t="s">
        <v>46</v>
      </c>
      <c r="L22" s="448"/>
      <c r="M22" s="448"/>
      <c r="N22" s="448"/>
      <c r="O22" s="449"/>
      <c r="P22" s="137"/>
      <c r="Q22" s="136"/>
      <c r="R22" s="135"/>
    </row>
    <row r="23" spans="2:18" ht="30" customHeight="1" x14ac:dyDescent="0.3">
      <c r="B23" s="46"/>
      <c r="C23" s="46"/>
      <c r="D23" s="46"/>
      <c r="E23" s="46"/>
      <c r="F23" s="265" t="s">
        <v>51</v>
      </c>
      <c r="G23" s="266">
        <v>0.8</v>
      </c>
      <c r="H23" s="266">
        <v>0.75</v>
      </c>
      <c r="I23" s="266">
        <v>0.8</v>
      </c>
      <c r="J23" s="270"/>
      <c r="K23" s="446" t="s">
        <v>48</v>
      </c>
      <c r="L23" s="446"/>
      <c r="M23" s="446"/>
      <c r="N23" s="446"/>
      <c r="O23" s="447"/>
      <c r="P23" s="137"/>
      <c r="Q23" s="136"/>
      <c r="R23" s="135"/>
    </row>
    <row r="24" spans="2:18" ht="30" customHeight="1" x14ac:dyDescent="0.3">
      <c r="B24" s="46"/>
      <c r="C24" s="46"/>
      <c r="D24" s="46"/>
      <c r="E24" s="46"/>
      <c r="F24" s="268" t="s">
        <v>52</v>
      </c>
      <c r="G24" s="316">
        <v>0.75</v>
      </c>
      <c r="H24" s="316">
        <v>0.7</v>
      </c>
      <c r="I24" s="316">
        <v>0.75</v>
      </c>
      <c r="J24" s="270"/>
      <c r="K24" s="446" t="s">
        <v>48</v>
      </c>
      <c r="L24" s="446"/>
      <c r="M24" s="446"/>
      <c r="N24" s="446"/>
      <c r="O24" s="447"/>
      <c r="P24" s="137"/>
      <c r="Q24" s="136"/>
      <c r="R24" s="135"/>
    </row>
    <row r="25" spans="2:18" ht="42" customHeight="1" x14ac:dyDescent="0.3">
      <c r="B25" s="46"/>
      <c r="C25" s="46"/>
      <c r="D25" s="257"/>
      <c r="E25" s="301"/>
      <c r="F25" s="302" t="s">
        <v>53</v>
      </c>
      <c r="G25" s="450">
        <v>400000</v>
      </c>
      <c r="H25" s="451"/>
      <c r="I25" s="452"/>
      <c r="J25" s="296"/>
      <c r="K25" s="331" t="s">
        <v>54</v>
      </c>
      <c r="L25" s="331"/>
      <c r="M25" s="331"/>
      <c r="N25" s="331"/>
      <c r="O25" s="332"/>
      <c r="P25" s="137"/>
      <c r="Q25" s="136"/>
      <c r="R25" s="135"/>
    </row>
    <row r="26" spans="2:18" ht="84.75" customHeight="1" x14ac:dyDescent="0.3">
      <c r="B26" s="46"/>
      <c r="C26" s="46"/>
      <c r="D26" s="257"/>
      <c r="E26" s="337"/>
      <c r="F26" s="259" t="s">
        <v>55</v>
      </c>
      <c r="G26" s="453">
        <f>SUM(G27,G30,G33)</f>
        <v>1</v>
      </c>
      <c r="H26" s="454"/>
      <c r="I26" s="455"/>
      <c r="J26" s="258"/>
      <c r="K26" s="442" t="s">
        <v>44</v>
      </c>
      <c r="L26" s="442"/>
      <c r="M26" s="442"/>
      <c r="N26" s="442"/>
      <c r="O26" s="443"/>
      <c r="P26" s="137"/>
      <c r="Q26" s="136"/>
      <c r="R26" s="135"/>
    </row>
    <row r="27" spans="2:18" ht="42" customHeight="1" x14ac:dyDescent="0.3">
      <c r="B27" s="46"/>
      <c r="C27" s="46"/>
      <c r="D27" s="46"/>
      <c r="E27" s="260"/>
      <c r="F27" s="262" t="s">
        <v>56</v>
      </c>
      <c r="G27" s="427">
        <v>0.9</v>
      </c>
      <c r="H27" s="428"/>
      <c r="I27" s="429"/>
      <c r="J27" s="272"/>
      <c r="K27" s="448" t="s">
        <v>46</v>
      </c>
      <c r="L27" s="448"/>
      <c r="M27" s="448"/>
      <c r="N27" s="448"/>
      <c r="O27" s="449"/>
      <c r="P27" s="137"/>
      <c r="Q27" s="136"/>
      <c r="R27" s="135"/>
    </row>
    <row r="28" spans="2:18" ht="30" customHeight="1" x14ac:dyDescent="0.3">
      <c r="B28" s="46"/>
      <c r="C28" s="46"/>
      <c r="D28" s="46"/>
      <c r="E28" s="46"/>
      <c r="F28" s="265" t="s">
        <v>57</v>
      </c>
      <c r="G28" s="397">
        <v>0.9</v>
      </c>
      <c r="H28" s="398"/>
      <c r="I28" s="399"/>
      <c r="J28" s="270"/>
      <c r="K28" s="446" t="s">
        <v>58</v>
      </c>
      <c r="L28" s="446"/>
      <c r="M28" s="446"/>
      <c r="N28" s="446"/>
      <c r="O28" s="447"/>
      <c r="P28" s="137"/>
      <c r="Q28" s="136"/>
      <c r="R28" s="135"/>
    </row>
    <row r="29" spans="2:18" ht="30" customHeight="1" x14ac:dyDescent="0.3">
      <c r="B29" s="46"/>
      <c r="C29" s="46"/>
      <c r="D29" s="46"/>
      <c r="E29" s="46"/>
      <c r="F29" s="268" t="s">
        <v>59</v>
      </c>
      <c r="G29" s="397">
        <v>0.8</v>
      </c>
      <c r="H29" s="398"/>
      <c r="I29" s="399"/>
      <c r="J29" s="270"/>
      <c r="K29" s="446" t="s">
        <v>58</v>
      </c>
      <c r="L29" s="446"/>
      <c r="M29" s="446"/>
      <c r="N29" s="446"/>
      <c r="O29" s="447"/>
      <c r="P29" s="137"/>
      <c r="Q29" s="136"/>
      <c r="R29" s="135"/>
    </row>
    <row r="30" spans="2:18" ht="42" customHeight="1" x14ac:dyDescent="0.3">
      <c r="B30" s="46"/>
      <c r="C30" s="46"/>
      <c r="D30" s="46"/>
      <c r="E30" s="260"/>
      <c r="F30" s="262" t="s">
        <v>60</v>
      </c>
      <c r="G30" s="427">
        <v>0.1</v>
      </c>
      <c r="H30" s="428"/>
      <c r="I30" s="429"/>
      <c r="J30" s="272"/>
      <c r="K30" s="448" t="s">
        <v>46</v>
      </c>
      <c r="L30" s="448"/>
      <c r="M30" s="448"/>
      <c r="N30" s="448"/>
      <c r="O30" s="449"/>
      <c r="P30" s="137"/>
      <c r="Q30" s="136"/>
      <c r="R30" s="135"/>
    </row>
    <row r="31" spans="2:18" ht="30" customHeight="1" x14ac:dyDescent="0.3">
      <c r="B31" s="46"/>
      <c r="C31" s="46"/>
      <c r="D31" s="46"/>
      <c r="E31" s="46"/>
      <c r="F31" s="265" t="s">
        <v>150</v>
      </c>
      <c r="G31" s="397">
        <v>0.9</v>
      </c>
      <c r="H31" s="398"/>
      <c r="I31" s="399"/>
      <c r="J31" s="270"/>
      <c r="K31" s="446" t="s">
        <v>58</v>
      </c>
      <c r="L31" s="446"/>
      <c r="M31" s="446"/>
      <c r="N31" s="446"/>
      <c r="O31" s="447"/>
      <c r="P31" s="137"/>
      <c r="Q31" s="136"/>
      <c r="R31" s="135"/>
    </row>
    <row r="32" spans="2:18" ht="30" customHeight="1" x14ac:dyDescent="0.3">
      <c r="B32" s="46"/>
      <c r="C32" s="46"/>
      <c r="D32" s="46"/>
      <c r="E32" s="46"/>
      <c r="F32" s="268" t="s">
        <v>151</v>
      </c>
      <c r="G32" s="397">
        <v>0.8</v>
      </c>
      <c r="H32" s="398"/>
      <c r="I32" s="399"/>
      <c r="J32" s="270"/>
      <c r="K32" s="446" t="s">
        <v>58</v>
      </c>
      <c r="L32" s="446"/>
      <c r="M32" s="446"/>
      <c r="N32" s="446"/>
      <c r="O32" s="447"/>
      <c r="P32" s="137"/>
      <c r="Q32" s="136"/>
      <c r="R32" s="135"/>
    </row>
    <row r="33" spans="2:19" ht="42" customHeight="1" x14ac:dyDescent="0.3">
      <c r="B33" s="46"/>
      <c r="C33" s="46"/>
      <c r="D33" s="46"/>
      <c r="E33" s="260"/>
      <c r="F33" s="262" t="s">
        <v>61</v>
      </c>
      <c r="G33" s="427">
        <v>0</v>
      </c>
      <c r="H33" s="428"/>
      <c r="I33" s="429"/>
      <c r="J33" s="272"/>
      <c r="K33" s="448" t="s">
        <v>46</v>
      </c>
      <c r="L33" s="448"/>
      <c r="M33" s="448"/>
      <c r="N33" s="448"/>
      <c r="O33" s="449"/>
      <c r="P33" s="137"/>
      <c r="Q33" s="136"/>
      <c r="R33" s="135"/>
    </row>
    <row r="34" spans="2:19" ht="30" customHeight="1" x14ac:dyDescent="0.3">
      <c r="B34" s="46"/>
      <c r="C34" s="46"/>
      <c r="D34" s="46"/>
      <c r="E34" s="46"/>
      <c r="F34" s="265" t="s">
        <v>62</v>
      </c>
      <c r="G34" s="397">
        <v>0</v>
      </c>
      <c r="H34" s="398"/>
      <c r="I34" s="399"/>
      <c r="J34" s="270"/>
      <c r="K34" s="446" t="s">
        <v>58</v>
      </c>
      <c r="L34" s="446"/>
      <c r="M34" s="446"/>
      <c r="N34" s="446"/>
      <c r="O34" s="447"/>
      <c r="P34" s="137"/>
      <c r="Q34" s="136"/>
      <c r="R34" s="135"/>
    </row>
    <row r="35" spans="2:19" ht="30" customHeight="1" x14ac:dyDescent="0.3">
      <c r="B35" s="46"/>
      <c r="C35" s="46"/>
      <c r="D35" s="46"/>
      <c r="E35" s="46"/>
      <c r="F35" s="271" t="s">
        <v>63</v>
      </c>
      <c r="G35" s="397">
        <v>0</v>
      </c>
      <c r="H35" s="398"/>
      <c r="I35" s="399"/>
      <c r="J35" s="270"/>
      <c r="K35" s="446" t="s">
        <v>58</v>
      </c>
      <c r="L35" s="446"/>
      <c r="M35" s="446"/>
      <c r="N35" s="446"/>
      <c r="O35" s="447"/>
      <c r="P35" s="137"/>
      <c r="Q35" s="136"/>
      <c r="R35" s="135"/>
    </row>
    <row r="36" spans="2:19" ht="7.95" customHeight="1" x14ac:dyDescent="0.3">
      <c r="B36" s="46"/>
      <c r="C36" s="46"/>
      <c r="D36" s="46"/>
      <c r="E36" s="46"/>
      <c r="F36" s="131"/>
      <c r="G36" s="131"/>
      <c r="H36" s="131"/>
      <c r="I36" s="131"/>
      <c r="J36" s="131"/>
      <c r="K36" s="134"/>
      <c r="L36" s="131"/>
      <c r="M36" s="133"/>
      <c r="N36" s="133"/>
      <c r="O36" s="132"/>
      <c r="P36" s="132"/>
      <c r="Q36" s="131"/>
      <c r="R36" s="130"/>
    </row>
    <row r="37" spans="2:19" ht="45" customHeight="1" x14ac:dyDescent="0.3">
      <c r="B37" s="46"/>
      <c r="C37" s="46"/>
      <c r="D37" s="46"/>
      <c r="E37" s="46"/>
      <c r="F37" s="402" t="s">
        <v>152</v>
      </c>
      <c r="G37" s="402"/>
      <c r="H37" s="402"/>
      <c r="I37" s="402"/>
      <c r="J37" s="402"/>
      <c r="K37" s="402"/>
      <c r="L37" s="402"/>
      <c r="M37" s="402"/>
      <c r="N37" s="402"/>
      <c r="O37" s="402"/>
      <c r="P37" s="77"/>
      <c r="Q37" s="76"/>
      <c r="R37" s="74"/>
    </row>
    <row r="38" spans="2:19" ht="7.95" customHeight="1" x14ac:dyDescent="0.3">
      <c r="B38" s="46"/>
      <c r="C38" s="46"/>
      <c r="D38" s="46"/>
      <c r="E38" s="46"/>
      <c r="F38" s="46"/>
      <c r="G38" s="46"/>
      <c r="H38" s="46"/>
      <c r="I38" s="46"/>
      <c r="J38" s="46"/>
      <c r="K38" s="46"/>
      <c r="L38" s="46"/>
      <c r="M38" s="46"/>
      <c r="N38" s="46"/>
      <c r="O38" s="46"/>
      <c r="P38" s="46"/>
      <c r="Q38" s="46"/>
    </row>
    <row r="39" spans="2:19" ht="58.2" customHeight="1" x14ac:dyDescent="0.3">
      <c r="B39" s="46"/>
      <c r="C39" s="46"/>
      <c r="D39" s="46"/>
      <c r="E39" s="46"/>
      <c r="F39" s="129"/>
      <c r="G39" s="485" t="s">
        <v>64</v>
      </c>
      <c r="H39" s="486"/>
      <c r="I39" s="487"/>
      <c r="J39" s="127"/>
      <c r="K39" s="128" t="s">
        <v>65</v>
      </c>
      <c r="L39" s="127"/>
      <c r="M39" s="128" t="s">
        <v>66</v>
      </c>
      <c r="N39" s="127"/>
      <c r="O39" s="326" t="s">
        <v>67</v>
      </c>
      <c r="P39" s="122"/>
      <c r="Q39" s="46"/>
    </row>
    <row r="40" spans="2:19" ht="147" customHeight="1" x14ac:dyDescent="0.3">
      <c r="B40" s="46"/>
      <c r="C40" s="46"/>
      <c r="D40" s="46"/>
      <c r="E40" s="46"/>
      <c r="F40" s="126" t="s">
        <v>68</v>
      </c>
      <c r="G40" s="488" t="s">
        <v>69</v>
      </c>
      <c r="H40" s="489"/>
      <c r="I40" s="490"/>
      <c r="J40" s="124"/>
      <c r="K40" s="125" t="s">
        <v>70</v>
      </c>
      <c r="L40" s="124"/>
      <c r="M40" s="125" t="s">
        <v>71</v>
      </c>
      <c r="N40" s="124"/>
      <c r="O40" s="306" t="s">
        <v>72</v>
      </c>
      <c r="P40" s="123"/>
      <c r="Q40" s="122"/>
      <c r="R40" s="121"/>
    </row>
    <row r="41" spans="2:19" ht="8.25" customHeight="1" x14ac:dyDescent="0.3">
      <c r="B41" s="46"/>
      <c r="C41" s="46"/>
      <c r="D41" s="46"/>
      <c r="E41" s="46"/>
      <c r="F41" s="120"/>
      <c r="G41" s="119"/>
      <c r="H41" s="119"/>
      <c r="I41" s="119"/>
      <c r="J41" s="115"/>
      <c r="K41" s="119"/>
      <c r="L41" s="115"/>
      <c r="M41" s="119"/>
      <c r="N41" s="115"/>
      <c r="O41" s="119"/>
      <c r="P41" s="119"/>
      <c r="Q41" s="118"/>
      <c r="R41" s="117"/>
    </row>
    <row r="42" spans="2:19" ht="39" customHeight="1" x14ac:dyDescent="0.3">
      <c r="B42" s="46"/>
      <c r="C42" s="46"/>
      <c r="D42" s="46"/>
      <c r="E42" s="46"/>
      <c r="F42" s="327" t="s">
        <v>73</v>
      </c>
      <c r="G42" s="477">
        <v>4.5</v>
      </c>
      <c r="H42" s="477"/>
      <c r="I42" s="478"/>
      <c r="J42" s="124"/>
      <c r="K42" s="338">
        <v>4.5</v>
      </c>
      <c r="L42" s="124"/>
      <c r="M42" s="338">
        <v>4.5</v>
      </c>
      <c r="N42" s="124"/>
      <c r="O42" s="338">
        <v>4.5</v>
      </c>
      <c r="P42" s="116"/>
      <c r="Q42" s="115"/>
      <c r="R42" s="114"/>
    </row>
    <row r="43" spans="2:19" ht="25.2" customHeight="1" x14ac:dyDescent="0.3">
      <c r="B43" s="46"/>
      <c r="C43" s="46"/>
      <c r="D43" s="46"/>
      <c r="E43" s="46"/>
      <c r="F43" s="107" t="s">
        <v>74</v>
      </c>
      <c r="G43" s="475" t="str">
        <f>IFERROR(INDEX(Data!$A$3:$E$8,MATCH(G40,Data!$A$3:$A$8,0),5),"-")</f>
        <v>2.90 $ - 9.50 $</v>
      </c>
      <c r="H43" s="475"/>
      <c r="I43" s="476"/>
      <c r="J43" s="307"/>
      <c r="K43" s="339">
        <f>IFERROR(INDEX(Data!$A$3:$E$8,MATCH(K40,Data!$A$3:$A$8,0),5),"-")</f>
        <v>3.5</v>
      </c>
      <c r="L43" s="307"/>
      <c r="M43" s="339" t="str">
        <f>IFERROR(INDEX(Data!$A$3:$E$8,MATCH(M40,Data!$A$3:$A$8,0),5),"-")</f>
        <v>4.50 $ - 26.75 $</v>
      </c>
      <c r="N43" s="307"/>
      <c r="O43" s="339" t="s">
        <v>75</v>
      </c>
      <c r="P43" s="116"/>
      <c r="Q43" s="115"/>
      <c r="R43" s="114"/>
    </row>
    <row r="44" spans="2:19" ht="51" customHeight="1" x14ac:dyDescent="0.3">
      <c r="B44" s="46"/>
      <c r="C44" s="46"/>
      <c r="D44" s="46"/>
      <c r="E44" s="46"/>
      <c r="F44" s="250" t="s">
        <v>76</v>
      </c>
      <c r="G44" s="403">
        <v>1</v>
      </c>
      <c r="H44" s="404"/>
      <c r="I44" s="405"/>
      <c r="J44" s="252"/>
      <c r="K44" s="330">
        <v>2</v>
      </c>
      <c r="L44" s="113"/>
      <c r="M44" s="330">
        <v>1</v>
      </c>
      <c r="N44" s="113"/>
      <c r="O44" s="330">
        <v>1</v>
      </c>
      <c r="P44" s="400" t="str">
        <f>IF(OR(AND(G40=Data!$A$4,'Saisie des données'!G44&lt;2),AND(K40=Data!$A$4,'Saisie des données'!K44&lt;2),AND(M40=Data!$A$4,'Saisie des données'!M44&lt;2),AND(O40=Data!$A$4,'Saisie des données'!O44&lt;2)),"!! Deux doses requises pour Walrinvax","")</f>
        <v/>
      </c>
      <c r="Q44" s="401"/>
      <c r="R44" s="79"/>
    </row>
    <row r="45" spans="2:19" ht="30.75" customHeight="1" x14ac:dyDescent="0.3">
      <c r="B45" s="46"/>
      <c r="C45" s="46"/>
      <c r="D45" s="46"/>
      <c r="E45" s="46"/>
      <c r="F45" s="251" t="s">
        <v>77</v>
      </c>
      <c r="G45" s="406">
        <f>IFERROR(INDEX(Data!$A$3:$D$8,MATCH(G40,Data!$A$3:$A$8,0),2),"-")</f>
        <v>2</v>
      </c>
      <c r="H45" s="407"/>
      <c r="I45" s="408"/>
      <c r="J45" s="309"/>
      <c r="K45" s="308">
        <f>IFERROR(INDEX(Data!$A$3:$D$8,MATCH(K40,Data!$A$3:$A$8,0),2),"-")</f>
        <v>2</v>
      </c>
      <c r="L45" s="310"/>
      <c r="M45" s="308">
        <f>IFERROR(INDEX(Data!$A$3:$D$8,MATCH(M40,Data!$A$3:$A$8,0),2),"-")</f>
        <v>2</v>
      </c>
      <c r="N45" s="113"/>
      <c r="O45" s="308" t="s">
        <v>75</v>
      </c>
      <c r="P45" s="81"/>
      <c r="Q45" s="80"/>
      <c r="R45" s="79"/>
    </row>
    <row r="46" spans="2:19" ht="39" customHeight="1" x14ac:dyDescent="0.3">
      <c r="B46" s="46"/>
      <c r="C46" s="46"/>
      <c r="D46" s="46"/>
      <c r="E46" s="46"/>
      <c r="F46" s="328" t="s">
        <v>78</v>
      </c>
      <c r="G46" s="409">
        <f>IFERROR(INDEX(Data!$A$3:$D$8,MATCH(G40,Data!$A$3:$A$8,0),4),"-")</f>
        <v>14.6</v>
      </c>
      <c r="H46" s="410"/>
      <c r="I46" s="411"/>
      <c r="J46" s="112"/>
      <c r="K46" s="227">
        <f>IFERROR(INDEX(Data!$A$3:$D$8,MATCH(K40,Data!$A$3:$A$8,0),4),"-")</f>
        <v>11.8</v>
      </c>
      <c r="L46" s="112"/>
      <c r="M46" s="227">
        <f>IFERROR(INDEX(Data!$A$3:$D$8,MATCH(M40,Data!$A$3:$A$8,0),4),"-")</f>
        <v>15</v>
      </c>
      <c r="N46" s="112"/>
      <c r="O46" s="311">
        <v>15</v>
      </c>
      <c r="P46" s="111"/>
      <c r="Q46" s="110"/>
      <c r="R46" s="109"/>
    </row>
    <row r="47" spans="2:19" ht="39" customHeight="1" x14ac:dyDescent="0.3">
      <c r="B47" s="46"/>
      <c r="C47" s="46"/>
      <c r="D47" s="46"/>
      <c r="E47" s="46"/>
      <c r="F47" s="327" t="s">
        <v>79</v>
      </c>
      <c r="G47" s="412">
        <v>0.05</v>
      </c>
      <c r="H47" s="413"/>
      <c r="I47" s="414"/>
      <c r="J47" s="92"/>
      <c r="K47" s="317">
        <v>0.05</v>
      </c>
      <c r="L47" s="92"/>
      <c r="M47" s="108">
        <v>0.1</v>
      </c>
      <c r="N47" s="92"/>
      <c r="O47" s="108">
        <v>0.05</v>
      </c>
      <c r="P47" s="90"/>
      <c r="Q47" s="89"/>
      <c r="R47" s="88"/>
    </row>
    <row r="48" spans="2:19" ht="19.95" customHeight="1" x14ac:dyDescent="0.3">
      <c r="B48" s="46"/>
      <c r="C48" s="46"/>
      <c r="D48" s="46"/>
      <c r="E48" s="46"/>
      <c r="F48" s="107" t="s">
        <v>80</v>
      </c>
      <c r="G48" s="415">
        <f>IFERROR(INDEX(Data!$A$3:$D$8,MATCH(G40,Data!$A$3:$A$8,0),3),"-")</f>
        <v>0.05</v>
      </c>
      <c r="H48" s="416"/>
      <c r="I48" s="417"/>
      <c r="J48" s="106"/>
      <c r="K48" s="318">
        <f>IFERROR(INDEX(Data!$A$3:$D$8,MATCH(K40,Data!$A$3:$A$8,0),3),"-")</f>
        <v>0.05</v>
      </c>
      <c r="L48" s="106"/>
      <c r="M48" s="105">
        <f>IFERROR(INDEX(Data!$A$3:$D$8,MATCH(M40,Data!$A$3:$A$8,0),3),"-")</f>
        <v>0.05</v>
      </c>
      <c r="N48" s="106"/>
      <c r="O48" s="105" t="s">
        <v>75</v>
      </c>
      <c r="P48" s="104"/>
      <c r="Q48" s="89"/>
      <c r="R48" s="88"/>
      <c r="S48" s="103"/>
    </row>
    <row r="49" spans="2:18" ht="39" customHeight="1" x14ac:dyDescent="0.3">
      <c r="B49" s="46"/>
      <c r="C49" s="46"/>
      <c r="D49" s="46"/>
      <c r="E49" s="46"/>
      <c r="F49" s="326" t="s">
        <v>81</v>
      </c>
      <c r="G49" s="418">
        <f>(1/(1-G47))</f>
        <v>1.0526315789473684</v>
      </c>
      <c r="H49" s="419"/>
      <c r="I49" s="420"/>
      <c r="J49" s="102"/>
      <c r="K49" s="101">
        <f>(1/(1-K47))</f>
        <v>1.0526315789473684</v>
      </c>
      <c r="L49" s="102"/>
      <c r="M49" s="101">
        <f>(1/(1-M47))</f>
        <v>1.1111111111111112</v>
      </c>
      <c r="N49" s="102"/>
      <c r="O49" s="101">
        <f>(1/(1-O47))</f>
        <v>1.0526315789473684</v>
      </c>
      <c r="P49" s="100"/>
      <c r="Q49" s="99"/>
      <c r="R49" s="98"/>
    </row>
    <row r="50" spans="2:18" ht="39" customHeight="1" x14ac:dyDescent="0.3">
      <c r="B50" s="46"/>
      <c r="C50" s="46"/>
      <c r="D50" s="46"/>
      <c r="E50" s="46"/>
      <c r="F50" s="326" t="s">
        <v>82</v>
      </c>
      <c r="G50" s="421">
        <v>0.05</v>
      </c>
      <c r="H50" s="422"/>
      <c r="I50" s="423"/>
      <c r="J50" s="97"/>
      <c r="K50" s="319">
        <v>0.05</v>
      </c>
      <c r="L50" s="97"/>
      <c r="M50" s="96">
        <v>0.05</v>
      </c>
      <c r="N50" s="97"/>
      <c r="O50" s="96">
        <v>0.05</v>
      </c>
      <c r="P50" s="95"/>
      <c r="Q50" s="94"/>
      <c r="R50" s="93"/>
    </row>
    <row r="51" spans="2:18" ht="39" customHeight="1" x14ac:dyDescent="0.3">
      <c r="B51" s="46"/>
      <c r="C51" s="46"/>
      <c r="D51" s="46"/>
      <c r="E51" s="46"/>
      <c r="F51" s="326" t="s">
        <v>83</v>
      </c>
      <c r="G51" s="424">
        <v>7.0000000000000007E-2</v>
      </c>
      <c r="H51" s="425"/>
      <c r="I51" s="426"/>
      <c r="J51" s="92"/>
      <c r="K51" s="320">
        <v>7.0000000000000007E-2</v>
      </c>
      <c r="L51" s="92"/>
      <c r="M51" s="91">
        <v>7.0000000000000007E-2</v>
      </c>
      <c r="N51" s="92"/>
      <c r="O51" s="91">
        <v>7.0000000000000007E-2</v>
      </c>
      <c r="P51" s="90"/>
      <c r="Q51" s="89"/>
      <c r="R51" s="88"/>
    </row>
    <row r="52" spans="2:18" ht="39" customHeight="1" x14ac:dyDescent="0.3">
      <c r="B52" s="46"/>
      <c r="C52" s="46"/>
      <c r="D52" s="46"/>
      <c r="E52" s="46"/>
      <c r="F52" s="326" t="s">
        <v>84</v>
      </c>
      <c r="G52" s="424">
        <v>0.25</v>
      </c>
      <c r="H52" s="425"/>
      <c r="I52" s="426"/>
      <c r="J52" s="92"/>
      <c r="K52" s="320">
        <v>0.25</v>
      </c>
      <c r="L52" s="92"/>
      <c r="M52" s="91">
        <v>0.25</v>
      </c>
      <c r="N52" s="92"/>
      <c r="O52" s="91">
        <v>0.25</v>
      </c>
      <c r="P52" s="90"/>
      <c r="Q52" s="89"/>
      <c r="R52" s="88"/>
    </row>
    <row r="53" spans="2:18" ht="39" customHeight="1" x14ac:dyDescent="0.3">
      <c r="B53" s="46"/>
      <c r="C53" s="46"/>
      <c r="D53" s="46"/>
      <c r="E53" s="46"/>
      <c r="F53" s="326" t="s">
        <v>85</v>
      </c>
      <c r="G53" s="479">
        <v>0.8</v>
      </c>
      <c r="H53" s="480"/>
      <c r="I53" s="481"/>
      <c r="J53" s="87"/>
      <c r="K53" s="340">
        <v>0.8</v>
      </c>
      <c r="L53" s="87"/>
      <c r="M53" s="341">
        <v>0.8</v>
      </c>
      <c r="N53" s="87"/>
      <c r="O53" s="341">
        <v>0.8</v>
      </c>
      <c r="P53" s="86"/>
      <c r="Q53" s="85"/>
      <c r="R53" s="84"/>
    </row>
    <row r="54" spans="2:18" ht="39" customHeight="1" x14ac:dyDescent="0.3">
      <c r="B54" s="46"/>
      <c r="C54" s="46"/>
      <c r="D54" s="46"/>
      <c r="E54" s="46"/>
      <c r="F54" s="326" t="s">
        <v>86</v>
      </c>
      <c r="G54" s="482">
        <v>100</v>
      </c>
      <c r="H54" s="483"/>
      <c r="I54" s="484"/>
      <c r="J54" s="83"/>
      <c r="K54" s="325">
        <v>100</v>
      </c>
      <c r="L54" s="83"/>
      <c r="M54" s="82">
        <v>100</v>
      </c>
      <c r="N54" s="83"/>
      <c r="O54" s="82">
        <v>100</v>
      </c>
      <c r="P54" s="81"/>
      <c r="Q54" s="80"/>
      <c r="R54" s="79"/>
    </row>
    <row r="55" spans="2:18" ht="39" customHeight="1" x14ac:dyDescent="0.3">
      <c r="B55" s="46"/>
      <c r="C55" s="46"/>
      <c r="D55" s="46"/>
      <c r="E55" s="46"/>
      <c r="F55" s="326" t="s">
        <v>87</v>
      </c>
      <c r="G55" s="479">
        <v>0.04</v>
      </c>
      <c r="H55" s="480"/>
      <c r="I55" s="481"/>
      <c r="J55" s="216"/>
      <c r="K55" s="341">
        <v>0.04</v>
      </c>
      <c r="L55" s="216"/>
      <c r="M55" s="341">
        <v>0.04</v>
      </c>
      <c r="N55" s="216"/>
      <c r="O55" s="341">
        <v>0.04</v>
      </c>
      <c r="P55" s="217"/>
      <c r="Q55" s="80"/>
      <c r="R55" s="79"/>
    </row>
    <row r="56" spans="2:18" ht="7.95" customHeight="1" x14ac:dyDescent="0.3">
      <c r="B56" s="46"/>
      <c r="C56" s="46"/>
      <c r="D56" s="46"/>
      <c r="E56" s="46"/>
      <c r="F56" s="78"/>
      <c r="G56" s="46"/>
      <c r="H56" s="46"/>
      <c r="I56" s="46"/>
      <c r="J56" s="46"/>
      <c r="K56" s="46"/>
      <c r="L56" s="46"/>
      <c r="M56" s="46"/>
      <c r="N56" s="46"/>
      <c r="O56" s="78"/>
      <c r="P56" s="78"/>
      <c r="Q56" s="46"/>
    </row>
    <row r="57" spans="2:18" ht="45" customHeight="1" x14ac:dyDescent="0.3">
      <c r="B57" s="46"/>
      <c r="C57" s="46"/>
      <c r="D57" s="46"/>
      <c r="E57" s="46"/>
      <c r="F57" s="402" t="s">
        <v>21</v>
      </c>
      <c r="G57" s="402"/>
      <c r="H57" s="402"/>
      <c r="I57" s="402"/>
      <c r="J57" s="402"/>
      <c r="K57" s="402"/>
      <c r="L57" s="402"/>
      <c r="M57" s="402"/>
      <c r="N57" s="402"/>
      <c r="O57" s="402"/>
      <c r="P57" s="77"/>
      <c r="Q57" s="76"/>
      <c r="R57" s="74"/>
    </row>
    <row r="58" spans="2:18" ht="7.95" customHeight="1" x14ac:dyDescent="0.3">
      <c r="B58" s="46"/>
      <c r="C58" s="46"/>
      <c r="D58" s="46"/>
      <c r="E58" s="46"/>
      <c r="F58" s="75"/>
      <c r="G58" s="75"/>
      <c r="H58" s="75"/>
      <c r="I58" s="75"/>
      <c r="J58" s="75"/>
      <c r="K58" s="75"/>
      <c r="L58" s="75"/>
      <c r="M58" s="46"/>
      <c r="N58" s="46"/>
      <c r="O58" s="75"/>
      <c r="P58" s="75"/>
      <c r="Q58" s="75"/>
      <c r="R58" s="74"/>
    </row>
    <row r="59" spans="2:18" ht="81" customHeight="1" x14ac:dyDescent="0.3">
      <c r="B59" s="46"/>
      <c r="C59" s="46"/>
      <c r="D59" s="46"/>
      <c r="E59" s="46"/>
      <c r="F59" s="326" t="s">
        <v>88</v>
      </c>
      <c r="G59" s="469">
        <v>0</v>
      </c>
      <c r="H59" s="470"/>
      <c r="I59" s="471"/>
      <c r="J59" s="73"/>
      <c r="K59" s="343">
        <v>0</v>
      </c>
      <c r="L59" s="73"/>
      <c r="M59" s="344">
        <v>0</v>
      </c>
      <c r="N59" s="73"/>
      <c r="O59" s="343">
        <v>0</v>
      </c>
      <c r="P59" s="72"/>
      <c r="Q59" s="71"/>
      <c r="R59" s="70"/>
    </row>
    <row r="60" spans="2:18" ht="33.75" customHeight="1" x14ac:dyDescent="0.3">
      <c r="B60" s="46"/>
      <c r="C60" s="46"/>
      <c r="D60" s="46"/>
      <c r="E60" s="46"/>
      <c r="F60" s="327" t="s">
        <v>22</v>
      </c>
      <c r="G60" s="472"/>
      <c r="H60" s="473"/>
      <c r="I60" s="474"/>
      <c r="J60" s="69"/>
      <c r="K60" s="234"/>
      <c r="L60" s="69"/>
      <c r="M60" s="234"/>
      <c r="N60" s="69"/>
      <c r="O60" s="234"/>
      <c r="P60" s="68"/>
      <c r="Q60" s="67"/>
      <c r="R60" s="66"/>
    </row>
    <row r="61" spans="2:18" ht="25.2" customHeight="1" x14ac:dyDescent="0.3">
      <c r="B61" s="46"/>
      <c r="C61" s="46"/>
      <c r="D61" s="46"/>
      <c r="E61" s="46"/>
      <c r="F61" s="236" t="s">
        <v>89</v>
      </c>
      <c r="G61" s="462">
        <v>1</v>
      </c>
      <c r="H61" s="463"/>
      <c r="I61" s="464"/>
      <c r="J61" s="69"/>
      <c r="K61" s="342">
        <v>1</v>
      </c>
      <c r="L61" s="69"/>
      <c r="M61" s="342">
        <v>1</v>
      </c>
      <c r="N61" s="69"/>
      <c r="O61" s="342">
        <v>1</v>
      </c>
      <c r="P61" s="68"/>
      <c r="Q61" s="67"/>
      <c r="R61" s="66"/>
    </row>
    <row r="62" spans="2:18" ht="25.2" customHeight="1" x14ac:dyDescent="0.3">
      <c r="B62" s="46"/>
      <c r="C62" s="46"/>
      <c r="D62" s="46"/>
      <c r="E62" s="46"/>
      <c r="F62" s="236" t="s">
        <v>153</v>
      </c>
      <c r="G62" s="462">
        <v>1</v>
      </c>
      <c r="H62" s="463"/>
      <c r="I62" s="464"/>
      <c r="J62" s="69"/>
      <c r="K62" s="342">
        <v>1</v>
      </c>
      <c r="L62" s="69"/>
      <c r="M62" s="342">
        <v>1</v>
      </c>
      <c r="N62" s="69"/>
      <c r="O62" s="342">
        <v>1</v>
      </c>
      <c r="P62" s="68"/>
      <c r="Q62" s="67"/>
      <c r="R62" s="66"/>
    </row>
    <row r="63" spans="2:18" ht="25.2" customHeight="1" x14ac:dyDescent="0.3">
      <c r="B63" s="46"/>
      <c r="C63" s="46"/>
      <c r="D63" s="46"/>
      <c r="E63" s="46"/>
      <c r="F63" s="236" t="s">
        <v>91</v>
      </c>
      <c r="G63" s="462">
        <v>1</v>
      </c>
      <c r="H63" s="463"/>
      <c r="I63" s="464"/>
      <c r="J63" s="69"/>
      <c r="K63" s="342">
        <v>1</v>
      </c>
      <c r="L63" s="69"/>
      <c r="M63" s="342">
        <v>1</v>
      </c>
      <c r="N63" s="69"/>
      <c r="O63" s="342">
        <v>1</v>
      </c>
      <c r="P63" s="68"/>
      <c r="Q63" s="67"/>
      <c r="R63" s="66"/>
    </row>
    <row r="64" spans="2:18" ht="20.25" customHeight="1" x14ac:dyDescent="0.3">
      <c r="B64" s="46"/>
      <c r="C64" s="46"/>
      <c r="D64" s="46"/>
      <c r="E64" s="46"/>
      <c r="F64" s="248" t="s">
        <v>92</v>
      </c>
      <c r="G64" s="465"/>
      <c r="H64" s="466"/>
      <c r="I64" s="467"/>
      <c r="J64" s="69"/>
      <c r="K64" s="235"/>
      <c r="L64" s="69"/>
      <c r="M64" s="235"/>
      <c r="N64" s="69"/>
      <c r="O64" s="235"/>
      <c r="P64" s="68"/>
      <c r="Q64" s="67"/>
      <c r="R64" s="66"/>
    </row>
    <row r="65" spans="2:18" ht="18.45" customHeight="1" x14ac:dyDescent="0.3">
      <c r="B65" s="46"/>
      <c r="C65" s="46"/>
      <c r="D65" s="46"/>
      <c r="E65" s="46"/>
      <c r="F65" s="46"/>
      <c r="G65" s="225"/>
      <c r="H65" s="225"/>
      <c r="I65" s="225"/>
      <c r="J65" s="226"/>
      <c r="K65" s="225"/>
      <c r="L65" s="226"/>
      <c r="M65" s="225"/>
      <c r="N65" s="226"/>
      <c r="O65" s="225"/>
      <c r="P65" s="46"/>
      <c r="Q65" s="63"/>
      <c r="R65" s="59"/>
    </row>
    <row r="66" spans="2:18" ht="60" customHeight="1" x14ac:dyDescent="0.3">
      <c r="B66" s="46"/>
      <c r="C66" s="46"/>
      <c r="D66" s="46"/>
      <c r="E66" s="65"/>
      <c r="F66" s="434" t="s">
        <v>24</v>
      </c>
      <c r="G66" s="434"/>
      <c r="H66" s="434"/>
      <c r="I66" s="434"/>
      <c r="J66" s="434"/>
      <c r="K66" s="434"/>
      <c r="L66" s="434"/>
      <c r="M66" s="434"/>
      <c r="N66" s="434"/>
      <c r="O66" s="434"/>
      <c r="P66" s="64"/>
      <c r="Q66" s="63"/>
      <c r="R66" s="59"/>
    </row>
    <row r="67" spans="2:18" ht="31.95" customHeight="1" x14ac:dyDescent="0.4">
      <c r="B67" s="46"/>
      <c r="C67" s="46"/>
      <c r="D67" s="46"/>
      <c r="E67" s="62"/>
      <c r="F67" s="435" t="s">
        <v>93</v>
      </c>
      <c r="G67" s="435"/>
      <c r="H67" s="435"/>
      <c r="I67" s="435"/>
      <c r="J67" s="435"/>
      <c r="K67" s="435"/>
      <c r="L67" s="435"/>
      <c r="M67" s="435"/>
      <c r="N67" s="435"/>
      <c r="O67" s="435"/>
      <c r="P67" s="61"/>
      <c r="Q67" s="60"/>
      <c r="R67" s="59"/>
    </row>
    <row r="68" spans="2:18" ht="7.95" customHeight="1" outlineLevel="1" x14ac:dyDescent="0.3">
      <c r="B68" s="46"/>
      <c r="C68" s="46"/>
      <c r="D68" s="46"/>
      <c r="E68" s="46"/>
      <c r="F68" s="57"/>
      <c r="G68" s="56"/>
      <c r="H68" s="56"/>
      <c r="I68" s="56"/>
      <c r="J68" s="56"/>
      <c r="K68" s="58"/>
      <c r="L68" s="56"/>
      <c r="M68" s="46"/>
      <c r="N68" s="46"/>
      <c r="O68" s="57"/>
      <c r="P68" s="57"/>
      <c r="Q68" s="56"/>
      <c r="R68" s="55"/>
    </row>
    <row r="69" spans="2:18" ht="24" customHeight="1" outlineLevel="1" x14ac:dyDescent="0.3">
      <c r="B69" s="46"/>
      <c r="C69" s="46"/>
      <c r="D69" s="46"/>
      <c r="E69" s="46"/>
      <c r="F69" s="431" t="s">
        <v>94</v>
      </c>
      <c r="G69" s="432"/>
      <c r="H69" s="432"/>
      <c r="I69" s="432"/>
      <c r="J69" s="432"/>
      <c r="K69" s="432"/>
      <c r="L69" s="432"/>
      <c r="M69" s="432"/>
      <c r="N69" s="432"/>
      <c r="O69" s="433"/>
      <c r="P69" s="54"/>
      <c r="Q69" s="56"/>
      <c r="R69" s="55"/>
    </row>
    <row r="70" spans="2:18" ht="7.95" customHeight="1" outlineLevel="1" x14ac:dyDescent="0.3">
      <c r="B70" s="46"/>
      <c r="C70" s="46"/>
      <c r="D70" s="46"/>
      <c r="E70" s="46"/>
      <c r="F70" s="57"/>
      <c r="G70" s="56"/>
      <c r="H70" s="56"/>
      <c r="I70" s="56"/>
      <c r="J70" s="56"/>
      <c r="K70" s="58"/>
      <c r="L70" s="56"/>
      <c r="M70" s="46"/>
      <c r="N70" s="46"/>
      <c r="O70" s="57"/>
      <c r="P70" s="57"/>
      <c r="Q70" s="56"/>
      <c r="R70" s="55"/>
    </row>
    <row r="71" spans="2:18" ht="50.7" customHeight="1" outlineLevel="1" x14ac:dyDescent="0.3">
      <c r="B71" s="46"/>
      <c r="C71" s="46"/>
      <c r="D71" s="46"/>
      <c r="E71" s="46"/>
      <c r="F71" s="326" t="s">
        <v>95</v>
      </c>
      <c r="G71" s="436">
        <v>0.2</v>
      </c>
      <c r="H71" s="437"/>
      <c r="I71" s="438"/>
      <c r="J71" s="49"/>
      <c r="K71" s="48">
        <v>0.3</v>
      </c>
      <c r="L71" s="49"/>
      <c r="M71" s="48">
        <v>0.25</v>
      </c>
      <c r="N71" s="49"/>
      <c r="O71" s="48">
        <v>0.25</v>
      </c>
      <c r="P71" s="50"/>
      <c r="Q71" s="46"/>
    </row>
    <row r="72" spans="2:18" ht="7.95" customHeight="1" outlineLevel="1" x14ac:dyDescent="0.3">
      <c r="B72" s="46"/>
      <c r="C72" s="46"/>
      <c r="D72" s="46"/>
      <c r="E72" s="46"/>
      <c r="F72" s="46"/>
      <c r="G72" s="46"/>
      <c r="H72" s="46"/>
      <c r="I72" s="46"/>
      <c r="J72" s="46"/>
      <c r="K72" s="46"/>
      <c r="L72" s="46"/>
      <c r="M72" s="46"/>
      <c r="N72" s="46"/>
      <c r="O72" s="46"/>
      <c r="P72" s="46"/>
      <c r="Q72" s="46"/>
    </row>
    <row r="73" spans="2:18" ht="24" customHeight="1" outlineLevel="1" x14ac:dyDescent="0.3">
      <c r="B73" s="46"/>
      <c r="C73" s="46"/>
      <c r="D73" s="46"/>
      <c r="E73" s="46"/>
      <c r="F73" s="431" t="s">
        <v>96</v>
      </c>
      <c r="G73" s="432"/>
      <c r="H73" s="432"/>
      <c r="I73" s="432"/>
      <c r="J73" s="432"/>
      <c r="K73" s="432"/>
      <c r="L73" s="432"/>
      <c r="M73" s="432"/>
      <c r="N73" s="432"/>
      <c r="O73" s="433"/>
      <c r="P73" s="54"/>
      <c r="Q73" s="46"/>
    </row>
    <row r="74" spans="2:18" ht="7.95" customHeight="1" outlineLevel="1" x14ac:dyDescent="0.3">
      <c r="B74" s="46"/>
      <c r="C74" s="46"/>
      <c r="D74" s="46"/>
      <c r="E74" s="46"/>
      <c r="F74" s="46"/>
      <c r="G74" s="46"/>
      <c r="H74" s="46"/>
      <c r="I74" s="46"/>
      <c r="J74" s="46"/>
      <c r="K74" s="46"/>
      <c r="L74" s="46"/>
      <c r="M74" s="46"/>
      <c r="N74" s="46"/>
      <c r="O74" s="46"/>
      <c r="P74" s="46"/>
      <c r="Q74" s="46"/>
    </row>
    <row r="75" spans="2:18" ht="50.7" customHeight="1" outlineLevel="1" x14ac:dyDescent="0.3">
      <c r="B75" s="46"/>
      <c r="C75" s="46"/>
      <c r="D75" s="46"/>
      <c r="E75" s="46"/>
      <c r="F75" s="326" t="s">
        <v>95</v>
      </c>
      <c r="G75" s="436">
        <v>0.2</v>
      </c>
      <c r="H75" s="437"/>
      <c r="I75" s="438"/>
      <c r="J75" s="49"/>
      <c r="K75" s="48">
        <v>0.3</v>
      </c>
      <c r="L75" s="49"/>
      <c r="M75" s="48">
        <v>0.5</v>
      </c>
      <c r="N75" s="49"/>
      <c r="O75" s="48">
        <v>0</v>
      </c>
      <c r="P75" s="50"/>
      <c r="Q75" s="46"/>
    </row>
    <row r="76" spans="2:18" ht="7.95" customHeight="1" outlineLevel="1" x14ac:dyDescent="0.3">
      <c r="B76" s="46"/>
      <c r="C76" s="46"/>
      <c r="D76" s="46"/>
      <c r="E76" s="46"/>
      <c r="F76" s="53"/>
      <c r="G76" s="52"/>
      <c r="H76" s="52"/>
      <c r="I76" s="52"/>
      <c r="J76" s="51"/>
      <c r="K76" s="50"/>
      <c r="L76" s="51"/>
      <c r="M76" s="50"/>
      <c r="N76" s="51"/>
      <c r="O76" s="50"/>
      <c r="P76" s="50"/>
      <c r="Q76" s="46"/>
    </row>
    <row r="77" spans="2:18" ht="24" customHeight="1" outlineLevel="1" x14ac:dyDescent="0.3">
      <c r="B77" s="46"/>
      <c r="C77" s="46"/>
      <c r="D77" s="46"/>
      <c r="E77" s="46"/>
      <c r="F77" s="431" t="s">
        <v>97</v>
      </c>
      <c r="G77" s="432"/>
      <c r="H77" s="432"/>
      <c r="I77" s="432"/>
      <c r="J77" s="432"/>
      <c r="K77" s="432"/>
      <c r="L77" s="432"/>
      <c r="M77" s="432"/>
      <c r="N77" s="432"/>
      <c r="O77" s="433"/>
      <c r="P77" s="54"/>
      <c r="Q77" s="46"/>
    </row>
    <row r="78" spans="2:18" ht="7.95" customHeight="1" outlineLevel="1" x14ac:dyDescent="0.3">
      <c r="B78" s="46"/>
      <c r="C78" s="46"/>
      <c r="D78" s="46"/>
      <c r="E78" s="46"/>
      <c r="F78" s="53"/>
      <c r="G78" s="52"/>
      <c r="H78" s="52"/>
      <c r="I78" s="52"/>
      <c r="J78" s="51"/>
      <c r="K78" s="50"/>
      <c r="L78" s="51"/>
      <c r="M78" s="50"/>
      <c r="N78" s="51"/>
      <c r="O78" s="50"/>
      <c r="P78" s="50"/>
      <c r="Q78" s="46"/>
    </row>
    <row r="79" spans="2:18" ht="50.7" customHeight="1" outlineLevel="1" x14ac:dyDescent="0.3">
      <c r="B79" s="46"/>
      <c r="C79" s="46"/>
      <c r="D79" s="46"/>
      <c r="E79" s="46"/>
      <c r="F79" s="326" t="s">
        <v>95</v>
      </c>
      <c r="G79" s="436">
        <v>0.5</v>
      </c>
      <c r="H79" s="437"/>
      <c r="I79" s="438"/>
      <c r="J79" s="49"/>
      <c r="K79" s="48">
        <v>0</v>
      </c>
      <c r="L79" s="49"/>
      <c r="M79" s="48">
        <v>0.5</v>
      </c>
      <c r="N79" s="49"/>
      <c r="O79" s="48">
        <v>0</v>
      </c>
      <c r="P79" s="50"/>
      <c r="Q79" s="46"/>
    </row>
    <row r="80" spans="2:18" ht="28.2" customHeight="1" outlineLevel="1" x14ac:dyDescent="0.3">
      <c r="B80" s="46"/>
      <c r="C80" s="46"/>
      <c r="D80" s="46"/>
      <c r="E80" s="46"/>
      <c r="F80" s="430" t="s">
        <v>98</v>
      </c>
      <c r="G80" s="430"/>
      <c r="H80" s="430"/>
      <c r="I80" s="430"/>
      <c r="J80" s="430"/>
      <c r="K80" s="430"/>
      <c r="L80" s="430"/>
      <c r="M80" s="430"/>
      <c r="N80" s="430"/>
      <c r="O80" s="430"/>
      <c r="P80" s="47"/>
      <c r="Q80" s="46"/>
    </row>
    <row r="81" spans="6:16" ht="14.7" customHeight="1" x14ac:dyDescent="0.3">
      <c r="F81" s="45"/>
      <c r="G81" s="44"/>
      <c r="H81" s="44"/>
      <c r="I81" s="44"/>
      <c r="J81" s="43"/>
      <c r="K81" s="42"/>
      <c r="L81" s="43"/>
      <c r="M81" s="42"/>
      <c r="N81" s="43"/>
      <c r="O81" s="42"/>
      <c r="P81" s="42"/>
    </row>
    <row r="82" spans="6:16" ht="19.95" customHeight="1" x14ac:dyDescent="0.3"/>
    <row r="83" spans="6:16" ht="19.95" customHeight="1" x14ac:dyDescent="0.3"/>
    <row r="84" spans="6:16" ht="19.95" customHeight="1" x14ac:dyDescent="0.3"/>
    <row r="85" spans="6:16" ht="19.95" customHeight="1" x14ac:dyDescent="0.3"/>
    <row r="86" spans="6:16" ht="19.95" customHeight="1" x14ac:dyDescent="0.3"/>
    <row r="87" spans="6:16" ht="19.95" customHeight="1" x14ac:dyDescent="0.3"/>
    <row r="88" spans="6:16" ht="19.95" customHeight="1" x14ac:dyDescent="0.3"/>
    <row r="89" spans="6:16" ht="19.95" customHeight="1" x14ac:dyDescent="0.3"/>
    <row r="90" spans="6:16" ht="19.95" customHeight="1" x14ac:dyDescent="0.3"/>
    <row r="91" spans="6:16" ht="19.95" customHeight="1" x14ac:dyDescent="0.3"/>
    <row r="92" spans="6:16" ht="28.95" customHeight="1" x14ac:dyDescent="0.3"/>
    <row r="93" spans="6:16" ht="19.95" customHeight="1" x14ac:dyDescent="0.3"/>
    <row r="94" spans="6:16" ht="19.95" customHeight="1" x14ac:dyDescent="0.3"/>
    <row r="95" spans="6:16" ht="19.95" customHeight="1" x14ac:dyDescent="0.3"/>
    <row r="96" spans="6:16" ht="19.95" customHeight="1" x14ac:dyDescent="0.3"/>
    <row r="97" ht="19.95" customHeight="1" x14ac:dyDescent="0.3"/>
    <row r="98" ht="19.95" customHeight="1" x14ac:dyDescent="0.3"/>
    <row r="99" ht="19.95" customHeight="1" x14ac:dyDescent="0.3"/>
    <row r="100" ht="19.95" customHeight="1" x14ac:dyDescent="0.3"/>
    <row r="101" ht="19.95" customHeight="1" x14ac:dyDescent="0.3"/>
    <row r="102" ht="19.95" customHeight="1" x14ac:dyDescent="0.3"/>
    <row r="103" ht="18" customHeight="1" x14ac:dyDescent="0.3"/>
    <row r="104" ht="25.2" customHeight="1" x14ac:dyDescent="0.3"/>
    <row r="105" ht="18" customHeight="1" x14ac:dyDescent="0.3"/>
    <row r="107" ht="19.95" customHeight="1" x14ac:dyDescent="0.3"/>
    <row r="108" ht="19.95" customHeight="1" x14ac:dyDescent="0.3"/>
    <row r="109" ht="19.95" customHeight="1" x14ac:dyDescent="0.3"/>
    <row r="110" ht="19.95" customHeight="1" x14ac:dyDescent="0.3"/>
    <row r="111" ht="19.95" customHeight="1" x14ac:dyDescent="0.3"/>
    <row r="112" ht="19.95" customHeight="1" x14ac:dyDescent="0.3"/>
    <row r="113" ht="19.95" customHeight="1" x14ac:dyDescent="0.3"/>
    <row r="114" ht="19.95" customHeight="1" x14ac:dyDescent="0.3"/>
    <row r="115" ht="19.95" customHeight="1" x14ac:dyDescent="0.3"/>
    <row r="116" ht="19.95" customHeight="1" x14ac:dyDescent="0.3"/>
    <row r="118" ht="19.95" customHeight="1" x14ac:dyDescent="0.3"/>
    <row r="119" ht="19.95" customHeight="1" x14ac:dyDescent="0.3"/>
    <row r="120" ht="19.95" customHeight="1" x14ac:dyDescent="0.3"/>
    <row r="121" ht="19.95" customHeight="1" x14ac:dyDescent="0.3"/>
    <row r="122" ht="19.95" customHeight="1" x14ac:dyDescent="0.3"/>
    <row r="123" ht="19.95" customHeight="1" x14ac:dyDescent="0.3"/>
    <row r="124" ht="19.95" customHeight="1" x14ac:dyDescent="0.3"/>
    <row r="125" ht="19.95" customHeight="1" x14ac:dyDescent="0.3"/>
    <row r="126" ht="19.95" customHeight="1" x14ac:dyDescent="0.3"/>
    <row r="127" ht="19.95" customHeight="1" x14ac:dyDescent="0.3"/>
    <row r="129" ht="25.2" customHeight="1" x14ac:dyDescent="0.3"/>
    <row r="131" ht="36" customHeight="1" x14ac:dyDescent="0.3"/>
    <row r="132" ht="19.95" customHeight="1" x14ac:dyDescent="0.3"/>
    <row r="133" ht="19.95" customHeight="1" x14ac:dyDescent="0.3"/>
    <row r="134" ht="19.95" customHeight="1" x14ac:dyDescent="0.3"/>
    <row r="135" ht="19.95" customHeight="1" x14ac:dyDescent="0.3"/>
    <row r="136" ht="19.95" customHeight="1" x14ac:dyDescent="0.3"/>
    <row r="137" ht="19.95" customHeight="1" x14ac:dyDescent="0.3"/>
    <row r="138" ht="19.95" customHeight="1" x14ac:dyDescent="0.3"/>
    <row r="139" ht="19.95" customHeight="1" x14ac:dyDescent="0.3"/>
    <row r="140" ht="19.95" customHeight="1" x14ac:dyDescent="0.3"/>
    <row r="141" ht="19.95" customHeight="1" x14ac:dyDescent="0.3"/>
    <row r="143" ht="19.95" customHeight="1" x14ac:dyDescent="0.3"/>
    <row r="144" ht="19.95" customHeight="1" x14ac:dyDescent="0.3"/>
    <row r="145" ht="19.95" customHeight="1" x14ac:dyDescent="0.3"/>
    <row r="146" ht="19.95" customHeight="1" x14ac:dyDescent="0.3"/>
    <row r="147" ht="19.95" customHeight="1" x14ac:dyDescent="0.3"/>
    <row r="148" ht="19.95" customHeight="1" x14ac:dyDescent="0.3"/>
    <row r="149" ht="19.95" customHeight="1" x14ac:dyDescent="0.3"/>
    <row r="150" ht="19.95" customHeight="1" x14ac:dyDescent="0.3"/>
    <row r="151" ht="19.95" customHeight="1" x14ac:dyDescent="0.3"/>
    <row r="152" ht="19.95" customHeight="1" x14ac:dyDescent="0.3"/>
  </sheetData>
  <sheetProtection algorithmName="SHA-512" hashValue="aSw6Vhz8swpwdC5AYVY0G6DUfdn/l5GbPHdTWwinVbo6EuPjMj+HLMHZul905QoFJrNA4b4YdRbLgro4SfN+SA==" saltValue="T7EoiEbx2CuMl18lHpSZYg==" spinCount="100000" sheet="1" formatRows="0"/>
  <protectedRanges>
    <protectedRange sqref="A81:XFD81" name="Range2"/>
    <protectedRange sqref="A68:XFD68" name="Range1"/>
  </protectedRanges>
  <mergeCells count="77">
    <mergeCell ref="B2:Q2"/>
    <mergeCell ref="D6:O6"/>
    <mergeCell ref="G59:I59"/>
    <mergeCell ref="G60:I60"/>
    <mergeCell ref="G75:I75"/>
    <mergeCell ref="G43:I43"/>
    <mergeCell ref="G42:I42"/>
    <mergeCell ref="G53:I53"/>
    <mergeCell ref="G54:I54"/>
    <mergeCell ref="G55:I55"/>
    <mergeCell ref="G33:I33"/>
    <mergeCell ref="G34:I34"/>
    <mergeCell ref="G35:I35"/>
    <mergeCell ref="G39:I39"/>
    <mergeCell ref="G40:I40"/>
    <mergeCell ref="G12:I12"/>
    <mergeCell ref="G61:I61"/>
    <mergeCell ref="G62:I62"/>
    <mergeCell ref="G63:I63"/>
    <mergeCell ref="G64:I64"/>
    <mergeCell ref="G71:I71"/>
    <mergeCell ref="G25:I25"/>
    <mergeCell ref="G13:I13"/>
    <mergeCell ref="G26:I26"/>
    <mergeCell ref="G8:I8"/>
    <mergeCell ref="G9:I9"/>
    <mergeCell ref="G10:I10"/>
    <mergeCell ref="G11:I11"/>
    <mergeCell ref="K15:O15"/>
    <mergeCell ref="K26:O26"/>
    <mergeCell ref="K28:O28"/>
    <mergeCell ref="K29:O29"/>
    <mergeCell ref="K31:O31"/>
    <mergeCell ref="K16:O16"/>
    <mergeCell ref="K19:O19"/>
    <mergeCell ref="K18:O18"/>
    <mergeCell ref="K30:O30"/>
    <mergeCell ref="K24:O24"/>
    <mergeCell ref="K27:O27"/>
    <mergeCell ref="F4:O4"/>
    <mergeCell ref="F37:O37"/>
    <mergeCell ref="K8:O8"/>
    <mergeCell ref="K9:O9"/>
    <mergeCell ref="K13:O13"/>
    <mergeCell ref="K23:O23"/>
    <mergeCell ref="K33:O33"/>
    <mergeCell ref="K34:O34"/>
    <mergeCell ref="K35:O35"/>
    <mergeCell ref="K17:O17"/>
    <mergeCell ref="K32:O32"/>
    <mergeCell ref="K20:O20"/>
    <mergeCell ref="K21:O21"/>
    <mergeCell ref="K22:O22"/>
    <mergeCell ref="G27:I27"/>
    <mergeCell ref="G28:I28"/>
    <mergeCell ref="F80:O80"/>
    <mergeCell ref="F77:O77"/>
    <mergeCell ref="F66:O66"/>
    <mergeCell ref="F69:O69"/>
    <mergeCell ref="F73:O73"/>
    <mergeCell ref="F67:O67"/>
    <mergeCell ref="G79:I79"/>
    <mergeCell ref="G29:I29"/>
    <mergeCell ref="P44:Q44"/>
    <mergeCell ref="F57:O57"/>
    <mergeCell ref="G44:I44"/>
    <mergeCell ref="G45:I45"/>
    <mergeCell ref="G46:I46"/>
    <mergeCell ref="G47:I47"/>
    <mergeCell ref="G48:I48"/>
    <mergeCell ref="G49:I49"/>
    <mergeCell ref="G50:I50"/>
    <mergeCell ref="G51:I51"/>
    <mergeCell ref="G52:I52"/>
    <mergeCell ref="G30:I30"/>
    <mergeCell ref="G31:I31"/>
    <mergeCell ref="G32:I32"/>
  </mergeCells>
  <hyperlinks>
    <hyperlink ref="F64" r:id="rId1" xr:uid="{ADAC4FE8-4F70-426A-99A6-F84A3D8EAE52}"/>
  </hyperlinks>
  <printOptions horizontalCentered="1" verticalCentered="1"/>
  <pageMargins left="0.25" right="0.25" top="0.75" bottom="0.75" header="0.3" footer="0.3"/>
  <pageSetup scale="70" orientation="landscape" r:id="rId2"/>
  <rowBreaks count="4" manualBreakCount="4">
    <brk id="35" min="4" max="14" man="1"/>
    <brk id="43" min="4" max="14" man="1"/>
    <brk id="64" min="4" max="13" man="1"/>
    <brk id="130" max="16383" man="1"/>
  </rowBreaks>
  <ignoredErrors>
    <ignoredError sqref="G26 G15"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AC6AB85C-DE0E-4E96-A382-15160659D437}">
          <x14:formula1>
            <xm:f>Data!$B$15:$B$35</xm:f>
          </x14:formula1>
          <xm:sqref>K71 O79 M79 K79 G75 O75 M75 K75 G71 O71 M71 G79</xm:sqref>
        </x14:dataValidation>
        <x14:dataValidation type="list" allowBlank="1" showInputMessage="1" showErrorMessage="1" xr:uid="{7D635E66-60DC-492C-BEBE-5A0171D9CD77}">
          <x14:formula1>
            <xm:f>Data!$A$3:$A$7</xm:f>
          </x14:formula1>
          <xm:sqref>G40 M40 K40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A00FD-BE23-4E55-B0C3-A1AF1E1FA508}">
  <sheetPr codeName="Sheet4">
    <tabColor theme="1"/>
  </sheetPr>
  <dimension ref="B1:O38"/>
  <sheetViews>
    <sheetView showGridLines="0" zoomScaleNormal="100" workbookViewId="0"/>
  </sheetViews>
  <sheetFormatPr defaultColWidth="8.77734375" defaultRowHeight="13.8" outlineLevelRow="1" x14ac:dyDescent="0.25"/>
  <cols>
    <col min="1" max="1" width="1.77734375" style="275" customWidth="1"/>
    <col min="2" max="2" width="5.21875" style="275" customWidth="1"/>
    <col min="3" max="3" width="18.77734375" style="275" customWidth="1"/>
    <col min="4" max="4" width="12.77734375" style="275" customWidth="1"/>
    <col min="5" max="5" width="2.44140625" style="275" customWidth="1"/>
    <col min="6" max="6" width="20.44140625" style="275" customWidth="1"/>
    <col min="7" max="7" width="7" style="275" customWidth="1"/>
    <col min="8" max="8" width="20.44140625" style="275" customWidth="1"/>
    <col min="9" max="9" width="6.77734375" style="275" customWidth="1"/>
    <col min="10" max="10" width="20.44140625" style="275" customWidth="1"/>
    <col min="11" max="11" width="6.77734375" style="275" customWidth="1"/>
    <col min="12" max="12" width="20.44140625" style="275" customWidth="1"/>
    <col min="13" max="13" width="8.77734375" style="275" bestFit="1" customWidth="1"/>
    <col min="14" max="16384" width="8.77734375" style="275"/>
  </cols>
  <sheetData>
    <row r="1" spans="2:15" ht="7.95" customHeight="1" x14ac:dyDescent="0.25">
      <c r="B1" s="335"/>
      <c r="C1" s="335"/>
      <c r="D1" s="335"/>
      <c r="E1" s="335"/>
      <c r="F1" s="335"/>
      <c r="G1" s="335"/>
      <c r="H1" s="335"/>
      <c r="I1" s="335"/>
      <c r="J1" s="335"/>
      <c r="K1" s="335"/>
      <c r="L1" s="335"/>
      <c r="M1" s="335"/>
    </row>
    <row r="2" spans="2:15" ht="19.2" customHeight="1" x14ac:dyDescent="0.25">
      <c r="B2" s="468" t="s">
        <v>99</v>
      </c>
      <c r="C2" s="468"/>
      <c r="D2" s="468"/>
      <c r="E2" s="468"/>
      <c r="F2" s="468"/>
      <c r="G2" s="468"/>
      <c r="H2" s="468"/>
      <c r="I2" s="468"/>
      <c r="J2" s="468"/>
      <c r="K2" s="468"/>
      <c r="L2" s="468"/>
      <c r="M2" s="468"/>
    </row>
    <row r="3" spans="2:15" ht="7.95" customHeight="1" x14ac:dyDescent="0.25">
      <c r="B3" s="182"/>
      <c r="C3" s="494"/>
      <c r="D3" s="494"/>
      <c r="E3" s="494"/>
      <c r="F3" s="494"/>
      <c r="G3" s="494"/>
      <c r="H3" s="494"/>
      <c r="I3" s="494"/>
      <c r="J3" s="494"/>
      <c r="K3" s="494"/>
      <c r="L3" s="494"/>
      <c r="M3" s="494"/>
    </row>
    <row r="4" spans="2:15" ht="60" customHeight="1" x14ac:dyDescent="0.25">
      <c r="B4" s="182"/>
      <c r="C4" s="498" t="s">
        <v>100</v>
      </c>
      <c r="D4" s="498"/>
      <c r="E4" s="498"/>
      <c r="F4" s="498"/>
      <c r="G4" s="498"/>
      <c r="H4" s="498"/>
      <c r="I4" s="498"/>
      <c r="J4" s="498"/>
      <c r="K4" s="498"/>
      <c r="L4" s="498"/>
      <c r="M4" s="184"/>
    </row>
    <row r="5" spans="2:15" ht="7.95" customHeight="1" x14ac:dyDescent="0.25">
      <c r="B5" s="183"/>
      <c r="C5" s="183"/>
      <c r="D5" s="183"/>
      <c r="E5" s="183"/>
      <c r="F5" s="182"/>
      <c r="G5" s="182"/>
      <c r="H5" s="182"/>
      <c r="I5" s="182"/>
      <c r="J5" s="182"/>
      <c r="K5" s="182"/>
      <c r="L5" s="182"/>
      <c r="M5" s="181"/>
    </row>
    <row r="6" spans="2:15" ht="46.2" customHeight="1" x14ac:dyDescent="0.25">
      <c r="B6" s="493"/>
      <c r="C6" s="161"/>
      <c r="D6" s="161"/>
      <c r="E6" s="158"/>
      <c r="F6" s="224" t="s">
        <v>64</v>
      </c>
      <c r="G6" s="180"/>
      <c r="H6" s="223" t="s">
        <v>65</v>
      </c>
      <c r="I6" s="179"/>
      <c r="J6" s="223" t="s">
        <v>66</v>
      </c>
      <c r="K6" s="179"/>
      <c r="L6" s="224" t="s">
        <v>67</v>
      </c>
      <c r="M6" s="176"/>
    </row>
    <row r="7" spans="2:15" ht="7.95" customHeight="1" x14ac:dyDescent="0.25">
      <c r="B7" s="493"/>
      <c r="C7" s="161"/>
      <c r="D7" s="161"/>
      <c r="E7" s="158"/>
      <c r="F7" s="177"/>
      <c r="G7" s="177"/>
      <c r="H7" s="178"/>
      <c r="I7" s="178"/>
      <c r="J7" s="178"/>
      <c r="K7" s="178"/>
      <c r="L7" s="177"/>
      <c r="M7" s="176"/>
    </row>
    <row r="8" spans="2:15" ht="109.95" customHeight="1" x14ac:dyDescent="0.25">
      <c r="B8" s="493"/>
      <c r="C8" s="175"/>
      <c r="D8" s="161"/>
      <c r="E8" s="158"/>
      <c r="F8" s="326" t="str">
        <f>Résultats!F6</f>
        <v>CECOLIN 
Bivalent, 1 dose/flacon, liquide</v>
      </c>
      <c r="G8" s="276"/>
      <c r="H8" s="326" t="str">
        <f>Résultats!H6</f>
        <v>WALRINVAX 
Bivalent, 1 dose/flacon, liquide</v>
      </c>
      <c r="I8" s="276"/>
      <c r="J8" s="326" t="str">
        <f>Résultats!J6</f>
        <v>GARDASIL4
Quadrivalent, 1 dose/flacon, liquide</v>
      </c>
      <c r="K8" s="276"/>
      <c r="L8" s="326" t="str">
        <f>Résultats!L6</f>
        <v>Option entièrement personnalisable - insérer le nom ici</v>
      </c>
      <c r="M8" s="277"/>
    </row>
    <row r="9" spans="2:15" ht="7.95" customHeight="1" x14ac:dyDescent="0.25">
      <c r="B9" s="278"/>
      <c r="C9" s="173"/>
      <c r="D9" s="173"/>
      <c r="E9" s="173"/>
      <c r="F9" s="174" t="s">
        <v>101</v>
      </c>
      <c r="G9" s="173"/>
      <c r="H9" s="172" t="s">
        <v>101</v>
      </c>
      <c r="I9" s="173"/>
      <c r="J9" s="172" t="s">
        <v>101</v>
      </c>
      <c r="K9" s="173"/>
      <c r="L9" s="172" t="s">
        <v>101</v>
      </c>
      <c r="M9" s="171"/>
      <c r="O9" s="279"/>
    </row>
    <row r="10" spans="2:15" s="282" customFormat="1" ht="40.200000000000003" customHeight="1" x14ac:dyDescent="0.25">
      <c r="B10" s="278"/>
      <c r="C10" s="496" t="s">
        <v>102</v>
      </c>
      <c r="D10" s="159" t="s">
        <v>103</v>
      </c>
      <c r="E10" s="168"/>
      <c r="F10" s="221">
        <f>Résultats!F19/1000000</f>
        <v>1.2990020037577892</v>
      </c>
      <c r="G10" s="280"/>
      <c r="H10" s="221">
        <f>Résultats!H19/1000000</f>
        <v>2.4108352475851578</v>
      </c>
      <c r="I10" s="280"/>
      <c r="J10" s="221">
        <f>Résultats!J19/1000000</f>
        <v>1.3687626252553333</v>
      </c>
      <c r="K10" s="280"/>
      <c r="L10" s="221">
        <f>IF('Tableau de bord'!L8&lt;&gt;0, Résultats!L19/1000000," " )</f>
        <v>1.2990020037577892</v>
      </c>
      <c r="M10" s="281"/>
    </row>
    <row r="11" spans="2:15" s="282" customFormat="1" ht="40.200000000000003" customHeight="1" x14ac:dyDescent="0.25">
      <c r="B11" s="278"/>
      <c r="C11" s="497"/>
      <c r="D11" s="159" t="s">
        <v>104</v>
      </c>
      <c r="E11" s="168"/>
      <c r="F11" s="222">
        <f>F10/5</f>
        <v>0.25980040075155786</v>
      </c>
      <c r="G11" s="170"/>
      <c r="H11" s="222">
        <f>H10/5</f>
        <v>0.48216704951703154</v>
      </c>
      <c r="I11" s="280"/>
      <c r="J11" s="222">
        <f>J10/5</f>
        <v>0.27375252505106668</v>
      </c>
      <c r="K11" s="280"/>
      <c r="L11" s="222">
        <f>IF('Tableau de bord'!L8&lt;&gt;0,L10/5, " ")</f>
        <v>0.25980040075155786</v>
      </c>
      <c r="M11" s="281"/>
    </row>
    <row r="12" spans="2:15" s="282" customFormat="1" ht="7.95" customHeight="1" x14ac:dyDescent="0.25">
      <c r="B12" s="278"/>
      <c r="C12" s="158"/>
      <c r="D12" s="160"/>
      <c r="E12" s="168"/>
      <c r="F12" s="169"/>
      <c r="G12" s="170"/>
      <c r="H12" s="169"/>
      <c r="I12" s="280"/>
      <c r="J12" s="169"/>
      <c r="K12" s="280"/>
      <c r="L12" s="169"/>
      <c r="M12" s="281"/>
    </row>
    <row r="13" spans="2:15" ht="72" customHeight="1" x14ac:dyDescent="0.25">
      <c r="B13" s="278"/>
      <c r="C13" s="326" t="s">
        <v>105</v>
      </c>
      <c r="D13" s="159" t="s">
        <v>104</v>
      </c>
      <c r="E13" s="168"/>
      <c r="F13" s="283">
        <f>AVERAGE(Résultats!F28:F32)/1000000</f>
        <v>3.7930858509727448</v>
      </c>
      <c r="G13" s="284"/>
      <c r="H13" s="283">
        <f>AVERAGE(Résultats!H28:H32)/1000000</f>
        <v>5.6895711843009718</v>
      </c>
      <c r="I13" s="167">
        <f>(H13-F13)/F13</f>
        <v>0.49998481654241211</v>
      </c>
      <c r="J13" s="283">
        <f>AVERAGE(Résultats!J28:J32)/1000000</f>
        <v>4.1062878757659993</v>
      </c>
      <c r="K13" s="167">
        <f>(J13-F13)/F13</f>
        <v>8.2571825974604093E-2</v>
      </c>
      <c r="L13" s="283">
        <f>IF('Tableau de bord'!L8&lt;&gt;0,AVERAGE(Résultats!L28:L32)/1000000," ")</f>
        <v>3.8970060112733678</v>
      </c>
      <c r="M13" s="166">
        <f>(L13-F13)/F13</f>
        <v>2.7397260273972567E-2</v>
      </c>
    </row>
    <row r="14" spans="2:15" ht="7.95" customHeight="1" x14ac:dyDescent="0.25">
      <c r="B14" s="278"/>
      <c r="C14" s="161"/>
      <c r="D14" s="160"/>
      <c r="E14" s="168"/>
      <c r="F14" s="285"/>
      <c r="G14" s="284"/>
      <c r="H14" s="285"/>
      <c r="I14" s="286"/>
      <c r="J14" s="285"/>
      <c r="K14" s="167"/>
      <c r="L14" s="285"/>
      <c r="M14" s="166"/>
    </row>
    <row r="15" spans="2:15" ht="40.200000000000003" customHeight="1" x14ac:dyDescent="0.25">
      <c r="B15" s="278"/>
      <c r="C15" s="496" t="s">
        <v>106</v>
      </c>
      <c r="D15" s="159" t="s">
        <v>103</v>
      </c>
      <c r="E15" s="168"/>
      <c r="F15" s="283">
        <f>Résultats!F36/1000000</f>
        <v>6.6042296170644423</v>
      </c>
      <c r="G15" s="287"/>
      <c r="H15" s="283">
        <f>Résultats!H36/1000000</f>
        <v>12.258568761872905</v>
      </c>
      <c r="I15" s="167">
        <f>(H15-F15)/F15</f>
        <v>0.85616937518320224</v>
      </c>
      <c r="J15" s="283">
        <f>Résultats!J36/1000000</f>
        <v>6.9558231494120637</v>
      </c>
      <c r="K15" s="167">
        <f>(J15-F15)/F15</f>
        <v>5.3237629933270476E-2</v>
      </c>
      <c r="L15" s="283">
        <f>IF('Tableau de bord'!L8&lt;&gt;0,Résultats!L36/1000000," ")</f>
        <v>6.6042296170644423</v>
      </c>
      <c r="M15" s="166">
        <f>(L15-F15)/F15</f>
        <v>0</v>
      </c>
    </row>
    <row r="16" spans="2:15" ht="40.200000000000003" customHeight="1" x14ac:dyDescent="0.25">
      <c r="B16" s="278"/>
      <c r="C16" s="497"/>
      <c r="D16" s="159" t="s">
        <v>104</v>
      </c>
      <c r="E16" s="168"/>
      <c r="F16" s="283">
        <f>F15/5</f>
        <v>1.3208459234128884</v>
      </c>
      <c r="G16" s="284"/>
      <c r="H16" s="283">
        <f>H15/5</f>
        <v>2.4517137523745811</v>
      </c>
      <c r="I16" s="167">
        <f>(H16-F16)/F16</f>
        <v>0.85616937518320235</v>
      </c>
      <c r="J16" s="283">
        <f>J15/5</f>
        <v>1.3911646298824127</v>
      </c>
      <c r="K16" s="167">
        <f>(J16-F16)/F16</f>
        <v>5.3237629933270511E-2</v>
      </c>
      <c r="L16" s="283">
        <f>IF('Tableau de bord'!L8&lt;&gt;0,L15/5," ")</f>
        <v>1.3208459234128884</v>
      </c>
      <c r="M16" s="166">
        <f>(L16-F16)/F16</f>
        <v>0</v>
      </c>
    </row>
    <row r="17" spans="2:13" ht="7.95" customHeight="1" x14ac:dyDescent="0.25">
      <c r="B17" s="278"/>
      <c r="C17" s="158"/>
      <c r="D17" s="160"/>
      <c r="E17" s="168"/>
      <c r="F17" s="285"/>
      <c r="G17" s="284"/>
      <c r="H17" s="285"/>
      <c r="I17" s="286"/>
      <c r="J17" s="285"/>
      <c r="K17" s="167"/>
      <c r="L17" s="285"/>
      <c r="M17" s="166"/>
    </row>
    <row r="18" spans="2:13" ht="40.200000000000003" customHeight="1" x14ac:dyDescent="0.25">
      <c r="B18" s="278"/>
      <c r="C18" s="496" t="s">
        <v>107</v>
      </c>
      <c r="D18" s="159" t="s">
        <v>103</v>
      </c>
      <c r="E18" s="168"/>
      <c r="F18" s="283">
        <f>Résultats!F45/1000000</f>
        <v>7.8010393580570847</v>
      </c>
      <c r="G18" s="284"/>
      <c r="H18" s="283">
        <f>Résultats!H45/1000000</f>
        <v>14.515432117555916</v>
      </c>
      <c r="I18" s="167">
        <f>(H18-F18)/F18</f>
        <v>0.86070489473483536</v>
      </c>
      <c r="J18" s="283">
        <f>Résultats!J45/1000000</f>
        <v>8.1526328904047052</v>
      </c>
      <c r="K18" s="167">
        <f>(J18-F18)/F18</f>
        <v>4.5070088254905029E-2</v>
      </c>
      <c r="L18" s="283">
        <f>IF('Tableau de bord'!L8&lt;&gt;0,Résultats!L45/1000000," ")</f>
        <v>7.8010393580570847</v>
      </c>
      <c r="M18" s="166">
        <f>(L18-F18)/F18</f>
        <v>0</v>
      </c>
    </row>
    <row r="19" spans="2:13" ht="40.200000000000003" customHeight="1" x14ac:dyDescent="0.25">
      <c r="B19" s="278"/>
      <c r="C19" s="497"/>
      <c r="D19" s="159" t="s">
        <v>104</v>
      </c>
      <c r="E19" s="168"/>
      <c r="F19" s="283">
        <f>F18/5</f>
        <v>1.5602078716114169</v>
      </c>
      <c r="G19" s="284"/>
      <c r="H19" s="283">
        <f>H18/5</f>
        <v>2.9030864235111831</v>
      </c>
      <c r="I19" s="167">
        <f>(H19-F19)/F19</f>
        <v>0.86070489473483536</v>
      </c>
      <c r="J19" s="283">
        <f>J18/5</f>
        <v>1.630526578080941</v>
      </c>
      <c r="K19" s="167">
        <f>(J19-F19)/F19</f>
        <v>4.5070088254905029E-2</v>
      </c>
      <c r="L19" s="283">
        <f>IF('Tableau de bord'!L8&lt;&gt;0,L18/5," ")</f>
        <v>1.5602078716114169</v>
      </c>
      <c r="M19" s="166">
        <f>(L19-F19)/F19</f>
        <v>0</v>
      </c>
    </row>
    <row r="20" spans="2:13" ht="21" customHeight="1" x14ac:dyDescent="0.25">
      <c r="B20" s="278"/>
      <c r="C20" s="495" t="s">
        <v>108</v>
      </c>
      <c r="D20" s="495"/>
      <c r="E20" s="495"/>
      <c r="F20" s="495"/>
      <c r="G20" s="495"/>
      <c r="H20" s="495"/>
      <c r="I20" s="495"/>
      <c r="J20" s="495"/>
      <c r="K20" s="495"/>
      <c r="L20" s="495"/>
      <c r="M20" s="495"/>
    </row>
    <row r="21" spans="2:13" ht="17.399999999999999" x14ac:dyDescent="0.25">
      <c r="C21" s="165"/>
      <c r="D21" s="165"/>
      <c r="E21" s="165"/>
      <c r="F21" s="165"/>
      <c r="G21" s="165"/>
      <c r="H21" s="165"/>
      <c r="I21" s="165"/>
      <c r="J21" s="103"/>
      <c r="K21" s="103"/>
      <c r="L21" s="165"/>
      <c r="M21" s="165"/>
    </row>
    <row r="22" spans="2:13" ht="15.6" x14ac:dyDescent="0.25">
      <c r="B22" s="278"/>
      <c r="C22" s="164"/>
      <c r="D22" s="164"/>
      <c r="E22" s="164"/>
      <c r="F22" s="288"/>
      <c r="G22" s="288"/>
      <c r="H22" s="288"/>
      <c r="I22" s="288"/>
      <c r="J22" s="288"/>
      <c r="K22" s="288"/>
      <c r="L22" s="288"/>
      <c r="M22" s="288"/>
    </row>
    <row r="23" spans="2:13" ht="31.95" customHeight="1" x14ac:dyDescent="0.25">
      <c r="B23" s="278"/>
      <c r="C23" s="499" t="s">
        <v>109</v>
      </c>
      <c r="D23" s="499"/>
      <c r="E23" s="499"/>
      <c r="F23" s="499"/>
      <c r="G23" s="499"/>
      <c r="H23" s="499"/>
      <c r="I23" s="499"/>
      <c r="J23" s="499"/>
      <c r="K23" s="499"/>
      <c r="L23" s="499"/>
      <c r="M23" s="156"/>
    </row>
    <row r="24" spans="2:13" ht="27" customHeight="1" x14ac:dyDescent="0.25">
      <c r="B24" s="278"/>
      <c r="C24" s="492" t="s">
        <v>110</v>
      </c>
      <c r="D24" s="492"/>
      <c r="E24" s="492"/>
      <c r="F24" s="492"/>
      <c r="G24" s="492"/>
      <c r="H24" s="492"/>
      <c r="I24" s="492"/>
      <c r="J24" s="492"/>
      <c r="K24" s="156"/>
      <c r="L24" s="156"/>
      <c r="M24" s="156"/>
    </row>
    <row r="25" spans="2:13" ht="34.200000000000003" hidden="1" customHeight="1" outlineLevel="1" x14ac:dyDescent="0.25">
      <c r="B25" s="278"/>
      <c r="C25" s="158"/>
      <c r="D25" s="158"/>
      <c r="E25" s="158"/>
      <c r="F25" s="163" t="s">
        <v>94</v>
      </c>
      <c r="G25" s="162"/>
      <c r="H25" s="163" t="s">
        <v>96</v>
      </c>
      <c r="I25" s="162"/>
      <c r="J25" s="163" t="s">
        <v>97</v>
      </c>
      <c r="K25" s="156"/>
      <c r="L25" s="156"/>
      <c r="M25" s="156"/>
    </row>
    <row r="26" spans="2:13" ht="7.95" hidden="1" customHeight="1" outlineLevel="1" x14ac:dyDescent="0.25">
      <c r="B26" s="278"/>
      <c r="C26" s="158"/>
      <c r="D26" s="158"/>
      <c r="E26" s="158"/>
      <c r="F26" s="156"/>
      <c r="G26" s="156"/>
      <c r="H26" s="156"/>
      <c r="I26" s="156"/>
      <c r="J26" s="156"/>
      <c r="K26" s="156"/>
      <c r="L26" s="156"/>
      <c r="M26" s="156"/>
    </row>
    <row r="27" spans="2:13" ht="40.200000000000003" hidden="1" customHeight="1" outlineLevel="1" x14ac:dyDescent="0.25">
      <c r="B27" s="278"/>
      <c r="C27" s="491" t="s">
        <v>102</v>
      </c>
      <c r="D27" s="159" t="s">
        <v>103</v>
      </c>
      <c r="E27" s="158"/>
      <c r="F27" s="289">
        <f>('Saisie des données'!$G71*Résultats!$F19+'Saisie des données'!$K71*Résultats!$H19+'Saisie des données'!$M71*Résultats!$J19+'Saisie des données'!$O71*Résultats!$L19)/1000000</f>
        <v>1.6499921322803861</v>
      </c>
      <c r="G27" s="157"/>
      <c r="H27" s="289">
        <f>('Saisie des données'!$G75*Résultats!$F19+'Saisie des données'!$K75*Résultats!$H19+'Saisie des données'!$M75*Résultats!$J19+'Saisie des données'!$O75*Résultats!$L19)/1000000</f>
        <v>1.667432287654772</v>
      </c>
      <c r="I27" s="157"/>
      <c r="J27" s="289">
        <f>('Saisie des données'!$G79*Résultats!$F19+'Saisie des données'!$K79*Résultats!$H19+'Saisie des données'!$M79*Résultats!$J19+'Saisie des données'!$O79*Résultats!$L19)/1000000</f>
        <v>1.3338823145065613</v>
      </c>
      <c r="K27" s="156"/>
      <c r="L27" s="156"/>
      <c r="M27" s="156"/>
    </row>
    <row r="28" spans="2:13" ht="40.200000000000003" hidden="1" customHeight="1" outlineLevel="1" x14ac:dyDescent="0.25">
      <c r="B28" s="278"/>
      <c r="C28" s="491"/>
      <c r="D28" s="159" t="s">
        <v>104</v>
      </c>
      <c r="E28" s="158"/>
      <c r="F28" s="290">
        <f>F27/5</f>
        <v>0.32999842645607724</v>
      </c>
      <c r="G28" s="157"/>
      <c r="H28" s="290">
        <f>H27/5</f>
        <v>0.33348645753095441</v>
      </c>
      <c r="I28" s="157"/>
      <c r="J28" s="290">
        <f>J27/5</f>
        <v>0.26677646290131224</v>
      </c>
      <c r="K28" s="156"/>
      <c r="L28" s="156"/>
      <c r="M28" s="156"/>
    </row>
    <row r="29" spans="2:13" ht="7.95" hidden="1" customHeight="1" outlineLevel="1" x14ac:dyDescent="0.25">
      <c r="B29" s="278"/>
      <c r="C29" s="158"/>
      <c r="D29" s="160"/>
      <c r="E29" s="158"/>
      <c r="F29" s="291"/>
      <c r="G29" s="157"/>
      <c r="H29" s="291"/>
      <c r="I29" s="157"/>
      <c r="J29" s="291"/>
      <c r="K29" s="156"/>
      <c r="L29" s="156"/>
      <c r="M29" s="156"/>
    </row>
    <row r="30" spans="2:13" ht="72" hidden="1" customHeight="1" outlineLevel="1" x14ac:dyDescent="0.25">
      <c r="B30" s="278"/>
      <c r="C30" s="326" t="s">
        <v>105</v>
      </c>
      <c r="D30" s="159" t="s">
        <v>104</v>
      </c>
      <c r="E30" s="158"/>
      <c r="F30" s="290">
        <f>('Saisie des données'!$G71*SUM(Résultats!$F28:$F32)/5+'Saisie des données'!$K71*SUM(Résultats!$H28:$H32)/5+'Saisie des données'!$M71*SUM(Résultats!$J28:$J32)/5+'Saisie des données'!$O71*SUM(Résultats!$L28:$L32)/5)/1000000</f>
        <v>4.4663119972446834</v>
      </c>
      <c r="G30" s="157"/>
      <c r="H30" s="290">
        <f>('Saisie des données'!$G75*SUM(Résultats!$F28:$F32)/5+'Saisie des données'!$K75*SUM(Résultats!$H28:$H32)/5+'Saisie des données'!$M75*SUM(Résultats!$J28:$J32)/5+'Saisie des données'!$O75*SUM(Résultats!$L28:$L32)/5)/1000000</f>
        <v>4.5186324633678403</v>
      </c>
      <c r="I30" s="157"/>
      <c r="J30" s="290">
        <f>('Saisie des données'!$G79*SUM(Résultats!$F28:$F32)/5+'Saisie des données'!$K79*SUM(Résultats!$H28:$H32)/5+'Saisie des données'!$M79*SUM(Résultats!$J28:$J32)/5+'Saisie des données'!$O79*SUM(Résultats!$L28:$L32)/5)/1000000</f>
        <v>3.9496868633693718</v>
      </c>
      <c r="K30" s="156"/>
      <c r="L30" s="156"/>
      <c r="M30" s="156"/>
    </row>
    <row r="31" spans="2:13" ht="7.95" hidden="1" customHeight="1" outlineLevel="1" x14ac:dyDescent="0.25">
      <c r="B31" s="278"/>
      <c r="C31" s="161"/>
      <c r="D31" s="160"/>
      <c r="E31" s="158"/>
      <c r="F31" s="291"/>
      <c r="G31" s="157"/>
      <c r="H31" s="291"/>
      <c r="I31" s="157"/>
      <c r="J31" s="291"/>
      <c r="K31" s="156"/>
      <c r="L31" s="156"/>
      <c r="M31" s="156"/>
    </row>
    <row r="32" spans="2:13" ht="40.200000000000003" hidden="1" customHeight="1" outlineLevel="1" x14ac:dyDescent="0.25">
      <c r="B32" s="278"/>
      <c r="C32" s="491" t="s">
        <v>111</v>
      </c>
      <c r="D32" s="159" t="s">
        <v>103</v>
      </c>
      <c r="E32" s="158"/>
      <c r="F32" s="345">
        <f>('Saisie des données'!$G71*Résultats!F36+'Saisie des données'!$K71*Résultats!H36+'Saisie des données'!$M71*Résultats!J36+'Saisie des données'!$O71*Résultats!L36)/1000000</f>
        <v>8.3884297435938855</v>
      </c>
      <c r="G32" s="157"/>
      <c r="H32" s="345">
        <f>('Saisie des données'!$G75*Résultats!F36+'Saisie des données'!$K75*Résultats!H36+'Saisie des données'!$M75*Résultats!J36+'Saisie des données'!$O75*Résultats!L36)/1000000</f>
        <v>8.4763281266807908</v>
      </c>
      <c r="I32" s="157"/>
      <c r="J32" s="345">
        <f>('Saisie des données'!$G79*Résultats!F36+'Saisie des données'!$K79*Résultats!H36+'Saisie des données'!$M79*Résultats!J36+'Saisie des données'!$O79*Résultats!L36)/1000000</f>
        <v>6.780026383238253</v>
      </c>
      <c r="K32" s="156"/>
      <c r="L32" s="156"/>
      <c r="M32" s="156"/>
    </row>
    <row r="33" spans="2:13" ht="40.200000000000003" hidden="1" customHeight="1" outlineLevel="1" x14ac:dyDescent="0.25">
      <c r="B33" s="278"/>
      <c r="C33" s="491"/>
      <c r="D33" s="159" t="s">
        <v>104</v>
      </c>
      <c r="E33" s="158"/>
      <c r="F33" s="345">
        <f>F32/5</f>
        <v>1.6776859487187772</v>
      </c>
      <c r="G33" s="157"/>
      <c r="H33" s="345">
        <f>H32/5</f>
        <v>1.6952656253361582</v>
      </c>
      <c r="I33" s="157"/>
      <c r="J33" s="345">
        <f>J32/5</f>
        <v>1.3560052766476507</v>
      </c>
      <c r="K33" s="156"/>
      <c r="L33" s="156"/>
      <c r="M33" s="156"/>
    </row>
    <row r="34" spans="2:13" ht="7.95" hidden="1" customHeight="1" outlineLevel="1" x14ac:dyDescent="0.25">
      <c r="B34" s="278"/>
      <c r="C34" s="158"/>
      <c r="D34" s="160"/>
      <c r="E34" s="158"/>
      <c r="F34" s="157"/>
      <c r="G34" s="157"/>
      <c r="H34" s="157"/>
      <c r="I34" s="157"/>
      <c r="J34" s="157"/>
      <c r="K34" s="156"/>
      <c r="L34" s="156"/>
      <c r="M34" s="156"/>
    </row>
    <row r="35" spans="2:13" ht="40.200000000000003" hidden="1" customHeight="1" outlineLevel="1" x14ac:dyDescent="0.25">
      <c r="B35" s="278"/>
      <c r="C35" s="491" t="s">
        <v>112</v>
      </c>
      <c r="D35" s="159" t="s">
        <v>103</v>
      </c>
      <c r="E35" s="158"/>
      <c r="F35" s="346">
        <f>('Saisie des données'!$G71*Résultats!F45+'Saisie des données'!$K71*Résultats!H45+'Saisie des données'!$M71*Résultats!J45+'Saisie des données'!O$71*Résultats!L45)/1000000</f>
        <v>9.9032555689936395</v>
      </c>
      <c r="G35" s="157"/>
      <c r="H35" s="346">
        <f>('Saisie des données'!$G75*Résultats!F45+'Saisie des données'!$K75*Résultats!H45+'Saisie des données'!$M75*Résultats!J45+'Saisie des données'!$O75*Résultats!L45)/1000000</f>
        <v>9.9911539520805448</v>
      </c>
      <c r="I35" s="157"/>
      <c r="J35" s="346">
        <f>('Saisie des données'!$G79*Résultats!F45+'Saisie des données'!$K79*Résultats!H45+'Saisie des données'!$M79*Résultats!J45+'Saisie des données'!$O79*Résultats!L45)/1000000</f>
        <v>7.9768361242308954</v>
      </c>
      <c r="K35" s="156"/>
      <c r="L35" s="156"/>
      <c r="M35" s="156"/>
    </row>
    <row r="36" spans="2:13" ht="40.200000000000003" hidden="1" customHeight="1" outlineLevel="1" x14ac:dyDescent="0.25">
      <c r="B36" s="278"/>
      <c r="C36" s="491"/>
      <c r="D36" s="159" t="s">
        <v>104</v>
      </c>
      <c r="E36" s="158"/>
      <c r="F36" s="345">
        <f>F35/5</f>
        <v>1.9806511137987279</v>
      </c>
      <c r="G36" s="157"/>
      <c r="H36" s="345">
        <f>H35/5</f>
        <v>1.998230790416109</v>
      </c>
      <c r="I36" s="157"/>
      <c r="J36" s="345">
        <f>J35/5</f>
        <v>1.595367224846179</v>
      </c>
      <c r="K36" s="156"/>
      <c r="L36" s="156"/>
      <c r="M36" s="156"/>
    </row>
    <row r="37" spans="2:13" hidden="1" outlineLevel="1" x14ac:dyDescent="0.25">
      <c r="B37" s="278"/>
      <c r="C37" s="278"/>
      <c r="D37" s="278"/>
      <c r="E37" s="278"/>
      <c r="F37" s="278"/>
      <c r="G37" s="278"/>
      <c r="H37" s="278"/>
      <c r="I37" s="278"/>
      <c r="J37" s="278"/>
      <c r="K37" s="278"/>
      <c r="L37" s="278"/>
      <c r="M37" s="278"/>
    </row>
    <row r="38" spans="2:13" collapsed="1" x14ac:dyDescent="0.25"/>
  </sheetData>
  <sheetProtection algorithmName="SHA-512" hashValue="v02nTlE+kUT3P2el9hGqVw0uzlvnEFzN2B3f7HzrxiF1l8i1YJGOoBeQicwdgkWSFicifVlKNyr8QJetuA73sA==" saltValue="fLj3c9hHYPYYZWVA1OAFqA==" spinCount="100000" sheet="1" formatRows="0"/>
  <mergeCells count="13">
    <mergeCell ref="C32:C33"/>
    <mergeCell ref="C35:C36"/>
    <mergeCell ref="C24:J24"/>
    <mergeCell ref="B2:M2"/>
    <mergeCell ref="B6:B8"/>
    <mergeCell ref="C3:M3"/>
    <mergeCell ref="C20:M20"/>
    <mergeCell ref="C10:C11"/>
    <mergeCell ref="C15:C16"/>
    <mergeCell ref="C18:C19"/>
    <mergeCell ref="C4:L4"/>
    <mergeCell ref="C23:L23"/>
    <mergeCell ref="C27:C28"/>
  </mergeCells>
  <conditionalFormatting sqref="F13 H13 J13 L13">
    <cfRule type="colorScale" priority="6">
      <colorScale>
        <cfvo type="min"/>
        <cfvo type="percentile" val="50"/>
        <cfvo type="max"/>
        <color rgb="FF00BB6B"/>
        <color rgb="FFE2E278"/>
        <color theme="3"/>
      </colorScale>
    </cfRule>
  </conditionalFormatting>
  <conditionalFormatting sqref="F32 H32 J32">
    <cfRule type="colorScale" priority="2">
      <colorScale>
        <cfvo type="min"/>
        <cfvo type="percentile" val="50"/>
        <cfvo type="max"/>
        <color rgb="FF00BB6B"/>
        <color rgb="FFE2E278"/>
        <color theme="3"/>
      </colorScale>
    </cfRule>
    <cfRule type="colorScale" priority="12">
      <colorScale>
        <cfvo type="min"/>
        <cfvo type="max"/>
        <color rgb="FF00BB6B"/>
        <color rgb="FFE2E278"/>
      </colorScale>
    </cfRule>
  </conditionalFormatting>
  <conditionalFormatting sqref="F35 H35 J35">
    <cfRule type="colorScale" priority="1">
      <colorScale>
        <cfvo type="min"/>
        <cfvo type="percentile" val="50"/>
        <cfvo type="max"/>
        <color rgb="FF00BB6B"/>
        <color rgb="FFE2E278"/>
        <color theme="3"/>
      </colorScale>
    </cfRule>
    <cfRule type="colorScale" priority="11">
      <colorScale>
        <cfvo type="min"/>
        <cfvo type="max"/>
        <color rgb="FF00BB6B"/>
        <color rgb="FFE2E278"/>
      </colorScale>
    </cfRule>
  </conditionalFormatting>
  <conditionalFormatting sqref="H13:H14 F13:F14 J13:J14 L13:L14">
    <cfRule type="colorScale" priority="9">
      <colorScale>
        <cfvo type="min"/>
        <cfvo type="max"/>
        <color rgb="FF00BB6B"/>
        <color rgb="FFE2E278"/>
      </colorScale>
    </cfRule>
  </conditionalFormatting>
  <conditionalFormatting sqref="H15 F15 J15 L15">
    <cfRule type="colorScale" priority="5">
      <colorScale>
        <cfvo type="min"/>
        <cfvo type="percentile" val="50"/>
        <cfvo type="max"/>
        <color rgb="FF00BB6B"/>
        <color rgb="FFE2E278"/>
        <color theme="3"/>
      </colorScale>
    </cfRule>
    <cfRule type="colorScale" priority="8">
      <colorScale>
        <cfvo type="min"/>
        <cfvo type="max"/>
        <color rgb="FF00BB6B"/>
        <color rgb="FFE2E278"/>
      </colorScale>
    </cfRule>
  </conditionalFormatting>
  <conditionalFormatting sqref="H18 F18 J18 L18">
    <cfRule type="colorScale" priority="4">
      <colorScale>
        <cfvo type="min"/>
        <cfvo type="percentile" val="50"/>
        <cfvo type="max"/>
        <color rgb="FF00BB6B"/>
        <color rgb="FFE2E278"/>
        <color theme="3"/>
      </colorScale>
    </cfRule>
    <cfRule type="colorScale" priority="7">
      <colorScale>
        <cfvo type="min"/>
        <cfvo type="max"/>
        <color rgb="FF00BB6B"/>
        <color rgb="FFE2E278"/>
      </colorScale>
    </cfRule>
  </conditionalFormatting>
  <conditionalFormatting sqref="H30 F30 J30">
    <cfRule type="colorScale" priority="3">
      <colorScale>
        <cfvo type="min"/>
        <cfvo type="percentile" val="50"/>
        <cfvo type="max"/>
        <color rgb="FF00BB6B"/>
        <color rgb="FFE2E278"/>
        <color theme="3"/>
      </colorScale>
    </cfRule>
  </conditionalFormatting>
  <conditionalFormatting sqref="H30:H31 F30:F31 J30:J31">
    <cfRule type="colorScale" priority="13">
      <colorScale>
        <cfvo type="min"/>
        <cfvo type="max"/>
        <color rgb="FF00BB6B"/>
        <color rgb="FFE2E278"/>
      </colorScale>
    </cfRule>
  </conditionalFormatting>
  <conditionalFormatting sqref="L12">
    <cfRule type="colorScale" priority="10">
      <colorScale>
        <cfvo type="min"/>
        <cfvo type="max"/>
        <color rgb="FF00BB6B"/>
        <color rgb="FFE2E278"/>
      </colorScale>
    </cfRule>
  </conditionalFormatting>
  <conditionalFormatting sqref="M13 M15:M16 M18:M19">
    <cfRule type="containsErrors" dxfId="0" priority="14">
      <formula>ISERROR(M13)</formula>
    </cfRule>
  </conditionalFormatting>
  <pageMargins left="0.25" right="0.25" top="0.75" bottom="0.75" header="0.3" footer="0.3"/>
  <pageSetup scale="70" orientation="landscape" r:id="rId1"/>
  <rowBreaks count="1" manualBreakCount="1">
    <brk id="20" min="1" max="11" man="1"/>
  </rowBreaks>
  <ignoredErrors>
    <ignoredError sqref="I16 I19"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C31D9-9774-48E7-B15E-69D1D11928FD}">
  <sheetPr codeName="Sheet5">
    <tabColor theme="9"/>
  </sheetPr>
  <dimension ref="A1:O51"/>
  <sheetViews>
    <sheetView zoomScaleNormal="100" workbookViewId="0"/>
  </sheetViews>
  <sheetFormatPr defaultColWidth="8.77734375" defaultRowHeight="13.8" x14ac:dyDescent="0.25"/>
  <cols>
    <col min="1" max="1" width="2.44140625" style="185" customWidth="1"/>
    <col min="2" max="3" width="5.77734375" style="185" customWidth="1"/>
    <col min="4" max="4" width="20.44140625" style="185" customWidth="1"/>
    <col min="5" max="5" width="1.44140625" style="185" customWidth="1"/>
    <col min="6" max="6" width="22.44140625" style="185" customWidth="1"/>
    <col min="7" max="7" width="1.44140625" style="185" customWidth="1"/>
    <col min="8" max="8" width="22.44140625" style="185" customWidth="1"/>
    <col min="9" max="9" width="1.44140625" style="185" customWidth="1"/>
    <col min="10" max="10" width="22.44140625" style="185" customWidth="1"/>
    <col min="11" max="11" width="1.44140625" style="185" customWidth="1"/>
    <col min="12" max="12" width="22.44140625" style="185" customWidth="1"/>
    <col min="13" max="14" width="5.77734375" style="185" customWidth="1"/>
    <col min="15" max="17" width="10.44140625" style="185" bestFit="1" customWidth="1"/>
    <col min="18" max="16384" width="8.77734375" style="185"/>
  </cols>
  <sheetData>
    <row r="1" spans="1:15" ht="7.95" customHeight="1" x14ac:dyDescent="0.25">
      <c r="B1" s="502"/>
      <c r="C1" s="502"/>
      <c r="D1" s="502"/>
      <c r="E1" s="502"/>
      <c r="F1" s="502"/>
      <c r="G1" s="502"/>
      <c r="H1" s="502"/>
      <c r="I1" s="502"/>
      <c r="J1" s="502"/>
      <c r="K1" s="502"/>
      <c r="L1" s="502"/>
      <c r="M1" s="502"/>
      <c r="N1" s="336"/>
    </row>
    <row r="2" spans="1:15" ht="19.2" customHeight="1" x14ac:dyDescent="0.25">
      <c r="A2" s="468" t="s">
        <v>113</v>
      </c>
      <c r="B2" s="468"/>
      <c r="C2" s="468"/>
      <c r="D2" s="468"/>
      <c r="E2" s="468"/>
      <c r="F2" s="468"/>
      <c r="G2" s="468"/>
      <c r="H2" s="468"/>
      <c r="I2" s="468"/>
      <c r="J2" s="468"/>
      <c r="K2" s="468"/>
      <c r="L2" s="468"/>
      <c r="M2" s="468"/>
      <c r="N2" s="468"/>
      <c r="O2" s="321"/>
    </row>
    <row r="3" spans="1:15" ht="14.7" customHeight="1" x14ac:dyDescent="0.25">
      <c r="B3" s="190"/>
      <c r="C3" s="190"/>
      <c r="D3" s="503"/>
      <c r="E3" s="503"/>
      <c r="F3" s="503"/>
      <c r="G3" s="503"/>
      <c r="H3" s="503"/>
      <c r="I3" s="503"/>
      <c r="J3" s="503"/>
      <c r="K3" s="503"/>
      <c r="L3" s="503"/>
      <c r="M3" s="329"/>
      <c r="N3" s="329"/>
    </row>
    <row r="4" spans="1:15" ht="60" customHeight="1" x14ac:dyDescent="0.25">
      <c r="B4" s="190"/>
      <c r="C4" s="219"/>
      <c r="D4" s="505" t="s">
        <v>114</v>
      </c>
      <c r="E4" s="505"/>
      <c r="F4" s="505"/>
      <c r="G4" s="505"/>
      <c r="H4" s="505"/>
      <c r="I4" s="505"/>
      <c r="J4" s="505"/>
      <c r="K4" s="505"/>
      <c r="L4" s="505"/>
      <c r="M4" s="220"/>
      <c r="N4" s="329"/>
    </row>
    <row r="5" spans="1:15" ht="14.7" customHeight="1" x14ac:dyDescent="0.25">
      <c r="B5" s="190"/>
      <c r="C5" s="190"/>
      <c r="D5" s="329"/>
      <c r="E5" s="329"/>
      <c r="F5" s="329"/>
      <c r="G5" s="329"/>
      <c r="H5" s="329"/>
      <c r="I5" s="329"/>
      <c r="J5" s="329"/>
      <c r="K5" s="329"/>
      <c r="L5" s="186"/>
      <c r="M5" s="186"/>
      <c r="N5" s="186"/>
    </row>
    <row r="6" spans="1:15" s="212" customFormat="1" ht="121.2" customHeight="1" x14ac:dyDescent="0.25">
      <c r="B6" s="215"/>
      <c r="C6" s="215"/>
      <c r="D6" s="214"/>
      <c r="E6" s="214"/>
      <c r="F6" s="326" t="str">
        <f>'Saisie des données'!G40</f>
        <v>CECOLIN 
Bivalent, 1 dose/flacon, liquide</v>
      </c>
      <c r="G6" s="194"/>
      <c r="H6" s="326" t="str">
        <f>'Saisie des données'!K40</f>
        <v>WALRINVAX 
Bivalent, 1 dose/flacon, liquide</v>
      </c>
      <c r="I6" s="194"/>
      <c r="J6" s="326" t="str">
        <f>'Saisie des données'!M40</f>
        <v>GARDASIL4
Quadrivalent, 1 dose/flacon, liquide</v>
      </c>
      <c r="K6" s="194"/>
      <c r="L6" s="326" t="str">
        <f>'Saisie des données'!O40</f>
        <v>Option entièrement personnalisable - insérer le nom ici</v>
      </c>
      <c r="M6" s="213"/>
      <c r="N6" s="213"/>
    </row>
    <row r="7" spans="1:15" ht="15" customHeight="1" x14ac:dyDescent="0.25">
      <c r="B7" s="190"/>
      <c r="C7" s="190"/>
      <c r="D7" s="198"/>
      <c r="E7" s="198"/>
      <c r="F7" s="198"/>
      <c r="G7" s="198"/>
      <c r="H7" s="198"/>
      <c r="I7" s="198"/>
      <c r="J7" s="198"/>
      <c r="K7" s="198"/>
      <c r="L7" s="198"/>
      <c r="M7" s="186"/>
      <c r="N7" s="186"/>
    </row>
    <row r="8" spans="1:15" ht="40.950000000000003" customHeight="1" x14ac:dyDescent="0.25">
      <c r="B8" s="190"/>
      <c r="C8" s="190"/>
      <c r="D8" s="504" t="s">
        <v>115</v>
      </c>
      <c r="E8" s="504"/>
      <c r="F8" s="504"/>
      <c r="G8" s="504"/>
      <c r="H8" s="504"/>
      <c r="I8" s="504"/>
      <c r="J8" s="504"/>
      <c r="K8" s="504"/>
      <c r="L8" s="504"/>
      <c r="M8" s="186"/>
      <c r="N8" s="186"/>
    </row>
    <row r="9" spans="1:15" ht="7.95" customHeight="1" x14ac:dyDescent="0.25">
      <c r="B9" s="190"/>
      <c r="C9" s="190"/>
      <c r="D9" s="211"/>
      <c r="E9" s="211"/>
      <c r="F9" s="211"/>
      <c r="G9" s="211"/>
      <c r="H9" s="211"/>
      <c r="I9" s="211"/>
      <c r="J9" s="211"/>
      <c r="K9" s="211"/>
      <c r="L9" s="211"/>
      <c r="M9" s="186"/>
      <c r="N9" s="186"/>
    </row>
    <row r="10" spans="1:15" ht="34.950000000000003" customHeight="1" x14ac:dyDescent="0.25">
      <c r="B10" s="190"/>
      <c r="C10" s="190"/>
      <c r="D10" s="210" t="s">
        <v>116</v>
      </c>
      <c r="E10" s="209"/>
      <c r="F10" s="207">
        <f>SUM(F11:F15)</f>
        <v>1192906.6276080001</v>
      </c>
      <c r="G10" s="208"/>
      <c r="H10" s="207">
        <f>SUM(H11:H15)</f>
        <v>2249148.2092439998</v>
      </c>
      <c r="I10" s="208"/>
      <c r="J10" s="207">
        <f>SUM(J11:J15)</f>
        <v>1192906.6276080001</v>
      </c>
      <c r="K10" s="208"/>
      <c r="L10" s="207">
        <f>SUM(L11:L15)</f>
        <v>1192906.6276080001</v>
      </c>
      <c r="M10" s="186"/>
      <c r="N10" s="186"/>
    </row>
    <row r="11" spans="1:15" ht="15.6" x14ac:dyDescent="0.25">
      <c r="B11" s="190"/>
      <c r="C11" s="190"/>
      <c r="D11" s="189">
        <f>'Saisie des données'!$G$8</f>
        <v>2026</v>
      </c>
      <c r="E11" s="188"/>
      <c r="F11" s="199">
        <f>IF('Saisie des données'!G$44=2,(('Saisie des données'!$G$10*(1+'Saisie des données'!$G$13)^(D11-'Saisie des données'!$G$8))*(SUM('Saisie des données'!$G$16*'Saisie des données'!$G$17,'Saisie des données'!$G$19*'Saisie des données'!$G$20,'Saisie des données'!$G$22*'Saisie des données'!$G$23))+('Saisie des données'!$G$10*(1+'Saisie des données'!$G$13)^(D11-'Saisie des données'!$G$8))*(SUM('Saisie des données'!$G$16*'Saisie des données'!$G$18,'Saisie des données'!$G$19*'Saisie des données'!$G$21,'Saisie des données'!$G$22*'Saisie des données'!$G$24)))+(('Saisie des données'!$G$11*(1+'Saisie des données'!$G$13)^(D11-'Saisie des données'!$G$8))*(SUM('Saisie des données'!$H$16*'Saisie des données'!$H$17,'Saisie des données'!$H$19*'Saisie des données'!$H$20,'Saisie des données'!$H$22*'Saisie des données'!$H$23))+('Saisie des données'!$G$11*(1+'Saisie des données'!$G$13)^(D11-'Saisie des données'!$G$8))*(SUM('Saisie des données'!$H$16*'Saisie des données'!$H$18,'Saisie des données'!$H$19*'Saisie des données'!$H$21,'Saisie des données'!$H$22*'Saisie des données'!$H$24)))+(('Saisie des données'!$G$12*(1+'Saisie des données'!$G$13)^(D11-'Saisie des données'!$G$8))*(SUM('Saisie des données'!$I$16*'Saisie des données'!$I$17,'Saisie des données'!$I$19*'Saisie des données'!$I$20,'Saisie des données'!$I$22*'Saisie des données'!$I$23))+('Saisie des données'!$G$12*(1+'Saisie des données'!$G$13)^(D11-'Saisie des données'!$G$8))*(SUM('Saisie des données'!$I$16*'Saisie des données'!$I$18,'Saisie des données'!$I$19*'Saisie des données'!$I$21,'Saisie des données'!$I$22*'Saisie des données'!$I$24))),('Saisie des données'!$G$10*(1+'Saisie des données'!$G$13)^(D11-'Saisie des données'!$G$8))*(SUM('Saisie des données'!$G$16*'Saisie des données'!$G$17,'Saisie des données'!$G$19*'Saisie des données'!$G$20,'Saisie des données'!$G$22*'Saisie des données'!$G$23))+('Saisie des données'!$G$11*(1+'Saisie des données'!$G$13)^(D11-'Saisie des données'!$G$8))*(SUM('Saisie des données'!$H$16*'Saisie des données'!$H$17,'Saisie des données'!$H$19*'Saisie des données'!$H$20,'Saisie des données'!$H$22*'Saisie des données'!$H$23))+('Saisie des données'!$G$12*(1+'Saisie des données'!$G$13)^(D11-'Saisie des données'!$G$8))*(SUM('Saisie des données'!$I$16*'Saisie des données'!$I$17,'Saisie des données'!$I$19*'Saisie des données'!$I$20,'Saisie des données'!$I$22*'Saisie des données'!$I$23)))+IF('Saisie des données'!G$44=2,(('Saisie des données'!$G$25*SUM('Saisie des données'!$G$27*'Saisie des données'!$G$28,'Saisie des données'!$G$30*'Saisie des données'!$G$31,'Saisie des données'!$G$33*'Saisie des données'!$G$34))+('Saisie des données'!$G$25*SUM('Saisie des données'!$G$27*'Saisie des données'!$G$29,'Saisie des données'!$G$30*'Saisie des données'!$G$32,'Saisie des données'!$G$33*'Saisie des données'!$G$35))),('Saisie des données'!$G$25*SUM('Saisie des données'!$G$27*'Saisie des données'!$G$28,'Saisie des données'!$G$30*'Saisie des données'!$G$31,'Saisie des données'!$G$33*'Saisie des données'!$G$34)))</f>
        <v>520050</v>
      </c>
      <c r="G11" s="200"/>
      <c r="H11" s="199">
        <f>IF('Saisie des données'!K$44=2,(('Saisie des données'!$G$10*(1+'Saisie des données'!$G$13)^($D11-'Saisie des données'!$G$8))*(SUM('Saisie des données'!$G$16*'Saisie des données'!$G$17,'Saisie des données'!$G$19*'Saisie des données'!$G$20,'Saisie des données'!$G$22*'Saisie des données'!$G$23))+('Saisie des données'!$G$10*(1+'Saisie des données'!$G$13)^($D11-'Saisie des données'!$G$8))*(SUM('Saisie des données'!$G$16*'Saisie des données'!$G$18,'Saisie des données'!$G$19*'Saisie des données'!$G$21,'Saisie des données'!$G$22*'Saisie des données'!$G$24)))+(('Saisie des données'!$G$11*(1+'Saisie des données'!$G$13)^($D11-'Saisie des données'!$G$8))*(SUM('Saisie des données'!$H$16*'Saisie des données'!$H$17,'Saisie des données'!$H$19*'Saisie des données'!$H$20,'Saisie des données'!$H$22*'Saisie des données'!$H$23))+('Saisie des données'!$G$11*(1+'Saisie des données'!$G$13)^($D11-'Saisie des données'!$G$8))*(SUM('Saisie des données'!$H$16*'Saisie des données'!$H$18,'Saisie des données'!$H$19*'Saisie des données'!$H$21,'Saisie des données'!$H$22*'Saisie des données'!$H$24)))+(('Saisie des données'!$G$12*(1+'Saisie des données'!$G$13)^($D11-'Saisie des données'!$G$8))*(SUM('Saisie des données'!$I$16*'Saisie des données'!$I$17,'Saisie des données'!$I$19*'Saisie des données'!$I$20,'Saisie des données'!$I$22*'Saisie des données'!$I$23))+('Saisie des données'!$G$12*(1+'Saisie des données'!$G$13)^($D11-'Saisie des données'!$G$8))*(SUM('Saisie des données'!$I$16*'Saisie des données'!$I$18,'Saisie des données'!$I$19*'Saisie des données'!$I$21,'Saisie des données'!$I$22*'Saisie des données'!$I$24))),('Saisie des données'!$G$10*(1+'Saisie des données'!$G$13)^($D11-'Saisie des données'!$G$8))*(SUM('Saisie des données'!$G$16*'Saisie des données'!$G$17,'Saisie des données'!$G$19*'Saisie des données'!$G$20,'Saisie des données'!$G$22*'Saisie des données'!$G$23))+('Saisie des données'!$G$11*(1+'Saisie des données'!$G$13)^($D11-'Saisie des données'!$G$8))*(SUM('Saisie des données'!$H$16*'Saisie des données'!$H$17,'Saisie des données'!$H$19*'Saisie des données'!$H$20,'Saisie des données'!$H$22*'Saisie des données'!$H$23))+('Saisie des données'!$G$12*(1+'Saisie des données'!$G$13)^($D11-'Saisie des données'!$G$8))*(SUM('Saisie des données'!$I$16*'Saisie des données'!$I$17,'Saisie des données'!$I$19*'Saisie des données'!$I$20,'Saisie des données'!$I$22*'Saisie des données'!$I$23)))+IF('Saisie des données'!K$44=2,(('Saisie des données'!$G$25*SUM('Saisie des données'!$G$27*'Saisie des données'!$G$28,'Saisie des données'!$G$30*'Saisie des données'!$G$31,'Saisie des données'!$G$33*'Saisie des données'!$G$34))+('Saisie des données'!$G$25*SUM('Saisie des données'!$G$27*'Saisie des données'!$G$29,'Saisie des données'!$G$30*'Saisie des données'!$G$32,'Saisie des données'!$G$33*'Saisie des données'!$G$35))),('Saisie des données'!$G$25*SUM('Saisie des données'!$G$27*'Saisie des données'!$G$28,'Saisie des données'!$G$30*'Saisie des données'!$G$31,'Saisie des données'!$G$33*'Saisie des données'!$G$34)))</f>
        <v>981525</v>
      </c>
      <c r="I11" s="200"/>
      <c r="J11" s="199">
        <f>IF('Saisie des données'!M$44=2,(('Saisie des données'!$G$10*(1+'Saisie des données'!$G$13)^($D11-'Saisie des données'!$G$8))*(SUM('Saisie des données'!$G$16*'Saisie des données'!$G$17,'Saisie des données'!$G$19*'Saisie des données'!$G$20,'Saisie des données'!$G$22*'Saisie des données'!$G$23))+('Saisie des données'!$G$10*(1+'Saisie des données'!$G$13)^($D11-'Saisie des données'!$G$8))*(SUM('Saisie des données'!$G$16*'Saisie des données'!$G$18,'Saisie des données'!$G$19*'Saisie des données'!$G$21,'Saisie des données'!$G$22*'Saisie des données'!$G$24)))+(('Saisie des données'!$G$11*(1+'Saisie des données'!$G$13)^($D11-'Saisie des données'!$G$8))*(SUM('Saisie des données'!$H$16*'Saisie des données'!$H$17,'Saisie des données'!$H$19*'Saisie des données'!$H$20,'Saisie des données'!$H$22*'Saisie des données'!$H$23))+('Saisie des données'!$G$11*(1+'Saisie des données'!$G$13)^($D11-'Saisie des données'!$G$8))*(SUM('Saisie des données'!$H$16*'Saisie des données'!$H$18,'Saisie des données'!$H$19*'Saisie des données'!$H$21,'Saisie des données'!$H$22*'Saisie des données'!$H$24)))+(('Saisie des données'!$G$12*(1+'Saisie des données'!$G$13)^($D11-'Saisie des données'!$G$8))*(SUM('Saisie des données'!$I$16*'Saisie des données'!$I$17,'Saisie des données'!$I$19*'Saisie des données'!$I$20,'Saisie des données'!$I$22*'Saisie des données'!$I$23))+('Saisie des données'!$G$12*(1+'Saisie des données'!$G$13)^($D11-'Saisie des données'!$G$8))*(SUM('Saisie des données'!$I$16*'Saisie des données'!$I$18,'Saisie des données'!$I$19*'Saisie des données'!$I$21,'Saisie des données'!$I$22*'Saisie des données'!$I$24))),('Saisie des données'!$G$10*(1+'Saisie des données'!$G$13)^($D11-'Saisie des données'!$G$8))*(SUM('Saisie des données'!$G$16*'Saisie des données'!$G$17,'Saisie des données'!$G$19*'Saisie des données'!$G$20,'Saisie des données'!$G$22*'Saisie des données'!$G$23))+('Saisie des données'!$G$11*(1+'Saisie des données'!$G$13)^($D11-'Saisie des données'!$G$8))*(SUM('Saisie des données'!$H$16*'Saisie des données'!$H$17,'Saisie des données'!$H$19*'Saisie des données'!$H$20,'Saisie des données'!$H$22*'Saisie des données'!$H$23))+('Saisie des données'!$G$12*(1+'Saisie des données'!$G$13)^($D11-'Saisie des données'!$G$8))*(SUM('Saisie des données'!$I$16*'Saisie des données'!$I$17,'Saisie des données'!$I$19*'Saisie des données'!$I$20,'Saisie des données'!$I$22*'Saisie des données'!$I$23)))+IF('Saisie des données'!M$44=2,(('Saisie des données'!$G$25*SUM('Saisie des données'!$G$27*'Saisie des données'!$G$28,'Saisie des données'!$G$30*'Saisie des données'!$G$31,'Saisie des données'!$G$33*'Saisie des données'!$G$34))+('Saisie des données'!$G$25*SUM('Saisie des données'!$G$27*'Saisie des données'!$G$29,'Saisie des données'!$G$30*'Saisie des données'!$G$32,'Saisie des données'!$G$33*'Saisie des données'!$G$35))),('Saisie des données'!$G$25*SUM('Saisie des données'!$G$27*'Saisie des données'!$G$28,'Saisie des données'!$G$30*'Saisie des données'!$G$31,'Saisie des données'!$G$33*'Saisie des données'!$G$34)))</f>
        <v>520050</v>
      </c>
      <c r="K11" s="200"/>
      <c r="L11" s="199">
        <f>IF('Saisie des données'!O$44=2,(('Saisie des données'!$G$10*(1+'Saisie des données'!$G$13)^($D11-'Saisie des données'!$G$8))*(SUM('Saisie des données'!$G$16*'Saisie des données'!$G$17,'Saisie des données'!$G$19*'Saisie des données'!$G$20,'Saisie des données'!$G$22*'Saisie des données'!$G$23))+('Saisie des données'!$G$10*(1+'Saisie des données'!$G$13)^($D11-'Saisie des données'!$G$8))*(SUM('Saisie des données'!$G$16*'Saisie des données'!$G$18,'Saisie des données'!$G$19*'Saisie des données'!$G$21,'Saisie des données'!$G$22*'Saisie des données'!$G$24)))+(('Saisie des données'!$G$11*(1+'Saisie des données'!$G$13)^($D11-'Saisie des données'!$G$8))*(SUM('Saisie des données'!$H$16*'Saisie des données'!$H$17,'Saisie des données'!$H$19*'Saisie des données'!$H$20,'Saisie des données'!$H$22*'Saisie des données'!$H$23))+('Saisie des données'!$G$11*(1+'Saisie des données'!$G$13)^($D11-'Saisie des données'!$G$8))*(SUM('Saisie des données'!$H$16*'Saisie des données'!$H$18,'Saisie des données'!$H$19*'Saisie des données'!$H$21,'Saisie des données'!$H$22*'Saisie des données'!$H$24)))+(('Saisie des données'!$G$12*(1+'Saisie des données'!$G$13)^($D11-'Saisie des données'!$G$8))*(SUM('Saisie des données'!$I$16*'Saisie des données'!$I$17,'Saisie des données'!$I$19*'Saisie des données'!$I$20,'Saisie des données'!$I$22*'Saisie des données'!$I$23))+('Saisie des données'!$G$12*(1+'Saisie des données'!$G$13)^($D11-'Saisie des données'!$G$8))*(SUM('Saisie des données'!$I$16*'Saisie des données'!$I$18,'Saisie des données'!$I$19*'Saisie des données'!$I$21,'Saisie des données'!$I$22*'Saisie des données'!$I$24))),('Saisie des données'!$G$10*(1+'Saisie des données'!$G$13)^($D11-'Saisie des données'!$G$8))*(SUM('Saisie des données'!$G$16*'Saisie des données'!$G$17,'Saisie des données'!$G$19*'Saisie des données'!$G$20,'Saisie des données'!$G$22*'Saisie des données'!$G$23))+('Saisie des données'!$G$11*(1+'Saisie des données'!$G$13)^($D11-'Saisie des données'!$G$8))*(SUM('Saisie des données'!$H$16*'Saisie des données'!$H$17,'Saisie des données'!$H$19*'Saisie des données'!$H$20,'Saisie des données'!$H$22*'Saisie des données'!$H$23))+('Saisie des données'!$G$12*(1+'Saisie des données'!$G$13)^($D11-'Saisie des données'!$G$8))*(SUM('Saisie des données'!$I$16*'Saisie des données'!$I$17,'Saisie des données'!$I$19*'Saisie des données'!$I$20,'Saisie des données'!$I$22*'Saisie des données'!$I$23)))+IF('Saisie des données'!O$44=2,(('Saisie des données'!$G$25*SUM('Saisie des données'!$G$27*'Saisie des données'!$G$28,'Saisie des données'!$G$30*'Saisie des données'!$G$31,'Saisie des données'!$G$33*'Saisie des données'!$G$34))+('Saisie des données'!$G$25*SUM('Saisie des données'!$G$27*'Saisie des données'!$G$29,'Saisie des données'!$G$30*'Saisie des données'!$G$32,'Saisie des données'!$G$33*'Saisie des données'!$G$35))),('Saisie des données'!$G$25*SUM('Saisie des données'!$G$27*'Saisie des données'!$G$28,'Saisie des données'!$G$30*'Saisie des données'!$G$31,'Saisie des données'!$G$33*'Saisie des données'!$G$34)))</f>
        <v>520050</v>
      </c>
      <c r="M11" s="186"/>
      <c r="N11" s="186"/>
    </row>
    <row r="12" spans="1:15" ht="15.6" x14ac:dyDescent="0.25">
      <c r="B12" s="190"/>
      <c r="C12" s="190"/>
      <c r="D12" s="189">
        <f>'Saisie des données'!$G$8+1</f>
        <v>2027</v>
      </c>
      <c r="E12" s="188"/>
      <c r="F12" s="199">
        <f>IF('Saisie des données'!G$44=2,(('Saisie des données'!$G$10*(1+'Saisie des données'!$G$13)^(D12-'Saisie des données'!$G$8))*(SUM('Saisie des données'!$G$16*'Saisie des données'!$G$17,'Saisie des données'!$G$19*'Saisie des données'!$G$20,'Saisie des données'!$G$22*'Saisie des données'!$G$23))+('Saisie des données'!$G$10*(1+'Saisie des données'!$G$13)^(D12-'Saisie des données'!$G$8))*(SUM('Saisie des données'!$G$16*'Saisie des données'!$G$18,'Saisie des données'!$G$19*'Saisie des données'!$G$21,'Saisie des données'!$G$22*'Saisie des données'!$G$24)))+(('Saisie des données'!$G$11*(1+'Saisie des données'!$G$13)^(D12-'Saisie des données'!$G$8))*(SUM('Saisie des données'!$H$16*'Saisie des données'!$H$17,'Saisie des données'!$H$19*'Saisie des données'!$H$20,'Saisie des données'!$H$22*'Saisie des données'!$H$23))+('Saisie des données'!$G$11*(1+'Saisie des données'!$G$13)^(D12-'Saisie des données'!$G$8))*(SUM('Saisie des données'!$H$16*'Saisie des données'!$H$18,'Saisie des données'!$H$19*'Saisie des données'!$H$21,'Saisie des données'!$H$22*'Saisie des données'!$H$24)))+(('Saisie des données'!$G$12*(1+'Saisie des données'!$G$13)^(D12-'Saisie des données'!$G$8))*(SUM('Saisie des données'!$I$16*'Saisie des données'!$I$17,'Saisie des données'!$I$19*'Saisie des données'!$I$20,'Saisie des données'!$I$22*'Saisie des données'!$I$23))+('Saisie des données'!$G$12*(1+'Saisie des données'!$G$13)^(D12-'Saisie des données'!$G$8))*(SUM('Saisie des données'!$I$16*'Saisie des données'!$I$18,'Saisie des données'!$I$19*'Saisie des données'!$I$21,'Saisie des données'!$I$22*'Saisie des données'!$I$24))),('Saisie des données'!$G$10*(1+'Saisie des données'!$G$13)^(D12-'Saisie des données'!$G$8))*(SUM('Saisie des données'!$G$16*'Saisie des données'!$G$17,'Saisie des données'!$G$19*'Saisie des données'!$G$20,'Saisie des données'!$G$22*'Saisie des données'!$G$23))+('Saisie des données'!$G$11*(1+'Saisie des données'!$G$13)^(D12-'Saisie des données'!$G$8))*(SUM('Saisie des données'!$H$16*'Saisie des données'!$H$17,'Saisie des données'!$H$19*'Saisie des données'!$H$20,'Saisie des données'!$H$22*'Saisie des données'!$H$23))+('Saisie des données'!$G$12*(1+'Saisie des données'!$G$13)^(D12-'Saisie des données'!$G$8))*(SUM('Saisie des données'!$I$16*'Saisie des données'!$I$17,'Saisie des données'!$I$19*'Saisie des données'!$I$20,'Saisie des données'!$I$22*'Saisie des données'!$I$23)))</f>
        <v>163251</v>
      </c>
      <c r="G12" s="200"/>
      <c r="H12" s="199">
        <f>IF('Saisie des données'!K$44=2,(('Saisie des données'!$G$10*(1+'Saisie des données'!$G$13)^($D12-'Saisie des données'!$G$8))*(SUM('Saisie des données'!$G$16*'Saisie des données'!$G$17,'Saisie des données'!$G$19*'Saisie des données'!$G$20,'Saisie des données'!$G$22*'Saisie des données'!$G$23))+('Saisie des données'!$G$10*(1+'Saisie des données'!$G$13)^($D12-'Saisie des données'!$G$8))*(SUM('Saisie des données'!$G$16*'Saisie des données'!$G$18,'Saisie des données'!$G$19*'Saisie des données'!$G$21,'Saisie des données'!$G$22*'Saisie des données'!$G$24)))+(('Saisie des données'!$G$11*(1+'Saisie des données'!$G$13)^($D12-'Saisie des données'!$G$8))*(SUM('Saisie des données'!$H$16*'Saisie des données'!$H$17,'Saisie des données'!$H$19*'Saisie des données'!$H$20,'Saisie des données'!$H$22*'Saisie des données'!$H$23))+('Saisie des données'!$G$11*(1+'Saisie des données'!$G$13)^($D12-'Saisie des données'!$G$8))*(SUM('Saisie des données'!$H$16*'Saisie des données'!$H$18,'Saisie des données'!$H$19*'Saisie des données'!$H$21,'Saisie des données'!$H$22*'Saisie des données'!$H$24)))+(('Saisie des données'!$G$12*(1+'Saisie des données'!$G$13)^($D12-'Saisie des données'!$G$8))*(SUM('Saisie des données'!$I$16*'Saisie des données'!$I$17,'Saisie des données'!$I$19*'Saisie des données'!$I$20,'Saisie des données'!$I$22*'Saisie des données'!$I$23))+('Saisie des données'!$G$12*(1+'Saisie des données'!$G$13)^($D12-'Saisie des données'!$G$8))*(SUM('Saisie des données'!$I$16*'Saisie des données'!$I$18,'Saisie des données'!$I$19*'Saisie des données'!$I$21,'Saisie des données'!$I$22*'Saisie des données'!$I$24))),('Saisie des données'!$G$10*(1+'Saisie des données'!$G$13)^($D12-'Saisie des données'!$G$8))*(SUM('Saisie des données'!$G$16*'Saisie des données'!$G$17,'Saisie des données'!$G$19*'Saisie des données'!$G$20,'Saisie des données'!$G$22*'Saisie des données'!$G$23))+('Saisie des données'!$G$11*(1+'Saisie des données'!$G$13)^($D12-'Saisie des données'!$G$8))*(SUM('Saisie des données'!$H$16*'Saisie des données'!$H$17,'Saisie des données'!$H$19*'Saisie des données'!$H$20,'Saisie des données'!$H$22*'Saisie des données'!$H$23))+('Saisie des données'!$G$12*(1+'Saisie des données'!$G$13)^($D12-'Saisie des données'!$G$8))*(SUM('Saisie des données'!$I$16*'Saisie des données'!$I$17,'Saisie des données'!$I$19*'Saisie des données'!$I$20,'Saisie des données'!$I$22*'Saisie des données'!$I$23)))</f>
        <v>307555.5</v>
      </c>
      <c r="I12" s="200"/>
      <c r="J12" s="199">
        <f>IF('Saisie des données'!M$44=2,(('Saisie des données'!$G$10*(1+'Saisie des données'!$G$13)^($D12-'Saisie des données'!$G$8))*(SUM('Saisie des données'!$G$16*'Saisie des données'!$G$17,'Saisie des données'!$G$19*'Saisie des données'!$G$20,'Saisie des données'!$G$22*'Saisie des données'!$G$23))+('Saisie des données'!$G$10*(1+'Saisie des données'!$G$13)^($D12-'Saisie des données'!$G$8))*(SUM('Saisie des données'!$G$16*'Saisie des données'!$G$18,'Saisie des données'!$G$19*'Saisie des données'!$G$21,'Saisie des données'!$G$22*'Saisie des données'!$G$24)))+(('Saisie des données'!$G$11*(1+'Saisie des données'!$G$13)^($D12-'Saisie des données'!$G$8))*(SUM('Saisie des données'!$H$16*'Saisie des données'!$H$17,'Saisie des données'!$H$19*'Saisie des données'!$H$20,'Saisie des données'!$H$22*'Saisie des données'!$H$23))+('Saisie des données'!$G$11*(1+'Saisie des données'!$G$13)^($D12-'Saisie des données'!$G$8))*(SUM('Saisie des données'!$H$16*'Saisie des données'!$H$18,'Saisie des données'!$H$19*'Saisie des données'!$H$21,'Saisie des données'!$H$22*'Saisie des données'!$H$24)))+(('Saisie des données'!$G$12*(1+'Saisie des données'!$G$13)^($D12-'Saisie des données'!$G$8))*(SUM('Saisie des données'!$I$16*'Saisie des données'!$I$17,'Saisie des données'!$I$19*'Saisie des données'!$I$20,'Saisie des données'!$I$22*'Saisie des données'!$I$23))+('Saisie des données'!$G$12*(1+'Saisie des données'!$G$13)^($D12-'Saisie des données'!$G$8))*(SUM('Saisie des données'!$I$16*'Saisie des données'!$I$18,'Saisie des données'!$I$19*'Saisie des données'!$I$21,'Saisie des données'!$I$22*'Saisie des données'!$I$24))),('Saisie des données'!$G$10*(1+'Saisie des données'!$G$13)^($D12-'Saisie des données'!$G$8))*(SUM('Saisie des données'!$G$16*'Saisie des données'!$G$17,'Saisie des données'!$G$19*'Saisie des données'!$G$20,'Saisie des données'!$G$22*'Saisie des données'!$G$23))+('Saisie des données'!$G$11*(1+'Saisie des données'!$G$13)^($D12-'Saisie des données'!$G$8))*(SUM('Saisie des données'!$H$16*'Saisie des données'!$H$17,'Saisie des données'!$H$19*'Saisie des données'!$H$20,'Saisie des données'!$H$22*'Saisie des données'!$H$23))+('Saisie des données'!$G$12*(1+'Saisie des données'!$G$13)^($D12-'Saisie des données'!$G$8))*(SUM('Saisie des données'!$I$16*'Saisie des données'!$I$17,'Saisie des données'!$I$19*'Saisie des données'!$I$20,'Saisie des données'!$I$22*'Saisie des données'!$I$23)))</f>
        <v>163251</v>
      </c>
      <c r="K12" s="200"/>
      <c r="L12" s="199">
        <f>IF('Saisie des données'!O$44=2,(('Saisie des données'!$G$10*(1+'Saisie des données'!$G$13)^($D12-'Saisie des données'!$G$8))*(SUM('Saisie des données'!$G$16*'Saisie des données'!$G$17,'Saisie des données'!$G$19*'Saisie des données'!$G$20,'Saisie des données'!$G$22*'Saisie des données'!$G$23))+('Saisie des données'!$G$10*(1+'Saisie des données'!$G$13)^($D12-'Saisie des données'!$G$8))*(SUM('Saisie des données'!$G$16*'Saisie des données'!$G$18,'Saisie des données'!$G$19*'Saisie des données'!$G$21,'Saisie des données'!$G$22*'Saisie des données'!$G$24)))+(('Saisie des données'!$G$11*(1+'Saisie des données'!$G$13)^($D12-'Saisie des données'!$G$8))*(SUM('Saisie des données'!$H$16*'Saisie des données'!$H$17,'Saisie des données'!$H$19*'Saisie des données'!$H$20,'Saisie des données'!$H$22*'Saisie des données'!$H$23))+('Saisie des données'!$G$11*(1+'Saisie des données'!$G$13)^($D12-'Saisie des données'!$G$8))*(SUM('Saisie des données'!$H$16*'Saisie des données'!$H$18,'Saisie des données'!$H$19*'Saisie des données'!$H$21,'Saisie des données'!$H$22*'Saisie des données'!$H$24)))+(('Saisie des données'!$G$12*(1+'Saisie des données'!$G$13)^($D12-'Saisie des données'!$G$8))*(SUM('Saisie des données'!$I$16*'Saisie des données'!$I$17,'Saisie des données'!$I$19*'Saisie des données'!$I$20,'Saisie des données'!$I$22*'Saisie des données'!$I$23))+('Saisie des données'!$G$12*(1+'Saisie des données'!$G$13)^($D12-'Saisie des données'!$G$8))*(SUM('Saisie des données'!$I$16*'Saisie des données'!$I$18,'Saisie des données'!$I$19*'Saisie des données'!$I$21,'Saisie des données'!$I$22*'Saisie des données'!$I$24))),('Saisie des données'!$G$10*(1+'Saisie des données'!$G$13)^($D12-'Saisie des données'!$G$8))*(SUM('Saisie des données'!$G$16*'Saisie des données'!$G$17,'Saisie des données'!$G$19*'Saisie des données'!$G$20,'Saisie des données'!$G$22*'Saisie des données'!$G$23))+('Saisie des données'!$G$11*(1+'Saisie des données'!$G$13)^($D12-'Saisie des données'!$G$8))*(SUM('Saisie des données'!$H$16*'Saisie des données'!$H$17,'Saisie des données'!$H$19*'Saisie des données'!$H$20,'Saisie des données'!$H$22*'Saisie des données'!$H$23))+('Saisie des données'!$G$12*(1+'Saisie des données'!$G$13)^($D12-'Saisie des données'!$G$8))*(SUM('Saisie des données'!$I$16*'Saisie des données'!$I$17,'Saisie des données'!$I$19*'Saisie des données'!$I$20,'Saisie des données'!$I$22*'Saisie des données'!$I$23)))</f>
        <v>163251</v>
      </c>
      <c r="M12" s="186"/>
      <c r="N12" s="186"/>
    </row>
    <row r="13" spans="1:15" ht="15.6" x14ac:dyDescent="0.25">
      <c r="B13" s="190"/>
      <c r="C13" s="190"/>
      <c r="D13" s="189">
        <f>'Saisie des données'!$G$8+2</f>
        <v>2028</v>
      </c>
      <c r="E13" s="188"/>
      <c r="F13" s="199">
        <f>IF('Saisie des données'!G$44=2,(('Saisie des données'!$G$10*(1+'Saisie des données'!$G$13)^(D13-'Saisie des données'!$G$8))*(SUM('Saisie des données'!$G$16*'Saisie des données'!$G$17,'Saisie des données'!$G$19*'Saisie des données'!$G$20,'Saisie des données'!$G$22*'Saisie des données'!$G$23))+('Saisie des données'!$G$10*(1+'Saisie des données'!$G$13)^(D13-'Saisie des données'!$G$8))*(SUM('Saisie des données'!$G$16*'Saisie des données'!$G$18,'Saisie des données'!$G$19*'Saisie des données'!$G$21,'Saisie des données'!$G$22*'Saisie des données'!$G$24)))+(('Saisie des données'!$G$11*(1+'Saisie des données'!$G$13)^(D13-'Saisie des données'!$G$8))*(SUM('Saisie des données'!$H$16*'Saisie des données'!$H$17,'Saisie des données'!$H$19*'Saisie des données'!$H$20,'Saisie des données'!$H$22*'Saisie des données'!$H$23))+('Saisie des données'!$G$11*(1+'Saisie des données'!$G$13)^(D13-'Saisie des données'!$G$8))*(SUM('Saisie des données'!$H$16*'Saisie des données'!$H$18,'Saisie des données'!$H$19*'Saisie des données'!$H$21,'Saisie des données'!$H$22*'Saisie des données'!$H$24)))+(('Saisie des données'!$G$12*(1+'Saisie des données'!$G$13)^(D13-'Saisie des données'!$G$8))*(SUM('Saisie des données'!$I$16*'Saisie des données'!$I$17,'Saisie des données'!$I$19*'Saisie des données'!$I$20,'Saisie des données'!$I$22*'Saisie des données'!$I$23))+('Saisie des données'!$G$12*(1+'Saisie des données'!$G$13)^(D13-'Saisie des données'!$G$8))*(SUM('Saisie des données'!$I$16*'Saisie des données'!$I$18,'Saisie des données'!$I$19*'Saisie des données'!$I$21,'Saisie des données'!$I$22*'Saisie des données'!$I$24))),('Saisie des données'!$G$10*(1+'Saisie des données'!$G$13)^(D13-'Saisie des données'!$G$8))*(SUM('Saisie des données'!$G$16*'Saisie des données'!$G$17,'Saisie des données'!$G$19*'Saisie des données'!$G$20,'Saisie des données'!$G$22*'Saisie des données'!$G$23))+('Saisie des données'!$G$11*(1+'Saisie des données'!$G$13)^(D13-'Saisie des données'!$G$8))*(SUM('Saisie des données'!$H$16*'Saisie des données'!$H$17,'Saisie des données'!$H$19*'Saisie des données'!$H$20,'Saisie des données'!$H$22*'Saisie des données'!$H$23))+('Saisie des données'!$G$12*(1+'Saisie des données'!$G$13)^(D13-'Saisie des données'!$G$8))*(SUM('Saisie des données'!$I$16*'Saisie des données'!$I$17,'Saisie des données'!$I$19*'Saisie des données'!$I$20,'Saisie des données'!$I$22*'Saisie des données'!$I$23)))</f>
        <v>166516.02000000002</v>
      </c>
      <c r="G13" s="200"/>
      <c r="H13" s="199">
        <f>IF('Saisie des données'!K$44=2,(('Saisie des données'!$G$10*(1+'Saisie des données'!$G$13)^($D13-'Saisie des données'!$G$8))*(SUM('Saisie des données'!$G$16*'Saisie des données'!$G$17,'Saisie des données'!$G$19*'Saisie des données'!$G$20,'Saisie des données'!$G$22*'Saisie des données'!$G$23))+('Saisie des données'!$G$10*(1+'Saisie des données'!$G$13)^($D13-'Saisie des données'!$G$8))*(SUM('Saisie des données'!$G$16*'Saisie des données'!$G$18,'Saisie des données'!$G$19*'Saisie des données'!$G$21,'Saisie des données'!$G$22*'Saisie des données'!$G$24)))+(('Saisie des données'!$G$11*(1+'Saisie des données'!$G$13)^($D13-'Saisie des données'!$G$8))*(SUM('Saisie des données'!$H$16*'Saisie des données'!$H$17,'Saisie des données'!$H$19*'Saisie des données'!$H$20,'Saisie des données'!$H$22*'Saisie des données'!$H$23))+('Saisie des données'!$G$11*(1+'Saisie des données'!$G$13)^($D13-'Saisie des données'!$G$8))*(SUM('Saisie des données'!$H$16*'Saisie des données'!$H$18,'Saisie des données'!$H$19*'Saisie des données'!$H$21,'Saisie des données'!$H$22*'Saisie des données'!$H$24)))+(('Saisie des données'!$G$12*(1+'Saisie des données'!$G$13)^($D13-'Saisie des données'!$G$8))*(SUM('Saisie des données'!$I$16*'Saisie des données'!$I$17,'Saisie des données'!$I$19*'Saisie des données'!$I$20,'Saisie des données'!$I$22*'Saisie des données'!$I$23))+('Saisie des données'!$G$12*(1+'Saisie des données'!$G$13)^($D13-'Saisie des données'!$G$8))*(SUM('Saisie des données'!$I$16*'Saisie des données'!$I$18,'Saisie des données'!$I$19*'Saisie des données'!$I$21,'Saisie des données'!$I$22*'Saisie des données'!$I$24))),('Saisie des données'!$G$10*(1+'Saisie des données'!$G$13)^($D13-'Saisie des données'!$G$8))*(SUM('Saisie des données'!$G$16*'Saisie des données'!$G$17,'Saisie des données'!$G$19*'Saisie des données'!$G$20,'Saisie des données'!$G$22*'Saisie des données'!$G$23))+('Saisie des données'!$G$11*(1+'Saisie des données'!$G$13)^($D13-'Saisie des données'!$G$8))*(SUM('Saisie des données'!$H$16*'Saisie des données'!$H$17,'Saisie des données'!$H$19*'Saisie des données'!$H$20,'Saisie des données'!$H$22*'Saisie des données'!$H$23))+('Saisie des données'!$G$12*(1+'Saisie des données'!$G$13)^($D13-'Saisie des données'!$G$8))*(SUM('Saisie des données'!$I$16*'Saisie des données'!$I$17,'Saisie des données'!$I$19*'Saisie des données'!$I$20,'Saisie des données'!$I$22*'Saisie des données'!$I$23)))</f>
        <v>313706.61</v>
      </c>
      <c r="I13" s="200"/>
      <c r="J13" s="199">
        <f>IF('Saisie des données'!M$44=2,(('Saisie des données'!$G$10*(1+'Saisie des données'!$G$13)^($D13-'Saisie des données'!$G$8))*(SUM('Saisie des données'!$G$16*'Saisie des données'!$G$17,'Saisie des données'!$G$19*'Saisie des données'!$G$20,'Saisie des données'!$G$22*'Saisie des données'!$G$23))+('Saisie des données'!$G$10*(1+'Saisie des données'!$G$13)^($D13-'Saisie des données'!$G$8))*(SUM('Saisie des données'!$G$16*'Saisie des données'!$G$18,'Saisie des données'!$G$19*'Saisie des données'!$G$21,'Saisie des données'!$G$22*'Saisie des données'!$G$24)))+(('Saisie des données'!$G$11*(1+'Saisie des données'!$G$13)^($D13-'Saisie des données'!$G$8))*(SUM('Saisie des données'!$H$16*'Saisie des données'!$H$17,'Saisie des données'!$H$19*'Saisie des données'!$H$20,'Saisie des données'!$H$22*'Saisie des données'!$H$23))+('Saisie des données'!$G$11*(1+'Saisie des données'!$G$13)^($D13-'Saisie des données'!$G$8))*(SUM('Saisie des données'!$H$16*'Saisie des données'!$H$18,'Saisie des données'!$H$19*'Saisie des données'!$H$21,'Saisie des données'!$H$22*'Saisie des données'!$H$24)))+(('Saisie des données'!$G$12*(1+'Saisie des données'!$G$13)^($D13-'Saisie des données'!$G$8))*(SUM('Saisie des données'!$I$16*'Saisie des données'!$I$17,'Saisie des données'!$I$19*'Saisie des données'!$I$20,'Saisie des données'!$I$22*'Saisie des données'!$I$23))+('Saisie des données'!$G$12*(1+'Saisie des données'!$G$13)^($D13-'Saisie des données'!$G$8))*(SUM('Saisie des données'!$I$16*'Saisie des données'!$I$18,'Saisie des données'!$I$19*'Saisie des données'!$I$21,'Saisie des données'!$I$22*'Saisie des données'!$I$24))),('Saisie des données'!$G$10*(1+'Saisie des données'!$G$13)^($D13-'Saisie des données'!$G$8))*(SUM('Saisie des données'!$G$16*'Saisie des données'!$G$17,'Saisie des données'!$G$19*'Saisie des données'!$G$20,'Saisie des données'!$G$22*'Saisie des données'!$G$23))+('Saisie des données'!$G$11*(1+'Saisie des données'!$G$13)^($D13-'Saisie des données'!$G$8))*(SUM('Saisie des données'!$H$16*'Saisie des données'!$H$17,'Saisie des données'!$H$19*'Saisie des données'!$H$20,'Saisie des données'!$H$22*'Saisie des données'!$H$23))+('Saisie des données'!$G$12*(1+'Saisie des données'!$G$13)^($D13-'Saisie des données'!$G$8))*(SUM('Saisie des données'!$I$16*'Saisie des données'!$I$17,'Saisie des données'!$I$19*'Saisie des données'!$I$20,'Saisie des données'!$I$22*'Saisie des données'!$I$23)))</f>
        <v>166516.02000000002</v>
      </c>
      <c r="K13" s="200"/>
      <c r="L13" s="199">
        <f>IF('Saisie des données'!O$44=2,(('Saisie des données'!$G$10*(1+'Saisie des données'!$G$13)^($D13-'Saisie des données'!$G$8))*(SUM('Saisie des données'!$G$16*'Saisie des données'!$G$17,'Saisie des données'!$G$19*'Saisie des données'!$G$20,'Saisie des données'!$G$22*'Saisie des données'!$G$23))+('Saisie des données'!$G$10*(1+'Saisie des données'!$G$13)^($D13-'Saisie des données'!$G$8))*(SUM('Saisie des données'!$G$16*'Saisie des données'!$G$18,'Saisie des données'!$G$19*'Saisie des données'!$G$21,'Saisie des données'!$G$22*'Saisie des données'!$G$24)))+(('Saisie des données'!$G$11*(1+'Saisie des données'!$G$13)^($D13-'Saisie des données'!$G$8))*(SUM('Saisie des données'!$H$16*'Saisie des données'!$H$17,'Saisie des données'!$H$19*'Saisie des données'!$H$20,'Saisie des données'!$H$22*'Saisie des données'!$H$23))+('Saisie des données'!$G$11*(1+'Saisie des données'!$G$13)^($D13-'Saisie des données'!$G$8))*(SUM('Saisie des données'!$H$16*'Saisie des données'!$H$18,'Saisie des données'!$H$19*'Saisie des données'!$H$21,'Saisie des données'!$H$22*'Saisie des données'!$H$24)))+(('Saisie des données'!$G$12*(1+'Saisie des données'!$G$13)^($D13-'Saisie des données'!$G$8))*(SUM('Saisie des données'!$I$16*'Saisie des données'!$I$17,'Saisie des données'!$I$19*'Saisie des données'!$I$20,'Saisie des données'!$I$22*'Saisie des données'!$I$23))+('Saisie des données'!$G$12*(1+'Saisie des données'!$G$13)^($D13-'Saisie des données'!$G$8))*(SUM('Saisie des données'!$I$16*'Saisie des données'!$I$18,'Saisie des données'!$I$19*'Saisie des données'!$I$21,'Saisie des données'!$I$22*'Saisie des données'!$I$24))),('Saisie des données'!$G$10*(1+'Saisie des données'!$G$13)^($D13-'Saisie des données'!$G$8))*(SUM('Saisie des données'!$G$16*'Saisie des données'!$G$17,'Saisie des données'!$G$19*'Saisie des données'!$G$20,'Saisie des données'!$G$22*'Saisie des données'!$G$23))+('Saisie des données'!$G$11*(1+'Saisie des données'!$G$13)^($D13-'Saisie des données'!$G$8))*(SUM('Saisie des données'!$H$16*'Saisie des données'!$H$17,'Saisie des données'!$H$19*'Saisie des données'!$H$20,'Saisie des données'!$H$22*'Saisie des données'!$H$23))+('Saisie des données'!$G$12*(1+'Saisie des données'!$G$13)^($D13-'Saisie des données'!$G$8))*(SUM('Saisie des données'!$I$16*'Saisie des données'!$I$17,'Saisie des données'!$I$19*'Saisie des données'!$I$20,'Saisie des données'!$I$22*'Saisie des données'!$I$23)))</f>
        <v>166516.02000000002</v>
      </c>
      <c r="M13" s="186"/>
      <c r="N13" s="186"/>
    </row>
    <row r="14" spans="1:15" ht="15.6" x14ac:dyDescent="0.25">
      <c r="B14" s="190"/>
      <c r="C14" s="190"/>
      <c r="D14" s="189">
        <f>'Saisie des données'!$G$8+3</f>
        <v>2029</v>
      </c>
      <c r="E14" s="188"/>
      <c r="F14" s="199">
        <f>IF('Saisie des données'!G$44=2,(('Saisie des données'!$G$10*(1+'Saisie des données'!$G$13)^(D14-'Saisie des données'!$G$8))*(SUM('Saisie des données'!$G$16*'Saisie des données'!$G$17,'Saisie des données'!$G$19*'Saisie des données'!$G$20,'Saisie des données'!$G$22*'Saisie des données'!$G$23))+('Saisie des données'!$G$10*(1+'Saisie des données'!$G$13)^(D14-'Saisie des données'!$G$8))*(SUM('Saisie des données'!$G$16*'Saisie des données'!$G$18,'Saisie des données'!$G$19*'Saisie des données'!$G$21,'Saisie des données'!$G$22*'Saisie des données'!$G$24)))+(('Saisie des données'!$G$11*(1+'Saisie des données'!$G$13)^(D14-'Saisie des données'!$G$8))*(SUM('Saisie des données'!$H$16*'Saisie des données'!$H$17,'Saisie des données'!$H$19*'Saisie des données'!$H$20,'Saisie des données'!$H$22*'Saisie des données'!$H$23))+('Saisie des données'!$G$11*(1+'Saisie des données'!$G$13)^(D14-'Saisie des données'!$G$8))*(SUM('Saisie des données'!$H$16*'Saisie des données'!$H$18,'Saisie des données'!$H$19*'Saisie des données'!$H$21,'Saisie des données'!$H$22*'Saisie des données'!$H$24)))+(('Saisie des données'!$G$12*(1+'Saisie des données'!$G$13)^(D14-'Saisie des données'!$G$8))*(SUM('Saisie des données'!$I$16*'Saisie des données'!$I$17,'Saisie des données'!$I$19*'Saisie des données'!$I$20,'Saisie des données'!$I$22*'Saisie des données'!$I$23))+('Saisie des données'!$G$12*(1+'Saisie des données'!$G$13)^(D14-'Saisie des données'!$G$8))*(SUM('Saisie des données'!$I$16*'Saisie des données'!$I$18,'Saisie des données'!$I$19*'Saisie des données'!$I$21,'Saisie des données'!$I$22*'Saisie des données'!$I$24))),('Saisie des données'!$G$10*(1+'Saisie des données'!$G$13)^(D14-'Saisie des données'!$G$8))*(SUM('Saisie des données'!$G$16*'Saisie des données'!$G$17,'Saisie des données'!$G$19*'Saisie des données'!$G$20,'Saisie des données'!$G$22*'Saisie des données'!$G$23))+('Saisie des données'!$G$11*(1+'Saisie des données'!$G$13)^(D14-'Saisie des données'!$G$8))*(SUM('Saisie des données'!$H$16*'Saisie des données'!$H$17,'Saisie des données'!$H$19*'Saisie des données'!$H$20,'Saisie des données'!$H$22*'Saisie des données'!$H$23))+('Saisie des données'!$G$12*(1+'Saisie des données'!$G$13)^(D14-'Saisie des données'!$G$8))*(SUM('Saisie des données'!$I$16*'Saisie des données'!$I$17,'Saisie des données'!$I$19*'Saisie des données'!$I$20,'Saisie des données'!$I$22*'Saisie des données'!$I$23)))</f>
        <v>169846.34039999996</v>
      </c>
      <c r="G14" s="200"/>
      <c r="H14" s="199">
        <f>IF('Saisie des données'!K$44=2,(('Saisie des données'!$G$10*(1+'Saisie des données'!$G$13)^($D14-'Saisie des données'!$G$8))*(SUM('Saisie des données'!$G$16*'Saisie des données'!$G$17,'Saisie des données'!$G$19*'Saisie des données'!$G$20,'Saisie des données'!$G$22*'Saisie des données'!$G$23))+('Saisie des données'!$G$10*(1+'Saisie des données'!$G$13)^($D14-'Saisie des données'!$G$8))*(SUM('Saisie des données'!$G$16*'Saisie des données'!$G$18,'Saisie des données'!$G$19*'Saisie des données'!$G$21,'Saisie des données'!$G$22*'Saisie des données'!$G$24)))+(('Saisie des données'!$G$11*(1+'Saisie des données'!$G$13)^($D14-'Saisie des données'!$G$8))*(SUM('Saisie des données'!$H$16*'Saisie des données'!$H$17,'Saisie des données'!$H$19*'Saisie des données'!$H$20,'Saisie des données'!$H$22*'Saisie des données'!$H$23))+('Saisie des données'!$G$11*(1+'Saisie des données'!$G$13)^($D14-'Saisie des données'!$G$8))*(SUM('Saisie des données'!$H$16*'Saisie des données'!$H$18,'Saisie des données'!$H$19*'Saisie des données'!$H$21,'Saisie des données'!$H$22*'Saisie des données'!$H$24)))+(('Saisie des données'!$G$12*(1+'Saisie des données'!$G$13)^($D14-'Saisie des données'!$G$8))*(SUM('Saisie des données'!$I$16*'Saisie des données'!$I$17,'Saisie des données'!$I$19*'Saisie des données'!$I$20,'Saisie des données'!$I$22*'Saisie des données'!$I$23))+('Saisie des données'!$G$12*(1+'Saisie des données'!$G$13)^($D14-'Saisie des données'!$G$8))*(SUM('Saisie des données'!$I$16*'Saisie des données'!$I$18,'Saisie des données'!$I$19*'Saisie des données'!$I$21,'Saisie des données'!$I$22*'Saisie des données'!$I$24))),('Saisie des données'!$G$10*(1+'Saisie des données'!$G$13)^($D14-'Saisie des données'!$G$8))*(SUM('Saisie des données'!$G$16*'Saisie des données'!$G$17,'Saisie des données'!$G$19*'Saisie des données'!$G$20,'Saisie des données'!$G$22*'Saisie des données'!$G$23))+('Saisie des données'!$G$11*(1+'Saisie des données'!$G$13)^($D14-'Saisie des données'!$G$8))*(SUM('Saisie des données'!$H$16*'Saisie des données'!$H$17,'Saisie des données'!$H$19*'Saisie des données'!$H$20,'Saisie des données'!$H$22*'Saisie des données'!$H$23))+('Saisie des données'!$G$12*(1+'Saisie des données'!$G$13)^($D14-'Saisie des données'!$G$8))*(SUM('Saisie des données'!$I$16*'Saisie des données'!$I$17,'Saisie des données'!$I$19*'Saisie des données'!$I$20,'Saisie des données'!$I$22*'Saisie des données'!$I$23)))</f>
        <v>319980.74219999992</v>
      </c>
      <c r="I14" s="200"/>
      <c r="J14" s="199">
        <f>IF('Saisie des données'!M$44=2,(('Saisie des données'!$G$10*(1+'Saisie des données'!$G$13)^($D14-'Saisie des données'!$G$8))*(SUM('Saisie des données'!$G$16*'Saisie des données'!$G$17,'Saisie des données'!$G$19*'Saisie des données'!$G$20,'Saisie des données'!$G$22*'Saisie des données'!$G$23))+('Saisie des données'!$G$10*(1+'Saisie des données'!$G$13)^($D14-'Saisie des données'!$G$8))*(SUM('Saisie des données'!$G$16*'Saisie des données'!$G$18,'Saisie des données'!$G$19*'Saisie des données'!$G$21,'Saisie des données'!$G$22*'Saisie des données'!$G$24)))+(('Saisie des données'!$G$11*(1+'Saisie des données'!$G$13)^($D14-'Saisie des données'!$G$8))*(SUM('Saisie des données'!$H$16*'Saisie des données'!$H$17,'Saisie des données'!$H$19*'Saisie des données'!$H$20,'Saisie des données'!$H$22*'Saisie des données'!$H$23))+('Saisie des données'!$G$11*(1+'Saisie des données'!$G$13)^($D14-'Saisie des données'!$G$8))*(SUM('Saisie des données'!$H$16*'Saisie des données'!$H$18,'Saisie des données'!$H$19*'Saisie des données'!$H$21,'Saisie des données'!$H$22*'Saisie des données'!$H$24)))+(('Saisie des données'!$G$12*(1+'Saisie des données'!$G$13)^($D14-'Saisie des données'!$G$8))*(SUM('Saisie des données'!$I$16*'Saisie des données'!$I$17,'Saisie des données'!$I$19*'Saisie des données'!$I$20,'Saisie des données'!$I$22*'Saisie des données'!$I$23))+('Saisie des données'!$G$12*(1+'Saisie des données'!$G$13)^($D14-'Saisie des données'!$G$8))*(SUM('Saisie des données'!$I$16*'Saisie des données'!$I$18,'Saisie des données'!$I$19*'Saisie des données'!$I$21,'Saisie des données'!$I$22*'Saisie des données'!$I$24))),('Saisie des données'!$G$10*(1+'Saisie des données'!$G$13)^($D14-'Saisie des données'!$G$8))*(SUM('Saisie des données'!$G$16*'Saisie des données'!$G$17,'Saisie des données'!$G$19*'Saisie des données'!$G$20,'Saisie des données'!$G$22*'Saisie des données'!$G$23))+('Saisie des données'!$G$11*(1+'Saisie des données'!$G$13)^($D14-'Saisie des données'!$G$8))*(SUM('Saisie des données'!$H$16*'Saisie des données'!$H$17,'Saisie des données'!$H$19*'Saisie des données'!$H$20,'Saisie des données'!$H$22*'Saisie des données'!$H$23))+('Saisie des données'!$G$12*(1+'Saisie des données'!$G$13)^($D14-'Saisie des données'!$G$8))*(SUM('Saisie des données'!$I$16*'Saisie des données'!$I$17,'Saisie des données'!$I$19*'Saisie des données'!$I$20,'Saisie des données'!$I$22*'Saisie des données'!$I$23)))</f>
        <v>169846.34039999996</v>
      </c>
      <c r="K14" s="200"/>
      <c r="L14" s="199">
        <f>IF('Saisie des données'!O$44=2,(('Saisie des données'!$G$10*(1+'Saisie des données'!$G$13)^($D14-'Saisie des données'!$G$8))*(SUM('Saisie des données'!$G$16*'Saisie des données'!$G$17,'Saisie des données'!$G$19*'Saisie des données'!$G$20,'Saisie des données'!$G$22*'Saisie des données'!$G$23))+('Saisie des données'!$G$10*(1+'Saisie des données'!$G$13)^($D14-'Saisie des données'!$G$8))*(SUM('Saisie des données'!$G$16*'Saisie des données'!$G$18,'Saisie des données'!$G$19*'Saisie des données'!$G$21,'Saisie des données'!$G$22*'Saisie des données'!$G$24)))+(('Saisie des données'!$G$11*(1+'Saisie des données'!$G$13)^($D14-'Saisie des données'!$G$8))*(SUM('Saisie des données'!$H$16*'Saisie des données'!$H$17,'Saisie des données'!$H$19*'Saisie des données'!$H$20,'Saisie des données'!$H$22*'Saisie des données'!$H$23))+('Saisie des données'!$G$11*(1+'Saisie des données'!$G$13)^($D14-'Saisie des données'!$G$8))*(SUM('Saisie des données'!$H$16*'Saisie des données'!$H$18,'Saisie des données'!$H$19*'Saisie des données'!$H$21,'Saisie des données'!$H$22*'Saisie des données'!$H$24)))+(('Saisie des données'!$G$12*(1+'Saisie des données'!$G$13)^($D14-'Saisie des données'!$G$8))*(SUM('Saisie des données'!$I$16*'Saisie des données'!$I$17,'Saisie des données'!$I$19*'Saisie des données'!$I$20,'Saisie des données'!$I$22*'Saisie des données'!$I$23))+('Saisie des données'!$G$12*(1+'Saisie des données'!$G$13)^($D14-'Saisie des données'!$G$8))*(SUM('Saisie des données'!$I$16*'Saisie des données'!$I$18,'Saisie des données'!$I$19*'Saisie des données'!$I$21,'Saisie des données'!$I$22*'Saisie des données'!$I$24))),('Saisie des données'!$G$10*(1+'Saisie des données'!$G$13)^($D14-'Saisie des données'!$G$8))*(SUM('Saisie des données'!$G$16*'Saisie des données'!$G$17,'Saisie des données'!$G$19*'Saisie des données'!$G$20,'Saisie des données'!$G$22*'Saisie des données'!$G$23))+('Saisie des données'!$G$11*(1+'Saisie des données'!$G$13)^($D14-'Saisie des données'!$G$8))*(SUM('Saisie des données'!$H$16*'Saisie des données'!$H$17,'Saisie des données'!$H$19*'Saisie des données'!$H$20,'Saisie des données'!$H$22*'Saisie des données'!$H$23))+('Saisie des données'!$G$12*(1+'Saisie des données'!$G$13)^($D14-'Saisie des données'!$G$8))*(SUM('Saisie des données'!$I$16*'Saisie des données'!$I$17,'Saisie des données'!$I$19*'Saisie des données'!$I$20,'Saisie des données'!$I$22*'Saisie des données'!$I$23)))</f>
        <v>169846.34039999996</v>
      </c>
      <c r="M14" s="186"/>
      <c r="N14" s="186"/>
    </row>
    <row r="15" spans="1:15" ht="15.75" customHeight="1" x14ac:dyDescent="0.25">
      <c r="B15" s="190"/>
      <c r="C15" s="190"/>
      <c r="D15" s="189">
        <f>'Saisie des données'!$G$8+4</f>
        <v>2030</v>
      </c>
      <c r="E15" s="188"/>
      <c r="F15" s="199">
        <f>IF('Saisie des données'!G$44=2,(('Saisie des données'!$G$10*(1+'Saisie des données'!$G$13)^(D15-'Saisie des données'!$G$8))*(SUM('Saisie des données'!$G$16*'Saisie des données'!$G$17,'Saisie des données'!$G$19*'Saisie des données'!$G$20,'Saisie des données'!$G$22*'Saisie des données'!$G$23))+('Saisie des données'!$G$10*(1+'Saisie des données'!$G$13)^(D15-'Saisie des données'!$G$8))*(SUM('Saisie des données'!$G$16*'Saisie des données'!$G$18,'Saisie des données'!$G$19*'Saisie des données'!$G$21,'Saisie des données'!$G$22*'Saisie des données'!$G$24)))+(('Saisie des données'!$G$11*(1+'Saisie des données'!$G$13)^(D15-'Saisie des données'!$G$8))*(SUM('Saisie des données'!$H$16*'Saisie des données'!$H$17,'Saisie des données'!$H$19*'Saisie des données'!$H$20,'Saisie des données'!$H$22*'Saisie des données'!$H$23))+('Saisie des données'!$G$11*(1+'Saisie des données'!$G$13)^(D15-'Saisie des données'!$G$8))*(SUM('Saisie des données'!$H$16*'Saisie des données'!$H$18,'Saisie des données'!$H$19*'Saisie des données'!$H$21,'Saisie des données'!$H$22*'Saisie des données'!$H$24)))+(('Saisie des données'!$G$12*(1+'Saisie des données'!$G$13)^(D15-'Saisie des données'!$G$8))*(SUM('Saisie des données'!$I$16*'Saisie des données'!$I$17,'Saisie des données'!$I$19*'Saisie des données'!$I$20,'Saisie des données'!$I$22*'Saisie des données'!$I$23))+('Saisie des données'!$G$12*(1+'Saisie des données'!$G$13)^(D15-'Saisie des données'!$G$8))*(SUM('Saisie des données'!$I$16*'Saisie des données'!$I$18,'Saisie des données'!$I$19*'Saisie des données'!$I$21,'Saisie des données'!$I$22*'Saisie des données'!$I$24))),('Saisie des données'!$G$10*(1+'Saisie des données'!$G$13)^(D15-'Saisie des données'!$G$8))*(SUM('Saisie des données'!$G$16*'Saisie des données'!$G$17,'Saisie des données'!$G$19*'Saisie des données'!$G$20,'Saisie des données'!$G$22*'Saisie des données'!$G$23))+('Saisie des données'!$G$11*(1+'Saisie des données'!$G$13)^(D15-'Saisie des données'!$G$8))*(SUM('Saisie des données'!$H$16*'Saisie des données'!$H$17,'Saisie des données'!$H$19*'Saisie des données'!$H$20,'Saisie des données'!$H$22*'Saisie des données'!$H$23))+('Saisie des données'!$G$12*(1+'Saisie des données'!$G$13)^(D15-'Saisie des données'!$G$8))*(SUM('Saisie des données'!$I$16*'Saisie des données'!$I$17,'Saisie des données'!$I$19*'Saisie des données'!$I$20,'Saisie des données'!$I$22*'Saisie des données'!$I$23)))</f>
        <v>173243.26720799998</v>
      </c>
      <c r="G15" s="200"/>
      <c r="H15" s="199">
        <f>IF('Saisie des données'!K$44=2,(('Saisie des données'!$G$10*(1+'Saisie des données'!$G$13)^($D15-'Saisie des données'!$G$8))*(SUM('Saisie des données'!$G$16*'Saisie des données'!$G$17,'Saisie des données'!$G$19*'Saisie des données'!$G$20,'Saisie des données'!$G$22*'Saisie des données'!$G$23))+('Saisie des données'!$G$10*(1+'Saisie des données'!$G$13)^($D15-'Saisie des données'!$G$8))*(SUM('Saisie des données'!$G$16*'Saisie des données'!$G$18,'Saisie des données'!$G$19*'Saisie des données'!$G$21,'Saisie des données'!$G$22*'Saisie des données'!$G$24)))+(('Saisie des données'!$G$11*(1+'Saisie des données'!$G$13)^($D15-'Saisie des données'!$G$8))*(SUM('Saisie des données'!$H$16*'Saisie des données'!$H$17,'Saisie des données'!$H$19*'Saisie des données'!$H$20,'Saisie des données'!$H$22*'Saisie des données'!$H$23))+('Saisie des données'!$G$11*(1+'Saisie des données'!$G$13)^($D15-'Saisie des données'!$G$8))*(SUM('Saisie des données'!$H$16*'Saisie des données'!$H$18,'Saisie des données'!$H$19*'Saisie des données'!$H$21,'Saisie des données'!$H$22*'Saisie des données'!$H$24)))+(('Saisie des données'!$G$12*(1+'Saisie des données'!$G$13)^($D15-'Saisie des données'!$G$8))*(SUM('Saisie des données'!$I$16*'Saisie des données'!$I$17,'Saisie des données'!$I$19*'Saisie des données'!$I$20,'Saisie des données'!$I$22*'Saisie des données'!$I$23))+('Saisie des données'!$G$12*(1+'Saisie des données'!$G$13)^($D15-'Saisie des données'!$G$8))*(SUM('Saisie des données'!$I$16*'Saisie des données'!$I$18,'Saisie des données'!$I$19*'Saisie des données'!$I$21,'Saisie des données'!$I$22*'Saisie des données'!$I$24))),('Saisie des données'!$G$10*(1+'Saisie des données'!$G$13)^($D15-'Saisie des données'!$G$8))*(SUM('Saisie des données'!$G$16*'Saisie des données'!$G$17,'Saisie des données'!$G$19*'Saisie des données'!$G$20,'Saisie des données'!$G$22*'Saisie des données'!$G$23))+('Saisie des données'!$G$11*(1+'Saisie des données'!$G$13)^($D15-'Saisie des données'!$G$8))*(SUM('Saisie des données'!$H$16*'Saisie des données'!$H$17,'Saisie des données'!$H$19*'Saisie des données'!$H$20,'Saisie des données'!$H$22*'Saisie des données'!$H$23))+('Saisie des données'!$G$12*(1+'Saisie des données'!$G$13)^($D15-'Saisie des données'!$G$8))*(SUM('Saisie des données'!$I$16*'Saisie des données'!$I$17,'Saisie des données'!$I$19*'Saisie des données'!$I$20,'Saisie des données'!$I$22*'Saisie des données'!$I$23)))</f>
        <v>326380.35704400006</v>
      </c>
      <c r="I15" s="200"/>
      <c r="J15" s="199">
        <f>IF('Saisie des données'!M$44=2,(('Saisie des données'!$G$10*(1+'Saisie des données'!$G$13)^($D15-'Saisie des données'!$G$8))*(SUM('Saisie des données'!$G$16*'Saisie des données'!$G$17,'Saisie des données'!$G$19*'Saisie des données'!$G$20,'Saisie des données'!$G$22*'Saisie des données'!$G$23))+('Saisie des données'!$G$10*(1+'Saisie des données'!$G$13)^($D15-'Saisie des données'!$G$8))*(SUM('Saisie des données'!$G$16*'Saisie des données'!$G$18,'Saisie des données'!$G$19*'Saisie des données'!$G$21,'Saisie des données'!$G$22*'Saisie des données'!$G$24)))+(('Saisie des données'!$G$11*(1+'Saisie des données'!$G$13)^($D15-'Saisie des données'!$G$8))*(SUM('Saisie des données'!$H$16*'Saisie des données'!$H$17,'Saisie des données'!$H$19*'Saisie des données'!$H$20,'Saisie des données'!$H$22*'Saisie des données'!$H$23))+('Saisie des données'!$G$11*(1+'Saisie des données'!$G$13)^($D15-'Saisie des données'!$G$8))*(SUM('Saisie des données'!$H$16*'Saisie des données'!$H$18,'Saisie des données'!$H$19*'Saisie des données'!$H$21,'Saisie des données'!$H$22*'Saisie des données'!$H$24)))+(('Saisie des données'!$G$12*(1+'Saisie des données'!$G$13)^($D15-'Saisie des données'!$G$8))*(SUM('Saisie des données'!$I$16*'Saisie des données'!$I$17,'Saisie des données'!$I$19*'Saisie des données'!$I$20,'Saisie des données'!$I$22*'Saisie des données'!$I$23))+('Saisie des données'!$G$12*(1+'Saisie des données'!$G$13)^($D15-'Saisie des données'!$G$8))*(SUM('Saisie des données'!$I$16*'Saisie des données'!$I$18,'Saisie des données'!$I$19*'Saisie des données'!$I$21,'Saisie des données'!$I$22*'Saisie des données'!$I$24))),('Saisie des données'!$G$10*(1+'Saisie des données'!$G$13)^($D15-'Saisie des données'!$G$8))*(SUM('Saisie des données'!$G$16*'Saisie des données'!$G$17,'Saisie des données'!$G$19*'Saisie des données'!$G$20,'Saisie des données'!$G$22*'Saisie des données'!$G$23))+('Saisie des données'!$G$11*(1+'Saisie des données'!$G$13)^($D15-'Saisie des données'!$G$8))*(SUM('Saisie des données'!$H$16*'Saisie des données'!$H$17,'Saisie des données'!$H$19*'Saisie des données'!$H$20,'Saisie des données'!$H$22*'Saisie des données'!$H$23))+('Saisie des données'!$G$12*(1+'Saisie des données'!$G$13)^($D15-'Saisie des données'!$G$8))*(SUM('Saisie des données'!$I$16*'Saisie des données'!$I$17,'Saisie des données'!$I$19*'Saisie des données'!$I$20,'Saisie des données'!$I$22*'Saisie des données'!$I$23)))</f>
        <v>173243.26720799998</v>
      </c>
      <c r="K15" s="200"/>
      <c r="L15" s="199">
        <f>IF('Saisie des données'!O$44=2,(('Saisie des données'!$G$10*(1+'Saisie des données'!$G$13)^($D15-'Saisie des données'!$G$8))*(SUM('Saisie des données'!$G$16*'Saisie des données'!$G$17,'Saisie des données'!$G$19*'Saisie des données'!$G$20,'Saisie des données'!$G$22*'Saisie des données'!$G$23))+('Saisie des données'!$G$10*(1+'Saisie des données'!$G$13)^($D15-'Saisie des données'!$G$8))*(SUM('Saisie des données'!$G$16*'Saisie des données'!$G$18,'Saisie des données'!$G$19*'Saisie des données'!$G$21,'Saisie des données'!$G$22*'Saisie des données'!$G$24)))+(('Saisie des données'!$G$11*(1+'Saisie des données'!$G$13)^($D15-'Saisie des données'!$G$8))*(SUM('Saisie des données'!$H$16*'Saisie des données'!$H$17,'Saisie des données'!$H$19*'Saisie des données'!$H$20,'Saisie des données'!$H$22*'Saisie des données'!$H$23))+('Saisie des données'!$G$11*(1+'Saisie des données'!$G$13)^($D15-'Saisie des données'!$G$8))*(SUM('Saisie des données'!$H$16*'Saisie des données'!$H$18,'Saisie des données'!$H$19*'Saisie des données'!$H$21,'Saisie des données'!$H$22*'Saisie des données'!$H$24)))+(('Saisie des données'!$G$12*(1+'Saisie des données'!$G$13)^($D15-'Saisie des données'!$G$8))*(SUM('Saisie des données'!$I$16*'Saisie des données'!$I$17,'Saisie des données'!$I$19*'Saisie des données'!$I$20,'Saisie des données'!$I$22*'Saisie des données'!$I$23))+('Saisie des données'!$G$12*(1+'Saisie des données'!$G$13)^($D15-'Saisie des données'!$G$8))*(SUM('Saisie des données'!$I$16*'Saisie des données'!$I$18,'Saisie des données'!$I$19*'Saisie des données'!$I$21,'Saisie des données'!$I$22*'Saisie des données'!$I$24))),('Saisie des données'!$G$10*(1+'Saisie des données'!$G$13)^($D15-'Saisie des données'!$G$8))*(SUM('Saisie des données'!$G$16*'Saisie des données'!$G$17,'Saisie des données'!$G$19*'Saisie des données'!$G$20,'Saisie des données'!$G$22*'Saisie des données'!$G$23))+('Saisie des données'!$G$11*(1+'Saisie des données'!$G$13)^($D15-'Saisie des données'!$G$8))*(SUM('Saisie des données'!$H$16*'Saisie des données'!$H$17,'Saisie des données'!$H$19*'Saisie des données'!$H$20,'Saisie des données'!$H$22*'Saisie des données'!$H$23))+('Saisie des données'!$G$12*(1+'Saisie des données'!$G$13)^($D15-'Saisie des données'!$G$8))*(SUM('Saisie des données'!$I$16*'Saisie des données'!$I$17,'Saisie des données'!$I$19*'Saisie des données'!$I$20,'Saisie des données'!$I$22*'Saisie des données'!$I$23)))</f>
        <v>173243.26720799998</v>
      </c>
      <c r="M15" s="186"/>
      <c r="N15" s="186"/>
    </row>
    <row r="16" spans="1:15" ht="15" customHeight="1" x14ac:dyDescent="0.25">
      <c r="B16" s="190"/>
      <c r="C16" s="190"/>
      <c r="D16" s="197"/>
      <c r="E16" s="188"/>
      <c r="F16" s="206"/>
      <c r="G16" s="200"/>
      <c r="H16" s="206"/>
      <c r="I16" s="200"/>
      <c r="J16" s="206"/>
      <c r="K16" s="200"/>
      <c r="L16" s="206"/>
      <c r="M16" s="186"/>
      <c r="N16" s="186"/>
    </row>
    <row r="17" spans="2:14" ht="42" customHeight="1" x14ac:dyDescent="0.25">
      <c r="B17" s="190"/>
      <c r="C17" s="190"/>
      <c r="D17" s="500" t="s">
        <v>117</v>
      </c>
      <c r="E17" s="500"/>
      <c r="F17" s="500"/>
      <c r="G17" s="500"/>
      <c r="H17" s="500"/>
      <c r="I17" s="500"/>
      <c r="J17" s="500"/>
      <c r="K17" s="500"/>
      <c r="L17" s="500"/>
      <c r="M17" s="186"/>
      <c r="N17" s="186"/>
    </row>
    <row r="18" spans="2:14" ht="7.95" customHeight="1" x14ac:dyDescent="0.25">
      <c r="B18" s="190"/>
      <c r="C18" s="190"/>
      <c r="D18" s="194"/>
      <c r="E18" s="194"/>
      <c r="F18" s="194"/>
      <c r="G18" s="194"/>
      <c r="H18" s="194"/>
      <c r="I18" s="194"/>
      <c r="J18" s="194"/>
      <c r="K18" s="194"/>
      <c r="L18" s="194"/>
      <c r="M18" s="186"/>
      <c r="N18" s="186"/>
    </row>
    <row r="19" spans="2:14" ht="34.950000000000003" customHeight="1" x14ac:dyDescent="0.25">
      <c r="B19" s="190"/>
      <c r="C19" s="190"/>
      <c r="D19" s="210" t="s">
        <v>116</v>
      </c>
      <c r="E19" s="209"/>
      <c r="F19" s="207">
        <f>SUM(F20:F24)</f>
        <v>1299002.0037577893</v>
      </c>
      <c r="G19" s="208"/>
      <c r="H19" s="207">
        <f>SUM(H20:H24)</f>
        <v>2410835.2475851579</v>
      </c>
      <c r="I19" s="208"/>
      <c r="J19" s="207">
        <f>SUM(J20:J24)</f>
        <v>1368762.6252553333</v>
      </c>
      <c r="K19" s="208"/>
      <c r="L19" s="207">
        <f>SUM(L20:L24)</f>
        <v>1299002.0037577893</v>
      </c>
      <c r="M19" s="186"/>
      <c r="N19" s="186"/>
    </row>
    <row r="20" spans="2:14" ht="15.6" x14ac:dyDescent="0.25">
      <c r="B20" s="190"/>
      <c r="C20" s="190"/>
      <c r="D20" s="189">
        <f>'Saisie des données'!$G$8</f>
        <v>2026</v>
      </c>
      <c r="E20" s="188"/>
      <c r="F20" s="199">
        <f>F11*'Saisie des données'!G$49+Data!$B41*'Saisie des données'!G$52</f>
        <v>587433.55263157887</v>
      </c>
      <c r="G20" s="200"/>
      <c r="H20" s="199">
        <f>H11*'Saisie des données'!K$49+Data!$B41*'Saisie des données'!K$52</f>
        <v>1073196.7105263157</v>
      </c>
      <c r="I20" s="200"/>
      <c r="J20" s="199">
        <f>J11*'Saisie des données'!M$49+Data!$B41*'Saisie des données'!M$52</f>
        <v>617845.83333333337</v>
      </c>
      <c r="K20" s="200"/>
      <c r="L20" s="199">
        <f>L11*'Saisie des données'!O$49+Data!$B41*'Saisie des données'!O$52</f>
        <v>587433.55263157887</v>
      </c>
      <c r="M20" s="186"/>
      <c r="N20" s="186"/>
    </row>
    <row r="21" spans="2:14" ht="15.6" x14ac:dyDescent="0.25">
      <c r="B21" s="190"/>
      <c r="C21" s="190"/>
      <c r="D21" s="189">
        <f>'Saisie des données'!$G$8+1</f>
        <v>2027</v>
      </c>
      <c r="E21" s="188"/>
      <c r="F21" s="199">
        <f>F12*'Saisie des données'!G$49+(Data!$B42*'Saisie des données'!G$52-Data!$B41*'Saisie des données'!G$52)</f>
        <v>172643.40789473683</v>
      </c>
      <c r="G21" s="200"/>
      <c r="H21" s="199">
        <f>H12*'Saisie des données'!K$49+(Data!$B42*'Saisie des données'!K$52-Data!$B41*'Saisie des données'!K$52)</f>
        <v>324542.88157894736</v>
      </c>
      <c r="I21" s="200"/>
      <c r="J21" s="199">
        <f>J12*'Saisie des données'!M$49+(Data!$B42*'Saisie des données'!M$52-Data!$B41*'Saisie des données'!M$52)</f>
        <v>182190.25</v>
      </c>
      <c r="K21" s="200"/>
      <c r="L21" s="199">
        <f>L12*'Saisie des données'!O$49+(Data!$B42*'Saisie des données'!O$52-Data!$B41*'Saisie des données'!O$52)</f>
        <v>172643.40789473683</v>
      </c>
      <c r="M21" s="186"/>
      <c r="N21" s="186"/>
    </row>
    <row r="22" spans="2:14" ht="15.6" x14ac:dyDescent="0.25">
      <c r="B22" s="190"/>
      <c r="C22" s="190"/>
      <c r="D22" s="189">
        <f>'Saisie des données'!$G$8+2</f>
        <v>2028</v>
      </c>
      <c r="E22" s="188"/>
      <c r="F22" s="199">
        <f>F13*'Saisie des données'!G$49+(Data!$B43*'Saisie des données'!G$52-Data!$B42*'Saisie des données'!G$52)</f>
        <v>176096.27605263158</v>
      </c>
      <c r="G22" s="200"/>
      <c r="H22" s="199">
        <f>H13*'Saisie des données'!K$49+(Data!$B43*'Saisie des données'!K$52-Data!$B42*'Saisie des données'!K$52)</f>
        <v>331033.73921052628</v>
      </c>
      <c r="I22" s="200"/>
      <c r="J22" s="199">
        <f>J13*'Saisie des données'!M$49+(Data!$B43*'Saisie des données'!M$52-Data!$B42*'Saisie des données'!M$52)</f>
        <v>185834.05500000002</v>
      </c>
      <c r="K22" s="200"/>
      <c r="L22" s="199">
        <f>L13*'Saisie des données'!O$49+(Data!$B43*'Saisie des données'!O$52-Data!$B42*'Saisie des données'!O$52)</f>
        <v>176096.27605263158</v>
      </c>
      <c r="M22" s="186"/>
      <c r="N22" s="186"/>
    </row>
    <row r="23" spans="2:14" ht="15.6" x14ac:dyDescent="0.25">
      <c r="B23" s="190"/>
      <c r="C23" s="190"/>
      <c r="D23" s="189">
        <f>'Saisie des données'!$G$8+3</f>
        <v>2029</v>
      </c>
      <c r="E23" s="188"/>
      <c r="F23" s="199">
        <f>F14*'Saisie des données'!G$49+(Data!$B44*'Saisie des données'!G$52-Data!$B43*'Saisie des données'!G$52)</f>
        <v>179618.20157368414</v>
      </c>
      <c r="G23" s="200"/>
      <c r="H23" s="199">
        <f>H14*'Saisie des données'!K$49+(Data!$B44*'Saisie des données'!K$52-Data!$B43*'Saisie des données'!K$52)</f>
        <v>337654.41399473668</v>
      </c>
      <c r="I23" s="200"/>
      <c r="J23" s="199">
        <f>J14*'Saisie des données'!M$49+(Data!$B44*'Saisie des données'!M$52-Data!$B43*'Saisie des données'!M$52)</f>
        <v>189550.73609999995</v>
      </c>
      <c r="K23" s="200"/>
      <c r="L23" s="199">
        <f>L14*'Saisie des données'!O$49+(Data!$B44*'Saisie des données'!O$52-Data!$B43*'Saisie des données'!O$52)</f>
        <v>179618.20157368414</v>
      </c>
      <c r="M23" s="186"/>
      <c r="N23" s="186"/>
    </row>
    <row r="24" spans="2:14" ht="15.75" customHeight="1" x14ac:dyDescent="0.25">
      <c r="B24" s="190"/>
      <c r="C24" s="190"/>
      <c r="D24" s="189">
        <f>'Saisie des données'!$G$8+4</f>
        <v>2030</v>
      </c>
      <c r="E24" s="188"/>
      <c r="F24" s="199">
        <f>F15*'Saisie des données'!G$49+(Data!$B45*'Saisie des données'!G$52-Data!$B44*'Saisie des données'!G$52)</f>
        <v>183210.56560515787</v>
      </c>
      <c r="G24" s="200"/>
      <c r="H24" s="199">
        <f>H15*'Saisie des données'!K$49+(Data!$B45*'Saisie des données'!K$52-Data!$B44*'Saisie des données'!K$52)</f>
        <v>344407.50227463164</v>
      </c>
      <c r="I24" s="200"/>
      <c r="J24" s="199">
        <f>J15*'Saisie des données'!M$49+(Data!$B45*'Saisie des données'!M$52-Data!$B44*'Saisie des données'!M$52)</f>
        <v>193341.75082199997</v>
      </c>
      <c r="K24" s="200"/>
      <c r="L24" s="199">
        <f>L15*'Saisie des données'!O$49+(Data!$B45*'Saisie des données'!O$52-Data!$B44*'Saisie des données'!O$52)</f>
        <v>183210.56560515787</v>
      </c>
      <c r="M24" s="186"/>
      <c r="N24" s="186"/>
    </row>
    <row r="25" spans="2:14" ht="15" customHeight="1" x14ac:dyDescent="0.25">
      <c r="B25" s="190"/>
      <c r="C25" s="190"/>
      <c r="D25" s="197"/>
      <c r="E25" s="188"/>
      <c r="F25" s="206"/>
      <c r="G25" s="200"/>
      <c r="H25" s="206"/>
      <c r="I25" s="200"/>
      <c r="J25" s="206"/>
      <c r="K25" s="200"/>
      <c r="L25" s="206"/>
      <c r="M25" s="186"/>
      <c r="N25" s="186"/>
    </row>
    <row r="26" spans="2:14" s="203" customFormat="1" ht="42" customHeight="1" x14ac:dyDescent="0.25">
      <c r="B26" s="205"/>
      <c r="C26" s="205"/>
      <c r="D26" s="500" t="s">
        <v>118</v>
      </c>
      <c r="E26" s="500"/>
      <c r="F26" s="500"/>
      <c r="G26" s="500"/>
      <c r="H26" s="500"/>
      <c r="I26" s="500"/>
      <c r="J26" s="500"/>
      <c r="K26" s="500"/>
      <c r="L26" s="500"/>
      <c r="M26" s="204"/>
      <c r="N26" s="204"/>
    </row>
    <row r="27" spans="2:14" ht="7.95" customHeight="1" x14ac:dyDescent="0.25">
      <c r="B27" s="190"/>
      <c r="C27" s="190"/>
      <c r="D27" s="202"/>
      <c r="E27" s="194"/>
      <c r="F27" s="202"/>
      <c r="G27" s="194"/>
      <c r="H27" s="202"/>
      <c r="I27" s="194"/>
      <c r="J27" s="202"/>
      <c r="K27" s="194"/>
      <c r="L27" s="202"/>
      <c r="M27" s="201"/>
      <c r="N27" s="201"/>
    </row>
    <row r="28" spans="2:14" ht="15.6" x14ac:dyDescent="0.25">
      <c r="B28" s="190"/>
      <c r="C28" s="190"/>
      <c r="D28" s="189">
        <f>'Saisie des données'!$G$8</f>
        <v>2026</v>
      </c>
      <c r="E28" s="188"/>
      <c r="F28" s="199">
        <f>F20*'Saisie des données'!G$46</f>
        <v>8576529.8684210517</v>
      </c>
      <c r="G28" s="200"/>
      <c r="H28" s="199">
        <f>H20*'Saisie des données'!K$46</f>
        <v>12663721.184210526</v>
      </c>
      <c r="I28" s="200"/>
      <c r="J28" s="199">
        <f>J20*'Saisie des données'!M$46</f>
        <v>9267687.5</v>
      </c>
      <c r="K28" s="200"/>
      <c r="L28" s="199">
        <f>L20*'Saisie des données'!O$46</f>
        <v>8811503.2894736826</v>
      </c>
      <c r="M28" s="186"/>
      <c r="N28" s="186"/>
    </row>
    <row r="29" spans="2:14" ht="15.6" x14ac:dyDescent="0.25">
      <c r="B29" s="190"/>
      <c r="C29" s="190"/>
      <c r="D29" s="189">
        <f>'Saisie des données'!$G$8+1</f>
        <v>2027</v>
      </c>
      <c r="E29" s="188"/>
      <c r="F29" s="199">
        <f>F21*'Saisie des données'!G$46</f>
        <v>2520593.7552631577</v>
      </c>
      <c r="G29" s="200"/>
      <c r="H29" s="199">
        <f>H21*'Saisie des données'!K$46</f>
        <v>3829606.0026315791</v>
      </c>
      <c r="I29" s="200"/>
      <c r="J29" s="199">
        <f>J21*'Saisie des données'!M$46</f>
        <v>2732853.75</v>
      </c>
      <c r="K29" s="200"/>
      <c r="L29" s="199">
        <f>L21*'Saisie des données'!O$46</f>
        <v>2589651.1184210526</v>
      </c>
      <c r="M29" s="186"/>
      <c r="N29" s="186"/>
    </row>
    <row r="30" spans="2:14" ht="15.6" x14ac:dyDescent="0.25">
      <c r="B30" s="190"/>
      <c r="C30" s="190"/>
      <c r="D30" s="189">
        <f>'Saisie des données'!$G$8+2</f>
        <v>2028</v>
      </c>
      <c r="E30" s="188"/>
      <c r="F30" s="199">
        <f>F22*'Saisie des données'!G$46</f>
        <v>2571005.6303684209</v>
      </c>
      <c r="G30" s="200"/>
      <c r="H30" s="199">
        <f>H22*'Saisie des données'!K$46</f>
        <v>3906198.1226842105</v>
      </c>
      <c r="I30" s="200"/>
      <c r="J30" s="199">
        <f>J22*'Saisie des données'!M$46</f>
        <v>2787510.8250000002</v>
      </c>
      <c r="K30" s="200"/>
      <c r="L30" s="199">
        <f>L22*'Saisie des données'!O$46</f>
        <v>2641444.1407894739</v>
      </c>
      <c r="M30" s="186"/>
      <c r="N30" s="186"/>
    </row>
    <row r="31" spans="2:14" ht="15.6" x14ac:dyDescent="0.25">
      <c r="B31" s="190"/>
      <c r="C31" s="190"/>
      <c r="D31" s="189">
        <f>'Saisie des données'!$G$8+3</f>
        <v>2029</v>
      </c>
      <c r="E31" s="188"/>
      <c r="F31" s="199">
        <f>F23*'Saisie des données'!G$46</f>
        <v>2622425.7429757882</v>
      </c>
      <c r="G31" s="200"/>
      <c r="H31" s="199">
        <f>H23*'Saisie des données'!K$46</f>
        <v>3984322.085137893</v>
      </c>
      <c r="I31" s="200"/>
      <c r="J31" s="199">
        <f>J23*'Saisie des données'!M$46</f>
        <v>2843261.0414999994</v>
      </c>
      <c r="K31" s="200"/>
      <c r="L31" s="199">
        <f>L23*'Saisie des données'!O$46</f>
        <v>2694273.0236052619</v>
      </c>
      <c r="M31" s="186"/>
      <c r="N31" s="186"/>
    </row>
    <row r="32" spans="2:14" ht="15.6" x14ac:dyDescent="0.25">
      <c r="B32" s="190"/>
      <c r="C32" s="190"/>
      <c r="D32" s="189">
        <f>'Saisie des données'!$G$8+4</f>
        <v>2030</v>
      </c>
      <c r="E32" s="188"/>
      <c r="F32" s="199">
        <f>F24*'Saisie des données'!G$46</f>
        <v>2674874.2578353048</v>
      </c>
      <c r="G32" s="200"/>
      <c r="H32" s="199">
        <f>H24*'Saisie des données'!K$46</f>
        <v>4064008.5268406537</v>
      </c>
      <c r="I32" s="200"/>
      <c r="J32" s="199">
        <f>J24*'Saisie des données'!M$46</f>
        <v>2900126.2623299994</v>
      </c>
      <c r="K32" s="200"/>
      <c r="L32" s="199">
        <f>L24*'Saisie des données'!O$46</f>
        <v>2748158.4840773679</v>
      </c>
      <c r="M32" s="186"/>
      <c r="N32" s="186"/>
    </row>
    <row r="33" spans="2:14" ht="15" customHeight="1" x14ac:dyDescent="0.25">
      <c r="B33" s="186"/>
      <c r="C33" s="186"/>
      <c r="D33" s="186"/>
      <c r="E33" s="186"/>
      <c r="F33" s="186"/>
      <c r="G33" s="186"/>
      <c r="H33" s="186"/>
      <c r="I33" s="186"/>
      <c r="J33" s="186"/>
      <c r="K33" s="186"/>
      <c r="L33" s="186"/>
      <c r="M33" s="186"/>
      <c r="N33" s="186"/>
    </row>
    <row r="34" spans="2:14" ht="42" customHeight="1" x14ac:dyDescent="0.25">
      <c r="B34" s="190"/>
      <c r="C34" s="190"/>
      <c r="D34" s="500" t="s">
        <v>119</v>
      </c>
      <c r="E34" s="500"/>
      <c r="F34" s="500"/>
      <c r="G34" s="500"/>
      <c r="H34" s="500"/>
      <c r="I34" s="500"/>
      <c r="J34" s="500"/>
      <c r="K34" s="500"/>
      <c r="L34" s="500"/>
      <c r="M34" s="186"/>
      <c r="N34" s="186"/>
    </row>
    <row r="35" spans="2:14" ht="15.6" x14ac:dyDescent="0.25">
      <c r="B35" s="190"/>
      <c r="C35" s="190"/>
      <c r="D35" s="194"/>
      <c r="E35" s="194"/>
      <c r="F35" s="194"/>
      <c r="G35" s="194"/>
      <c r="H35" s="194"/>
      <c r="I35" s="194"/>
      <c r="J35" s="194"/>
      <c r="K35" s="194"/>
      <c r="L35" s="194"/>
      <c r="M35" s="186"/>
      <c r="N35" s="186"/>
    </row>
    <row r="36" spans="2:14" ht="31.2" x14ac:dyDescent="0.25">
      <c r="B36" s="190"/>
      <c r="C36" s="190"/>
      <c r="D36" s="193" t="s">
        <v>116</v>
      </c>
      <c r="E36" s="192"/>
      <c r="F36" s="347">
        <f>SUM(F37:F41)</f>
        <v>6604229.6170644425</v>
      </c>
      <c r="G36" s="191"/>
      <c r="H36" s="347">
        <f>SUM(H37:H41)</f>
        <v>12258568.761872904</v>
      </c>
      <c r="I36" s="191"/>
      <c r="J36" s="347">
        <f>SUM(J37:J41)</f>
        <v>6955823.1494120639</v>
      </c>
      <c r="K36" s="191"/>
      <c r="L36" s="347">
        <f>SUM(L37:L41)</f>
        <v>6604229.6170644425</v>
      </c>
      <c r="M36" s="186"/>
      <c r="N36" s="186"/>
    </row>
    <row r="37" spans="2:14" ht="15.6" x14ac:dyDescent="0.25">
      <c r="B37" s="190"/>
      <c r="C37" s="190"/>
      <c r="D37" s="189">
        <f>'Saisie des données'!$G$8</f>
        <v>2026</v>
      </c>
      <c r="E37" s="188"/>
      <c r="F37" s="348">
        <f>F20*('Saisie des données'!G$42+'Saisie des données'!G$42*'Saisie des données'!G$50+'Saisie des données'!G$42*'Saisie des données'!G$51)+(F11/'Saisie des données'!G$54*'Saisie des données'!G$53)+(F11*'Saisie des données'!$G$55)</f>
        <v>2985627.5052631577</v>
      </c>
      <c r="G37" s="196"/>
      <c r="H37" s="348">
        <f>H20*('Saisie des données'!K$42+'Saisie des données'!K$42*'Saisie des données'!K$50+'Saisie des données'!K$42*'Saisie des données'!K$51)+(H11/'Saisie des données'!K$54*'Saisie des données'!K$53)+(H11*'Saisie des données'!$K$55)</f>
        <v>5456024.6210526312</v>
      </c>
      <c r="I37" s="196"/>
      <c r="J37" s="348">
        <f>J20*('Saisie des données'!M$42+'Saisie des données'!M$42*'Saisie des données'!M$50+'Saisie des données'!M$42*'Saisie des données'!M$51)+(J11/'Saisie des données'!M$54*'Saisie des données'!M$53)+(J11*'Saisie des données'!$K$55)</f>
        <v>3138905.4</v>
      </c>
      <c r="K37" s="196"/>
      <c r="L37" s="348">
        <f>L20*('Saisie des données'!O$42+'Saisie des données'!O$42*'Saisie des données'!O$50+'Saisie des données'!O$42*'Saisie des données'!O$51)+(L11/'Saisie des données'!O$54*'Saisie des données'!O$53)+(L11*'Saisie des données'!$K$55)</f>
        <v>2985627.5052631577</v>
      </c>
      <c r="M37" s="186"/>
      <c r="N37" s="186"/>
    </row>
    <row r="38" spans="2:14" ht="15.6" x14ac:dyDescent="0.25">
      <c r="B38" s="190"/>
      <c r="C38" s="190"/>
      <c r="D38" s="189">
        <f>'Saisie des données'!$G$8+1</f>
        <v>2027</v>
      </c>
      <c r="E38" s="188"/>
      <c r="F38" s="348">
        <f>F21*('Saisie des données'!G$42+'Saisie des données'!G$42*'Saisie des données'!G$50+'Saisie des données'!G$42*'Saisie des données'!G$51)+(F12/'Saisie des données'!G$54*'Saisie des données'!G$53)+(F12*'Saisie des données'!$G$55)</f>
        <v>877958.82378947362</v>
      </c>
      <c r="G38" s="196"/>
      <c r="H38" s="348">
        <f>H21*('Saisie des données'!K$42+'Saisie des données'!K$42*'Saisie des données'!K$50+'Saisie des données'!K$42*'Saisie des données'!K$51)+(H12/'Saisie des données'!K$54*'Saisie des données'!K$53)+(H12*'Saisie des données'!$K$55)</f>
        <v>1650458.7871578946</v>
      </c>
      <c r="I38" s="196"/>
      <c r="J38" s="348">
        <f>J21*('Saisie des données'!M$42+'Saisie des données'!M$42*'Saisie des données'!M$50+'Saisie des données'!M$42*'Saisie des données'!M$51)+(J12/'Saisie des données'!M$54*'Saisie des données'!M$53)+(J12*'Saisie des données'!$K$55)</f>
        <v>926074.90800000005</v>
      </c>
      <c r="K38" s="196"/>
      <c r="L38" s="348">
        <f>L21*('Saisie des données'!O$42+'Saisie des données'!O$42*'Saisie des données'!O$50+'Saisie des données'!O$42*'Saisie des données'!O$51)+(L12/'Saisie des données'!O$54*'Saisie des données'!O$53)+(L12*'Saisie des données'!$K$55)</f>
        <v>877958.82378947362</v>
      </c>
      <c r="M38" s="186"/>
      <c r="N38" s="186"/>
    </row>
    <row r="39" spans="2:14" ht="15.6" x14ac:dyDescent="0.25">
      <c r="B39" s="190"/>
      <c r="C39" s="190"/>
      <c r="D39" s="189">
        <f>'Saisie des données'!$G$8+2</f>
        <v>2028</v>
      </c>
      <c r="E39" s="188"/>
      <c r="F39" s="348">
        <f>F22*('Saisie des données'!G$42+'Saisie des données'!G$42*'Saisie des données'!G$50+'Saisie des données'!G$42*'Saisie des données'!G$51)+(F13/'Saisie des données'!G$54*'Saisie des données'!G$53)+(F13*'Saisie des données'!$G$55)</f>
        <v>895518.00026526325</v>
      </c>
      <c r="G39" s="196"/>
      <c r="H39" s="348">
        <f>H22*('Saisie des données'!K$42+'Saisie des données'!K$42*'Saisie des données'!K$50+'Saisie des données'!K$42*'Saisie des données'!K$51)+(H13/'Saisie des données'!K$54*'Saisie des données'!K$53)+(H13*'Saisie des données'!$K$55)</f>
        <v>1683467.9629010523</v>
      </c>
      <c r="I39" s="196"/>
      <c r="J39" s="348">
        <f>J22*('Saisie des données'!M$42+'Saisie des données'!M$42*'Saisie des données'!M$50+'Saisie des données'!M$42*'Saisie des données'!M$51)+(J13/'Saisie des données'!M$54*'Saisie des données'!M$53)+(J13*'Saisie des données'!$K$55)</f>
        <v>944596.40616000013</v>
      </c>
      <c r="K39" s="196"/>
      <c r="L39" s="348">
        <f>L22*('Saisie des données'!O$42+'Saisie des données'!O$42*'Saisie des données'!O$50+'Saisie des données'!O$42*'Saisie des données'!O$51)+(L13/'Saisie des données'!O$54*'Saisie des données'!O$53)+(L13*'Saisie des données'!$K$55)</f>
        <v>895518.00026526325</v>
      </c>
      <c r="M39" s="186"/>
      <c r="N39" s="186"/>
    </row>
    <row r="40" spans="2:14" ht="15.6" x14ac:dyDescent="0.25">
      <c r="B40" s="190"/>
      <c r="C40" s="190"/>
      <c r="D40" s="189">
        <f>'Saisie des données'!$G$8+3</f>
        <v>2029</v>
      </c>
      <c r="E40" s="188"/>
      <c r="F40" s="348">
        <f>F23*('Saisie des données'!G$42+'Saisie des données'!G$42*'Saisie des données'!G$50+'Saisie des données'!G$42*'Saisie des données'!G$51)+(F14/'Saisie des données'!G$54*'Saisie des données'!G$53)+(F14*'Saisie des données'!$G$55)</f>
        <v>913428.36027056817</v>
      </c>
      <c r="G40" s="196"/>
      <c r="H40" s="348">
        <f>H23*('Saisie des données'!K$42+'Saisie des données'!K$42*'Saisie des données'!K$50+'Saisie des données'!K$42*'Saisie des données'!K$51)+(H14/'Saisie des données'!K$54*'Saisie des données'!K$53)+(H14*'Saisie des données'!$K$55)</f>
        <v>1717137.3221590726</v>
      </c>
      <c r="I40" s="196"/>
      <c r="J40" s="348">
        <f>J23*('Saisie des données'!M$42+'Saisie des données'!M$42*'Saisie des données'!M$50+'Saisie des données'!M$42*'Saisie des données'!M$51)+(J14/'Saisie des données'!M$54*'Saisie des données'!M$53)+(J14*'Saisie des données'!$K$55)</f>
        <v>963488.33428319986</v>
      </c>
      <c r="K40" s="196"/>
      <c r="L40" s="348">
        <f>L23*('Saisie des données'!O$42+'Saisie des données'!O$42*'Saisie des données'!O$50+'Saisie des données'!O$42*'Saisie des données'!O$51)+(L14/'Saisie des données'!O$54*'Saisie des données'!O$53)+(L14*'Saisie des données'!$K$55)</f>
        <v>913428.36027056817</v>
      </c>
      <c r="M40" s="186"/>
      <c r="N40" s="186"/>
    </row>
    <row r="41" spans="2:14" ht="15.6" x14ac:dyDescent="0.25">
      <c r="B41" s="190"/>
      <c r="C41" s="190"/>
      <c r="D41" s="189">
        <f>'Saisie des données'!$G$8+4</f>
        <v>2030</v>
      </c>
      <c r="E41" s="188"/>
      <c r="F41" s="348">
        <f>F24*('Saisie des données'!G$42+'Saisie des données'!G$42*'Saisie des données'!G$50+'Saisie des données'!G$42*'Saisie des données'!G$51)+(F15/'Saisie des données'!G$54*'Saisie des données'!G$53)+(F15*'Saisie des données'!$G$55)</f>
        <v>931696.92747597967</v>
      </c>
      <c r="G41" s="196"/>
      <c r="H41" s="348">
        <f>H24*('Saisie des données'!K$42+'Saisie des données'!K$42*'Saisie des données'!K$50+'Saisie des données'!K$42*'Saisie des données'!K$51)+(H15/'Saisie des données'!K$54*'Saisie des données'!K$53)+(H15*'Saisie des données'!$K$55)</f>
        <v>1751480.0686022553</v>
      </c>
      <c r="I41" s="196"/>
      <c r="J41" s="348">
        <f>J24*('Saisie des données'!M$42+'Saisie des données'!M$42*'Saisie des données'!M$50+'Saisie des données'!M$42*'Saisie des données'!M$51)+(J15/'Saisie des données'!M$54*'Saisie des données'!M$53)+(J15*'Saisie des données'!$K$55)</f>
        <v>982758.10096886393</v>
      </c>
      <c r="K41" s="196"/>
      <c r="L41" s="348">
        <f>L24*('Saisie des données'!O$42+'Saisie des données'!O$42*'Saisie des données'!O$50+'Saisie des données'!O$42*'Saisie des données'!O$51)+(L15/'Saisie des données'!O$54*'Saisie des données'!O$53)+(L15*'Saisie des données'!$K$55)</f>
        <v>931696.92747597967</v>
      </c>
      <c r="M41" s="186"/>
      <c r="N41" s="186"/>
    </row>
    <row r="42" spans="2:14" ht="15.6" x14ac:dyDescent="0.25">
      <c r="B42" s="190"/>
      <c r="C42" s="190"/>
      <c r="D42" s="197"/>
      <c r="E42" s="188"/>
      <c r="F42" s="195"/>
      <c r="G42" s="196"/>
      <c r="H42" s="195"/>
      <c r="I42" s="196"/>
      <c r="J42" s="195"/>
      <c r="K42" s="196"/>
      <c r="L42" s="195"/>
      <c r="M42" s="186"/>
      <c r="N42" s="186"/>
    </row>
    <row r="43" spans="2:14" ht="42" customHeight="1" x14ac:dyDescent="0.25">
      <c r="B43" s="190"/>
      <c r="C43" s="190"/>
      <c r="D43" s="501" t="s">
        <v>120</v>
      </c>
      <c r="E43" s="501"/>
      <c r="F43" s="501"/>
      <c r="G43" s="501"/>
      <c r="H43" s="501"/>
      <c r="I43" s="501"/>
      <c r="J43" s="501"/>
      <c r="K43" s="501"/>
      <c r="L43" s="501"/>
      <c r="M43" s="186"/>
      <c r="N43" s="186"/>
    </row>
    <row r="44" spans="2:14" ht="15.6" x14ac:dyDescent="0.25">
      <c r="B44" s="190"/>
      <c r="C44" s="190"/>
      <c r="D44" s="194"/>
      <c r="E44" s="194"/>
      <c r="F44" s="194"/>
      <c r="G44" s="194"/>
      <c r="H44" s="194"/>
      <c r="I44" s="194"/>
      <c r="J44" s="194"/>
      <c r="K44" s="194"/>
      <c r="L44" s="194"/>
      <c r="M44" s="186"/>
      <c r="N44" s="186"/>
    </row>
    <row r="45" spans="2:14" ht="31.2" x14ac:dyDescent="0.25">
      <c r="B45" s="190"/>
      <c r="C45" s="190"/>
      <c r="D45" s="193" t="s">
        <v>116</v>
      </c>
      <c r="E45" s="192"/>
      <c r="F45" s="347">
        <f>SUM(F46:F50)</f>
        <v>7801039.3580570845</v>
      </c>
      <c r="G45" s="191"/>
      <c r="H45" s="347">
        <f>SUM(H46:H50)</f>
        <v>14515432.117555916</v>
      </c>
      <c r="I45" s="191"/>
      <c r="J45" s="347">
        <f>SUM(J46:J50)</f>
        <v>8152632.8904047059</v>
      </c>
      <c r="K45" s="191"/>
      <c r="L45" s="347">
        <f>SUM(L46:L50)</f>
        <v>7801039.3580570845</v>
      </c>
      <c r="M45" s="186"/>
      <c r="N45" s="186"/>
    </row>
    <row r="46" spans="2:14" ht="15.6" x14ac:dyDescent="0.25">
      <c r="B46" s="190"/>
      <c r="C46" s="190"/>
      <c r="D46" s="189">
        <f>'Saisie des données'!$G$8</f>
        <v>2026</v>
      </c>
      <c r="E46" s="188"/>
      <c r="F46" s="349">
        <f>F37+SUM((Data!B59+Data!B65)*'Saisie des données'!G$61,(Data!C59+Data!C65)*'Saisie des données'!G$62,(Data!D59+Data!D65)*'Saisie des données'!G$63)+'Saisie des données'!G59</f>
        <v>3506427.5212631575</v>
      </c>
      <c r="G46" s="187"/>
      <c r="H46" s="349">
        <f>H37+SUM((Data!E59+Data!E65)*'Saisie des données'!K$61,(Data!F59+Data!F65)*'Saisie des données'!K$62,(Data!G59+Data!G65)*'Saisie des données'!K$63)+'Saisie des données'!K59</f>
        <v>6439032.1512026312</v>
      </c>
      <c r="I46" s="187"/>
      <c r="J46" s="349">
        <f>J37+SUM((Data!H59+Data!H65)*'Saisie des données'!M$61,(Data!I59+Data!I65)*'Saisie des données'!M$62,(Data!J59+Data!J65)*'Saisie des données'!M$63)+'Saisie des données'!M59</f>
        <v>3659705.4159999997</v>
      </c>
      <c r="K46" s="187"/>
      <c r="L46" s="349">
        <f>L37+SUM((Data!K59+Data!K65)*'Saisie des données'!O$61,(Data!L59+Data!L65)*'Saisie des données'!O$62,(Data!M59+Data!M65)*'Saisie des données'!O$63)+'Saisie des données'!O59</f>
        <v>3506427.5212631575</v>
      </c>
      <c r="M46" s="186"/>
      <c r="N46" s="186"/>
    </row>
    <row r="47" spans="2:14" ht="15.6" x14ac:dyDescent="0.25">
      <c r="B47" s="190"/>
      <c r="C47" s="190"/>
      <c r="D47" s="189">
        <f>'Saisie des données'!$G$8+1</f>
        <v>2027</v>
      </c>
      <c r="E47" s="188"/>
      <c r="F47" s="349">
        <f>F38+SUM(Data!B60*'Saisie des données'!G$61,Data!C60*'Saisie des données'!G$62,Data!D60*'Saisie des données'!G$63)</f>
        <v>1041974.8401094736</v>
      </c>
      <c r="G47" s="187"/>
      <c r="H47" s="349">
        <f>H38+SUM(Data!E60*'Saisie des données'!K$61,Data!F60*'Saisie des données'!K$62,Data!G60*'Saisie des données'!K$63)</f>
        <v>1959526.4679108947</v>
      </c>
      <c r="I47" s="187"/>
      <c r="J47" s="349">
        <f>J38+SUM(Data!H60*'Saisie des données'!M$61,Data!I60*'Saisie des données'!M$62,Data!J60*'Saisie des données'!M$63)</f>
        <v>1090090.92432</v>
      </c>
      <c r="K47" s="187"/>
      <c r="L47" s="349">
        <f>L38+SUM(Data!K60*'Saisie des données'!O$61,Data!L60*'Saisie des données'!O$62,Data!M60*'Saisie des données'!O$63)</f>
        <v>1041974.8401094736</v>
      </c>
      <c r="M47" s="186"/>
      <c r="N47" s="186"/>
    </row>
    <row r="48" spans="2:14" ht="15.6" x14ac:dyDescent="0.25">
      <c r="B48" s="190"/>
      <c r="C48" s="190"/>
      <c r="D48" s="189">
        <f>'Saisie des données'!$G$8+2</f>
        <v>2028</v>
      </c>
      <c r="E48" s="188"/>
      <c r="F48" s="349">
        <f>F39+SUM(Data!B61*'Saisie des données'!G$61,Data!C61*'Saisie des données'!G$62,Data!D61*'Saisie des données'!G$63)</f>
        <v>1062814.3369116632</v>
      </c>
      <c r="G48" s="187"/>
      <c r="H48" s="349">
        <f>H39+SUM(Data!E61*'Saisie des données'!K$61,Data!F61*'Saisie des données'!K$62,Data!G61*'Saisie des données'!K$63)</f>
        <v>1998716.9972691122</v>
      </c>
      <c r="I48" s="187"/>
      <c r="J48" s="349">
        <f>J39+SUM(Data!H61*'Saisie des données'!M$61,Data!I61*'Saisie des données'!M$62,Data!J61*'Saisie des données'!M$63)</f>
        <v>1111892.7428064002</v>
      </c>
      <c r="K48" s="187"/>
      <c r="L48" s="349">
        <f>L39+SUM(Data!K61*'Saisie des données'!O$61,Data!L61*'Saisie des données'!O$62,Data!M61*'Saisie des données'!O$63)</f>
        <v>1062814.3369116632</v>
      </c>
      <c r="M48" s="186"/>
      <c r="N48" s="186"/>
    </row>
    <row r="49" spans="2:14" ht="15.6" x14ac:dyDescent="0.25">
      <c r="B49" s="190"/>
      <c r="C49" s="190"/>
      <c r="D49" s="189">
        <f>'Saisie des données'!$G$8+3</f>
        <v>2029</v>
      </c>
      <c r="E49" s="188"/>
      <c r="F49" s="349">
        <f>F40+SUM(Data!B62*'Saisie des données'!G$61,Data!C62*'Saisie des données'!G$62,Data!D62*'Saisie des données'!G$63)</f>
        <v>1084070.6236498961</v>
      </c>
      <c r="G49" s="187"/>
      <c r="H49" s="349">
        <f>H40+SUM(Data!E62*'Saisie des données'!K$61,Data!F62*'Saisie des données'!K$62,Data!G62*'Saisie des données'!K$63)</f>
        <v>2038691.3372144937</v>
      </c>
      <c r="I49" s="187"/>
      <c r="J49" s="349">
        <f>J40+SUM(Data!H62*'Saisie des données'!M$61,Data!I62*'Saisie des données'!M$62,Data!J62*'Saisie des données'!M$63)</f>
        <v>1134130.5976625278</v>
      </c>
      <c r="K49" s="187"/>
      <c r="L49" s="349">
        <f>L40+SUM(Data!K62*'Saisie des données'!O$61,Data!L62*'Saisie des données'!O$62,Data!M62*'Saisie des données'!O$63)</f>
        <v>1084070.6236498961</v>
      </c>
      <c r="M49" s="186"/>
      <c r="N49" s="186"/>
    </row>
    <row r="50" spans="2:14" ht="15.6" x14ac:dyDescent="0.25">
      <c r="B50" s="190"/>
      <c r="C50" s="190"/>
      <c r="D50" s="189">
        <f>'Saisie des données'!$G$8+4</f>
        <v>2030</v>
      </c>
      <c r="E50" s="188"/>
      <c r="F50" s="349">
        <f>F41+SUM(Data!B63*'Saisie des données'!G$61,Data!C63*'Saisie des données'!G$62,Data!D63*'Saisie des données'!G$63)</f>
        <v>1105752.0361228941</v>
      </c>
      <c r="G50" s="187"/>
      <c r="H50" s="349">
        <f>H41+SUM(Data!E63*'Saisie des données'!K$61,Data!F63*'Saisie des données'!K$62,Data!G63*'Saisie des données'!K$63)</f>
        <v>2079465.1639587849</v>
      </c>
      <c r="I50" s="187"/>
      <c r="J50" s="349">
        <f>J41+SUM(Data!H63*'Saisie des données'!M$61,Data!I63*'Saisie des données'!M$62,Data!J63*'Saisie des données'!M$63)</f>
        <v>1156813.2096157784</v>
      </c>
      <c r="K50" s="187"/>
      <c r="L50" s="349">
        <f>L41+SUM(Data!K63*'Saisie des données'!O$61,Data!L63*'Saisie des données'!O$62,Data!M63*'Saisie des données'!O$63)</f>
        <v>1105752.0361228941</v>
      </c>
      <c r="M50" s="186"/>
      <c r="N50" s="186"/>
    </row>
    <row r="51" spans="2:14" x14ac:dyDescent="0.25">
      <c r="B51" s="186"/>
      <c r="C51" s="186"/>
      <c r="D51" s="186"/>
      <c r="E51" s="186"/>
      <c r="F51" s="186"/>
      <c r="G51" s="186"/>
      <c r="H51" s="186"/>
      <c r="I51" s="186"/>
      <c r="J51" s="186"/>
      <c r="K51" s="186"/>
      <c r="L51" s="186"/>
      <c r="M51" s="186"/>
      <c r="N51" s="186"/>
    </row>
  </sheetData>
  <sheetProtection algorithmName="SHA-512" hashValue="oe1ieNjVLf8xXPdK9BmtKX3p9orl8Q97aYP/6OeRSmlAWC6YLhXfDVveRJOh6Y4nr8DmcTVT3ZGoeIrbe6GBcQ==" saltValue="Ly35zeC6JUTlutP6ZZ2icw==" spinCount="100000" sheet="1" formatCells="0" formatColumns="0" formatRows="0" insertColumns="0" insertRows="0" insertHyperlinks="0" deleteColumns="0" deleteRows="0" sort="0" autoFilter="0" pivotTables="0"/>
  <mergeCells count="9">
    <mergeCell ref="D34:L34"/>
    <mergeCell ref="D43:L43"/>
    <mergeCell ref="B1:M1"/>
    <mergeCell ref="D3:L3"/>
    <mergeCell ref="D8:L8"/>
    <mergeCell ref="D17:L17"/>
    <mergeCell ref="D26:L26"/>
    <mergeCell ref="D4:L4"/>
    <mergeCell ref="A2:N2"/>
  </mergeCells>
  <conditionalFormatting sqref="F36 H36 J36 L36">
    <cfRule type="colorScale" priority="2">
      <colorScale>
        <cfvo type="min"/>
        <cfvo type="percentile" val="50"/>
        <cfvo type="max"/>
        <color theme="6"/>
        <color rgb="FFDFE382"/>
        <color theme="3"/>
      </colorScale>
    </cfRule>
  </conditionalFormatting>
  <conditionalFormatting sqref="F45 H45 J45 L45">
    <cfRule type="colorScale" priority="1">
      <colorScale>
        <cfvo type="min"/>
        <cfvo type="percentile" val="50"/>
        <cfvo type="max"/>
        <color theme="6"/>
        <color rgb="FFDFE382"/>
        <color theme="3"/>
      </colorScale>
    </cfRule>
  </conditionalFormatting>
  <conditionalFormatting sqref="F45:K45">
    <cfRule type="colorScale" priority="5">
      <colorScale>
        <cfvo type="min"/>
        <cfvo type="max"/>
        <color theme="6"/>
        <color rgb="FFDFE382"/>
      </colorScale>
    </cfRule>
    <cfRule type="colorScale" priority="6">
      <colorScale>
        <cfvo type="min"/>
        <cfvo type="max"/>
        <color rgb="FFDFE382"/>
        <color rgb="FFFFC000"/>
      </colorScale>
    </cfRule>
    <cfRule type="colorScale" priority="7">
      <colorScale>
        <cfvo type="min"/>
        <cfvo type="percentile" val="50"/>
        <cfvo type="max"/>
        <color theme="6"/>
        <color theme="3"/>
        <color theme="3"/>
      </colorScale>
    </cfRule>
  </conditionalFormatting>
  <conditionalFormatting sqref="F45:L45">
    <cfRule type="colorScale" priority="8">
      <colorScale>
        <cfvo type="min"/>
        <cfvo type="max"/>
        <color theme="6"/>
        <color rgb="FFDFE382"/>
      </colorScale>
    </cfRule>
  </conditionalFormatting>
  <conditionalFormatting sqref="H36 F36 J36">
    <cfRule type="colorScale" priority="3">
      <colorScale>
        <cfvo type="min"/>
        <cfvo type="percentile" val="50"/>
        <cfvo type="max"/>
        <color theme="6"/>
        <color rgb="FFDFE382"/>
        <color theme="3"/>
      </colorScale>
    </cfRule>
  </conditionalFormatting>
  <conditionalFormatting sqref="J36 L36 H36 F36">
    <cfRule type="colorScale" priority="4">
      <colorScale>
        <cfvo type="min"/>
        <cfvo type="max"/>
        <color theme="6"/>
        <color rgb="FFDFE382"/>
      </colorScale>
    </cfRule>
  </conditionalFormatting>
  <conditionalFormatting sqref="L45">
    <cfRule type="colorScale" priority="9">
      <colorScale>
        <cfvo type="min"/>
        <cfvo type="max"/>
        <color theme="6"/>
        <color rgb="FFDFE382"/>
      </colorScale>
    </cfRule>
    <cfRule type="colorScale" priority="10">
      <colorScale>
        <cfvo type="min"/>
        <cfvo type="max"/>
        <color rgb="FFDFE382"/>
        <color rgb="FFFFC000"/>
      </colorScale>
    </cfRule>
    <cfRule type="colorScale" priority="11">
      <colorScale>
        <cfvo type="min"/>
        <cfvo type="percentile" val="50"/>
        <cfvo type="max"/>
        <color theme="6"/>
        <color theme="3"/>
        <color theme="3"/>
      </colorScale>
    </cfRule>
  </conditionalFormatting>
  <printOptions horizontalCentered="1" verticalCentered="1"/>
  <pageMargins left="0.25" right="0.25" top="0.75" bottom="0.75" header="0.3" footer="0.3"/>
  <pageSetup paperSize="9" scale="6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M65"/>
  <sheetViews>
    <sheetView workbookViewId="0">
      <selection activeCell="F5" sqref="F5"/>
    </sheetView>
  </sheetViews>
  <sheetFormatPr defaultColWidth="8.77734375" defaultRowHeight="14.4" x14ac:dyDescent="0.3"/>
  <cols>
    <col min="1" max="1" width="52" customWidth="1"/>
    <col min="2" max="27" width="20.44140625" customWidth="1"/>
  </cols>
  <sheetData>
    <row r="1" spans="1:6" ht="16.2" x14ac:dyDescent="0.3">
      <c r="A1" s="3" t="s">
        <v>121</v>
      </c>
      <c r="B1" s="3" t="s">
        <v>122</v>
      </c>
      <c r="C1" s="3" t="s">
        <v>123</v>
      </c>
      <c r="D1" s="3" t="s">
        <v>124</v>
      </c>
      <c r="E1" s="3" t="s">
        <v>125</v>
      </c>
    </row>
    <row r="2" spans="1:6" x14ac:dyDescent="0.3">
      <c r="A2" s="3"/>
      <c r="B2" s="3"/>
      <c r="C2" s="3"/>
      <c r="D2" s="3"/>
    </row>
    <row r="3" spans="1:6" ht="28.8" x14ac:dyDescent="0.3">
      <c r="A3" s="7" t="s">
        <v>69</v>
      </c>
      <c r="B3" s="4">
        <v>2</v>
      </c>
      <c r="C3" s="2">
        <v>0.05</v>
      </c>
      <c r="D3" s="1">
        <v>14.6</v>
      </c>
      <c r="E3" t="s">
        <v>138</v>
      </c>
    </row>
    <row r="4" spans="1:6" ht="28.8" x14ac:dyDescent="0.3">
      <c r="A4" s="7" t="s">
        <v>70</v>
      </c>
      <c r="B4" s="4">
        <v>2</v>
      </c>
      <c r="C4" s="2">
        <v>0.05</v>
      </c>
      <c r="D4" s="1">
        <v>11.8</v>
      </c>
      <c r="E4" s="295">
        <v>3.5</v>
      </c>
    </row>
    <row r="5" spans="1:6" ht="28.8" x14ac:dyDescent="0.3">
      <c r="A5" s="7" t="s">
        <v>126</v>
      </c>
      <c r="B5" s="4">
        <v>2</v>
      </c>
      <c r="C5" s="2">
        <v>0.1</v>
      </c>
      <c r="D5" s="1">
        <v>4.8</v>
      </c>
      <c r="E5" t="s">
        <v>139</v>
      </c>
    </row>
    <row r="6" spans="1:6" ht="28.8" x14ac:dyDescent="0.3">
      <c r="A6" s="7" t="s">
        <v>71</v>
      </c>
      <c r="B6" s="4">
        <v>2</v>
      </c>
      <c r="C6" s="2">
        <v>0.05</v>
      </c>
      <c r="D6" s="1">
        <v>15</v>
      </c>
      <c r="E6" t="s">
        <v>140</v>
      </c>
    </row>
    <row r="7" spans="1:6" ht="28.8" x14ac:dyDescent="0.3">
      <c r="A7" s="7" t="s">
        <v>127</v>
      </c>
      <c r="B7" s="4" t="s">
        <v>128</v>
      </c>
      <c r="C7" s="2">
        <v>0.05</v>
      </c>
      <c r="D7" s="1">
        <v>15</v>
      </c>
      <c r="E7" t="s">
        <v>141</v>
      </c>
    </row>
    <row r="8" spans="1:6" x14ac:dyDescent="0.3">
      <c r="A8" s="249"/>
      <c r="B8" s="4"/>
      <c r="C8" s="2"/>
      <c r="D8" s="1"/>
      <c r="E8" s="8"/>
      <c r="F8" s="247"/>
    </row>
    <row r="9" spans="1:6" x14ac:dyDescent="0.3">
      <c r="A9" s="249"/>
      <c r="B9" s="4"/>
      <c r="C9" s="2"/>
      <c r="D9" s="1"/>
      <c r="E9" s="8"/>
      <c r="F9" s="247"/>
    </row>
    <row r="10" spans="1:6" x14ac:dyDescent="0.3">
      <c r="A10" s="246"/>
      <c r="B10" s="247"/>
    </row>
    <row r="12" spans="1:6" x14ac:dyDescent="0.3">
      <c r="A12" s="7"/>
    </row>
    <row r="14" spans="1:6" x14ac:dyDescent="0.3">
      <c r="D14" s="7"/>
    </row>
    <row r="15" spans="1:6" x14ac:dyDescent="0.3">
      <c r="A15" s="6"/>
      <c r="B15" s="218">
        <v>0</v>
      </c>
      <c r="D15" s="228"/>
      <c r="E15" s="229"/>
      <c r="F15" s="228"/>
    </row>
    <row r="16" spans="1:6" x14ac:dyDescent="0.3">
      <c r="B16" s="218">
        <v>0.05</v>
      </c>
      <c r="D16" s="228"/>
      <c r="E16" s="229"/>
      <c r="F16" s="228"/>
    </row>
    <row r="17" spans="2:9" x14ac:dyDescent="0.3">
      <c r="B17" s="218">
        <v>0.1</v>
      </c>
      <c r="D17" s="228"/>
      <c r="E17" s="229"/>
      <c r="F17" s="228"/>
    </row>
    <row r="18" spans="2:9" x14ac:dyDescent="0.3">
      <c r="B18" s="218">
        <v>0.15</v>
      </c>
      <c r="D18" s="228"/>
      <c r="E18" s="229"/>
      <c r="F18" s="228"/>
    </row>
    <row r="19" spans="2:9" x14ac:dyDescent="0.3">
      <c r="B19" s="218">
        <v>0.2</v>
      </c>
      <c r="D19" s="228"/>
      <c r="E19" s="229"/>
      <c r="F19" s="228"/>
    </row>
    <row r="20" spans="2:9" x14ac:dyDescent="0.3">
      <c r="B20" s="218">
        <v>0.25</v>
      </c>
      <c r="D20" s="228"/>
      <c r="E20" s="229"/>
      <c r="F20" s="228"/>
    </row>
    <row r="21" spans="2:9" x14ac:dyDescent="0.3">
      <c r="B21" s="218">
        <v>0.3</v>
      </c>
      <c r="D21" s="228"/>
      <c r="E21" s="229"/>
      <c r="F21" s="228"/>
    </row>
    <row r="22" spans="2:9" x14ac:dyDescent="0.3">
      <c r="B22" s="218">
        <v>0.35</v>
      </c>
      <c r="D22" s="228"/>
      <c r="E22" s="229"/>
      <c r="F22" s="228"/>
    </row>
    <row r="23" spans="2:9" x14ac:dyDescent="0.3">
      <c r="B23" s="218">
        <v>0.4</v>
      </c>
      <c r="D23" s="228"/>
      <c r="E23" s="229"/>
      <c r="F23" s="228"/>
      <c r="I23" s="218"/>
    </row>
    <row r="24" spans="2:9" x14ac:dyDescent="0.3">
      <c r="B24" s="218">
        <v>0.45</v>
      </c>
      <c r="D24" s="228"/>
      <c r="E24" s="229"/>
      <c r="F24" s="228"/>
      <c r="G24" s="231"/>
      <c r="H24" s="232"/>
      <c r="I24" s="218"/>
    </row>
    <row r="25" spans="2:9" x14ac:dyDescent="0.3">
      <c r="B25" s="218">
        <v>0.5</v>
      </c>
      <c r="D25" s="228"/>
      <c r="E25" s="229"/>
      <c r="F25" s="228"/>
      <c r="H25" s="233"/>
      <c r="I25" s="218"/>
    </row>
    <row r="26" spans="2:9" x14ac:dyDescent="0.3">
      <c r="B26" s="218">
        <v>0.55000000000000004</v>
      </c>
      <c r="D26" s="228"/>
      <c r="E26" s="229"/>
      <c r="F26" s="228"/>
      <c r="G26" s="231"/>
      <c r="H26" s="233"/>
      <c r="I26" s="218"/>
    </row>
    <row r="27" spans="2:9" x14ac:dyDescent="0.3">
      <c r="B27" s="218">
        <v>0.6</v>
      </c>
      <c r="D27" s="228"/>
      <c r="E27" s="229"/>
      <c r="F27" s="228"/>
      <c r="H27" s="233"/>
      <c r="I27" s="218"/>
    </row>
    <row r="28" spans="2:9" x14ac:dyDescent="0.3">
      <c r="B28" s="218">
        <v>0.65</v>
      </c>
      <c r="D28" s="228"/>
      <c r="E28" s="229"/>
      <c r="F28" s="228"/>
      <c r="G28" s="231"/>
      <c r="H28" s="233"/>
      <c r="I28" s="218"/>
    </row>
    <row r="29" spans="2:9" x14ac:dyDescent="0.3">
      <c r="B29" s="218">
        <v>0.7</v>
      </c>
      <c r="D29" s="228"/>
      <c r="E29" s="228"/>
      <c r="F29" s="228"/>
      <c r="H29" s="233"/>
      <c r="I29" s="218"/>
    </row>
    <row r="30" spans="2:9" x14ac:dyDescent="0.3">
      <c r="B30" s="218">
        <v>0.75</v>
      </c>
      <c r="D30" s="228"/>
      <c r="E30" s="228"/>
      <c r="F30" s="228"/>
      <c r="G30" s="231"/>
      <c r="H30" s="233"/>
      <c r="I30" s="218"/>
    </row>
    <row r="31" spans="2:9" x14ac:dyDescent="0.3">
      <c r="B31" s="218">
        <v>0.8</v>
      </c>
      <c r="D31" s="228"/>
      <c r="E31" s="228"/>
      <c r="F31" s="228"/>
      <c r="I31" s="218"/>
    </row>
    <row r="32" spans="2:9" x14ac:dyDescent="0.3">
      <c r="B32" s="218">
        <v>0.85</v>
      </c>
      <c r="D32" s="228"/>
      <c r="E32" s="228"/>
      <c r="F32" s="228"/>
    </row>
    <row r="33" spans="1:6" x14ac:dyDescent="0.3">
      <c r="B33" s="218">
        <v>0.9</v>
      </c>
      <c r="D33" s="228"/>
      <c r="E33" s="228"/>
      <c r="F33" s="228"/>
    </row>
    <row r="34" spans="1:6" x14ac:dyDescent="0.3">
      <c r="B34" s="218">
        <v>0.95</v>
      </c>
      <c r="D34" s="228"/>
      <c r="E34" s="228"/>
      <c r="F34" s="228"/>
    </row>
    <row r="35" spans="1:6" x14ac:dyDescent="0.3">
      <c r="B35" s="218">
        <v>1</v>
      </c>
      <c r="D35" s="228"/>
      <c r="E35" s="228"/>
    </row>
    <row r="36" spans="1:6" x14ac:dyDescent="0.3">
      <c r="D36" s="228"/>
    </row>
    <row r="37" spans="1:6" x14ac:dyDescent="0.3">
      <c r="D37" s="228"/>
    </row>
    <row r="38" spans="1:6" x14ac:dyDescent="0.3">
      <c r="D38" s="228"/>
    </row>
    <row r="40" spans="1:6" x14ac:dyDescent="0.3">
      <c r="A40" s="237" t="s">
        <v>129</v>
      </c>
      <c r="B40" s="238" t="str">
        <f>'Saisie des données'!G40</f>
        <v>CECOLIN 
Bivalent, 1 dose/flacon, liquide</v>
      </c>
      <c r="C40" s="238" t="str">
        <f>'Saisie des données'!K40</f>
        <v>WALRINVAX 
Bivalent, 1 dose/flacon, liquide</v>
      </c>
      <c r="D40" s="238" t="str">
        <f>'Saisie des données'!M40</f>
        <v>GARDASIL4
Quadrivalent, 1 dose/flacon, liquide</v>
      </c>
      <c r="E40" s="239" t="str">
        <f>'Saisie des données'!O40</f>
        <v>Option entièrement personnalisable - insérer le nom ici</v>
      </c>
    </row>
    <row r="41" spans="1:6" x14ac:dyDescent="0.3">
      <c r="A41" s="240">
        <f>'Saisie des données'!$G$8</f>
        <v>2026</v>
      </c>
      <c r="B41" s="230">
        <f>IF('Saisie des données'!G$44=2,(('Saisie des données'!$G$10*(1+'Saisie des données'!$G$13)^($A41-'Saisie des données'!$G$8))*(SUM('Saisie des données'!$G$16*'Saisie des données'!$G$17,'Saisie des données'!$G$19*'Saisie des données'!$G$20,'Saisie des données'!$G$22*'Saisie des données'!$G$23))+('Saisie des données'!$G$10*(1+'Saisie des données'!$G$13)^($A41-'Saisie des données'!$G$8))*(SUM('Saisie des données'!$G$16*'Saisie des données'!$G$18,'Saisie des données'!$G$19*'Saisie des données'!$G$21,'Saisie des données'!$G$22*'Saisie des données'!$G$24)))+(('Saisie des données'!$G$11*(1+'Saisie des données'!$G$13)^($A41-'Saisie des données'!$G$8))*(SUM('Saisie des données'!$H$16*'Saisie des données'!$H$17,'Saisie des données'!$H$19*'Saisie des données'!$H$20,'Saisie des données'!$H$22*'Saisie des données'!$H$23))+('Saisie des données'!$G$11*(1+'Saisie des données'!$G$13)^($A41-'Saisie des données'!$G$8))*(SUM('Saisie des données'!$H$16*'Saisie des données'!$H$18,'Saisie des données'!$H$19*'Saisie des données'!$H$21,'Saisie des données'!$H$22*'Saisie des données'!$H$24)))+(('Saisie des données'!$G$12*(1+'Saisie des données'!$G$13)^($A41-'Saisie des données'!$G$8))*(SUM('Saisie des données'!$I$16*'Saisie des données'!$I$17,'Saisie des données'!$I$19*'Saisie des données'!$I$20,'Saisie des données'!$I$22*'Saisie des données'!$I$23))+('Saisie des données'!$G$12*(1+'Saisie des données'!$G$13)^($A41-'Saisie des données'!$G$8))*(SUM('Saisie des données'!$I$16*'Saisie des données'!$I$18,'Saisie des données'!$I$19*'Saisie des données'!$I$21,'Saisie des données'!$I$22*'Saisie des données'!$I$24))),('Saisie des données'!$G$10*(1+'Saisie des données'!$G$13)^($A41-'Saisie des données'!$G$8))*(SUM('Saisie des données'!$G$16*'Saisie des données'!$G$17,'Saisie des données'!$G$19*'Saisie des données'!$G$20,'Saisie des données'!$G$22*'Saisie des données'!$G$23))+('Saisie des données'!$G$11*(1+'Saisie des données'!$G$13)^($A41-'Saisie des données'!$G$8))*(SUM('Saisie des données'!$H$16*'Saisie des données'!$H$17,'Saisie des données'!$H$19*'Saisie des données'!$H$20,'Saisie des données'!$H$22*'Saisie des données'!$H$23))+('Saisie des données'!$G$12*(1+'Saisie des données'!$G$13)^($A41-'Saisie des données'!$G$8))*(SUM('Saisie des données'!$I$16*'Saisie des données'!$I$17,'Saisie des données'!$I$19*'Saisie des données'!$I$20,'Saisie des données'!$I$22*'Saisie des données'!$I$23)))</f>
        <v>160050</v>
      </c>
      <c r="C41" s="230">
        <f>IF('Saisie des données'!K$44=2,(('Saisie des données'!$G$10*(1+'Saisie des données'!$G$13)^($A41-'Saisie des données'!$G$8))*(SUM('Saisie des données'!$G$16*'Saisie des données'!$G$17,'Saisie des données'!$G$19*'Saisie des données'!$G$20,'Saisie des données'!$G$22*'Saisie des données'!$G$23))+('Saisie des données'!$G$10*(1+'Saisie des données'!$G$13)^($A41-'Saisie des données'!$G$8))*(SUM('Saisie des données'!$G$16*'Saisie des données'!$G$18,'Saisie des données'!$G$19*'Saisie des données'!$G$21,'Saisie des données'!$G$22*'Saisie des données'!$G$24)))+(('Saisie des données'!$G$11*(1+'Saisie des données'!$G$13)^($A41-'Saisie des données'!$G$8))*(SUM('Saisie des données'!$H$16*'Saisie des données'!$H$17,'Saisie des données'!$H$19*'Saisie des données'!$H$20,'Saisie des données'!$H$22*'Saisie des données'!$H$23))+('Saisie des données'!$G$11*(1+'Saisie des données'!$G$13)^($A41-'Saisie des données'!$G$8))*(SUM('Saisie des données'!$H$16*'Saisie des données'!$H$18,'Saisie des données'!$H$19*'Saisie des données'!$H$21,'Saisie des données'!$H$22*'Saisie des données'!$H$24)))+(('Saisie des données'!$G$12*(1+'Saisie des données'!$G$13)^($A41-'Saisie des données'!$G$8))*(SUM('Saisie des données'!$I$16*'Saisie des données'!$I$17,'Saisie des données'!$I$19*'Saisie des données'!$I$20,'Saisie des données'!$I$22*'Saisie des données'!$I$23))+('Saisie des données'!$G$12*(1+'Saisie des données'!$G$13)^($A41-'Saisie des données'!$G$8))*(SUM('Saisie des données'!$I$16*'Saisie des données'!$I$18,'Saisie des données'!$I$19*'Saisie des données'!$I$21,'Saisie des données'!$I$22*'Saisie des données'!$I$24))),('Saisie des données'!$G$10*(1+'Saisie des données'!$G$13)^($A41-'Saisie des données'!$G$8))*(SUM('Saisie des données'!$G$16*'Saisie des données'!$G$17,'Saisie des données'!$G$19*'Saisie des données'!$G$20,'Saisie des données'!$G$22*'Saisie des données'!$G$23))+('Saisie des données'!$G$11*(1+'Saisie des données'!$G$13)^($A41-'Saisie des données'!$G$8))*(SUM('Saisie des données'!$H$16*'Saisie des données'!$H$17,'Saisie des données'!$H$19*'Saisie des données'!$H$20,'Saisie des données'!$H$22*'Saisie des données'!$H$23))+('Saisie des données'!$G$12*(1+'Saisie des données'!$G$13)^($A41-'Saisie des données'!$G$8))*(SUM('Saisie des données'!$I$16*'Saisie des données'!$I$17,'Saisie des données'!$I$19*'Saisie des données'!$I$20,'Saisie des données'!$I$22*'Saisie des données'!$I$23)))</f>
        <v>301525</v>
      </c>
      <c r="D41" s="230">
        <f>IF('Saisie des données'!M$44=2,(('Saisie des données'!$G$10*(1+'Saisie des données'!$G$13)^($A41-'Saisie des données'!$G$8))*(SUM('Saisie des données'!$G$16*'Saisie des données'!$G$17,'Saisie des données'!$G$19*'Saisie des données'!$G$20,'Saisie des données'!$G$22*'Saisie des données'!$G$23))+('Saisie des données'!$G$10*(1+'Saisie des données'!$G$13)^($A41-'Saisie des données'!$G$8))*(SUM('Saisie des données'!$G$16*'Saisie des données'!$G$18,'Saisie des données'!$G$19*'Saisie des données'!$G$21,'Saisie des données'!$G$22*'Saisie des données'!$G$24)))+(('Saisie des données'!$G$11*(1+'Saisie des données'!$G$13)^($A41-'Saisie des données'!$G$8))*(SUM('Saisie des données'!$H$16*'Saisie des données'!$H$17,'Saisie des données'!$H$19*'Saisie des données'!$H$20,'Saisie des données'!$H$22*'Saisie des données'!$H$23))+('Saisie des données'!$G$11*(1+'Saisie des données'!$G$13)^($A41-'Saisie des données'!$G$8))*(SUM('Saisie des données'!$H$16*'Saisie des données'!$H$18,'Saisie des données'!$H$19*'Saisie des données'!$H$21,'Saisie des données'!$H$22*'Saisie des données'!$H$24)))+(('Saisie des données'!$G$12*(1+'Saisie des données'!$G$13)^($A41-'Saisie des données'!$G$8))*(SUM('Saisie des données'!$I$16*'Saisie des données'!$I$17,'Saisie des données'!$I$19*'Saisie des données'!$I$20,'Saisie des données'!$I$22*'Saisie des données'!$I$23))+('Saisie des données'!$G$12*(1+'Saisie des données'!$G$13)^($A41-'Saisie des données'!$G$8))*(SUM('Saisie des données'!$I$16*'Saisie des données'!$I$18,'Saisie des données'!$I$19*'Saisie des données'!$I$21,'Saisie des données'!$I$22*'Saisie des données'!$I$24))),('Saisie des données'!$G$10*(1+'Saisie des données'!$G$13)^($A41-'Saisie des données'!$G$8))*(SUM('Saisie des données'!$G$16*'Saisie des données'!$G$17,'Saisie des données'!$G$19*'Saisie des données'!$G$20,'Saisie des données'!$G$22*'Saisie des données'!$G$23))+('Saisie des données'!$G$11*(1+'Saisie des données'!$G$13)^($A41-'Saisie des données'!$G$8))*(SUM('Saisie des données'!$H$16*'Saisie des données'!$H$17,'Saisie des données'!$H$19*'Saisie des données'!$H$20,'Saisie des données'!$H$22*'Saisie des données'!$H$23))+('Saisie des données'!$G$12*(1+'Saisie des données'!$G$13)^($A41-'Saisie des données'!$G$8))*(SUM('Saisie des données'!$I$16*'Saisie des données'!$I$17,'Saisie des données'!$I$19*'Saisie des données'!$I$20,'Saisie des données'!$I$22*'Saisie des données'!$I$23)))</f>
        <v>160050</v>
      </c>
      <c r="E41" s="230">
        <f>IF('Saisie des données'!O$44=2,(('Saisie des données'!$G$10*(1+'Saisie des données'!$G$13)^($A41-'Saisie des données'!$G$8))*(SUM('Saisie des données'!$G$16*'Saisie des données'!$G$17,'Saisie des données'!$G$19*'Saisie des données'!$G$20,'Saisie des données'!$G$22*'Saisie des données'!$G$23))+('Saisie des données'!$G$10*(1+'Saisie des données'!$G$13)^($A41-'Saisie des données'!$G$8))*(SUM('Saisie des données'!$G$16*'Saisie des données'!$G$18,'Saisie des données'!$G$19*'Saisie des données'!$G$21,'Saisie des données'!$G$22*'Saisie des données'!$G$24)))+(('Saisie des données'!$G$11*(1+'Saisie des données'!$G$13)^($A41-'Saisie des données'!$G$8))*(SUM('Saisie des données'!$H$16*'Saisie des données'!$H$17,'Saisie des données'!$H$19*'Saisie des données'!$H$20,'Saisie des données'!$H$22*'Saisie des données'!$H$23))+('Saisie des données'!$G$11*(1+'Saisie des données'!$G$13)^($A41-'Saisie des données'!$G$8))*(SUM('Saisie des données'!$H$16*'Saisie des données'!$H$18,'Saisie des données'!$H$19*'Saisie des données'!$H$21,'Saisie des données'!$H$22*'Saisie des données'!$H$24)))+(('Saisie des données'!$G$12*(1+'Saisie des données'!$G$13)^($A41-'Saisie des données'!$G$8))*(SUM('Saisie des données'!$I$16*'Saisie des données'!$I$17,'Saisie des données'!$I$19*'Saisie des données'!$I$20,'Saisie des données'!$I$22*'Saisie des données'!$I$23))+('Saisie des données'!$G$12*(1+'Saisie des données'!$G$13)^($A41-'Saisie des données'!$G$8))*(SUM('Saisie des données'!$I$16*'Saisie des données'!$I$18,'Saisie des données'!$I$19*'Saisie des données'!$I$21,'Saisie des données'!$I$22*'Saisie des données'!$I$24))),('Saisie des données'!$G$10*(1+'Saisie des données'!$G$13)^($A41-'Saisie des données'!$G$8))*(SUM('Saisie des données'!$G$16*'Saisie des données'!$G$17,'Saisie des données'!$G$19*'Saisie des données'!$G$20,'Saisie des données'!$G$22*'Saisie des données'!$G$23))+('Saisie des données'!$G$11*(1+'Saisie des données'!$G$13)^($A41-'Saisie des données'!$G$8))*(SUM('Saisie des données'!$H$16*'Saisie des données'!$H$17,'Saisie des données'!$H$19*'Saisie des données'!$H$20,'Saisie des données'!$H$22*'Saisie des données'!$H$23))+('Saisie des données'!$G$12*(1+'Saisie des données'!$G$13)^($A41-'Saisie des données'!$G$8))*(SUM('Saisie des données'!$I$16*'Saisie des données'!$I$17,'Saisie des données'!$I$19*'Saisie des données'!$I$20,'Saisie des données'!$I$22*'Saisie des données'!$I$23)))</f>
        <v>160050</v>
      </c>
    </row>
    <row r="42" spans="1:6" x14ac:dyDescent="0.3">
      <c r="A42" s="240">
        <f>'Saisie des données'!$G$8+1</f>
        <v>2027</v>
      </c>
      <c r="B42" s="230">
        <f>IF('Saisie des données'!G$44=2,(('Saisie des données'!$G$10*(1+'Saisie des données'!$G$13)^($A42-'Saisie des données'!$G$8))*(SUM('Saisie des données'!$G$16*'Saisie des données'!$G$17,'Saisie des données'!$G$19*'Saisie des données'!$G$20,'Saisie des données'!$G$22*'Saisie des données'!$G$23))+('Saisie des données'!$G$10*(1+'Saisie des données'!$G$13)^($A42-'Saisie des données'!$G$8))*(SUM('Saisie des données'!$G$16*'Saisie des données'!$G$18,'Saisie des données'!$G$19*'Saisie des données'!$G$21,'Saisie des données'!$G$22*'Saisie des données'!$G$24)))+(('Saisie des données'!$G$11*(1+'Saisie des données'!$G$13)^($A42-'Saisie des données'!$G$8))*(SUM('Saisie des données'!$H$16*'Saisie des données'!$H$17,'Saisie des données'!$H$19*'Saisie des données'!$H$20,'Saisie des données'!$H$22*'Saisie des données'!$H$23))+('Saisie des données'!$G$11*(1+'Saisie des données'!$G$13)^($A42-'Saisie des données'!$G$8))*(SUM('Saisie des données'!$H$16*'Saisie des données'!$H$18,'Saisie des données'!$H$19*'Saisie des données'!$H$21,'Saisie des données'!$H$22*'Saisie des données'!$H$24)))+(('Saisie des données'!$G$12*(1+'Saisie des données'!$G$13)^($A42-'Saisie des données'!$G$8))*(SUM('Saisie des données'!$I$16*'Saisie des données'!$I$17,'Saisie des données'!$I$19*'Saisie des données'!$I$20,'Saisie des données'!$I$22*'Saisie des données'!$I$23))+('Saisie des données'!$G$12*(1+'Saisie des données'!$G$13)^($A42-'Saisie des données'!$G$8))*(SUM('Saisie des données'!$I$16*'Saisie des données'!$I$18,'Saisie des données'!$I$19*'Saisie des données'!$I$21,'Saisie des données'!$I$22*'Saisie des données'!$I$24))),('Saisie des données'!$G$10*(1+'Saisie des données'!$G$13)^($A42-'Saisie des données'!$G$8))*(SUM('Saisie des données'!$G$16*'Saisie des données'!$G$17,'Saisie des données'!$G$19*'Saisie des données'!$G$20,'Saisie des données'!$G$22*'Saisie des données'!$G$23))+('Saisie des données'!$G$11*(1+'Saisie des données'!$G$13)^($A42-'Saisie des données'!$G$8))*(SUM('Saisie des données'!$H$16*'Saisie des données'!$H$17,'Saisie des données'!$H$19*'Saisie des données'!$H$20,'Saisie des données'!$H$22*'Saisie des données'!$H$23))+('Saisie des données'!$G$12*(1+'Saisie des données'!$G$13)^($A42-'Saisie des données'!$G$8))*(SUM('Saisie des données'!$I$16*'Saisie des données'!$I$17,'Saisie des données'!$I$19*'Saisie des données'!$I$20,'Saisie des données'!$I$22*'Saisie des données'!$I$23)))</f>
        <v>163251</v>
      </c>
      <c r="C42" s="230">
        <f>IF('Saisie des données'!K$44=2,(('Saisie des données'!$G$10*(1+'Saisie des données'!$G$13)^($A42-'Saisie des données'!$G$8))*(SUM('Saisie des données'!$G$16*'Saisie des données'!$G$17,'Saisie des données'!$G$19*'Saisie des données'!$G$20,'Saisie des données'!$G$22*'Saisie des données'!$G$23))+('Saisie des données'!$G$10*(1+'Saisie des données'!$G$13)^($A42-'Saisie des données'!$G$8))*(SUM('Saisie des données'!$G$16*'Saisie des données'!$G$18,'Saisie des données'!$G$19*'Saisie des données'!$G$21,'Saisie des données'!$G$22*'Saisie des données'!$G$24)))+(('Saisie des données'!$G$11*(1+'Saisie des données'!$G$13)^($A42-'Saisie des données'!$G$8))*(SUM('Saisie des données'!$H$16*'Saisie des données'!$H$17,'Saisie des données'!$H$19*'Saisie des données'!$H$20,'Saisie des données'!$H$22*'Saisie des données'!$H$23))+('Saisie des données'!$G$11*(1+'Saisie des données'!$G$13)^($A42-'Saisie des données'!$G$8))*(SUM('Saisie des données'!$H$16*'Saisie des données'!$H$18,'Saisie des données'!$H$19*'Saisie des données'!$H$21,'Saisie des données'!$H$22*'Saisie des données'!$H$24)))+(('Saisie des données'!$G$12*(1+'Saisie des données'!$G$13)^($A42-'Saisie des données'!$G$8))*(SUM('Saisie des données'!$I$16*'Saisie des données'!$I$17,'Saisie des données'!$I$19*'Saisie des données'!$I$20,'Saisie des données'!$I$22*'Saisie des données'!$I$23))+('Saisie des données'!$G$12*(1+'Saisie des données'!$G$13)^($A42-'Saisie des données'!$G$8))*(SUM('Saisie des données'!$I$16*'Saisie des données'!$I$18,'Saisie des données'!$I$19*'Saisie des données'!$I$21,'Saisie des données'!$I$22*'Saisie des données'!$I$24))),('Saisie des données'!$G$10*(1+'Saisie des données'!$G$13)^($A42-'Saisie des données'!$G$8))*(SUM('Saisie des données'!$G$16*'Saisie des données'!$G$17,'Saisie des données'!$G$19*'Saisie des données'!$G$20,'Saisie des données'!$G$22*'Saisie des données'!$G$23))+('Saisie des données'!$G$11*(1+'Saisie des données'!$G$13)^($A42-'Saisie des données'!$G$8))*(SUM('Saisie des données'!$H$16*'Saisie des données'!$H$17,'Saisie des données'!$H$19*'Saisie des données'!$H$20,'Saisie des données'!$H$22*'Saisie des données'!$H$23))+('Saisie des données'!$G$12*(1+'Saisie des données'!$G$13)^($A42-'Saisie des données'!$G$8))*(SUM('Saisie des données'!$I$16*'Saisie des données'!$I$17,'Saisie des données'!$I$19*'Saisie des données'!$I$20,'Saisie des données'!$I$22*'Saisie des données'!$I$23)))</f>
        <v>307555.5</v>
      </c>
      <c r="D42" s="230">
        <f>IF('Saisie des données'!M$44=2,(('Saisie des données'!$G$10*(1+'Saisie des données'!$G$13)^($A42-'Saisie des données'!$G$8))*(SUM('Saisie des données'!$G$16*'Saisie des données'!$G$17,'Saisie des données'!$G$19*'Saisie des données'!$G$20,'Saisie des données'!$G$22*'Saisie des données'!$G$23))+('Saisie des données'!$G$10*(1+'Saisie des données'!$G$13)^($A42-'Saisie des données'!$G$8))*(SUM('Saisie des données'!$G$16*'Saisie des données'!$G$18,'Saisie des données'!$G$19*'Saisie des données'!$G$21,'Saisie des données'!$G$22*'Saisie des données'!$G$24)))+(('Saisie des données'!$G$11*(1+'Saisie des données'!$G$13)^($A42-'Saisie des données'!$G$8))*(SUM('Saisie des données'!$H$16*'Saisie des données'!$H$17,'Saisie des données'!$H$19*'Saisie des données'!$H$20,'Saisie des données'!$H$22*'Saisie des données'!$H$23))+('Saisie des données'!$G$11*(1+'Saisie des données'!$G$13)^($A42-'Saisie des données'!$G$8))*(SUM('Saisie des données'!$H$16*'Saisie des données'!$H$18,'Saisie des données'!$H$19*'Saisie des données'!$H$21,'Saisie des données'!$H$22*'Saisie des données'!$H$24)))+(('Saisie des données'!$G$12*(1+'Saisie des données'!$G$13)^($A42-'Saisie des données'!$G$8))*(SUM('Saisie des données'!$I$16*'Saisie des données'!$I$17,'Saisie des données'!$I$19*'Saisie des données'!$I$20,'Saisie des données'!$I$22*'Saisie des données'!$I$23))+('Saisie des données'!$G$12*(1+'Saisie des données'!$G$13)^($A42-'Saisie des données'!$G$8))*(SUM('Saisie des données'!$I$16*'Saisie des données'!$I$18,'Saisie des données'!$I$19*'Saisie des données'!$I$21,'Saisie des données'!$I$22*'Saisie des données'!$I$24))),('Saisie des données'!$G$10*(1+'Saisie des données'!$G$13)^($A42-'Saisie des données'!$G$8))*(SUM('Saisie des données'!$G$16*'Saisie des données'!$G$17,'Saisie des données'!$G$19*'Saisie des données'!$G$20,'Saisie des données'!$G$22*'Saisie des données'!$G$23))+('Saisie des données'!$G$11*(1+'Saisie des données'!$G$13)^($A42-'Saisie des données'!$G$8))*(SUM('Saisie des données'!$H$16*'Saisie des données'!$H$17,'Saisie des données'!$H$19*'Saisie des données'!$H$20,'Saisie des données'!$H$22*'Saisie des données'!$H$23))+('Saisie des données'!$G$12*(1+'Saisie des données'!$G$13)^($A42-'Saisie des données'!$G$8))*(SUM('Saisie des données'!$I$16*'Saisie des données'!$I$17,'Saisie des données'!$I$19*'Saisie des données'!$I$20,'Saisie des données'!$I$22*'Saisie des données'!$I$23)))</f>
        <v>163251</v>
      </c>
      <c r="E42" s="230">
        <f>IF('Saisie des données'!O$44=2,(('Saisie des données'!$G$10*(1+'Saisie des données'!$G$13)^($A42-'Saisie des données'!$G$8))*(SUM('Saisie des données'!$G$16*'Saisie des données'!$G$17,'Saisie des données'!$G$19*'Saisie des données'!$G$20,'Saisie des données'!$G$22*'Saisie des données'!$G$23))+('Saisie des données'!$G$10*(1+'Saisie des données'!$G$13)^($A42-'Saisie des données'!$G$8))*(SUM('Saisie des données'!$G$16*'Saisie des données'!$G$18,'Saisie des données'!$G$19*'Saisie des données'!$G$21,'Saisie des données'!$G$22*'Saisie des données'!$G$24)))+(('Saisie des données'!$G$11*(1+'Saisie des données'!$G$13)^($A42-'Saisie des données'!$G$8))*(SUM('Saisie des données'!$H$16*'Saisie des données'!$H$17,'Saisie des données'!$H$19*'Saisie des données'!$H$20,'Saisie des données'!$H$22*'Saisie des données'!$H$23))+('Saisie des données'!$G$11*(1+'Saisie des données'!$G$13)^($A42-'Saisie des données'!$G$8))*(SUM('Saisie des données'!$H$16*'Saisie des données'!$H$18,'Saisie des données'!$H$19*'Saisie des données'!$H$21,'Saisie des données'!$H$22*'Saisie des données'!$H$24)))+(('Saisie des données'!$G$12*(1+'Saisie des données'!$G$13)^($A42-'Saisie des données'!$G$8))*(SUM('Saisie des données'!$I$16*'Saisie des données'!$I$17,'Saisie des données'!$I$19*'Saisie des données'!$I$20,'Saisie des données'!$I$22*'Saisie des données'!$I$23))+('Saisie des données'!$G$12*(1+'Saisie des données'!$G$13)^($A42-'Saisie des données'!$G$8))*(SUM('Saisie des données'!$I$16*'Saisie des données'!$I$18,'Saisie des données'!$I$19*'Saisie des données'!$I$21,'Saisie des données'!$I$22*'Saisie des données'!$I$24))),('Saisie des données'!$G$10*(1+'Saisie des données'!$G$13)^($A42-'Saisie des données'!$G$8))*(SUM('Saisie des données'!$G$16*'Saisie des données'!$G$17,'Saisie des données'!$G$19*'Saisie des données'!$G$20,'Saisie des données'!$G$22*'Saisie des données'!$G$23))+('Saisie des données'!$G$11*(1+'Saisie des données'!$G$13)^($A42-'Saisie des données'!$G$8))*(SUM('Saisie des données'!$H$16*'Saisie des données'!$H$17,'Saisie des données'!$H$19*'Saisie des données'!$H$20,'Saisie des données'!$H$22*'Saisie des données'!$H$23))+('Saisie des données'!$G$12*(1+'Saisie des données'!$G$13)^($A42-'Saisie des données'!$G$8))*(SUM('Saisie des données'!$I$16*'Saisie des données'!$I$17,'Saisie des données'!$I$19*'Saisie des données'!$I$20,'Saisie des données'!$I$22*'Saisie des données'!$I$23)))</f>
        <v>163251</v>
      </c>
    </row>
    <row r="43" spans="1:6" x14ac:dyDescent="0.3">
      <c r="A43" s="240">
        <f>'Saisie des données'!$G$8+2</f>
        <v>2028</v>
      </c>
      <c r="B43" s="230">
        <f>IF('Saisie des données'!G$44=2,(('Saisie des données'!$G$10*(1+'Saisie des données'!$G$13)^($A43-'Saisie des données'!$G$8))*(SUM('Saisie des données'!$G$16*'Saisie des données'!$G$17,'Saisie des données'!$G$19*'Saisie des données'!$G$20,'Saisie des données'!$G$22*'Saisie des données'!$G$23))+('Saisie des données'!$G$10*(1+'Saisie des données'!$G$13)^($A43-'Saisie des données'!$G$8))*(SUM('Saisie des données'!$G$16*'Saisie des données'!$G$18,'Saisie des données'!$G$19*'Saisie des données'!$G$21,'Saisie des données'!$G$22*'Saisie des données'!$G$24)))+(('Saisie des données'!$G$11*(1+'Saisie des données'!$G$13)^($A43-'Saisie des données'!$G$8))*(SUM('Saisie des données'!$H$16*'Saisie des données'!$H$17,'Saisie des données'!$H$19*'Saisie des données'!$H$20,'Saisie des données'!$H$22*'Saisie des données'!$H$23))+('Saisie des données'!$G$11*(1+'Saisie des données'!$G$13)^($A43-'Saisie des données'!$G$8))*(SUM('Saisie des données'!$H$16*'Saisie des données'!$H$18,'Saisie des données'!$H$19*'Saisie des données'!$H$21,'Saisie des données'!$H$22*'Saisie des données'!$H$24)))+(('Saisie des données'!$G$12*(1+'Saisie des données'!$G$13)^($A43-'Saisie des données'!$G$8))*(SUM('Saisie des données'!$I$16*'Saisie des données'!$I$17,'Saisie des données'!$I$19*'Saisie des données'!$I$20,'Saisie des données'!$I$22*'Saisie des données'!$I$23))+('Saisie des données'!$G$12*(1+'Saisie des données'!$G$13)^($A43-'Saisie des données'!$G$8))*(SUM('Saisie des données'!$I$16*'Saisie des données'!$I$18,'Saisie des données'!$I$19*'Saisie des données'!$I$21,'Saisie des données'!$I$22*'Saisie des données'!$I$24))),('Saisie des données'!$G$10*(1+'Saisie des données'!$G$13)^($A43-'Saisie des données'!$G$8))*(SUM('Saisie des données'!$G$16*'Saisie des données'!$G$17,'Saisie des données'!$G$19*'Saisie des données'!$G$20,'Saisie des données'!$G$22*'Saisie des données'!$G$23))+('Saisie des données'!$G$11*(1+'Saisie des données'!$G$13)^($A43-'Saisie des données'!$G$8))*(SUM('Saisie des données'!$H$16*'Saisie des données'!$H$17,'Saisie des données'!$H$19*'Saisie des données'!$H$20,'Saisie des données'!$H$22*'Saisie des données'!$H$23))+('Saisie des données'!$G$12*(1+'Saisie des données'!$G$13)^($A43-'Saisie des données'!$G$8))*(SUM('Saisie des données'!$I$16*'Saisie des données'!$I$17,'Saisie des données'!$I$19*'Saisie des données'!$I$20,'Saisie des données'!$I$22*'Saisie des données'!$I$23)))</f>
        <v>166516.02000000002</v>
      </c>
      <c r="C43" s="230">
        <f>IF('Saisie des données'!K$44=2,(('Saisie des données'!$G$10*(1+'Saisie des données'!$G$13)^($A43-'Saisie des données'!$G$8))*(SUM('Saisie des données'!$G$16*'Saisie des données'!$G$17,'Saisie des données'!$G$19*'Saisie des données'!$G$20,'Saisie des données'!$G$22*'Saisie des données'!$G$23))+('Saisie des données'!$G$10*(1+'Saisie des données'!$G$13)^($A43-'Saisie des données'!$G$8))*(SUM('Saisie des données'!$G$16*'Saisie des données'!$G$18,'Saisie des données'!$G$19*'Saisie des données'!$G$21,'Saisie des données'!$G$22*'Saisie des données'!$G$24)))+(('Saisie des données'!$G$11*(1+'Saisie des données'!$G$13)^($A43-'Saisie des données'!$G$8))*(SUM('Saisie des données'!$H$16*'Saisie des données'!$H$17,'Saisie des données'!$H$19*'Saisie des données'!$H$20,'Saisie des données'!$H$22*'Saisie des données'!$H$23))+('Saisie des données'!$G$11*(1+'Saisie des données'!$G$13)^($A43-'Saisie des données'!$G$8))*(SUM('Saisie des données'!$H$16*'Saisie des données'!$H$18,'Saisie des données'!$H$19*'Saisie des données'!$H$21,'Saisie des données'!$H$22*'Saisie des données'!$H$24)))+(('Saisie des données'!$G$12*(1+'Saisie des données'!$G$13)^($A43-'Saisie des données'!$G$8))*(SUM('Saisie des données'!$I$16*'Saisie des données'!$I$17,'Saisie des données'!$I$19*'Saisie des données'!$I$20,'Saisie des données'!$I$22*'Saisie des données'!$I$23))+('Saisie des données'!$G$12*(1+'Saisie des données'!$G$13)^($A43-'Saisie des données'!$G$8))*(SUM('Saisie des données'!$I$16*'Saisie des données'!$I$18,'Saisie des données'!$I$19*'Saisie des données'!$I$21,'Saisie des données'!$I$22*'Saisie des données'!$I$24))),('Saisie des données'!$G$10*(1+'Saisie des données'!$G$13)^($A43-'Saisie des données'!$G$8))*(SUM('Saisie des données'!$G$16*'Saisie des données'!$G$17,'Saisie des données'!$G$19*'Saisie des données'!$G$20,'Saisie des données'!$G$22*'Saisie des données'!$G$23))+('Saisie des données'!$G$11*(1+'Saisie des données'!$G$13)^($A43-'Saisie des données'!$G$8))*(SUM('Saisie des données'!$H$16*'Saisie des données'!$H$17,'Saisie des données'!$H$19*'Saisie des données'!$H$20,'Saisie des données'!$H$22*'Saisie des données'!$H$23))+('Saisie des données'!$G$12*(1+'Saisie des données'!$G$13)^($A43-'Saisie des données'!$G$8))*(SUM('Saisie des données'!$I$16*'Saisie des données'!$I$17,'Saisie des données'!$I$19*'Saisie des données'!$I$20,'Saisie des données'!$I$22*'Saisie des données'!$I$23)))</f>
        <v>313706.61</v>
      </c>
      <c r="D43" s="230">
        <f>IF('Saisie des données'!M$44=2,(('Saisie des données'!$G$10*(1+'Saisie des données'!$G$13)^($A43-'Saisie des données'!$G$8))*(SUM('Saisie des données'!$G$16*'Saisie des données'!$G$17,'Saisie des données'!$G$19*'Saisie des données'!$G$20,'Saisie des données'!$G$22*'Saisie des données'!$G$23))+('Saisie des données'!$G$10*(1+'Saisie des données'!$G$13)^($A43-'Saisie des données'!$G$8))*(SUM('Saisie des données'!$G$16*'Saisie des données'!$G$18,'Saisie des données'!$G$19*'Saisie des données'!$G$21,'Saisie des données'!$G$22*'Saisie des données'!$G$24)))+(('Saisie des données'!$G$11*(1+'Saisie des données'!$G$13)^($A43-'Saisie des données'!$G$8))*(SUM('Saisie des données'!$H$16*'Saisie des données'!$H$17,'Saisie des données'!$H$19*'Saisie des données'!$H$20,'Saisie des données'!$H$22*'Saisie des données'!$H$23))+('Saisie des données'!$G$11*(1+'Saisie des données'!$G$13)^($A43-'Saisie des données'!$G$8))*(SUM('Saisie des données'!$H$16*'Saisie des données'!$H$18,'Saisie des données'!$H$19*'Saisie des données'!$H$21,'Saisie des données'!$H$22*'Saisie des données'!$H$24)))+(('Saisie des données'!$G$12*(1+'Saisie des données'!$G$13)^($A43-'Saisie des données'!$G$8))*(SUM('Saisie des données'!$I$16*'Saisie des données'!$I$17,'Saisie des données'!$I$19*'Saisie des données'!$I$20,'Saisie des données'!$I$22*'Saisie des données'!$I$23))+('Saisie des données'!$G$12*(1+'Saisie des données'!$G$13)^($A43-'Saisie des données'!$G$8))*(SUM('Saisie des données'!$I$16*'Saisie des données'!$I$18,'Saisie des données'!$I$19*'Saisie des données'!$I$21,'Saisie des données'!$I$22*'Saisie des données'!$I$24))),('Saisie des données'!$G$10*(1+'Saisie des données'!$G$13)^($A43-'Saisie des données'!$G$8))*(SUM('Saisie des données'!$G$16*'Saisie des données'!$G$17,'Saisie des données'!$G$19*'Saisie des données'!$G$20,'Saisie des données'!$G$22*'Saisie des données'!$G$23))+('Saisie des données'!$G$11*(1+'Saisie des données'!$G$13)^($A43-'Saisie des données'!$G$8))*(SUM('Saisie des données'!$H$16*'Saisie des données'!$H$17,'Saisie des données'!$H$19*'Saisie des données'!$H$20,'Saisie des données'!$H$22*'Saisie des données'!$H$23))+('Saisie des données'!$G$12*(1+'Saisie des données'!$G$13)^($A43-'Saisie des données'!$G$8))*(SUM('Saisie des données'!$I$16*'Saisie des données'!$I$17,'Saisie des données'!$I$19*'Saisie des données'!$I$20,'Saisie des données'!$I$22*'Saisie des données'!$I$23)))</f>
        <v>166516.02000000002</v>
      </c>
      <c r="E43" s="230">
        <f>IF('Saisie des données'!O$44=2,(('Saisie des données'!$G$10*(1+'Saisie des données'!$G$13)^($A43-'Saisie des données'!$G$8))*(SUM('Saisie des données'!$G$16*'Saisie des données'!$G$17,'Saisie des données'!$G$19*'Saisie des données'!$G$20,'Saisie des données'!$G$22*'Saisie des données'!$G$23))+('Saisie des données'!$G$10*(1+'Saisie des données'!$G$13)^($A43-'Saisie des données'!$G$8))*(SUM('Saisie des données'!$G$16*'Saisie des données'!$G$18,'Saisie des données'!$G$19*'Saisie des données'!$G$21,'Saisie des données'!$G$22*'Saisie des données'!$G$24)))+(('Saisie des données'!$G$11*(1+'Saisie des données'!$G$13)^($A43-'Saisie des données'!$G$8))*(SUM('Saisie des données'!$H$16*'Saisie des données'!$H$17,'Saisie des données'!$H$19*'Saisie des données'!$H$20,'Saisie des données'!$H$22*'Saisie des données'!$H$23))+('Saisie des données'!$G$11*(1+'Saisie des données'!$G$13)^($A43-'Saisie des données'!$G$8))*(SUM('Saisie des données'!$H$16*'Saisie des données'!$H$18,'Saisie des données'!$H$19*'Saisie des données'!$H$21,'Saisie des données'!$H$22*'Saisie des données'!$H$24)))+(('Saisie des données'!$G$12*(1+'Saisie des données'!$G$13)^($A43-'Saisie des données'!$G$8))*(SUM('Saisie des données'!$I$16*'Saisie des données'!$I$17,'Saisie des données'!$I$19*'Saisie des données'!$I$20,'Saisie des données'!$I$22*'Saisie des données'!$I$23))+('Saisie des données'!$G$12*(1+'Saisie des données'!$G$13)^($A43-'Saisie des données'!$G$8))*(SUM('Saisie des données'!$I$16*'Saisie des données'!$I$18,'Saisie des données'!$I$19*'Saisie des données'!$I$21,'Saisie des données'!$I$22*'Saisie des données'!$I$24))),('Saisie des données'!$G$10*(1+'Saisie des données'!$G$13)^($A43-'Saisie des données'!$G$8))*(SUM('Saisie des données'!$G$16*'Saisie des données'!$G$17,'Saisie des données'!$G$19*'Saisie des données'!$G$20,'Saisie des données'!$G$22*'Saisie des données'!$G$23))+('Saisie des données'!$G$11*(1+'Saisie des données'!$G$13)^($A43-'Saisie des données'!$G$8))*(SUM('Saisie des données'!$H$16*'Saisie des données'!$H$17,'Saisie des données'!$H$19*'Saisie des données'!$H$20,'Saisie des données'!$H$22*'Saisie des données'!$H$23))+('Saisie des données'!$G$12*(1+'Saisie des données'!$G$13)^($A43-'Saisie des données'!$G$8))*(SUM('Saisie des données'!$I$16*'Saisie des données'!$I$17,'Saisie des données'!$I$19*'Saisie des données'!$I$20,'Saisie des données'!$I$22*'Saisie des données'!$I$23)))</f>
        <v>166516.02000000002</v>
      </c>
    </row>
    <row r="44" spans="1:6" x14ac:dyDescent="0.3">
      <c r="A44" s="240">
        <f>'Saisie des données'!$G$8+3</f>
        <v>2029</v>
      </c>
      <c r="B44" s="230">
        <f>IF('Saisie des données'!G$44=2,(('Saisie des données'!$G$10*(1+'Saisie des données'!$G$13)^($A44-'Saisie des données'!$G$8))*(SUM('Saisie des données'!$G$16*'Saisie des données'!$G$17,'Saisie des données'!$G$19*'Saisie des données'!$G$20,'Saisie des données'!$G$22*'Saisie des données'!$G$23))+('Saisie des données'!$G$10*(1+'Saisie des données'!$G$13)^($A44-'Saisie des données'!$G$8))*(SUM('Saisie des données'!$G$16*'Saisie des données'!$G$18,'Saisie des données'!$G$19*'Saisie des données'!$G$21,'Saisie des données'!$G$22*'Saisie des données'!$G$24)))+(('Saisie des données'!$G$11*(1+'Saisie des données'!$G$13)^($A44-'Saisie des données'!$G$8))*(SUM('Saisie des données'!$H$16*'Saisie des données'!$H$17,'Saisie des données'!$H$19*'Saisie des données'!$H$20,'Saisie des données'!$H$22*'Saisie des données'!$H$23))+('Saisie des données'!$G$11*(1+'Saisie des données'!$G$13)^($A44-'Saisie des données'!$G$8))*(SUM('Saisie des données'!$H$16*'Saisie des données'!$H$18,'Saisie des données'!$H$19*'Saisie des données'!$H$21,'Saisie des données'!$H$22*'Saisie des données'!$H$24)))+(('Saisie des données'!$G$12*(1+'Saisie des données'!$G$13)^($A44-'Saisie des données'!$G$8))*(SUM('Saisie des données'!$I$16*'Saisie des données'!$I$17,'Saisie des données'!$I$19*'Saisie des données'!$I$20,'Saisie des données'!$I$22*'Saisie des données'!$I$23))+('Saisie des données'!$G$12*(1+'Saisie des données'!$G$13)^($A44-'Saisie des données'!$G$8))*(SUM('Saisie des données'!$I$16*'Saisie des données'!$I$18,'Saisie des données'!$I$19*'Saisie des données'!$I$21,'Saisie des données'!$I$22*'Saisie des données'!$I$24))),('Saisie des données'!$G$10*(1+'Saisie des données'!$G$13)^($A44-'Saisie des données'!$G$8))*(SUM('Saisie des données'!$G$16*'Saisie des données'!$G$17,'Saisie des données'!$G$19*'Saisie des données'!$G$20,'Saisie des données'!$G$22*'Saisie des données'!$G$23))+('Saisie des données'!$G$11*(1+'Saisie des données'!$G$13)^($A44-'Saisie des données'!$G$8))*(SUM('Saisie des données'!$H$16*'Saisie des données'!$H$17,'Saisie des données'!$H$19*'Saisie des données'!$H$20,'Saisie des données'!$H$22*'Saisie des données'!$H$23))+('Saisie des données'!$G$12*(1+'Saisie des données'!$G$13)^($A44-'Saisie des données'!$G$8))*(SUM('Saisie des données'!$I$16*'Saisie des données'!$I$17,'Saisie des données'!$I$19*'Saisie des données'!$I$20,'Saisie des données'!$I$22*'Saisie des données'!$I$23)))</f>
        <v>169846.34039999996</v>
      </c>
      <c r="C44" s="230">
        <f>IF('Saisie des données'!K$44=2,(('Saisie des données'!$G$10*(1+'Saisie des données'!$G$13)^($A44-'Saisie des données'!$G$8))*(SUM('Saisie des données'!$G$16*'Saisie des données'!$G$17,'Saisie des données'!$G$19*'Saisie des données'!$G$20,'Saisie des données'!$G$22*'Saisie des données'!$G$23))+('Saisie des données'!$G$10*(1+'Saisie des données'!$G$13)^($A44-'Saisie des données'!$G$8))*(SUM('Saisie des données'!$G$16*'Saisie des données'!$G$18,'Saisie des données'!$G$19*'Saisie des données'!$G$21,'Saisie des données'!$G$22*'Saisie des données'!$G$24)))+(('Saisie des données'!$G$11*(1+'Saisie des données'!$G$13)^($A44-'Saisie des données'!$G$8))*(SUM('Saisie des données'!$H$16*'Saisie des données'!$H$17,'Saisie des données'!$H$19*'Saisie des données'!$H$20,'Saisie des données'!$H$22*'Saisie des données'!$H$23))+('Saisie des données'!$G$11*(1+'Saisie des données'!$G$13)^($A44-'Saisie des données'!$G$8))*(SUM('Saisie des données'!$H$16*'Saisie des données'!$H$18,'Saisie des données'!$H$19*'Saisie des données'!$H$21,'Saisie des données'!$H$22*'Saisie des données'!$H$24)))+(('Saisie des données'!$G$12*(1+'Saisie des données'!$G$13)^($A44-'Saisie des données'!$G$8))*(SUM('Saisie des données'!$I$16*'Saisie des données'!$I$17,'Saisie des données'!$I$19*'Saisie des données'!$I$20,'Saisie des données'!$I$22*'Saisie des données'!$I$23))+('Saisie des données'!$G$12*(1+'Saisie des données'!$G$13)^($A44-'Saisie des données'!$G$8))*(SUM('Saisie des données'!$I$16*'Saisie des données'!$I$18,'Saisie des données'!$I$19*'Saisie des données'!$I$21,'Saisie des données'!$I$22*'Saisie des données'!$I$24))),('Saisie des données'!$G$10*(1+'Saisie des données'!$G$13)^($A44-'Saisie des données'!$G$8))*(SUM('Saisie des données'!$G$16*'Saisie des données'!$G$17,'Saisie des données'!$G$19*'Saisie des données'!$G$20,'Saisie des données'!$G$22*'Saisie des données'!$G$23))+('Saisie des données'!$G$11*(1+'Saisie des données'!$G$13)^($A44-'Saisie des données'!$G$8))*(SUM('Saisie des données'!$H$16*'Saisie des données'!$H$17,'Saisie des données'!$H$19*'Saisie des données'!$H$20,'Saisie des données'!$H$22*'Saisie des données'!$H$23))+('Saisie des données'!$G$12*(1+'Saisie des données'!$G$13)^($A44-'Saisie des données'!$G$8))*(SUM('Saisie des données'!$I$16*'Saisie des données'!$I$17,'Saisie des données'!$I$19*'Saisie des données'!$I$20,'Saisie des données'!$I$22*'Saisie des données'!$I$23)))</f>
        <v>319980.74219999992</v>
      </c>
      <c r="D44" s="230">
        <f>IF('Saisie des données'!M$44=2,(('Saisie des données'!$G$10*(1+'Saisie des données'!$G$13)^($A44-'Saisie des données'!$G$8))*(SUM('Saisie des données'!$G$16*'Saisie des données'!$G$17,'Saisie des données'!$G$19*'Saisie des données'!$G$20,'Saisie des données'!$G$22*'Saisie des données'!$G$23))+('Saisie des données'!$G$10*(1+'Saisie des données'!$G$13)^($A44-'Saisie des données'!$G$8))*(SUM('Saisie des données'!$G$16*'Saisie des données'!$G$18,'Saisie des données'!$G$19*'Saisie des données'!$G$21,'Saisie des données'!$G$22*'Saisie des données'!$G$24)))+(('Saisie des données'!$G$11*(1+'Saisie des données'!$G$13)^($A44-'Saisie des données'!$G$8))*(SUM('Saisie des données'!$H$16*'Saisie des données'!$H$17,'Saisie des données'!$H$19*'Saisie des données'!$H$20,'Saisie des données'!$H$22*'Saisie des données'!$H$23))+('Saisie des données'!$G$11*(1+'Saisie des données'!$G$13)^($A44-'Saisie des données'!$G$8))*(SUM('Saisie des données'!$H$16*'Saisie des données'!$H$18,'Saisie des données'!$H$19*'Saisie des données'!$H$21,'Saisie des données'!$H$22*'Saisie des données'!$H$24)))+(('Saisie des données'!$G$12*(1+'Saisie des données'!$G$13)^($A44-'Saisie des données'!$G$8))*(SUM('Saisie des données'!$I$16*'Saisie des données'!$I$17,'Saisie des données'!$I$19*'Saisie des données'!$I$20,'Saisie des données'!$I$22*'Saisie des données'!$I$23))+('Saisie des données'!$G$12*(1+'Saisie des données'!$G$13)^($A44-'Saisie des données'!$G$8))*(SUM('Saisie des données'!$I$16*'Saisie des données'!$I$18,'Saisie des données'!$I$19*'Saisie des données'!$I$21,'Saisie des données'!$I$22*'Saisie des données'!$I$24))),('Saisie des données'!$G$10*(1+'Saisie des données'!$G$13)^($A44-'Saisie des données'!$G$8))*(SUM('Saisie des données'!$G$16*'Saisie des données'!$G$17,'Saisie des données'!$G$19*'Saisie des données'!$G$20,'Saisie des données'!$G$22*'Saisie des données'!$G$23))+('Saisie des données'!$G$11*(1+'Saisie des données'!$G$13)^($A44-'Saisie des données'!$G$8))*(SUM('Saisie des données'!$H$16*'Saisie des données'!$H$17,'Saisie des données'!$H$19*'Saisie des données'!$H$20,'Saisie des données'!$H$22*'Saisie des données'!$H$23))+('Saisie des données'!$G$12*(1+'Saisie des données'!$G$13)^($A44-'Saisie des données'!$G$8))*(SUM('Saisie des données'!$I$16*'Saisie des données'!$I$17,'Saisie des données'!$I$19*'Saisie des données'!$I$20,'Saisie des données'!$I$22*'Saisie des données'!$I$23)))</f>
        <v>169846.34039999996</v>
      </c>
      <c r="E44" s="230">
        <f>IF('Saisie des données'!O$44=2,(('Saisie des données'!$G$10*(1+'Saisie des données'!$G$13)^($A44-'Saisie des données'!$G$8))*(SUM('Saisie des données'!$G$16*'Saisie des données'!$G$17,'Saisie des données'!$G$19*'Saisie des données'!$G$20,'Saisie des données'!$G$22*'Saisie des données'!$G$23))+('Saisie des données'!$G$10*(1+'Saisie des données'!$G$13)^($A44-'Saisie des données'!$G$8))*(SUM('Saisie des données'!$G$16*'Saisie des données'!$G$18,'Saisie des données'!$G$19*'Saisie des données'!$G$21,'Saisie des données'!$G$22*'Saisie des données'!$G$24)))+(('Saisie des données'!$G$11*(1+'Saisie des données'!$G$13)^($A44-'Saisie des données'!$G$8))*(SUM('Saisie des données'!$H$16*'Saisie des données'!$H$17,'Saisie des données'!$H$19*'Saisie des données'!$H$20,'Saisie des données'!$H$22*'Saisie des données'!$H$23))+('Saisie des données'!$G$11*(1+'Saisie des données'!$G$13)^($A44-'Saisie des données'!$G$8))*(SUM('Saisie des données'!$H$16*'Saisie des données'!$H$18,'Saisie des données'!$H$19*'Saisie des données'!$H$21,'Saisie des données'!$H$22*'Saisie des données'!$H$24)))+(('Saisie des données'!$G$12*(1+'Saisie des données'!$G$13)^($A44-'Saisie des données'!$G$8))*(SUM('Saisie des données'!$I$16*'Saisie des données'!$I$17,'Saisie des données'!$I$19*'Saisie des données'!$I$20,'Saisie des données'!$I$22*'Saisie des données'!$I$23))+('Saisie des données'!$G$12*(1+'Saisie des données'!$G$13)^($A44-'Saisie des données'!$G$8))*(SUM('Saisie des données'!$I$16*'Saisie des données'!$I$18,'Saisie des données'!$I$19*'Saisie des données'!$I$21,'Saisie des données'!$I$22*'Saisie des données'!$I$24))),('Saisie des données'!$G$10*(1+'Saisie des données'!$G$13)^($A44-'Saisie des données'!$G$8))*(SUM('Saisie des données'!$G$16*'Saisie des données'!$G$17,'Saisie des données'!$G$19*'Saisie des données'!$G$20,'Saisie des données'!$G$22*'Saisie des données'!$G$23))+('Saisie des données'!$G$11*(1+'Saisie des données'!$G$13)^($A44-'Saisie des données'!$G$8))*(SUM('Saisie des données'!$H$16*'Saisie des données'!$H$17,'Saisie des données'!$H$19*'Saisie des données'!$H$20,'Saisie des données'!$H$22*'Saisie des données'!$H$23))+('Saisie des données'!$G$12*(1+'Saisie des données'!$G$13)^($A44-'Saisie des données'!$G$8))*(SUM('Saisie des données'!$I$16*'Saisie des données'!$I$17,'Saisie des données'!$I$19*'Saisie des données'!$I$20,'Saisie des données'!$I$22*'Saisie des données'!$I$23)))</f>
        <v>169846.34039999996</v>
      </c>
    </row>
    <row r="45" spans="1:6" x14ac:dyDescent="0.3">
      <c r="A45" s="240">
        <f>'Saisie des données'!$G$8+4</f>
        <v>2030</v>
      </c>
      <c r="B45" s="230">
        <f>IF('Saisie des données'!G$44=2,(('Saisie des données'!$G$10*(1+'Saisie des données'!$G$13)^($A45-'Saisie des données'!$G$8))*(SUM('Saisie des données'!$G$16*'Saisie des données'!$G$17,'Saisie des données'!$G$19*'Saisie des données'!$G$20,'Saisie des données'!$G$22*'Saisie des données'!$G$23))+('Saisie des données'!$G$10*(1+'Saisie des données'!$G$13)^($A45-'Saisie des données'!$G$8))*(SUM('Saisie des données'!$G$16*'Saisie des données'!$G$18,'Saisie des données'!$G$19*'Saisie des données'!$G$21,'Saisie des données'!$G$22*'Saisie des données'!$G$24)))+(('Saisie des données'!$G$11*(1+'Saisie des données'!$G$13)^($A45-'Saisie des données'!$G$8))*(SUM('Saisie des données'!$H$16*'Saisie des données'!$H$17,'Saisie des données'!$H$19*'Saisie des données'!$H$20,'Saisie des données'!$H$22*'Saisie des données'!$H$23))+('Saisie des données'!$G$11*(1+'Saisie des données'!$G$13)^($A45-'Saisie des données'!$G$8))*(SUM('Saisie des données'!$H$16*'Saisie des données'!$H$18,'Saisie des données'!$H$19*'Saisie des données'!$H$21,'Saisie des données'!$H$22*'Saisie des données'!$H$24)))+(('Saisie des données'!$G$12*(1+'Saisie des données'!$G$13)^($A45-'Saisie des données'!$G$8))*(SUM('Saisie des données'!$I$16*'Saisie des données'!$I$17,'Saisie des données'!$I$19*'Saisie des données'!$I$20,'Saisie des données'!$I$22*'Saisie des données'!$I$23))+('Saisie des données'!$G$12*(1+'Saisie des données'!$G$13)^($A45-'Saisie des données'!$G$8))*(SUM('Saisie des données'!$I$16*'Saisie des données'!$I$18,'Saisie des données'!$I$19*'Saisie des données'!$I$21,'Saisie des données'!$I$22*'Saisie des données'!$I$24))),('Saisie des données'!$G$10*(1+'Saisie des données'!$G$13)^($A45-'Saisie des données'!$G$8))*(SUM('Saisie des données'!$G$16*'Saisie des données'!$G$17,'Saisie des données'!$G$19*'Saisie des données'!$G$20,'Saisie des données'!$G$22*'Saisie des données'!$G$23))+('Saisie des données'!$G$11*(1+'Saisie des données'!$G$13)^($A45-'Saisie des données'!$G$8))*(SUM('Saisie des données'!$H$16*'Saisie des données'!$H$17,'Saisie des données'!$H$19*'Saisie des données'!$H$20,'Saisie des données'!$H$22*'Saisie des données'!$H$23))+('Saisie des données'!$G$12*(1+'Saisie des données'!$G$13)^($A45-'Saisie des données'!$G$8))*(SUM('Saisie des données'!$I$16*'Saisie des données'!$I$17,'Saisie des données'!$I$19*'Saisie des données'!$I$20,'Saisie des données'!$I$22*'Saisie des données'!$I$23)))</f>
        <v>173243.26720799998</v>
      </c>
      <c r="C45" s="230">
        <f>IF('Saisie des données'!K$44=2,(('Saisie des données'!$G$10*(1+'Saisie des données'!$G$13)^($A45-'Saisie des données'!$G$8))*(SUM('Saisie des données'!$G$16*'Saisie des données'!$G$17,'Saisie des données'!$G$19*'Saisie des données'!$G$20,'Saisie des données'!$G$22*'Saisie des données'!$G$23))+('Saisie des données'!$G$10*(1+'Saisie des données'!$G$13)^($A45-'Saisie des données'!$G$8))*(SUM('Saisie des données'!$G$16*'Saisie des données'!$G$18,'Saisie des données'!$G$19*'Saisie des données'!$G$21,'Saisie des données'!$G$22*'Saisie des données'!$G$24)))+(('Saisie des données'!$G$11*(1+'Saisie des données'!$G$13)^($A45-'Saisie des données'!$G$8))*(SUM('Saisie des données'!$H$16*'Saisie des données'!$H$17,'Saisie des données'!$H$19*'Saisie des données'!$H$20,'Saisie des données'!$H$22*'Saisie des données'!$H$23))+('Saisie des données'!$G$11*(1+'Saisie des données'!$G$13)^($A45-'Saisie des données'!$G$8))*(SUM('Saisie des données'!$H$16*'Saisie des données'!$H$18,'Saisie des données'!$H$19*'Saisie des données'!$H$21,'Saisie des données'!$H$22*'Saisie des données'!$H$24)))+(('Saisie des données'!$G$12*(1+'Saisie des données'!$G$13)^($A45-'Saisie des données'!$G$8))*(SUM('Saisie des données'!$I$16*'Saisie des données'!$I$17,'Saisie des données'!$I$19*'Saisie des données'!$I$20,'Saisie des données'!$I$22*'Saisie des données'!$I$23))+('Saisie des données'!$G$12*(1+'Saisie des données'!$G$13)^($A45-'Saisie des données'!$G$8))*(SUM('Saisie des données'!$I$16*'Saisie des données'!$I$18,'Saisie des données'!$I$19*'Saisie des données'!$I$21,'Saisie des données'!$I$22*'Saisie des données'!$I$24))),('Saisie des données'!$G$10*(1+'Saisie des données'!$G$13)^($A45-'Saisie des données'!$G$8))*(SUM('Saisie des données'!$G$16*'Saisie des données'!$G$17,'Saisie des données'!$G$19*'Saisie des données'!$G$20,'Saisie des données'!$G$22*'Saisie des données'!$G$23))+('Saisie des données'!$G$11*(1+'Saisie des données'!$G$13)^($A45-'Saisie des données'!$G$8))*(SUM('Saisie des données'!$H$16*'Saisie des données'!$H$17,'Saisie des données'!$H$19*'Saisie des données'!$H$20,'Saisie des données'!$H$22*'Saisie des données'!$H$23))+('Saisie des données'!$G$12*(1+'Saisie des données'!$G$13)^($A45-'Saisie des données'!$G$8))*(SUM('Saisie des données'!$I$16*'Saisie des données'!$I$17,'Saisie des données'!$I$19*'Saisie des données'!$I$20,'Saisie des données'!$I$22*'Saisie des données'!$I$23)))</f>
        <v>326380.35704400006</v>
      </c>
      <c r="D45" s="230">
        <f>IF('Saisie des données'!M$44=2,(('Saisie des données'!$G$10*(1+'Saisie des données'!$G$13)^($A45-'Saisie des données'!$G$8))*(SUM('Saisie des données'!$G$16*'Saisie des données'!$G$17,'Saisie des données'!$G$19*'Saisie des données'!$G$20,'Saisie des données'!$G$22*'Saisie des données'!$G$23))+('Saisie des données'!$G$10*(1+'Saisie des données'!$G$13)^($A45-'Saisie des données'!$G$8))*(SUM('Saisie des données'!$G$16*'Saisie des données'!$G$18,'Saisie des données'!$G$19*'Saisie des données'!$G$21,'Saisie des données'!$G$22*'Saisie des données'!$G$24)))+(('Saisie des données'!$G$11*(1+'Saisie des données'!$G$13)^($A45-'Saisie des données'!$G$8))*(SUM('Saisie des données'!$H$16*'Saisie des données'!$H$17,'Saisie des données'!$H$19*'Saisie des données'!$H$20,'Saisie des données'!$H$22*'Saisie des données'!$H$23))+('Saisie des données'!$G$11*(1+'Saisie des données'!$G$13)^($A45-'Saisie des données'!$G$8))*(SUM('Saisie des données'!$H$16*'Saisie des données'!$H$18,'Saisie des données'!$H$19*'Saisie des données'!$H$21,'Saisie des données'!$H$22*'Saisie des données'!$H$24)))+(('Saisie des données'!$G$12*(1+'Saisie des données'!$G$13)^($A45-'Saisie des données'!$G$8))*(SUM('Saisie des données'!$I$16*'Saisie des données'!$I$17,'Saisie des données'!$I$19*'Saisie des données'!$I$20,'Saisie des données'!$I$22*'Saisie des données'!$I$23))+('Saisie des données'!$G$12*(1+'Saisie des données'!$G$13)^($A45-'Saisie des données'!$G$8))*(SUM('Saisie des données'!$I$16*'Saisie des données'!$I$18,'Saisie des données'!$I$19*'Saisie des données'!$I$21,'Saisie des données'!$I$22*'Saisie des données'!$I$24))),('Saisie des données'!$G$10*(1+'Saisie des données'!$G$13)^($A45-'Saisie des données'!$G$8))*(SUM('Saisie des données'!$G$16*'Saisie des données'!$G$17,'Saisie des données'!$G$19*'Saisie des données'!$G$20,'Saisie des données'!$G$22*'Saisie des données'!$G$23))+('Saisie des données'!$G$11*(1+'Saisie des données'!$G$13)^($A45-'Saisie des données'!$G$8))*(SUM('Saisie des données'!$H$16*'Saisie des données'!$H$17,'Saisie des données'!$H$19*'Saisie des données'!$H$20,'Saisie des données'!$H$22*'Saisie des données'!$H$23))+('Saisie des données'!$G$12*(1+'Saisie des données'!$G$13)^($A45-'Saisie des données'!$G$8))*(SUM('Saisie des données'!$I$16*'Saisie des données'!$I$17,'Saisie des données'!$I$19*'Saisie des données'!$I$20,'Saisie des données'!$I$22*'Saisie des données'!$I$23)))</f>
        <v>173243.26720799998</v>
      </c>
      <c r="E45" s="230">
        <f>IF('Saisie des données'!O$44=2,(('Saisie des données'!$G$10*(1+'Saisie des données'!$G$13)^($A45-'Saisie des données'!$G$8))*(SUM('Saisie des données'!$G$16*'Saisie des données'!$G$17,'Saisie des données'!$G$19*'Saisie des données'!$G$20,'Saisie des données'!$G$22*'Saisie des données'!$G$23))+('Saisie des données'!$G$10*(1+'Saisie des données'!$G$13)^($A45-'Saisie des données'!$G$8))*(SUM('Saisie des données'!$G$16*'Saisie des données'!$G$18,'Saisie des données'!$G$19*'Saisie des données'!$G$21,'Saisie des données'!$G$22*'Saisie des données'!$G$24)))+(('Saisie des données'!$G$11*(1+'Saisie des données'!$G$13)^($A45-'Saisie des données'!$G$8))*(SUM('Saisie des données'!$H$16*'Saisie des données'!$H$17,'Saisie des données'!$H$19*'Saisie des données'!$H$20,'Saisie des données'!$H$22*'Saisie des données'!$H$23))+('Saisie des données'!$G$11*(1+'Saisie des données'!$G$13)^($A45-'Saisie des données'!$G$8))*(SUM('Saisie des données'!$H$16*'Saisie des données'!$H$18,'Saisie des données'!$H$19*'Saisie des données'!$H$21,'Saisie des données'!$H$22*'Saisie des données'!$H$24)))+(('Saisie des données'!$G$12*(1+'Saisie des données'!$G$13)^($A45-'Saisie des données'!$G$8))*(SUM('Saisie des données'!$I$16*'Saisie des données'!$I$17,'Saisie des données'!$I$19*'Saisie des données'!$I$20,'Saisie des données'!$I$22*'Saisie des données'!$I$23))+('Saisie des données'!$G$12*(1+'Saisie des données'!$G$13)^($A45-'Saisie des données'!$G$8))*(SUM('Saisie des données'!$I$16*'Saisie des données'!$I$18,'Saisie des données'!$I$19*'Saisie des données'!$I$21,'Saisie des données'!$I$22*'Saisie des données'!$I$24))),('Saisie des données'!$G$10*(1+'Saisie des données'!$G$13)^($A45-'Saisie des données'!$G$8))*(SUM('Saisie des données'!$G$16*'Saisie des données'!$G$17,'Saisie des données'!$G$19*'Saisie des données'!$G$20,'Saisie des données'!$G$22*'Saisie des données'!$G$23))+('Saisie des données'!$G$11*(1+'Saisie des données'!$G$13)^($A45-'Saisie des données'!$G$8))*(SUM('Saisie des données'!$H$16*'Saisie des données'!$H$17,'Saisie des données'!$H$19*'Saisie des données'!$H$20,'Saisie des données'!$H$22*'Saisie des données'!$H$23))+('Saisie des données'!$G$12*(1+'Saisie des données'!$G$13)^($A45-'Saisie des données'!$G$8))*(SUM('Saisie des données'!$I$16*'Saisie des données'!$I$17,'Saisie des données'!$I$19*'Saisie des données'!$I$20,'Saisie des données'!$I$22*'Saisie des données'!$I$23)))</f>
        <v>173243.26720799998</v>
      </c>
    </row>
    <row r="46" spans="1:6" x14ac:dyDescent="0.3">
      <c r="A46" s="240" t="s">
        <v>130</v>
      </c>
    </row>
    <row r="47" spans="1:6" x14ac:dyDescent="0.3">
      <c r="A47" s="240">
        <f>'Saisie des données'!$G$8</f>
        <v>2026</v>
      </c>
      <c r="B47">
        <f>+IF('Saisie des données'!G$44=2,(('Saisie des données'!$G$25*SUM('Saisie des données'!$G$27*'Saisie des données'!$G$28,'Saisie des données'!$G$30*'Saisie des données'!$G$31,'Saisie des données'!$G$33*'Saisie des données'!$G$34))+('Saisie des données'!$G$25*SUM('Saisie des données'!$G$27*'Saisie des données'!$G$29,'Saisie des données'!$G$30*'Saisie des données'!$G$32,'Saisie des données'!$G$33*'Saisie des données'!$G$35))),('Saisie des données'!$G$25*SUM('Saisie des données'!$G$27*'Saisie des données'!$G$28,'Saisie des données'!$G$30*'Saisie des données'!$G$31,'Saisie des données'!$G$33*'Saisie des données'!$G$34)))</f>
        <v>360000</v>
      </c>
      <c r="C47">
        <f>+IF('Saisie des données'!K$44=2,(('Saisie des données'!$G$25*SUM('Saisie des données'!$G$27*'Saisie des données'!$G$28,'Saisie des données'!$G$30*'Saisie des données'!$G$31,'Saisie des données'!$G$33*'Saisie des données'!$G$34))+('Saisie des données'!$G$25*SUM('Saisie des données'!$G$27*'Saisie des données'!$G$29,'Saisie des données'!$G$30*'Saisie des données'!$G$32,'Saisie des données'!$G$33*'Saisie des données'!$G$35))),('Saisie des données'!$G$25*SUM('Saisie des données'!$G$27*'Saisie des données'!$G$28,'Saisie des données'!$G$30*'Saisie des données'!$G$31,'Saisie des données'!$G$33*'Saisie des données'!$G$34)))</f>
        <v>680000</v>
      </c>
      <c r="D47">
        <f>+IF('Saisie des données'!M$44=2,(('Saisie des données'!$G$25*SUM('Saisie des données'!$G$27*'Saisie des données'!$G$28,'Saisie des données'!$G$30*'Saisie des données'!$G$31,'Saisie des données'!$G$33*'Saisie des données'!$G$34))+('Saisie des données'!$G$25*SUM('Saisie des données'!$G$27*'Saisie des données'!$G$29,'Saisie des données'!$G$30*'Saisie des données'!$G$32,'Saisie des données'!$G$33*'Saisie des données'!$G$35))),('Saisie des données'!$G$25*SUM('Saisie des données'!$G$27*'Saisie des données'!$G$28,'Saisie des données'!$G$30*'Saisie des données'!$G$31,'Saisie des données'!$G$33*'Saisie des données'!$G$34)))</f>
        <v>360000</v>
      </c>
      <c r="E47">
        <f>+IF('Saisie des données'!O$44=2,(('Saisie des données'!$G$25*SUM('Saisie des données'!$G$27*'Saisie des données'!$G$28,'Saisie des données'!$G$30*'Saisie des données'!$G$31,'Saisie des données'!$G$33*'Saisie des données'!$G$34))+('Saisie des données'!$G$25*SUM('Saisie des données'!$G$27*'Saisie des données'!$G$29,'Saisie des données'!$G$30*'Saisie des données'!$G$32,'Saisie des données'!$G$33*'Saisie des données'!$G$35))),('Saisie des données'!$G$25*SUM('Saisie des données'!$G$27*'Saisie des données'!$G$28,'Saisie des données'!$G$30*'Saisie des données'!$G$31,'Saisie des données'!$G$33*'Saisie des données'!$G$34)))</f>
        <v>360000</v>
      </c>
    </row>
    <row r="48" spans="1:6" x14ac:dyDescent="0.3">
      <c r="A48" s="240" t="s">
        <v>131</v>
      </c>
      <c r="B48" s="230"/>
      <c r="E48" s="242"/>
    </row>
    <row r="49" spans="1:13" x14ac:dyDescent="0.3">
      <c r="A49" s="240">
        <f>'Saisie des données'!$G$8</f>
        <v>2026</v>
      </c>
      <c r="B49" s="230">
        <f>B41*('Saisie des données'!$G$49+'Saisie des données'!$G$52)</f>
        <v>208486.18421052632</v>
      </c>
      <c r="C49" s="230">
        <f>C41*('Saisie des données'!$K$49+'Saisie des données'!$K$52)</f>
        <v>392775.98684210522</v>
      </c>
      <c r="D49" s="230">
        <f>D41*('Saisie des données'!$M$49+'Saisie des données'!$M$52)</f>
        <v>217845.83333333334</v>
      </c>
      <c r="E49" s="241">
        <f>E41*('Saisie des données'!$O$49+'Saisie des données'!$O$52)</f>
        <v>208486.18421052632</v>
      </c>
    </row>
    <row r="50" spans="1:13" x14ac:dyDescent="0.3">
      <c r="A50" s="240">
        <f>'Saisie des données'!$G$8+1</f>
        <v>2027</v>
      </c>
      <c r="B50" s="230">
        <f>B42*('Saisie des données'!$G$49+'Saisie des données'!$G$52)-(B41*'Saisie des données'!$G$52)</f>
        <v>172643.40789473683</v>
      </c>
      <c r="C50" s="230">
        <f>C42*('Saisie des données'!$K$49+'Saisie des données'!$K$52)-(C41*'Saisie des données'!$K$52)</f>
        <v>325250.25657894736</v>
      </c>
      <c r="D50" s="230">
        <f>D42*('Saisie des données'!$M$49+'Saisie des données'!$M$52)-(D41*'Saisie des données'!$M$52)</f>
        <v>182190.25</v>
      </c>
      <c r="E50" s="241">
        <f>E42*('Saisie des données'!$O$49+'Saisie des données'!$O$52)-(E41*'Saisie des données'!$O$52)</f>
        <v>172643.40789473683</v>
      </c>
    </row>
    <row r="51" spans="1:13" x14ac:dyDescent="0.3">
      <c r="A51" s="240">
        <f>'Saisie des données'!$G$8+2</f>
        <v>2028</v>
      </c>
      <c r="B51" s="230">
        <f>B43*('Saisie des données'!$G$49+'Saisie des données'!$G$52)-(B42*'Saisie des données'!$G$52)</f>
        <v>176096.27605263158</v>
      </c>
      <c r="C51" s="230">
        <f>C43*('Saisie des données'!$K$49+'Saisie des données'!$K$52)-(C42*'Saisie des données'!$K$52)</f>
        <v>331755.26171052631</v>
      </c>
      <c r="D51" s="230">
        <f>D43*('Saisie des données'!$M$49+'Saisie des données'!$M$52)-(D42*'Saisie des données'!$M$52)</f>
        <v>185834.05500000002</v>
      </c>
      <c r="E51" s="241">
        <f>E43*('Saisie des données'!$O$49+'Saisie des données'!$O$52)-(E42*'Saisie des données'!$O$52)</f>
        <v>176096.27605263158</v>
      </c>
    </row>
    <row r="52" spans="1:13" x14ac:dyDescent="0.3">
      <c r="A52" s="240">
        <f>'Saisie des données'!$G$8+3</f>
        <v>2029</v>
      </c>
      <c r="B52" s="230">
        <f>B44*('Saisie des données'!$G$49+'Saisie des données'!$G$52)-(B43*'Saisie des données'!$G$52)</f>
        <v>179618.20157368414</v>
      </c>
      <c r="C52" s="230">
        <f>C44*('Saisie des données'!$K$49+'Saisie des données'!$K$52)-(C43*'Saisie des données'!$K$52)</f>
        <v>338390.36694473668</v>
      </c>
      <c r="D52" s="230">
        <f>D44*('Saisie des données'!$M$49+'Saisie des données'!$M$52)-(D43*'Saisie des données'!$M$52)</f>
        <v>189550.73609999995</v>
      </c>
      <c r="E52" s="241">
        <f>E44*('Saisie des données'!$O$49+'Saisie des données'!$O$52)-(E43*'Saisie des données'!$O$52)</f>
        <v>179618.20157368414</v>
      </c>
    </row>
    <row r="53" spans="1:13" x14ac:dyDescent="0.3">
      <c r="A53" s="240">
        <f>'Saisie des données'!$G$8+4</f>
        <v>2030</v>
      </c>
      <c r="B53" s="230">
        <f>B45*('Saisie des données'!$G$49+'Saisie des données'!$G$52)-(B44*'Saisie des données'!$G$52)</f>
        <v>183210.56560515787</v>
      </c>
      <c r="C53" s="230">
        <f>C45*('Saisie des données'!$K$49+'Saisie des données'!$K$52)-(C44*'Saisie des données'!$K$52)</f>
        <v>345158.17428363167</v>
      </c>
      <c r="D53" s="230">
        <f>D45*('Saisie des données'!$M$49+'Saisie des données'!$M$52)-(D44*'Saisie des données'!$M$52)</f>
        <v>193341.75082199997</v>
      </c>
      <c r="E53" s="241">
        <f>E45*('Saisie des données'!$O$49+'Saisie des données'!$O$52)-(E44*'Saisie des données'!$O$52)</f>
        <v>183210.56560515787</v>
      </c>
    </row>
    <row r="54" spans="1:13" x14ac:dyDescent="0.3">
      <c r="A54" s="240" t="s">
        <v>132</v>
      </c>
      <c r="E54" s="242"/>
    </row>
    <row r="55" spans="1:13" x14ac:dyDescent="0.3">
      <c r="A55" s="243">
        <f>'Saisie des données'!$G$8</f>
        <v>2026</v>
      </c>
      <c r="B55" s="244">
        <f>B47*'Saisie des données'!G49</f>
        <v>378947.36842105258</v>
      </c>
      <c r="C55" s="244">
        <f>C47*'Saisie des données'!K49</f>
        <v>715789.47368421045</v>
      </c>
      <c r="D55" s="244">
        <f>D47*'Saisie des données'!M49</f>
        <v>400000</v>
      </c>
      <c r="E55" s="245">
        <f>E47*'Saisie des données'!O49</f>
        <v>378947.36842105258</v>
      </c>
    </row>
    <row r="56" spans="1:13" x14ac:dyDescent="0.3">
      <c r="B56" s="230"/>
      <c r="C56" s="230"/>
      <c r="D56" s="230"/>
      <c r="E56" s="230"/>
    </row>
    <row r="57" spans="1:13" x14ac:dyDescent="0.3">
      <c r="A57" t="s">
        <v>133</v>
      </c>
      <c r="B57" t="str">
        <f>$B$40</f>
        <v>CECOLIN 
Bivalent, 1 dose/flacon, liquide</v>
      </c>
      <c r="E57" t="str">
        <f>$C$40</f>
        <v>WALRINVAX 
Bivalent, 1 dose/flacon, liquide</v>
      </c>
      <c r="H57" t="str">
        <f>$D$40</f>
        <v>GARDASIL4
Quadrivalent, 1 dose/flacon, liquide</v>
      </c>
      <c r="K57" t="str">
        <f>$E$40</f>
        <v>Option entièrement personnalisable - insérer le nom ici</v>
      </c>
    </row>
    <row r="58" spans="1:13" x14ac:dyDescent="0.3">
      <c r="B58" t="s">
        <v>89</v>
      </c>
      <c r="C58" t="s">
        <v>90</v>
      </c>
      <c r="D58" t="s">
        <v>91</v>
      </c>
      <c r="E58" t="s">
        <v>89</v>
      </c>
      <c r="F58" t="s">
        <v>90</v>
      </c>
      <c r="G58" t="s">
        <v>91</v>
      </c>
      <c r="H58" t="s">
        <v>89</v>
      </c>
      <c r="I58" t="s">
        <v>90</v>
      </c>
      <c r="J58" t="s">
        <v>91</v>
      </c>
      <c r="K58" t="s">
        <v>89</v>
      </c>
      <c r="L58" t="s">
        <v>90</v>
      </c>
      <c r="M58" t="s">
        <v>91</v>
      </c>
    </row>
    <row r="59" spans="1:13" x14ac:dyDescent="0.3">
      <c r="A59">
        <f>'Saisie des données'!$G$8</f>
        <v>2026</v>
      </c>
      <c r="B59" s="230">
        <f>IF('Saisie des données'!G$44=2,(('Saisie des données'!$G$9*(1+'Saisie des données'!$G$13)^(Résultats!$D11-'Saisie des données'!$G$8))*('Saisie des données'!$G$16*'Saisie des données'!$G$17)+('Saisie des données'!$G$9*(1+'Saisie des données'!$G$13)^(Résultats!$D11-'Saisie des données'!$G$8))*('Saisie des données'!$G$16*'Saisie des données'!$G$18)),('Saisie des données'!$G$9*(1+'Saisie des données'!$G$13)^(Résultats!$D11-'Saisie des données'!$G$8))*('Saisie des données'!$G$16*'Saisie des données'!$G$17))</f>
        <v>112560.01119999998</v>
      </c>
      <c r="C59" s="230">
        <f>IF('Saisie des données'!G$44=2,(('Saisie des données'!$G$9*(1+'Saisie des données'!$G$13)^(Résultats!$D11-'Saisie des données'!$G$8))*('Saisie des données'!$G$19*'Saisie des données'!$G$20)+('Saisie des données'!$G$9*(1+'Saisie des données'!$G$13)^(Résultats!$D11-'Saisie des données'!$G$8))*('Saisie des données'!$G$19*'Saisie des données'!$G$21)),('Saisie des données'!$G$9*(1+'Saisie des données'!$G$13)^(Résultats!$D11-'Saisie des données'!$G$8))*('Saisie des données'!$G$19*'Saisie des données'!$G$20))</f>
        <v>24120.002399999998</v>
      </c>
      <c r="D59" s="230">
        <f>IF('Saisie des données'!G$44=2,(('Saisie des données'!$G$9*(1+'Saisie des données'!$G$13)^(Résultats!$D11-'Saisie des données'!$G$8))*('Saisie des données'!$G$22*'Saisie des données'!$G$23)+('Saisie des données'!$G$9*(1+'Saisie des données'!$G$13)^(Résultats!$D11-'Saisie des données'!$G$8))*('Saisie des données'!$G$22*'Saisie des données'!$G$24)),('Saisie des données'!$G$9*(1+'Saisie des données'!$G$13)^(Résultats!$D11-'Saisie des données'!$G$8))*('Saisie des données'!$G$22*'Saisie des données'!$G$23))</f>
        <v>24120.002399999998</v>
      </c>
      <c r="E59" s="230">
        <f>IF('Saisie des données'!K$44=2,(('Saisie des données'!$G$9*(1+'Saisie des données'!$G$13)^(Résultats!$D11-'Saisie des données'!$G$8))*('Saisie des données'!$G$16*'Saisie des données'!$G$17)+('Saisie des données'!$G$9*(1+'Saisie des données'!$G$13)^(Résultats!$D11-'Saisie des données'!$G$8))*('Saisie des données'!$G$16*'Saisie des données'!$G$18)),('Saisie des données'!$G$9*(1+'Saisie des données'!$G$13)^(Résultats!$D11-'Saisie des données'!$G$8))*('Saisie des données'!$G$16*'Saisie des données'!$G$17))</f>
        <v>211050.02099999995</v>
      </c>
      <c r="F59" s="230">
        <f>IF('Saisie des données'!K$44=2,(('Saisie des données'!$G$9*(1+'Saisie des données'!$G$13)^(Résultats!$D11-'Saisie des données'!$G$8))*('Saisie des données'!$G$19*'Saisie des données'!$G$20)+('Saisie des données'!$G$9*(1+'Saisie des données'!$G$13)^(Résultats!$D11-'Saisie des données'!$G$8))*('Saisie des données'!$G$19*'Saisie des données'!$G$21)),('Saisie des données'!$G$9*(1+'Saisie des données'!$G$13)^(Résultats!$D11-'Saisie des données'!$G$8))*('Saisie des données'!$G$19*'Saisie des données'!$G$20))</f>
        <v>45225.004499999995</v>
      </c>
      <c r="G59" s="230">
        <f>IF('Saisie des données'!K$44=2,(('Saisie des données'!$G$9*(1+'Saisie des données'!$G$13)^(Résultats!$D11-'Saisie des données'!$G$8))*('Saisie des données'!$G$22*'Saisie des données'!$G$23)+('Saisie des données'!$G$9*(1+'Saisie des données'!$G$13)^(Résultats!$D11-'Saisie des données'!$G$8))*('Saisie des données'!$G$22*'Saisie des données'!$G$24)),('Saisie des données'!$G$9*(1+'Saisie des données'!$G$13)^(Résultats!$D11-'Saisie des données'!$G$8))*('Saisie des données'!$G$22*'Saisie des données'!$G$23))</f>
        <v>46732.504649999995</v>
      </c>
      <c r="H59" s="230">
        <f>IF('Saisie des données'!M$44=2,(('Saisie des données'!$G$9*(1+'Saisie des données'!$G$13)^(Résultats!$D11-'Saisie des données'!$G$8))*('Saisie des données'!$G$16*'Saisie des données'!$G$17)+('Saisie des données'!$G$9*(1+'Saisie des données'!$G$13)^(Résultats!$D11-'Saisie des données'!$G$8))*('Saisie des données'!$G$16*'Saisie des données'!$G$18)),('Saisie des données'!$G$9*(1+'Saisie des données'!$G$13)^(Résultats!$D11-'Saisie des données'!$G$8))*('Saisie des données'!$G$16*'Saisie des données'!$G$17))</f>
        <v>112560.01119999998</v>
      </c>
      <c r="I59" s="230">
        <f>IF('Saisie des données'!M$44=2,(('Saisie des données'!$G$9*(1+'Saisie des données'!$G$13)^(Résultats!$D11-'Saisie des données'!$G$8))*('Saisie des données'!$G$19*'Saisie des données'!$G$20)+('Saisie des données'!$G$9*(1+'Saisie des données'!$G$13)^(Résultats!$D11-'Saisie des données'!$G$8))*('Saisie des données'!$G$19*'Saisie des données'!$G$21)),('Saisie des données'!$G$9*(1+'Saisie des données'!$G$13)^(Résultats!$D11-'Saisie des données'!$G$8))*('Saisie des données'!$G$19*'Saisie des données'!$G$20))</f>
        <v>24120.002399999998</v>
      </c>
      <c r="J59" s="230">
        <f>IF('Saisie des données'!M$44=2,(('Saisie des données'!$G$9*(1+'Saisie des données'!$G$13)^(Résultats!$D11-'Saisie des données'!$G$8))*('Saisie des données'!$G$22*'Saisie des données'!$G$23)+('Saisie des données'!$G$9*(1+'Saisie des données'!$G$13)^(Résultats!$D11-'Saisie des données'!$G$8))*('Saisie des données'!$G$22*'Saisie des données'!$G$24)),('Saisie des données'!$G$9*(1+'Saisie des données'!$G$13)^(Résultats!$D11-'Saisie des données'!$G$8))*('Saisie des données'!$G$22*'Saisie des données'!$G$23))</f>
        <v>24120.002399999998</v>
      </c>
      <c r="K59" s="230">
        <f>IF('Saisie des données'!O$44=2,(('Saisie des données'!$G$9*(1+'Saisie des données'!$G$13)^(Résultats!$D11-'Saisie des données'!$G$8))*('Saisie des données'!$G$16*'Saisie des données'!$G$17)+('Saisie des données'!$G$9*(1+'Saisie des données'!$G$13)^(Résultats!$D11-'Saisie des données'!$G$8))*('Saisie des données'!$G$16*'Saisie des données'!$G$18)),('Saisie des données'!$G$9*(1+'Saisie des données'!$G$13)^(Résultats!$D11-'Saisie des données'!$G$8))*('Saisie des données'!$G$16*'Saisie des données'!$G$17))</f>
        <v>112560.01119999998</v>
      </c>
      <c r="L59" s="230">
        <f>IF('Saisie des données'!O$44=2,(('Saisie des données'!$G$9*(1+'Saisie des données'!$G$13)^(Résultats!$D11-'Saisie des données'!$G$8))*('Saisie des données'!$G$19*'Saisie des données'!$G$20)+('Saisie des données'!$G$9*(1+'Saisie des données'!$G$13)^(Résultats!$D11-'Saisie des données'!$G$8))*('Saisie des données'!$G$19*'Saisie des données'!$G$21)),('Saisie des données'!$G$9*(1+'Saisie des données'!$G$13)^(Résultats!$D11-'Saisie des données'!$G$8))*('Saisie des données'!$G$19*'Saisie des données'!$G$20))</f>
        <v>24120.002399999998</v>
      </c>
      <c r="M59" s="230">
        <f>IF('Saisie des données'!O$44=2,(('Saisie des données'!$G$9*(1+'Saisie des données'!$G$13)^(Résultats!$D11-'Saisie des données'!$G$8))*('Saisie des données'!$G$22*'Saisie des données'!$G$23)+('Saisie des données'!$G$9*(1+'Saisie des données'!$G$13)^(Résultats!$D11-'Saisie des données'!$G$8))*('Saisie des données'!$G$22*'Saisie des données'!$G$24)),('Saisie des données'!$G$9*(1+'Saisie des données'!$G$13)^(Résultats!$D11-'Saisie des données'!$G$8))*('Saisie des données'!$G$22*'Saisie des données'!$G$23))</f>
        <v>24120.002399999998</v>
      </c>
    </row>
    <row r="60" spans="1:13" x14ac:dyDescent="0.3">
      <c r="A60">
        <f>'Saisie des données'!$G$8+1</f>
        <v>2027</v>
      </c>
      <c r="B60" s="230">
        <f>IF('Saisie des données'!G$44=2,(('Saisie des données'!$G$9*(1+'Saisie des données'!$G$13)^(Résultats!$D12-'Saisie des données'!$G$8))*('Saisie des données'!$G$16*'Saisie des données'!$G$17)+('Saisie des données'!$G$9*(1+'Saisie des données'!$G$13)^(Résultats!$D12-'Saisie des données'!$G$8))*('Saisie des données'!$G$16*'Saisie des données'!$G$18)),('Saisie des données'!$G$9*(1+'Saisie des données'!$G$13)^(Résultats!$D12-'Saisie des données'!$G$8))*('Saisie des données'!$G$16*'Saisie des données'!$G$17))</f>
        <v>114811.21142399998</v>
      </c>
      <c r="C60" s="230">
        <f>IF('Saisie des données'!G$44=2,(('Saisie des données'!$G$9*(1+'Saisie des données'!$G$13)^(Résultats!$D12-'Saisie des données'!$G$8))*('Saisie des données'!$G$19*'Saisie des données'!$G$20)+('Saisie des données'!$G$9*(1+'Saisie des données'!$G$13)^(Résultats!$D12-'Saisie des données'!$G$8))*('Saisie des données'!$G$19*'Saisie des données'!$G$21)),('Saisie des données'!$G$9*(1+'Saisie des données'!$G$13)^(Résultats!$D12-'Saisie des données'!$G$8))*('Saisie des données'!$G$19*'Saisie des données'!$G$20))</f>
        <v>24602.402447999997</v>
      </c>
      <c r="D60" s="230">
        <f>IF('Saisie des données'!G$44=2,(('Saisie des données'!$G$9*(1+'Saisie des données'!$G$13)^(Résultats!$D12-'Saisie des données'!$G$8))*('Saisie des données'!$G$22*'Saisie des données'!$G$23)+('Saisie des données'!$G$9*(1+'Saisie des données'!$G$13)^(Résultats!$D12-'Saisie des données'!$G$8))*('Saisie des données'!$G$22*'Saisie des données'!$G$24)),('Saisie des données'!$G$9*(1+'Saisie des données'!$G$13)^(Résultats!$D12-'Saisie des données'!$G$8))*('Saisie des données'!$G$22*'Saisie des données'!$G$23))</f>
        <v>24602.402447999997</v>
      </c>
      <c r="E60" s="230">
        <f>IF('Saisie des données'!K$44=2,(('Saisie des données'!$G$9*(1+'Saisie des données'!$G$13)^(Résultats!$D12-'Saisie des données'!$G$8))*('Saisie des données'!$G$16*'Saisie des données'!$G$17)+('Saisie des données'!$G$9*(1+'Saisie des données'!$G$13)^(Résultats!$D12-'Saisie des données'!$G$8))*('Saisie des données'!$G$16*'Saisie des données'!$G$18)),('Saisie des données'!$G$9*(1+'Saisie des données'!$G$13)^(Résultats!$D12-'Saisie des données'!$G$8))*('Saisie des données'!$G$16*'Saisie des données'!$G$17))</f>
        <v>215271.02141999995</v>
      </c>
      <c r="F60" s="230">
        <f>IF('Saisie des données'!K$44=2,(('Saisie des données'!$G$9*(1+'Saisie des données'!$G$13)^(Résultats!$D12-'Saisie des données'!$G$8))*('Saisie des données'!$G$19*'Saisie des données'!$G$20)+('Saisie des données'!$G$9*(1+'Saisie des données'!$G$13)^(Résultats!$D12-'Saisie des données'!$G$8))*('Saisie des données'!$G$19*'Saisie des données'!$G$21)),('Saisie des données'!$G$9*(1+'Saisie des données'!$G$13)^(Résultats!$D12-'Saisie des données'!$G$8))*('Saisie des données'!$G$19*'Saisie des données'!$G$20))</f>
        <v>46129.504589999997</v>
      </c>
      <c r="G60" s="230">
        <f>IF('Saisie des données'!K$44=2,(('Saisie des données'!$G$9*(1+'Saisie des données'!$G$13)^(Résultats!$D12-'Saisie des données'!$G$8))*('Saisie des données'!$G$22*'Saisie des données'!$G$23)+('Saisie des données'!$G$9*(1+'Saisie des données'!$G$13)^(Résultats!$D12-'Saisie des données'!$G$8))*('Saisie des données'!$G$22*'Saisie des données'!$G$24)),('Saisie des données'!$G$9*(1+'Saisie des données'!$G$13)^(Résultats!$D12-'Saisie des données'!$G$8))*('Saisie des données'!$G$22*'Saisie des données'!$G$23))</f>
        <v>47667.154742999992</v>
      </c>
      <c r="H60" s="230">
        <f>IF('Saisie des données'!M$44=2,(('Saisie des données'!$G$9*(1+'Saisie des données'!$G$13)^(Résultats!$D12-'Saisie des données'!$G$8))*('Saisie des données'!$G$16*'Saisie des données'!$G$17)+('Saisie des données'!$G$9*(1+'Saisie des données'!$G$13)^(Résultats!$D12-'Saisie des données'!$G$8))*('Saisie des données'!$G$16*'Saisie des données'!$G$18)),('Saisie des données'!$G$9*(1+'Saisie des données'!$G$13)^(Résultats!$D12-'Saisie des données'!$G$8))*('Saisie des données'!$G$16*'Saisie des données'!$G$17))</f>
        <v>114811.21142399998</v>
      </c>
      <c r="I60" s="230">
        <f>IF('Saisie des données'!M$44=2,(('Saisie des données'!$G$9*(1+'Saisie des données'!$G$13)^(Résultats!$D12-'Saisie des données'!$G$8))*('Saisie des données'!$G$19*'Saisie des données'!$G$20)+('Saisie des données'!$G$9*(1+'Saisie des données'!$G$13)^(Résultats!$D12-'Saisie des données'!$G$8))*('Saisie des données'!$G$19*'Saisie des données'!$G$21)),('Saisie des données'!$G$9*(1+'Saisie des données'!$G$13)^(Résultats!$D12-'Saisie des données'!$G$8))*('Saisie des données'!$G$19*'Saisie des données'!$G$20))</f>
        <v>24602.402447999997</v>
      </c>
      <c r="J60" s="230">
        <f>IF('Saisie des données'!M$44=2,(('Saisie des données'!$G$9*(1+'Saisie des données'!$G$13)^(Résultats!$D12-'Saisie des données'!$G$8))*('Saisie des données'!$G$22*'Saisie des données'!$G$23)+('Saisie des données'!$G$9*(1+'Saisie des données'!$G$13)^(Résultats!$D12-'Saisie des données'!$G$8))*('Saisie des données'!$G$22*'Saisie des données'!$G$24)),('Saisie des données'!$G$9*(1+'Saisie des données'!$G$13)^(Résultats!$D12-'Saisie des données'!$G$8))*('Saisie des données'!$G$22*'Saisie des données'!$G$23))</f>
        <v>24602.402447999997</v>
      </c>
      <c r="K60" s="230">
        <f>IF('Saisie des données'!O$44=2,(('Saisie des données'!$G$9*(1+'Saisie des données'!$G$13)^(Résultats!$D12-'Saisie des données'!$G$8))*('Saisie des données'!$G$16*'Saisie des données'!$G$17)+('Saisie des données'!$G$9*(1+'Saisie des données'!$G$13)^(Résultats!$D12-'Saisie des données'!$G$8))*('Saisie des données'!$G$16*'Saisie des données'!$G$18)),('Saisie des données'!$G$9*(1+'Saisie des données'!$G$13)^(Résultats!$D12-'Saisie des données'!$G$8))*('Saisie des données'!$G$16*'Saisie des données'!$G$17))</f>
        <v>114811.21142399998</v>
      </c>
      <c r="L60" s="230">
        <f>IF('Saisie des données'!O$44=2,(('Saisie des données'!$G$9*(1+'Saisie des données'!$G$13)^(Résultats!$D12-'Saisie des données'!$G$8))*('Saisie des données'!$G$19*'Saisie des données'!$G$20)+('Saisie des données'!$G$9*(1+'Saisie des données'!$G$13)^(Résultats!$D12-'Saisie des données'!$G$8))*('Saisie des données'!$G$19*'Saisie des données'!$G$21)),('Saisie des données'!$G$9*(1+'Saisie des données'!$G$13)^(Résultats!$D12-'Saisie des données'!$G$8))*('Saisie des données'!$G$19*'Saisie des données'!$G$20))</f>
        <v>24602.402447999997</v>
      </c>
      <c r="M60" s="230">
        <f>IF('Saisie des données'!O$44=2,(('Saisie des données'!$G$9*(1+'Saisie des données'!$G$13)^(Résultats!$D12-'Saisie des données'!$G$8))*('Saisie des données'!$G$22*'Saisie des données'!$G$23)+('Saisie des données'!$G$9*(1+'Saisie des données'!$G$13)^(Résultats!$D12-'Saisie des données'!$G$8))*('Saisie des données'!$G$22*'Saisie des données'!$G$24)),('Saisie des données'!$G$9*(1+'Saisie des données'!$G$13)^(Résultats!$D12-'Saisie des données'!$G$8))*('Saisie des données'!$G$22*'Saisie des données'!$G$23))</f>
        <v>24602.402447999997</v>
      </c>
    </row>
    <row r="61" spans="1:13" x14ac:dyDescent="0.3">
      <c r="A61">
        <f>'Saisie des données'!$G$8+2</f>
        <v>2028</v>
      </c>
      <c r="B61" s="230">
        <f>IF('Saisie des données'!G$44=2,(('Saisie des données'!$G$9*(1+'Saisie des données'!$G$13)^(Résultats!$D13-'Saisie des données'!$G$8))*('Saisie des données'!$G$16*'Saisie des données'!$G$17)+('Saisie des données'!$G$9*(1+'Saisie des données'!$G$13)^(Résultats!$D13-'Saisie des données'!$G$8))*('Saisie des données'!$G$16*'Saisie des données'!$G$18)),('Saisie des données'!$G$9*(1+'Saisie des données'!$G$13)^(Résultats!$D13-'Saisie des données'!$G$8))*('Saisie des données'!$G$16*'Saisie des données'!$G$17))</f>
        <v>117107.43565247998</v>
      </c>
      <c r="C61" s="230">
        <f>IF('Saisie des données'!G$44=2,(('Saisie des données'!$G$9*(1+'Saisie des données'!$G$13)^(Résultats!$D13-'Saisie des données'!$G$8))*('Saisie des données'!$G$19*'Saisie des données'!$G$20)+('Saisie des données'!$G$9*(1+'Saisie des données'!$G$13)^(Résultats!$D13-'Saisie des données'!$G$8))*('Saisie des données'!$G$19*'Saisie des données'!$G$21)),('Saisie des données'!$G$9*(1+'Saisie des données'!$G$13)^(Résultats!$D13-'Saisie des données'!$G$8))*('Saisie des données'!$G$19*'Saisie des données'!$G$20))</f>
        <v>25094.450496959998</v>
      </c>
      <c r="D61" s="230">
        <f>IF('Saisie des données'!G$44=2,(('Saisie des données'!$G$9*(1+'Saisie des données'!$G$13)^(Résultats!$D13-'Saisie des données'!$G$8))*('Saisie des données'!$G$22*'Saisie des données'!$G$23)+('Saisie des données'!$G$9*(1+'Saisie des données'!$G$13)^(Résultats!$D13-'Saisie des données'!$G$8))*('Saisie des données'!$G$22*'Saisie des données'!$G$24)),('Saisie des données'!$G$9*(1+'Saisie des données'!$G$13)^(Résultats!$D13-'Saisie des données'!$G$8))*('Saisie des données'!$G$22*'Saisie des données'!$G$23))</f>
        <v>25094.450496959998</v>
      </c>
      <c r="E61" s="230">
        <f>IF('Saisie des données'!K$44=2,(('Saisie des données'!$G$9*(1+'Saisie des données'!$G$13)^(Résultats!$D13-'Saisie des données'!$G$8))*('Saisie des données'!$G$16*'Saisie des données'!$G$17)+('Saisie des données'!$G$9*(1+'Saisie des données'!$G$13)^(Résultats!$D13-'Saisie des données'!$G$8))*('Saisie des données'!$G$16*'Saisie des données'!$G$18)),('Saisie des données'!$G$9*(1+'Saisie des données'!$G$13)^(Résultats!$D13-'Saisie des données'!$G$8))*('Saisie des données'!$G$16*'Saisie des données'!$G$17))</f>
        <v>219576.44184839996</v>
      </c>
      <c r="F61" s="230">
        <f>IF('Saisie des données'!K$44=2,(('Saisie des données'!$G$9*(1+'Saisie des données'!$G$13)^(Résultats!$D13-'Saisie des données'!$G$8))*('Saisie des données'!$G$19*'Saisie des données'!$G$20)+('Saisie des données'!$G$9*(1+'Saisie des données'!$G$13)^(Résultats!$D13-'Saisie des données'!$G$8))*('Saisie des données'!$G$19*'Saisie des données'!$G$21)),('Saisie des données'!$G$9*(1+'Saisie des données'!$G$13)^(Résultats!$D13-'Saisie des données'!$G$8))*('Saisie des données'!$G$19*'Saisie des données'!$G$20))</f>
        <v>47052.094681799994</v>
      </c>
      <c r="G61" s="230">
        <f>IF('Saisie des données'!K$44=2,(('Saisie des données'!$G$9*(1+'Saisie des données'!$G$13)^(Résultats!$D13-'Saisie des données'!$G$8))*('Saisie des données'!$G$22*'Saisie des données'!$G$23)+('Saisie des données'!$G$9*(1+'Saisie des données'!$G$13)^(Résultats!$D13-'Saisie des données'!$G$8))*('Saisie des données'!$G$22*'Saisie des données'!$G$24)),('Saisie des données'!$G$9*(1+'Saisie des données'!$G$13)^(Résultats!$D13-'Saisie des données'!$G$8))*('Saisie des données'!$G$22*'Saisie des données'!$G$23))</f>
        <v>48620.497837859992</v>
      </c>
      <c r="H61" s="230">
        <f>IF('Saisie des données'!M$44=2,(('Saisie des données'!$G$9*(1+'Saisie des données'!$G$13)^(Résultats!$D13-'Saisie des données'!$G$8))*('Saisie des données'!$G$16*'Saisie des données'!$G$17)+('Saisie des données'!$G$9*(1+'Saisie des données'!$G$13)^(Résultats!$D13-'Saisie des données'!$G$8))*('Saisie des données'!$G$16*'Saisie des données'!$G$18)),('Saisie des données'!$G$9*(1+'Saisie des données'!$G$13)^(Résultats!$D13-'Saisie des données'!$G$8))*('Saisie des données'!$G$16*'Saisie des données'!$G$17))</f>
        <v>117107.43565247998</v>
      </c>
      <c r="I61" s="230">
        <f>IF('Saisie des données'!M$44=2,(('Saisie des données'!$G$9*(1+'Saisie des données'!$G$13)^(Résultats!$D13-'Saisie des données'!$G$8))*('Saisie des données'!$G$19*'Saisie des données'!$G$20)+('Saisie des données'!$G$9*(1+'Saisie des données'!$G$13)^(Résultats!$D13-'Saisie des données'!$G$8))*('Saisie des données'!$G$19*'Saisie des données'!$G$21)),('Saisie des données'!$G$9*(1+'Saisie des données'!$G$13)^(Résultats!$D13-'Saisie des données'!$G$8))*('Saisie des données'!$G$19*'Saisie des données'!$G$20))</f>
        <v>25094.450496959998</v>
      </c>
      <c r="J61" s="230">
        <f>IF('Saisie des données'!M$44=2,(('Saisie des données'!$G$9*(1+'Saisie des données'!$G$13)^(Résultats!$D13-'Saisie des données'!$G$8))*('Saisie des données'!$G$22*'Saisie des données'!$G$23)+('Saisie des données'!$G$9*(1+'Saisie des données'!$G$13)^(Résultats!$D13-'Saisie des données'!$G$8))*('Saisie des données'!$G$22*'Saisie des données'!$G$24)),('Saisie des données'!$G$9*(1+'Saisie des données'!$G$13)^(Résultats!$D13-'Saisie des données'!$G$8))*('Saisie des données'!$G$22*'Saisie des données'!$G$23))</f>
        <v>25094.450496959998</v>
      </c>
      <c r="K61" s="230">
        <f>IF('Saisie des données'!O$44=2,(('Saisie des données'!$G$9*(1+'Saisie des données'!$G$13)^(Résultats!$D13-'Saisie des données'!$G$8))*('Saisie des données'!$G$16*'Saisie des données'!$G$17)+('Saisie des données'!$G$9*(1+'Saisie des données'!$G$13)^(Résultats!$D13-'Saisie des données'!$G$8))*('Saisie des données'!$G$16*'Saisie des données'!$G$18)),('Saisie des données'!$G$9*(1+'Saisie des données'!$G$13)^(Résultats!$D13-'Saisie des données'!$G$8))*('Saisie des données'!$G$16*'Saisie des données'!$G$17))</f>
        <v>117107.43565247998</v>
      </c>
      <c r="L61" s="230">
        <f>IF('Saisie des données'!O$44=2,(('Saisie des données'!$G$9*(1+'Saisie des données'!$G$13)^(Résultats!$D13-'Saisie des données'!$G$8))*('Saisie des données'!$G$19*'Saisie des données'!$G$20)+('Saisie des données'!$G$9*(1+'Saisie des données'!$G$13)^(Résultats!$D13-'Saisie des données'!$G$8))*('Saisie des données'!$G$19*'Saisie des données'!$G$21)),('Saisie des données'!$G$9*(1+'Saisie des données'!$G$13)^(Résultats!$D13-'Saisie des données'!$G$8))*('Saisie des données'!$G$19*'Saisie des données'!$G$20))</f>
        <v>25094.450496959998</v>
      </c>
      <c r="M61" s="230">
        <f>IF('Saisie des données'!O$44=2,(('Saisie des données'!$G$9*(1+'Saisie des données'!$G$13)^(Résultats!$D13-'Saisie des données'!$G$8))*('Saisie des données'!$G$22*'Saisie des données'!$G$23)+('Saisie des données'!$G$9*(1+'Saisie des données'!$G$13)^(Résultats!$D13-'Saisie des données'!$G$8))*('Saisie des données'!$G$22*'Saisie des données'!$G$24)),('Saisie des données'!$G$9*(1+'Saisie des données'!$G$13)^(Résultats!$D13-'Saisie des données'!$G$8))*('Saisie des données'!$G$22*'Saisie des données'!$G$23))</f>
        <v>25094.450496959998</v>
      </c>
    </row>
    <row r="62" spans="1:13" x14ac:dyDescent="0.3">
      <c r="A62">
        <f>'Saisie des données'!$G$8+3</f>
        <v>2029</v>
      </c>
      <c r="B62" s="230">
        <f>IF('Saisie des données'!G$44=2,(('Saisie des données'!$G$9*(1+'Saisie des données'!$G$13)^(Résultats!$D14-'Saisie des données'!$G$8))*('Saisie des données'!$G$16*'Saisie des données'!$G$17)+('Saisie des données'!$G$9*(1+'Saisie des données'!$G$13)^(Résultats!$D14-'Saisie des données'!$G$8))*('Saisie des données'!$G$16*'Saisie des données'!$G$18)),('Saisie des données'!$G$9*(1+'Saisie des données'!$G$13)^(Résultats!$D14-'Saisie des données'!$G$8))*('Saisie des données'!$G$16*'Saisie des données'!$G$17))</f>
        <v>119449.58436552958</v>
      </c>
      <c r="C62" s="230">
        <f>IF('Saisie des données'!G$44=2,(('Saisie des données'!$G$9*(1+'Saisie des données'!$G$13)^(Résultats!$D14-'Saisie des données'!$G$8))*('Saisie des données'!$G$19*'Saisie des données'!$G$20)+('Saisie des données'!$G$9*(1+'Saisie des données'!$G$13)^(Résultats!$D14-'Saisie des données'!$G$8))*('Saisie des données'!$G$19*'Saisie des données'!$G$21)),('Saisie des données'!$G$9*(1+'Saisie des données'!$G$13)^(Résultats!$D14-'Saisie des données'!$G$8))*('Saisie des données'!$G$19*'Saisie des données'!$G$20))</f>
        <v>25596.339506899196</v>
      </c>
      <c r="D62" s="230">
        <f>IF('Saisie des données'!G$44=2,(('Saisie des données'!$G$9*(1+'Saisie des données'!$G$13)^(Résultats!$D14-'Saisie des données'!$G$8))*('Saisie des données'!$G$22*'Saisie des données'!$G$23)+('Saisie des données'!$G$9*(1+'Saisie des données'!$G$13)^(Résultats!$D14-'Saisie des données'!$G$8))*('Saisie des données'!$G$22*'Saisie des données'!$G$24)),('Saisie des données'!$G$9*(1+'Saisie des données'!$G$13)^(Résultats!$D14-'Saisie des données'!$G$8))*('Saisie des données'!$G$22*'Saisie des données'!$G$23))</f>
        <v>25596.339506899196</v>
      </c>
      <c r="E62" s="230">
        <f>IF('Saisie des données'!K$44=2,(('Saisie des données'!$G$9*(1+'Saisie des données'!$G$13)^(Résultats!$D14-'Saisie des données'!$G$8))*('Saisie des données'!$G$16*'Saisie des données'!$G$17)+('Saisie des données'!$G$9*(1+'Saisie des données'!$G$13)^(Résultats!$D14-'Saisie des données'!$G$8))*('Saisie des données'!$G$16*'Saisie des données'!$G$18)),('Saisie des données'!$G$9*(1+'Saisie des données'!$G$13)^(Résultats!$D14-'Saisie des données'!$G$8))*('Saisie des données'!$G$16*'Saisie des données'!$G$17))</f>
        <v>223967.97068536794</v>
      </c>
      <c r="F62" s="230">
        <f>IF('Saisie des données'!K$44=2,(('Saisie des données'!$G$9*(1+'Saisie des données'!$G$13)^(Résultats!$D14-'Saisie des données'!$G$8))*('Saisie des données'!$G$19*'Saisie des données'!$G$20)+('Saisie des données'!$G$9*(1+'Saisie des données'!$G$13)^(Résultats!$D14-'Saisie des données'!$G$8))*('Saisie des données'!$G$19*'Saisie des données'!$G$21)),('Saisie des données'!$G$9*(1+'Saisie des données'!$G$13)^(Résultats!$D14-'Saisie des données'!$G$8))*('Saisie des données'!$G$19*'Saisie des données'!$G$20))</f>
        <v>47993.136575435987</v>
      </c>
      <c r="G62" s="230">
        <f>IF('Saisie des données'!K$44=2,(('Saisie des données'!$G$9*(1+'Saisie des données'!$G$13)^(Résultats!$D14-'Saisie des données'!$G$8))*('Saisie des données'!$G$22*'Saisie des données'!$G$23)+('Saisie des données'!$G$9*(1+'Saisie des données'!$G$13)^(Résultats!$D14-'Saisie des données'!$G$8))*('Saisie des données'!$G$22*'Saisie des données'!$G$24)),('Saisie des données'!$G$9*(1+'Saisie des données'!$G$13)^(Résultats!$D14-'Saisie des données'!$G$8))*('Saisie des données'!$G$22*'Saisie des données'!$G$23))</f>
        <v>49592.907794617189</v>
      </c>
      <c r="H62" s="230">
        <f>IF('Saisie des données'!M$44=2,(('Saisie des données'!$G$9*(1+'Saisie des données'!$G$13)^(Résultats!$D14-'Saisie des données'!$G$8))*('Saisie des données'!$G$16*'Saisie des données'!$G$17)+('Saisie des données'!$G$9*(1+'Saisie des données'!$G$13)^(Résultats!$D14-'Saisie des données'!$G$8))*('Saisie des données'!$G$16*'Saisie des données'!$G$18)),('Saisie des données'!$G$9*(1+'Saisie des données'!$G$13)^(Résultats!$D14-'Saisie des données'!$G$8))*('Saisie des données'!$G$16*'Saisie des données'!$G$17))</f>
        <v>119449.58436552958</v>
      </c>
      <c r="I62" s="230">
        <f>IF('Saisie des données'!M$44=2,(('Saisie des données'!$G$9*(1+'Saisie des données'!$G$13)^(Résultats!$D14-'Saisie des données'!$G$8))*('Saisie des données'!$G$19*'Saisie des données'!$G$20)+('Saisie des données'!$G$9*(1+'Saisie des données'!$G$13)^(Résultats!$D14-'Saisie des données'!$G$8))*('Saisie des données'!$G$19*'Saisie des données'!$G$21)),('Saisie des données'!$G$9*(1+'Saisie des données'!$G$13)^(Résultats!$D14-'Saisie des données'!$G$8))*('Saisie des données'!$G$19*'Saisie des données'!$G$20))</f>
        <v>25596.339506899196</v>
      </c>
      <c r="J62" s="230">
        <f>IF('Saisie des données'!M$44=2,(('Saisie des données'!$G$9*(1+'Saisie des données'!$G$13)^(Résultats!$D14-'Saisie des données'!$G$8))*('Saisie des données'!$G$22*'Saisie des données'!$G$23)+('Saisie des données'!$G$9*(1+'Saisie des données'!$G$13)^(Résultats!$D14-'Saisie des données'!$G$8))*('Saisie des données'!$G$22*'Saisie des données'!$G$24)),('Saisie des données'!$G$9*(1+'Saisie des données'!$G$13)^(Résultats!$D14-'Saisie des données'!$G$8))*('Saisie des données'!$G$22*'Saisie des données'!$G$23))</f>
        <v>25596.339506899196</v>
      </c>
      <c r="K62" s="230">
        <f>IF('Saisie des données'!O$44=2,(('Saisie des données'!$G$9*(1+'Saisie des données'!$G$13)^(Résultats!$D14-'Saisie des données'!$G$8))*('Saisie des données'!$G$16*'Saisie des données'!$G$17)+('Saisie des données'!$G$9*(1+'Saisie des données'!$G$13)^(Résultats!$D14-'Saisie des données'!$G$8))*('Saisie des données'!$G$16*'Saisie des données'!$G$18)),('Saisie des données'!$G$9*(1+'Saisie des données'!$G$13)^(Résultats!$D14-'Saisie des données'!$G$8))*('Saisie des données'!$G$16*'Saisie des données'!$G$17))</f>
        <v>119449.58436552958</v>
      </c>
      <c r="L62" s="230">
        <f>IF('Saisie des données'!O$44=2,(('Saisie des données'!$G$9*(1+'Saisie des données'!$G$13)^(Résultats!$D14-'Saisie des données'!$G$8))*('Saisie des données'!$G$19*'Saisie des données'!$G$20)+('Saisie des données'!$G$9*(1+'Saisie des données'!$G$13)^(Résultats!$D14-'Saisie des données'!$G$8))*('Saisie des données'!$G$19*'Saisie des données'!$G$21)),('Saisie des données'!$G$9*(1+'Saisie des données'!$G$13)^(Résultats!$D14-'Saisie des données'!$G$8))*('Saisie des données'!$G$19*'Saisie des données'!$G$20))</f>
        <v>25596.339506899196</v>
      </c>
      <c r="M62" s="230">
        <f>IF('Saisie des données'!O$44=2,(('Saisie des données'!$G$9*(1+'Saisie des données'!$G$13)^(Résultats!$D14-'Saisie des données'!$G$8))*('Saisie des données'!$G$22*'Saisie des données'!$G$23)+('Saisie des données'!$G$9*(1+'Saisie des données'!$G$13)^(Résultats!$D14-'Saisie des données'!$G$8))*('Saisie des données'!$G$22*'Saisie des données'!$G$24)),('Saisie des données'!$G$9*(1+'Saisie des données'!$G$13)^(Résultats!$D14-'Saisie des données'!$G$8))*('Saisie des données'!$G$22*'Saisie des données'!$G$23))</f>
        <v>25596.339506899196</v>
      </c>
    </row>
    <row r="63" spans="1:13" x14ac:dyDescent="0.3">
      <c r="A63">
        <f>'Saisie des données'!$G$8+4</f>
        <v>2030</v>
      </c>
      <c r="B63" s="230">
        <f>IF('Saisie des données'!G$44=2,(('Saisie des données'!$G$9*(1+'Saisie des données'!$G$13)^(Résultats!$D15-'Saisie des données'!$G$8))*('Saisie des données'!$G$16*'Saisie des données'!$G$17)+('Saisie des données'!$G$9*(1+'Saisie des données'!$G$13)^(Résultats!$D15-'Saisie des données'!$G$8))*('Saisie des données'!$G$16*'Saisie des données'!$G$18)),('Saisie des données'!$G$9*(1+'Saisie des données'!$G$13)^(Résultats!$D15-'Saisie des données'!$G$8))*('Saisie des données'!$G$16*'Saisie des données'!$G$17))</f>
        <v>121838.57605284017</v>
      </c>
      <c r="C63" s="230">
        <f>IF('Saisie des données'!G$44=2,(('Saisie des données'!$G$9*(1+'Saisie des données'!$G$13)^(Résultats!$D15-'Saisie des données'!$G$8))*('Saisie des données'!$G$19*'Saisie des données'!$G$20)+('Saisie des données'!$G$9*(1+'Saisie des données'!$G$13)^(Résultats!$D15-'Saisie des données'!$G$8))*('Saisie des données'!$G$19*'Saisie des données'!$G$21)),('Saisie des données'!$G$9*(1+'Saisie des données'!$G$13)^(Résultats!$D15-'Saisie des données'!$G$8))*('Saisie des données'!$G$19*'Saisie des données'!$G$20))</f>
        <v>26108.266297037182</v>
      </c>
      <c r="D63" s="230">
        <f>IF('Saisie des données'!G$44=2,(('Saisie des données'!$G$9*(1+'Saisie des données'!$G$13)^(Résultats!$D15-'Saisie des données'!$G$8))*('Saisie des données'!$G$22*'Saisie des données'!$G$23)+('Saisie des données'!$G$9*(1+'Saisie des données'!$G$13)^(Résultats!$D15-'Saisie des données'!$G$8))*('Saisie des données'!$G$22*'Saisie des données'!$G$24)),('Saisie des données'!$G$9*(1+'Saisie des données'!$G$13)^(Résultats!$D15-'Saisie des données'!$G$8))*('Saisie des données'!$G$22*'Saisie des données'!$G$23))</f>
        <v>26108.266297037182</v>
      </c>
      <c r="E63" s="230">
        <f>IF('Saisie des données'!K$44=2,(('Saisie des données'!$G$9*(1+'Saisie des données'!$G$13)^(Résultats!$D15-'Saisie des données'!$G$8))*('Saisie des données'!$G$16*'Saisie des données'!$G$17)+('Saisie des données'!$G$9*(1+'Saisie des données'!$G$13)^(Résultats!$D15-'Saisie des données'!$G$8))*('Saisie des données'!$G$16*'Saisie des données'!$G$18)),('Saisie des données'!$G$9*(1+'Saisie des données'!$G$13)^(Résultats!$D15-'Saisie des données'!$G$8))*('Saisie des données'!$G$16*'Saisie des données'!$G$17))</f>
        <v>228447.33009907533</v>
      </c>
      <c r="F63" s="230">
        <f>IF('Saisie des données'!K$44=2,(('Saisie des données'!$G$9*(1+'Saisie des données'!$G$13)^(Résultats!$D15-'Saisie des données'!$G$8))*('Saisie des données'!$G$19*'Saisie des données'!$G$20)+('Saisie des données'!$G$9*(1+'Saisie des données'!$G$13)^(Résultats!$D15-'Saisie des données'!$G$8))*('Saisie des données'!$G$19*'Saisie des données'!$G$21)),('Saisie des données'!$G$9*(1+'Saisie des données'!$G$13)^(Résultats!$D15-'Saisie des données'!$G$8))*('Saisie des données'!$G$19*'Saisie des données'!$G$20))</f>
        <v>48952.999306944715</v>
      </c>
      <c r="G63" s="230">
        <f>IF('Saisie des données'!K$44=2,(('Saisie des données'!$G$9*(1+'Saisie des données'!$G$13)^(Résultats!$D15-'Saisie des données'!$G$8))*('Saisie des données'!$G$22*'Saisie des données'!$G$23)+('Saisie des données'!$G$9*(1+'Saisie des données'!$G$13)^(Résultats!$D15-'Saisie des données'!$G$8))*('Saisie des données'!$G$22*'Saisie des données'!$G$24)),('Saisie des données'!$G$9*(1+'Saisie des données'!$G$13)^(Résultats!$D15-'Saisie des données'!$G$8))*('Saisie des données'!$G$22*'Saisie des données'!$G$23))</f>
        <v>50584.765950509536</v>
      </c>
      <c r="H63" s="230">
        <f>IF('Saisie des données'!M$44=2,(('Saisie des données'!$G$9*(1+'Saisie des données'!$G$13)^(Résultats!$D15-'Saisie des données'!$G$8))*('Saisie des données'!$G$16*'Saisie des données'!$G$17)+('Saisie des données'!$G$9*(1+'Saisie des données'!$G$13)^(Résultats!$D15-'Saisie des données'!$G$8))*('Saisie des données'!$G$16*'Saisie des données'!$G$18)),('Saisie des données'!$G$9*(1+'Saisie des données'!$G$13)^(Résultats!$D15-'Saisie des données'!$G$8))*('Saisie des données'!$G$16*'Saisie des données'!$G$17))</f>
        <v>121838.57605284017</v>
      </c>
      <c r="I63" s="230">
        <f>IF('Saisie des données'!M$44=2,(('Saisie des données'!$G$9*(1+'Saisie des données'!$G$13)^(Résultats!$D15-'Saisie des données'!$G$8))*('Saisie des données'!$G$19*'Saisie des données'!$G$20)+('Saisie des données'!$G$9*(1+'Saisie des données'!$G$13)^(Résultats!$D15-'Saisie des données'!$G$8))*('Saisie des données'!$G$19*'Saisie des données'!$G$21)),('Saisie des données'!$G$9*(1+'Saisie des données'!$G$13)^(Résultats!$D15-'Saisie des données'!$G$8))*('Saisie des données'!$G$19*'Saisie des données'!$G$20))</f>
        <v>26108.266297037182</v>
      </c>
      <c r="J63" s="230">
        <f>IF('Saisie des données'!M$44=2,(('Saisie des données'!$G$9*(1+'Saisie des données'!$G$13)^(Résultats!$D15-'Saisie des données'!$G$8))*('Saisie des données'!$G$22*'Saisie des données'!$G$23)+('Saisie des données'!$G$9*(1+'Saisie des données'!$G$13)^(Résultats!$D15-'Saisie des données'!$G$8))*('Saisie des données'!$G$22*'Saisie des données'!$G$24)),('Saisie des données'!$G$9*(1+'Saisie des données'!$G$13)^(Résultats!$D15-'Saisie des données'!$G$8))*('Saisie des données'!$G$22*'Saisie des données'!$G$23))</f>
        <v>26108.266297037182</v>
      </c>
      <c r="K63" s="230">
        <f>IF('Saisie des données'!O$44=2,(('Saisie des données'!$G$9*(1+'Saisie des données'!$G$13)^(Résultats!$D15-'Saisie des données'!$G$8))*('Saisie des données'!$G$16*'Saisie des données'!$G$17)+('Saisie des données'!$G$9*(1+'Saisie des données'!$G$13)^(Résultats!$D15-'Saisie des données'!$G$8))*('Saisie des données'!$G$16*'Saisie des données'!$G$18)),('Saisie des données'!$G$9*(1+'Saisie des données'!$G$13)^(Résultats!$D15-'Saisie des données'!$G$8))*('Saisie des données'!$G$16*'Saisie des données'!$G$17))</f>
        <v>121838.57605284017</v>
      </c>
      <c r="L63" s="230">
        <f>IF('Saisie des données'!O$44=2,(('Saisie des données'!$G$9*(1+'Saisie des données'!$G$13)^(Résultats!$D15-'Saisie des données'!$G$8))*('Saisie des données'!$G$19*'Saisie des données'!$G$20)+('Saisie des données'!$G$9*(1+'Saisie des données'!$G$13)^(Résultats!$D15-'Saisie des données'!$G$8))*('Saisie des données'!$G$19*'Saisie des données'!$G$21)),('Saisie des données'!$G$9*(1+'Saisie des données'!$G$13)^(Résultats!$D15-'Saisie des données'!$G$8))*('Saisie des données'!$G$19*'Saisie des données'!$G$20))</f>
        <v>26108.266297037182</v>
      </c>
      <c r="M63" s="230">
        <f>IF('Saisie des données'!O$44=2,(('Saisie des données'!$G$9*(1+'Saisie des données'!$G$13)^(Résultats!$D15-'Saisie des données'!$G$8))*('Saisie des données'!$G$22*'Saisie des données'!$G$23)+('Saisie des données'!$G$9*(1+'Saisie des données'!$G$13)^(Résultats!$D15-'Saisie des données'!$G$8))*('Saisie des données'!$G$22*'Saisie des données'!$G$24)),('Saisie des données'!$G$9*(1+'Saisie des données'!$G$13)^(Résultats!$D15-'Saisie des données'!$G$8))*('Saisie des données'!$G$22*'Saisie des données'!$G$23))</f>
        <v>26108.266297037182</v>
      </c>
    </row>
    <row r="64" spans="1:13" x14ac:dyDescent="0.3">
      <c r="A64" s="240" t="s">
        <v>134</v>
      </c>
    </row>
    <row r="65" spans="1:13" x14ac:dyDescent="0.3">
      <c r="A65" s="240">
        <f>'Saisie des données'!$G$8</f>
        <v>2026</v>
      </c>
      <c r="B65">
        <f>IF('Saisie des données'!G$44=2,(('Saisie des données'!$G$25*'Saisie des données'!$G$27*'Saisie des données'!$G$28)+('Saisie des données'!$G$25*'Saisie des données'!$G$27*'Saisie des données'!$G$29)),('Saisie des données'!$G$25*'Saisie des données'!$G$27*'Saisie des données'!$G$28))</f>
        <v>324000</v>
      </c>
      <c r="C65">
        <f>IF('Saisie des données'!G$44=2,(('Saisie des données'!$G$25*'Saisie des données'!$G$30*'Saisie des données'!$G$31)+('Saisie des données'!$G$25*'Saisie des données'!$G$30*'Saisie des données'!$G$32)),('Saisie des données'!$G$25*'Saisie des données'!$G$30*'Saisie des données'!$G$31))</f>
        <v>36000</v>
      </c>
      <c r="D65">
        <f>IF('Saisie des données'!G$44=2,(('Saisie des données'!$G$25*'Saisie des données'!$G$33*'Saisie des données'!$G$34)+('Saisie des données'!$G$25*'Saisie des données'!$G$33*'Saisie des données'!$G$35)),('Saisie des données'!$G$25*'Saisie des données'!$G$33*'Saisie des données'!$G$34))</f>
        <v>0</v>
      </c>
      <c r="E65">
        <f>IF('Saisie des données'!K$44=2,(('Saisie des données'!$G$25*'Saisie des données'!$G$27*'Saisie des données'!$G$28)+('Saisie des données'!$G$25*'Saisie des données'!$G$27*'Saisie des données'!$G$29)),('Saisie des données'!$G$25*'Saisie des données'!$G$27*'Saisie des données'!$G$28))</f>
        <v>612000</v>
      </c>
      <c r="F65">
        <f>IF('Saisie des données'!K$44=2,(('Saisie des données'!$G$25*'Saisie des données'!$G$30*'Saisie des données'!$G$31)+('Saisie des données'!$G$25*'Saisie des données'!$G$30*'Saisie des données'!$G$32)),('Saisie des données'!$G$25*'Saisie des données'!$G$30*'Saisie des données'!$G$31))</f>
        <v>68000</v>
      </c>
      <c r="G65">
        <f>IF('Saisie des données'!K$44=2,(('Saisie des données'!$G$25*'Saisie des données'!$G$33*'Saisie des données'!$G$34)+('Saisie des données'!$G$25*'Saisie des données'!$G$33*'Saisie des données'!$G$35)),('Saisie des données'!$G$25*'Saisie des données'!$G$33*'Saisie des données'!$G$34))</f>
        <v>0</v>
      </c>
      <c r="H65">
        <f>IF('Saisie des données'!M$44=2,(('Saisie des données'!$G$25*'Saisie des données'!$G$27*'Saisie des données'!$G$28)+('Saisie des données'!$G$25*'Saisie des données'!$G$27*'Saisie des données'!$G$29)),('Saisie des données'!$G$25*'Saisie des données'!$G$27*'Saisie des données'!$G$28))</f>
        <v>324000</v>
      </c>
      <c r="I65">
        <f>IF('Saisie des données'!M$44=2,(('Saisie des données'!$G$25*'Saisie des données'!$G$30*'Saisie des données'!$G$31)+('Saisie des données'!$G$25*'Saisie des données'!$G$30*'Saisie des données'!$G$32)),('Saisie des données'!$G$25*'Saisie des données'!$G$30*'Saisie des données'!$G$31))</f>
        <v>36000</v>
      </c>
      <c r="J65">
        <f>IF('Saisie des données'!M$44=2,(('Saisie des données'!$G$25*'Saisie des données'!$G$33*'Saisie des données'!$G$34)+('Saisie des données'!$G$25*'Saisie des données'!$G$33*'Saisie des données'!$G$35)),('Saisie des données'!$G$25*'Saisie des données'!$G$33*'Saisie des données'!$G$34))</f>
        <v>0</v>
      </c>
      <c r="K65">
        <f>IF('Saisie des données'!O$44=2,(('Saisie des données'!$G$25*'Saisie des données'!$G$27*'Saisie des données'!$G$28)+('Saisie des données'!$G$25*'Saisie des données'!$G$27*'Saisie des données'!$G$29)),('Saisie des données'!$G$25*'Saisie des données'!$G$27*'Saisie des données'!$G$28))</f>
        <v>324000</v>
      </c>
      <c r="L65">
        <f>IF('Saisie des données'!O$44=2,(('Saisie des données'!$G$25*'Saisie des données'!$G$30*'Saisie des données'!$G$31)+('Saisie des données'!$G$25*'Saisie des données'!$G$30*'Saisie des données'!$G$32)),('Saisie des données'!$G$25*'Saisie des données'!$G$30*'Saisie des données'!$G$31))</f>
        <v>36000</v>
      </c>
      <c r="M65">
        <f>IF('Saisie des données'!O$44=2,(('Saisie des données'!$G$25*'Saisie des données'!$G$33*'Saisie des données'!$G$34)+('Saisie des données'!$G$25*'Saisie des données'!$G$33*'Saisie des données'!$G$35)),('Saisie des données'!$G$25*'Saisie des données'!$G$33*'Saisie des données'!$G$34))</f>
        <v>0</v>
      </c>
    </row>
  </sheetData>
  <phoneticPr fontId="79" type="noConversion"/>
  <pageMargins left="0.7" right="0.7" top="0.75" bottom="0.75" header="0.3" footer="0.3"/>
  <pageSetup paperSize="9" orientation="portrait" r:id="rId1"/>
  <headerFooter>
    <oddHeader>&amp;L&amp;&amp;"Calibri"&amp;10&amp;K000000Classé comme Interne&amp;K000000&amp;1#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A1738-9013-4C85-9AD3-9D6F1A1E81DD}">
  <sheetPr codeName="Sheet3"/>
  <dimension ref="A1:C2"/>
  <sheetViews>
    <sheetView workbookViewId="0">
      <selection activeCell="G7" sqref="G7"/>
    </sheetView>
  </sheetViews>
  <sheetFormatPr defaultColWidth="8.77734375" defaultRowHeight="14.4" x14ac:dyDescent="0.3"/>
  <cols>
    <col min="1" max="1" width="10.44140625" bestFit="1" customWidth="1"/>
    <col min="2" max="2" width="10.44140625" style="274" bestFit="1" customWidth="1"/>
  </cols>
  <sheetData>
    <row r="1" spans="1:3" x14ac:dyDescent="0.3">
      <c r="A1" t="s">
        <v>135</v>
      </c>
      <c r="B1" s="274" t="s">
        <v>136</v>
      </c>
      <c r="C1" t="s">
        <v>137</v>
      </c>
    </row>
    <row r="2" spans="1:3" x14ac:dyDescent="0.3">
      <c r="A2" s="273">
        <v>1</v>
      </c>
      <c r="B2" s="274">
        <v>45946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89426CD6990C48B571977008B5B929" ma:contentTypeVersion="13" ma:contentTypeDescription="Create a new document." ma:contentTypeScope="" ma:versionID="0e01c7bc96b6eed3db98ed54fdc55eb5">
  <xsd:schema xmlns:xsd="http://www.w3.org/2001/XMLSchema" xmlns:xs="http://www.w3.org/2001/XMLSchema" xmlns:p="http://schemas.microsoft.com/office/2006/metadata/properties" xmlns:ns3="6825cbcc-075a-4232-9296-e9bac03f9e0c" xmlns:ns4="6f211968-1ce9-4ce8-bc32-9c87e03ae60e" targetNamespace="http://schemas.microsoft.com/office/2006/metadata/properties" ma:root="true" ma:fieldsID="3d38f0102057625f23cc481bc4af9216" ns3:_="" ns4:_="">
    <xsd:import namespace="6825cbcc-075a-4232-9296-e9bac03f9e0c"/>
    <xsd:import namespace="6f211968-1ce9-4ce8-bc32-9c87e03ae60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25cbcc-075a-4232-9296-e9bac03f9e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f211968-1ce9-4ce8-bc32-9c87e03ae60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C1983F-F266-4005-8EC6-D5065FD7537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A564C82-A93A-469E-A667-E6054C7D72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25cbcc-075a-4232-9296-e9bac03f9e0c"/>
    <ds:schemaRef ds:uri="6f211968-1ce9-4ce8-bc32-9c87e03ae6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9E5AC5-64B2-4B7B-9D75-A7C00E9C1A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Saisie des données</vt:lpstr>
      <vt:lpstr>Tableau de bord</vt:lpstr>
      <vt:lpstr>Résultats</vt:lpstr>
      <vt:lpstr>Data</vt:lpstr>
      <vt:lpstr>Version</vt:lpstr>
      <vt:lpstr>Résultats!Print_Area</vt:lpstr>
      <vt:lpstr>'Saisie des données'!Print_Area</vt:lpstr>
      <vt:lpstr>'Tableau de bord'!Print_Area</vt:lpstr>
    </vt:vector>
  </TitlesOfParts>
  <Manager/>
  <Company>PATH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Allison Clifford</cp:lastModifiedBy>
  <cp:revision/>
  <dcterms:created xsi:type="dcterms:W3CDTF">2018-05-24T13:25:57Z</dcterms:created>
  <dcterms:modified xsi:type="dcterms:W3CDTF">2026-01-27T21:23:34Z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5e72d3-b6ef-4c9c-b371-eb3c79f627ee_Enabled">
    <vt:lpwstr>true</vt:lpwstr>
  </property>
  <property fmtid="{D5CDD505-2E9C-101B-9397-08002B2CF9AE}" pid="3" name="MSIP_Label_8f5e72d3-b6ef-4c9c-b371-eb3c79f627ee_SetDate">
    <vt:lpwstr>2019-12-04T11:02:07Z</vt:lpwstr>
  </property>
  <property fmtid="{D5CDD505-2E9C-101B-9397-08002B2CF9AE}" pid="4" name="MSIP_Label_8f5e72d3-b6ef-4c9c-b371-eb3c79f627ee_Method">
    <vt:lpwstr>Privileged</vt:lpwstr>
  </property>
  <property fmtid="{D5CDD505-2E9C-101B-9397-08002B2CF9AE}" pid="5" name="MSIP_Label_8f5e72d3-b6ef-4c9c-b371-eb3c79f627ee_Name">
    <vt:lpwstr>8f5e72d3-b6ef-4c9c-b371-eb3c79f627ee</vt:lpwstr>
  </property>
  <property fmtid="{D5CDD505-2E9C-101B-9397-08002B2CF9AE}" pid="6" name="MSIP_Label_8f5e72d3-b6ef-4c9c-b371-eb3c79f627ee_SiteId">
    <vt:lpwstr>1de6d9f3-0daf-4df6-b9d6-5959f16f6118</vt:lpwstr>
  </property>
  <property fmtid="{D5CDD505-2E9C-101B-9397-08002B2CF9AE}" pid="7" name="MSIP_Label_8f5e72d3-b6ef-4c9c-b371-eb3c79f627ee_ActionId">
    <vt:lpwstr>b8e400df-7c36-45f2-9454-000070304384</vt:lpwstr>
  </property>
  <property fmtid="{D5CDD505-2E9C-101B-9397-08002B2CF9AE}" pid="8" name="MSIP_Label_8f5e72d3-b6ef-4c9c-b371-eb3c79f627ee_ContentBits">
    <vt:lpwstr>1</vt:lpwstr>
  </property>
  <property fmtid="{D5CDD505-2E9C-101B-9397-08002B2CF9AE}" pid="9" name="ContentTypeId">
    <vt:lpwstr>0x010100AC89426CD6990C48B571977008B5B929</vt:lpwstr>
  </property>
</Properties>
</file>