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api.box.com/wopi/files/2118180088474/WOPIServiceId_TP_BOX_2/WOPIUserId_-/"/>
    </mc:Choice>
  </mc:AlternateContent>
  <xr:revisionPtr revIDLastSave="30" documentId="8_{02D92F05-9AFF-42E4-94A4-AAB5C0BCEB71}" xr6:coauthVersionLast="47" xr6:coauthVersionMax="47" xr10:uidLastSave="{F8228E9E-4901-44C5-B031-78B5D3AB8896}"/>
  <workbookProtection workbookAlgorithmName="SHA-512" workbookHashValue="5siKzltIBZlcwmMP9jNNTaGeNsR15TJuEPfd/ix13H4GboPEO6SDjvIbFbuyhzxDJXEKOPNRESDHGtrwFWTtZg==" workbookSaltValue="VqsWynywlZKWtEey08qAWA==" workbookSpinCount="100000" lockStructure="1"/>
  <bookViews>
    <workbookView xWindow="28680" yWindow="-4290" windowWidth="29040" windowHeight="15720" xr2:uid="{00000000-000D-0000-FFFF-FFFF00000000}"/>
  </bookViews>
  <sheets>
    <sheet name="INSTRUCCIONES" sheetId="15" r:id="rId1"/>
    <sheet name="Datos del Modelo" sheetId="16" r:id="rId2"/>
    <sheet name="Panel" sheetId="17" r:id="rId3"/>
    <sheet name="Resultados" sheetId="18" r:id="rId4"/>
    <sheet name="Datos" sheetId="3" state="hidden" r:id="rId5"/>
    <sheet name="Version" sheetId="14" state="hidden" r:id="rId6"/>
  </sheets>
  <definedNames>
    <definedName name="_xlnm.Print_Area" localSheetId="1">'Datos del Modelo'!$E$3:$Q$80</definedName>
    <definedName name="_xlnm.Print_Area" localSheetId="2">Panel!$B$3:$M$37</definedName>
    <definedName name="_xlnm.Print_Area" localSheetId="3">Resultados!$B$3:$M$51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 i="16" l="1"/>
  <c r="G9" i="16" l="1"/>
  <c r="M43" i="16"/>
  <c r="K43" i="16"/>
  <c r="G43" i="16"/>
  <c r="E47" i="3"/>
  <c r="D47" i="3"/>
  <c r="C47" i="3"/>
  <c r="B47" i="3"/>
  <c r="H15" i="16" l="1"/>
  <c r="I15" i="16"/>
  <c r="M45" i="16" l="1"/>
  <c r="K45" i="16"/>
  <c r="G45" i="16"/>
  <c r="A65" i="3" l="1"/>
  <c r="A63" i="3"/>
  <c r="A62" i="3"/>
  <c r="A61" i="3"/>
  <c r="A60" i="3"/>
  <c r="A59" i="3"/>
  <c r="A55" i="3" l="1"/>
  <c r="A53" i="3"/>
  <c r="A52" i="3"/>
  <c r="A51" i="3"/>
  <c r="A50" i="3"/>
  <c r="A49" i="3"/>
  <c r="A47" i="3"/>
  <c r="E40" i="3"/>
  <c r="K57" i="3" s="1"/>
  <c r="D40" i="3"/>
  <c r="H57" i="3" s="1"/>
  <c r="C40" i="3"/>
  <c r="E57" i="3" s="1"/>
  <c r="B40" i="3"/>
  <c r="B57" i="3" s="1"/>
  <c r="A45" i="3"/>
  <c r="A44" i="3"/>
  <c r="A43" i="3"/>
  <c r="A42" i="3"/>
  <c r="A41" i="3"/>
  <c r="G15" i="16"/>
  <c r="G26" i="16"/>
  <c r="C45" i="3" l="1"/>
  <c r="E45" i="3"/>
  <c r="B45" i="3"/>
  <c r="D45" i="3"/>
  <c r="D41" i="3"/>
  <c r="B41" i="3"/>
  <c r="E41" i="3"/>
  <c r="C41" i="3"/>
  <c r="E42" i="3"/>
  <c r="C42" i="3"/>
  <c r="B42" i="3"/>
  <c r="D42" i="3"/>
  <c r="E43" i="3"/>
  <c r="C43" i="3"/>
  <c r="B43" i="3"/>
  <c r="D43" i="3"/>
  <c r="C44" i="3"/>
  <c r="E44" i="3"/>
  <c r="B44" i="3"/>
  <c r="D44" i="3"/>
  <c r="D50" i="18"/>
  <c r="D49" i="18"/>
  <c r="D48" i="18"/>
  <c r="D47" i="18"/>
  <c r="D46" i="18"/>
  <c r="D41" i="18"/>
  <c r="D40" i="18"/>
  <c r="D39" i="18"/>
  <c r="D38" i="18"/>
  <c r="D37" i="18"/>
  <c r="M49" i="16"/>
  <c r="K49" i="16"/>
  <c r="M48" i="16"/>
  <c r="K48" i="16"/>
  <c r="G48" i="16"/>
  <c r="K46" i="16"/>
  <c r="M46" i="16"/>
  <c r="G46" i="16"/>
  <c r="F6" i="18"/>
  <c r="F8" i="17" s="1"/>
  <c r="H6" i="18"/>
  <c r="H8" i="17" s="1"/>
  <c r="J6" i="18"/>
  <c r="J8" i="17" s="1"/>
  <c r="L6" i="18"/>
  <c r="L8" i="17" s="1"/>
  <c r="D11" i="18"/>
  <c r="D12" i="18"/>
  <c r="D13" i="18"/>
  <c r="D14" i="18"/>
  <c r="D15" i="18"/>
  <c r="D20" i="18"/>
  <c r="D21" i="18"/>
  <c r="D22" i="18"/>
  <c r="D23" i="18"/>
  <c r="D24" i="18"/>
  <c r="D28" i="18"/>
  <c r="D29" i="18"/>
  <c r="D30" i="18"/>
  <c r="D31" i="18"/>
  <c r="D32" i="18"/>
  <c r="G49" i="16"/>
  <c r="O49" i="16"/>
  <c r="J12" i="18" l="1"/>
  <c r="L12" i="18"/>
  <c r="F11" i="18"/>
  <c r="J11" i="18"/>
  <c r="L11" i="18"/>
  <c r="H11" i="18"/>
  <c r="L15" i="18"/>
  <c r="H15" i="18"/>
  <c r="J15" i="18"/>
  <c r="L14" i="18"/>
  <c r="H14" i="18"/>
  <c r="J14" i="18"/>
  <c r="H13" i="18"/>
  <c r="L13" i="18"/>
  <c r="J13" i="18"/>
  <c r="H12" i="18"/>
  <c r="F12" i="18"/>
  <c r="F15" i="18"/>
  <c r="F14" i="18"/>
  <c r="F13" i="18"/>
  <c r="I63" i="3"/>
  <c r="H60" i="3"/>
  <c r="J65" i="3"/>
  <c r="J62" i="3"/>
  <c r="H62" i="3"/>
  <c r="I60" i="3"/>
  <c r="I59" i="3"/>
  <c r="I65" i="3"/>
  <c r="J63" i="3"/>
  <c r="H63" i="3"/>
  <c r="H65" i="3"/>
  <c r="J59" i="3"/>
  <c r="I61" i="3"/>
  <c r="I62" i="3"/>
  <c r="H59" i="3"/>
  <c r="J60" i="3"/>
  <c r="J61" i="3"/>
  <c r="H61" i="3"/>
  <c r="M65" i="3"/>
  <c r="L62" i="3"/>
  <c r="K59" i="3"/>
  <c r="L65" i="3"/>
  <c r="K65" i="3"/>
  <c r="M61" i="3"/>
  <c r="K61" i="3"/>
  <c r="M63" i="3"/>
  <c r="M59" i="3"/>
  <c r="M62" i="3"/>
  <c r="K62" i="3"/>
  <c r="K63" i="3"/>
  <c r="L60" i="3"/>
  <c r="L61" i="3"/>
  <c r="L59" i="3"/>
  <c r="L63" i="3"/>
  <c r="M60" i="3"/>
  <c r="K60" i="3"/>
  <c r="E65" i="3"/>
  <c r="G60" i="3"/>
  <c r="F63" i="3"/>
  <c r="F59" i="3"/>
  <c r="G63" i="3"/>
  <c r="E61" i="3"/>
  <c r="F60" i="3"/>
  <c r="E59" i="3"/>
  <c r="G59" i="3"/>
  <c r="E62" i="3"/>
  <c r="E63" i="3"/>
  <c r="G65" i="3"/>
  <c r="F61" i="3"/>
  <c r="F65" i="3"/>
  <c r="F62" i="3"/>
  <c r="C49" i="3"/>
  <c r="G61" i="3"/>
  <c r="G62" i="3"/>
  <c r="E60" i="3"/>
  <c r="D65" i="3"/>
  <c r="B65" i="3"/>
  <c r="B55" i="3"/>
  <c r="C61" i="3"/>
  <c r="C62" i="3"/>
  <c r="C63" i="3"/>
  <c r="C59" i="3"/>
  <c r="D60" i="3"/>
  <c r="B60" i="3"/>
  <c r="D61" i="3"/>
  <c r="B61" i="3"/>
  <c r="D59" i="3"/>
  <c r="B62" i="3"/>
  <c r="C65" i="3"/>
  <c r="D63" i="3"/>
  <c r="B63" i="3"/>
  <c r="C60" i="3"/>
  <c r="B49" i="3"/>
  <c r="B59" i="3"/>
  <c r="D62" i="3"/>
  <c r="C55" i="3"/>
  <c r="D55" i="3"/>
  <c r="D49" i="3"/>
  <c r="E49" i="3"/>
  <c r="E55" i="3"/>
  <c r="H24" i="18" l="1"/>
  <c r="H41" i="18" s="1"/>
  <c r="B50" i="3"/>
  <c r="C53" i="3"/>
  <c r="D52" i="3"/>
  <c r="C52" i="3"/>
  <c r="C51" i="3"/>
  <c r="E52" i="3"/>
  <c r="B51" i="3"/>
  <c r="E51" i="3"/>
  <c r="E50" i="3"/>
  <c r="H21" i="18"/>
  <c r="H38" i="18" s="1"/>
  <c r="D51" i="3"/>
  <c r="E53" i="3"/>
  <c r="B52" i="3"/>
  <c r="B53" i="3"/>
  <c r="D50" i="3"/>
  <c r="D53" i="3"/>
  <c r="C50" i="3"/>
  <c r="L20" i="18"/>
  <c r="L21" i="18"/>
  <c r="L38" i="18" s="1"/>
  <c r="J21" i="18"/>
  <c r="J38" i="18" s="1"/>
  <c r="J20" i="18"/>
  <c r="J24" i="18"/>
  <c r="J41" i="18" s="1"/>
  <c r="F21" i="18"/>
  <c r="F38" i="18" s="1"/>
  <c r="L24" i="18"/>
  <c r="H20" i="18"/>
  <c r="L23" i="18"/>
  <c r="L40" i="18" s="1"/>
  <c r="F24" i="18"/>
  <c r="F41" i="18" s="1"/>
  <c r="F20" i="18"/>
  <c r="J22" i="18"/>
  <c r="J39" i="18" s="1"/>
  <c r="F22" i="18"/>
  <c r="F39" i="18" s="1"/>
  <c r="H23" i="18"/>
  <c r="H40" i="18" s="1"/>
  <c r="H22" i="18"/>
  <c r="H39" i="18" s="1"/>
  <c r="L22" i="18"/>
  <c r="F23" i="18"/>
  <c r="F40" i="18" s="1"/>
  <c r="J23" i="18"/>
  <c r="J40" i="18" s="1"/>
  <c r="L10" i="18"/>
  <c r="J10" i="18"/>
  <c r="F10" i="18"/>
  <c r="H10" i="18"/>
  <c r="J28" i="18" l="1"/>
  <c r="J37" i="18"/>
  <c r="J46" i="18" s="1"/>
  <c r="L28" i="18"/>
  <c r="L37" i="18"/>
  <c r="L46" i="18" s="1"/>
  <c r="L39" i="18"/>
  <c r="L48" i="18" s="1"/>
  <c r="H28" i="18"/>
  <c r="H37" i="18"/>
  <c r="H46" i="18" s="1"/>
  <c r="F37" i="18"/>
  <c r="F46" i="18" s="1"/>
  <c r="L41" i="18"/>
  <c r="L50" i="18" s="1"/>
  <c r="F28" i="18"/>
  <c r="L49" i="18"/>
  <c r="L47" i="18"/>
  <c r="F48" i="18"/>
  <c r="H47" i="18"/>
  <c r="F50" i="18"/>
  <c r="J49" i="18"/>
  <c r="H49" i="18"/>
  <c r="H50" i="18"/>
  <c r="F47" i="18"/>
  <c r="H48" i="18"/>
  <c r="J50" i="18"/>
  <c r="J47" i="18"/>
  <c r="F49" i="18"/>
  <c r="J48" i="18"/>
  <c r="J29" i="18"/>
  <c r="J30" i="18"/>
  <c r="L19" i="18"/>
  <c r="L10" i="17" s="1"/>
  <c r="L11" i="17" s="1"/>
  <c r="J31" i="18"/>
  <c r="F29" i="18"/>
  <c r="J32" i="18"/>
  <c r="L29" i="18"/>
  <c r="J19" i="18"/>
  <c r="J10" i="17" s="1"/>
  <c r="J11" i="17" s="1"/>
  <c r="F19" i="18"/>
  <c r="F10" i="17" s="1"/>
  <c r="F11" i="17" s="1"/>
  <c r="F31" i="18"/>
  <c r="H31" i="18"/>
  <c r="F32" i="18"/>
  <c r="H30" i="18"/>
  <c r="H29" i="18"/>
  <c r="F30" i="18"/>
  <c r="L31" i="18"/>
  <c r="H32" i="18"/>
  <c r="L32" i="18"/>
  <c r="H19" i="18"/>
  <c r="H10" i="17" s="1"/>
  <c r="H11" i="17" s="1"/>
  <c r="L30" i="18"/>
  <c r="J13" i="17" l="1"/>
  <c r="L36" i="18"/>
  <c r="L15" i="17" s="1"/>
  <c r="L16" i="17" s="1"/>
  <c r="F13" i="17"/>
  <c r="H13" i="17"/>
  <c r="L13" i="17"/>
  <c r="J27" i="17"/>
  <c r="J28" i="17" s="1"/>
  <c r="H27" i="17"/>
  <c r="H28" i="17" s="1"/>
  <c r="H30" i="17"/>
  <c r="J30" i="17"/>
  <c r="F30" i="17"/>
  <c r="F27" i="17"/>
  <c r="F28" i="17" s="1"/>
  <c r="K13" i="17" l="1"/>
  <c r="L45" i="18"/>
  <c r="L18" i="17" s="1"/>
  <c r="L19" i="17" s="1"/>
  <c r="I13" i="17"/>
  <c r="M13" i="17"/>
  <c r="J36" i="18"/>
  <c r="J45" i="18"/>
  <c r="H36" i="18"/>
  <c r="H15" i="17" s="1"/>
  <c r="H45" i="18"/>
  <c r="H18" i="17" s="1"/>
  <c r="F36" i="18"/>
  <c r="F15" i="17" s="1"/>
  <c r="F16" i="17" s="1"/>
  <c r="M16" i="17" s="1"/>
  <c r="F45" i="18"/>
  <c r="F18" i="17" s="1"/>
  <c r="F19" i="17" s="1"/>
  <c r="M19" i="17" l="1"/>
  <c r="J32" i="17"/>
  <c r="J33" i="17" s="1"/>
  <c r="F32" i="17"/>
  <c r="F33" i="17" s="1"/>
  <c r="J15" i="17"/>
  <c r="K15" i="17" s="1"/>
  <c r="H32" i="17"/>
  <c r="H33" i="17" s="1"/>
  <c r="J35" i="17"/>
  <c r="J36" i="17" s="1"/>
  <c r="H35" i="17"/>
  <c r="H36" i="17" s="1"/>
  <c r="F35" i="17"/>
  <c r="F36" i="17" s="1"/>
  <c r="J18" i="17"/>
  <c r="J19" i="17" s="1"/>
  <c r="K19" i="17" s="1"/>
  <c r="M15" i="17"/>
  <c r="M18" i="17"/>
  <c r="I18" i="17"/>
  <c r="H19" i="17"/>
  <c r="I19" i="17" s="1"/>
  <c r="H16" i="17"/>
  <c r="I16" i="17" s="1"/>
  <c r="I15" i="17"/>
  <c r="J16" i="17" l="1"/>
  <c r="K16" i="17" s="1"/>
  <c r="K18" i="17"/>
</calcChain>
</file>

<file path=xl/sharedStrings.xml><?xml version="1.0" encoding="utf-8"?>
<sst xmlns="http://schemas.openxmlformats.org/spreadsheetml/2006/main" count="225" uniqueCount="152">
  <si>
    <t>Versión 1.0 / Enero de 2026</t>
  </si>
  <si>
    <r>
      <rPr>
        <sz val="12"/>
        <color rgb="FF000000"/>
        <rFont val="Arial"/>
        <family val="2"/>
      </rPr>
      <t>Si tiene dudas o necesita asistencia, póngase en contacto con el equipo de Health Economics &amp; Outcomes Research de PATH:</t>
    </r>
    <r>
      <rPr>
        <sz val="12"/>
        <color rgb="FF000000"/>
        <rFont val="Arial"/>
        <family val="2"/>
      </rPr>
      <t xml:space="preserve"> </t>
    </r>
    <r>
      <rPr>
        <u/>
        <sz val="12"/>
        <color rgb="FF000000"/>
        <rFont val="Arial"/>
        <family val="2"/>
      </rPr>
      <t>HEOR@path.org</t>
    </r>
  </si>
  <si>
    <t>Perspectiva general</t>
  </si>
  <si>
    <r>
      <rPr>
        <sz val="14"/>
        <color rgb="FF20242B"/>
        <rFont val="Arial"/>
        <family val="2"/>
      </rPr>
      <t xml:space="preserve">La </t>
    </r>
    <r>
      <rPr>
        <b/>
        <sz val="14"/>
        <color rgb="FF20242B"/>
        <rFont val="Arial"/>
        <family val="2"/>
      </rPr>
      <t>calculadora de costos de la vacuna contra el virus del papiloma humano (VPH)</t>
    </r>
    <r>
      <rPr>
        <sz val="14"/>
        <color rgb="FF20242B"/>
        <rFont val="Arial"/>
        <family val="2"/>
      </rPr>
      <t xml:space="preserve"> para los países de ingresos medios es una herramienta sencilla para evaluar y comparar los costos financieros de los programas de vacunación contra el VPH con todos los productos de vacunas contra el VPH en el mercado mundial.</t>
    </r>
    <r>
      <rPr>
        <sz val="14"/>
        <color rgb="FF20242B"/>
        <rFont val="Arial"/>
        <family val="2"/>
      </rPr>
      <t xml:space="preserve"> </t>
    </r>
    <r>
      <rPr>
        <sz val="14"/>
        <color rgb="FF20242B"/>
        <rFont val="Arial"/>
        <family val="2"/>
      </rPr>
      <t>Su finalidad es ayudar a los responsables de formular políticas a nivel nacional en países de ingresos medios o en países que ya no son elegibles para recibir apoyo de Gavi, la Alianza para las Vacunas, a comparar productos y estimar los costos de los programas de vacunación con diferentes vacunas contra el VPH, al analizar hasta cuatro alternativas de productos diferentes a la vez.</t>
    </r>
    <r>
      <rPr>
        <sz val="14"/>
        <color rgb="FF20242B"/>
        <rFont val="Arial"/>
        <family val="2"/>
      </rPr>
      <t xml:space="preserve"> 
</t>
    </r>
    <r>
      <rPr>
        <sz val="14"/>
        <color rgb="FF20242B"/>
        <rFont val="Arial"/>
        <family val="2"/>
      </rPr>
      <t>La herramienta calcula los costos y el volumen de la cadena de frío por año y para un periodo total de cinco años.</t>
    </r>
    <r>
      <rPr>
        <sz val="14"/>
        <color rgb="FF20242B"/>
        <rFont val="Arial"/>
        <family val="2"/>
      </rPr>
      <t xml:space="preserve">  </t>
    </r>
    <r>
      <rPr>
        <sz val="14"/>
        <color rgb="FF20242B"/>
        <rFont val="Arial"/>
        <family val="2"/>
      </rPr>
      <t>Las estimaciones de costos se componen del costo de las vacunas (es decir, de la adquisición de las vacunas y suministros y el transporte internacional) y los costos del programa de vacunación (es decir, el costo de las vacunas más el costo de la distribución).</t>
    </r>
    <r>
      <rPr>
        <sz val="14"/>
        <color rgb="FF20242B"/>
        <rFont val="Arial"/>
        <family val="2"/>
      </rPr>
      <t xml:space="preserve">  </t>
    </r>
    <r>
      <rPr>
        <sz val="14"/>
        <color rgb="FF20242B"/>
        <rFont val="Arial"/>
        <family val="2"/>
      </rPr>
      <t>Las estimaciones del volumen de la cadena de frío se calculan a partir del total de dosis necesarias y de la información de precalificación de la Organización Mundial de la Salud sobre el volumen de la cadena de frío por dosis, la cual considera el margen de seguridad y el desperdicio, aunque no necesariamente el espacio “muerto” ni el espacio necesario en los distintos niveles.</t>
    </r>
  </si>
  <si>
    <t>Guía del usuario</t>
  </si>
  <si>
    <t>Datos del modelo</t>
  </si>
  <si>
    <t>Las casillas moradas indican un menú desplegable en el que el usuario puede seleccionar una opción preestablecida. Haga clic en la casilla y aparecerá una flecha desplegable. Al hacer clic en la flecha, el usuario podrá seleccionar una de las opciones del menú.</t>
  </si>
  <si>
    <t>Las casillas verdes requieren que el usuario ingrese datos. En el modelo se incluyen datos de ejemplo, pero esta información debe revisarse para reflejar los datos y el programa de vacunación locales.</t>
  </si>
  <si>
    <t>Las celdas blancas incluyen información fija que el usuario no puede modificar.</t>
  </si>
  <si>
    <t>Programa de vacunación</t>
  </si>
  <si>
    <t>Opciones y costo de la vacuna contra el VPH</t>
  </si>
  <si>
    <t>Recursos</t>
  </si>
  <si>
    <t>Precio de la vacuna</t>
  </si>
  <si>
    <t>Base de datos de la OMS/MI4A para la compra de vacunas</t>
  </si>
  <si>
    <t>Datos de precios de UNICEF de la vacuna contra el virus del papiloma humano (VPH)</t>
  </si>
  <si>
    <t>Tasas de tramitación</t>
  </si>
  <si>
    <t>Sitio web de UNICEF: tasas de tramitación</t>
  </si>
  <si>
    <t>Costos de suministros</t>
  </si>
  <si>
    <t>Sitio web de UNICEF: precios</t>
  </si>
  <si>
    <t>Costos de los programas de vacunación</t>
  </si>
  <si>
    <t>Costo incremental de la administración por dosis</t>
  </si>
  <si>
    <t>Catálogo de costos de administración de vacunas (IDCC por sus siglas en inglés)</t>
  </si>
  <si>
    <t>Análisis de escenario opcional para uso de multivacunas</t>
  </si>
  <si>
    <t>Esta opción permite analizar el costo de los programas con varios productos de vacuna contra el VPH usados a la vez en el país ajustando la proporción para un número de opciones. Para países que usan o anticipan usar más de un producto, la calculadora ofrece la posibilidad de definir tres escenarios (A, B, C) con diferentes combinaciones de proporción de uso de vacunas. Cada escenario debería ser una combinación de dos o más productos con una proporción total que equivalga al 100 %.</t>
  </si>
  <si>
    <t>Resultados</t>
  </si>
  <si>
    <t>Fórmulas de cálculo*</t>
  </si>
  <si>
    <r>
      <rPr>
        <sz val="11"/>
        <color theme="1"/>
        <rFont val="Arial"/>
        <family val="2"/>
      </rPr>
      <t xml:space="preserve">Calculadora de costos de la </t>
    </r>
    <r>
      <rPr>
        <b/>
        <sz val="11"/>
        <color rgb="FFAE0012"/>
        <rFont val="Arial"/>
        <family val="2"/>
      </rPr>
      <t>vacuna contra el virus del papiloma humano</t>
    </r>
    <r>
      <rPr>
        <sz val="11"/>
        <color theme="1"/>
        <rFont val="Arial"/>
        <family val="2"/>
      </rPr>
      <t xml:space="preserve"> </t>
    </r>
    <r>
      <rPr>
        <sz val="11"/>
        <color rgb="FFAE0012"/>
        <rFont val="Arial"/>
        <family val="2"/>
      </rPr>
      <t>para los países de ingresos medios</t>
    </r>
  </si>
  <si>
    <t>Año de inicio</t>
  </si>
  <si>
    <t>Año previsto de introducción o sustitución</t>
  </si>
  <si>
    <r>
      <rPr>
        <b/>
        <sz val="12"/>
        <color theme="1"/>
        <rFont val="Arial"/>
        <family val="2"/>
      </rPr>
      <t xml:space="preserve">Población objetivo -rutinario
</t>
    </r>
    <r>
      <rPr>
        <sz val="12"/>
        <color theme="1"/>
        <rFont val="Arial"/>
        <family val="2"/>
      </rPr>
      <t>Cohorte de una sola edad (CUSE)</t>
    </r>
  </si>
  <si>
    <t>personas por año</t>
  </si>
  <si>
    <t>Niñas de 9 a 14 años</t>
  </si>
  <si>
    <t>Niños</t>
  </si>
  <si>
    <t>Niñas mayores de 15 años y mujeres</t>
  </si>
  <si>
    <t>Índice anual de crecimiento de la población</t>
  </si>
  <si>
    <t>%, solo para la cohorte de una sola edad</t>
  </si>
  <si>
    <t>Niñas
9-14</t>
  </si>
  <si>
    <t>Niñas
+15</t>
  </si>
  <si>
    <r>
      <rPr>
        <sz val="12"/>
        <color theme="1"/>
        <rFont val="Arial"/>
        <family val="2"/>
      </rPr>
      <t>Debe sumar 100 % al completar el % administrado en cada ubicación mediante los campos en negrita de abajo (NOTA:</t>
    </r>
    <r>
      <rPr>
        <b/>
        <sz val="12"/>
        <color theme="1"/>
        <rFont val="Arial"/>
        <family val="2"/>
      </rPr>
      <t xml:space="preserve"> </t>
    </r>
    <r>
      <rPr>
        <sz val="12"/>
        <color theme="1"/>
        <rFont val="Arial"/>
        <family val="2"/>
      </rPr>
      <t>Se deben completar los campos de cobertura de la segunda dosis si se evalúa una vacuna aún no aprobada para uso de dosis única).</t>
    </r>
  </si>
  <si>
    <t>% alcanzado a través de esa ubicación</t>
  </si>
  <si>
    <t>cobertura anual</t>
  </si>
  <si>
    <r>
      <rPr>
        <b/>
        <sz val="12"/>
        <color theme="1"/>
        <rFont val="Arial"/>
        <family val="2"/>
      </rPr>
      <t xml:space="preserve">Población objetivo - campaña
</t>
    </r>
    <r>
      <rPr>
        <sz val="12"/>
        <color theme="1"/>
        <rFont val="Arial"/>
        <family val="2"/>
      </rPr>
      <t>Cohorte multi edad CME</t>
    </r>
  </si>
  <si>
    <t xml:space="preserve">personas </t>
  </si>
  <si>
    <t>Opciones de entrega - campaña</t>
  </si>
  <si>
    <r>
      <rPr>
        <b/>
        <i/>
        <sz val="12"/>
        <color theme="1"/>
        <rFont val="Arial"/>
        <family val="2"/>
      </rPr>
      <t xml:space="preserve">% administrado en el </t>
    </r>
    <r>
      <rPr>
        <b/>
        <i/>
        <sz val="12"/>
        <color theme="4"/>
        <rFont val="Arial"/>
        <family val="2"/>
      </rPr>
      <t>Colegio</t>
    </r>
    <r>
      <rPr>
        <b/>
        <i/>
        <sz val="12"/>
        <color theme="1"/>
        <rFont val="Arial"/>
        <family val="2"/>
      </rPr>
      <t xml:space="preserve"> - campaña</t>
    </r>
  </si>
  <si>
    <t>Cobertura esperada de la primera dosis en el Colegio - campaña</t>
  </si>
  <si>
    <t>cobertura de campaña</t>
  </si>
  <si>
    <t>Cobertura esperada de la segunda dosis en el Colegio - campaña</t>
  </si>
  <si>
    <r>
      <rPr>
        <b/>
        <i/>
        <sz val="12"/>
        <color theme="1"/>
        <rFont val="Arial"/>
        <family val="2"/>
      </rPr>
      <t>% administrado en el Establecimiento - campaña</t>
    </r>
  </si>
  <si>
    <t>Cobertura esperada de la primera dosis en el Establecimiento - campaña</t>
  </si>
  <si>
    <t>Cobertura esperada de la segunda dosis en el Establecimiento - campaña</t>
  </si>
  <si>
    <r>
      <rPr>
        <b/>
        <i/>
        <sz val="12"/>
        <color theme="1"/>
        <rFont val="Arial"/>
        <family val="2"/>
      </rPr>
      <t>% administrado en Otros lugares - campaña</t>
    </r>
  </si>
  <si>
    <t>Cobertura esperada de la primera dosis en otros lugares - campaña</t>
  </si>
  <si>
    <t>Cobertura esperada de la segunda dosis en otros lugares - campaña</t>
  </si>
  <si>
    <t>OPCIÓN ACTUAL o PREFERIDA</t>
  </si>
  <si>
    <t>OPCIÓN 2</t>
  </si>
  <si>
    <t>OPCIÓN 3</t>
  </si>
  <si>
    <t>OPCIÓN 4</t>
  </si>
  <si>
    <t>Seleccionar vacuna / presentación &gt;&gt;&gt;</t>
  </si>
  <si>
    <t>CECOLIN
bivalente, 1 dosis/frasco, líquido</t>
  </si>
  <si>
    <t>WALRINVAX 
bivalente, 1 dosis/frasco, líquido</t>
  </si>
  <si>
    <t>GARDASIL4
tetravalente, 1 dosis/frasco, líquido</t>
  </si>
  <si>
    <t>Opción totalmente personalizable - introduzca el nombre aquí</t>
  </si>
  <si>
    <t>Precio por dosis</t>
  </si>
  <si>
    <t>Precio indicativo por dosis</t>
  </si>
  <si>
    <t>n/a</t>
  </si>
  <si>
    <t>Número de dosis en el esquema</t>
  </si>
  <si>
    <t>Número indicativo de dosis en el esquema</t>
  </si>
  <si>
    <r>
      <rPr>
        <b/>
        <sz val="12"/>
        <color theme="1"/>
        <rFont val="Arial"/>
        <family val="2"/>
      </rPr>
      <t>Volumen de la cadena de frío por dosis
(en cm3)</t>
    </r>
  </si>
  <si>
    <t>Tasa de desperdicio</t>
  </si>
  <si>
    <t>Tasa de desperdicio indicativa</t>
  </si>
  <si>
    <t>Factor de desperdicio</t>
  </si>
  <si>
    <t>Tramitación internacional
(% del precio de la vacuna)</t>
  </si>
  <si>
    <t>Transporte internacional
(% del precio de la vacuna)</t>
  </si>
  <si>
    <t>Tasa de reserva</t>
  </si>
  <si>
    <t>Precio de caja/bolsa de seguridad</t>
  </si>
  <si>
    <t>Volumen de caja/bolsa de seguridad</t>
  </si>
  <si>
    <t>Precio por jeringa</t>
  </si>
  <si>
    <t>Costos únicos de introducción o de sustitución para las cohortes CUSE y CME
(monto global o presupuesto en el primer año)</t>
  </si>
  <si>
    <t>Colegio</t>
  </si>
  <si>
    <t>Establecimiento</t>
  </si>
  <si>
    <t>Otros lugares</t>
  </si>
  <si>
    <t>IDCC (por sus siglas en inglés)</t>
  </si>
  <si>
    <t>Haga clic en el símbolo + a la izquierda para mostrar</t>
  </si>
  <si>
    <t>ESCENARIO A</t>
  </si>
  <si>
    <t>Proporción de opciones de vacuna en uso en el programa (%)*</t>
  </si>
  <si>
    <t>ESCENARIO B</t>
  </si>
  <si>
    <t>ESCENARIO C</t>
  </si>
  <si>
    <t>* Recordatorio: Cada escenario debe ser una combinación de dos o más productos con una proporción total que equivalga al 100 %.</t>
  </si>
  <si>
    <r>
      <rPr>
        <sz val="11"/>
        <color theme="1"/>
        <rFont val="Arial"/>
        <family val="2"/>
      </rPr>
      <t>Calculadora de costos de la</t>
    </r>
    <r>
      <rPr>
        <b/>
        <sz val="11"/>
        <color rgb="FFAE0012"/>
        <rFont val="Arial"/>
        <family val="2"/>
      </rPr>
      <t xml:space="preserve"> vacuna contra el virus del papiloma humano</t>
    </r>
    <r>
      <rPr>
        <sz val="11"/>
        <color theme="5"/>
        <rFont val="Arial"/>
        <family val="2"/>
      </rPr>
      <t xml:space="preserve"> </t>
    </r>
    <r>
      <rPr>
        <sz val="11"/>
        <color rgb="FFAE0012"/>
        <rFont val="Arial"/>
        <family val="2"/>
      </rPr>
      <t>para los países de ingresos medios</t>
    </r>
  </si>
  <si>
    <t xml:space="preserve"> </t>
  </si>
  <si>
    <t>Millones de dosis necesarias</t>
  </si>
  <si>
    <t>5 años</t>
  </si>
  <si>
    <t>Media anual</t>
  </si>
  <si>
    <r>
      <rPr>
        <b/>
        <sz val="12"/>
        <color theme="1"/>
        <rFont val="Arial"/>
        <family val="2"/>
      </rPr>
      <t>Volumen de la cadena de frío
(millones de cm3)</t>
    </r>
  </si>
  <si>
    <t>Costo total de la vacuna 
(en millones de dólares estadounidenses)</t>
  </si>
  <si>
    <t>Los porcentajes indican el aumento o descenso del volumen de la cadena de frío o el costo en comparación con la opción actual o preferida.</t>
  </si>
  <si>
    <t xml:space="preserve">Haga clic en el símbolo + a la izquierda para mostrar </t>
  </si>
  <si>
    <r>
      <rPr>
        <sz val="11"/>
        <color theme="1"/>
        <rFont val="Arial"/>
        <family val="2"/>
      </rPr>
      <t>Calculadora de costos de la</t>
    </r>
    <r>
      <rPr>
        <b/>
        <sz val="11"/>
        <color rgb="FFAE0012"/>
        <rFont val="Arial"/>
        <family val="2"/>
      </rPr>
      <t xml:space="preserve"> vacuna contra el virus del papiloma humano</t>
    </r>
    <r>
      <rPr>
        <sz val="11"/>
        <color theme="1"/>
        <rFont val="Arial"/>
        <family val="2"/>
      </rPr>
      <t xml:space="preserve"> </t>
    </r>
    <r>
      <rPr>
        <sz val="11"/>
        <color rgb="FFAE0012"/>
        <rFont val="Arial"/>
        <family val="2"/>
      </rPr>
      <t>para los países de ingresos medios</t>
    </r>
  </si>
  <si>
    <t>Resultados - Análisis principal</t>
  </si>
  <si>
    <t>Número de dosis administradas</t>
  </si>
  <si>
    <t>Total
para 5 años</t>
  </si>
  <si>
    <r>
      <rPr>
        <b/>
        <sz val="20"/>
        <color theme="0"/>
        <rFont val="Arial"/>
        <family val="2"/>
      </rPr>
      <t>Costo de la vacuna</t>
    </r>
    <r>
      <rPr>
        <b/>
        <sz val="12"/>
        <color theme="0"/>
        <rFont val="Arial"/>
        <family val="2"/>
      </rPr>
      <t xml:space="preserve">
</t>
    </r>
    <r>
      <rPr>
        <i/>
        <sz val="10"/>
        <color theme="0"/>
        <rFont val="Arial"/>
        <family val="2"/>
      </rPr>
      <t>Costo de la adquisición de las vacunas y de los suministros</t>
    </r>
  </si>
  <si>
    <r>
      <rPr>
        <b/>
        <sz val="20"/>
        <color theme="0"/>
        <rFont val="Arial"/>
        <family val="2"/>
      </rPr>
      <t>Costos del programa de vacunación</t>
    </r>
    <r>
      <rPr>
        <b/>
        <sz val="12"/>
        <color theme="0"/>
        <rFont val="Arial"/>
        <family val="2"/>
      </rPr>
      <t xml:space="preserve">
</t>
    </r>
    <r>
      <rPr>
        <i/>
        <sz val="10"/>
        <color theme="0"/>
        <rFont val="Arial"/>
        <family val="2"/>
      </rPr>
      <t>Costo de la vacuna + costo del envío</t>
    </r>
  </si>
  <si>
    <t>Vacuna y presentación</t>
  </si>
  <si>
    <t>Dosis en el esquema</t>
  </si>
  <si>
    <t>Desperdicio</t>
  </si>
  <si>
    <t>Volumen de la cadena de frío (cm3) por dosis</t>
  </si>
  <si>
    <t>Precio indicativo</t>
  </si>
  <si>
    <t>CERVARIX
bivalente, 2 dosis/frasco, líquido</t>
  </si>
  <si>
    <t>GARDASIL9
nonavalente, 1 dosis/frasco, líquido</t>
  </si>
  <si>
    <t>2 o 3</t>
  </si>
  <si>
    <t>Número de dosis administradas - rutinarias</t>
  </si>
  <si>
    <t>Número de dosis administradas - campaña</t>
  </si>
  <si>
    <t>Número de dosis requeridas - rutinarias</t>
  </si>
  <si>
    <t>Número de dosis requeridas - campaña</t>
  </si>
  <si>
    <t>Número de dosis administradas - rutinarias - por opciones de entrega</t>
  </si>
  <si>
    <t>Número de dosis administradas - campaña - por opciones de entrega</t>
  </si>
  <si>
    <t>Version</t>
  </si>
  <si>
    <t xml:space="preserve">Date </t>
  </si>
  <si>
    <t>Comment</t>
  </si>
  <si>
    <r>
      <rPr>
        <sz val="26"/>
        <rFont val="Arial"/>
        <family val="2"/>
      </rPr>
      <t xml:space="preserve">Calculadora de costos de la </t>
    </r>
    <r>
      <rPr>
        <sz val="26"/>
        <color theme="1"/>
        <rFont val="Arial"/>
        <family val="2"/>
      </rPr>
      <t xml:space="preserve">
</t>
    </r>
    <r>
      <rPr>
        <b/>
        <sz val="26"/>
        <color rgb="FFAE0012"/>
        <rFont val="Arial"/>
        <family val="2"/>
      </rPr>
      <t xml:space="preserve">vacuna contra el virus del papiloma humano </t>
    </r>
    <r>
      <rPr>
        <b/>
        <sz val="26"/>
        <color rgb="FFC00000"/>
        <rFont val="Arial"/>
        <family val="2"/>
      </rPr>
      <t xml:space="preserve">
</t>
    </r>
  </si>
  <si>
    <t>$ 2.90 - $ 9.50</t>
  </si>
  <si>
    <t>$ 10.25 - $ 14.14</t>
  </si>
  <si>
    <t>$ 4.50 - $ 26.75</t>
  </si>
  <si>
    <t>$ 13.50 - $ 33.25</t>
  </si>
  <si>
    <t>Para países de ingresos medios</t>
  </si>
  <si>
    <r>
      <rPr>
        <b/>
        <i/>
        <u/>
        <sz val="12"/>
        <color theme="1" tint="-0.499984740745262"/>
        <rFont val="Arial"/>
        <family val="2"/>
      </rPr>
      <t>Descargo de responsabilidad:</t>
    </r>
    <r>
      <rPr>
        <b/>
        <i/>
        <sz val="12"/>
        <color theme="1" tint="-0.499984740745262"/>
        <rFont val="Arial"/>
        <family val="2"/>
      </rPr>
      <t xml:space="preserve"> </t>
    </r>
    <r>
      <rPr>
        <i/>
        <sz val="12"/>
        <color theme="1" tint="-0.499984740745262"/>
        <rFont val="Arial"/>
        <family val="2"/>
      </rPr>
      <t xml:space="preserve">La </t>
    </r>
    <r>
      <rPr>
        <b/>
        <i/>
        <sz val="12"/>
        <color theme="1" tint="-0.499984740745262"/>
        <rFont val="Arial"/>
        <family val="2"/>
      </rPr>
      <t>calculadora de costos de la vacuna contra el VPH para países de ingresos medios</t>
    </r>
    <r>
      <rPr>
        <i/>
        <sz val="12"/>
        <color theme="1" tint="-0.499984740745262"/>
        <rFont val="Arial"/>
        <family val="2"/>
      </rPr>
      <t xml:space="preserve"> es una herramienta que busca informar la toma de decisiones sobre la introducción o sustitución de las vacunas, así como la selección de los productos. Cabe destacar que el costo es tan solo una única consideración, y que los responsables de la toma de decisiones relativas a la introducción o sustitución de nuevas vacunas y la selección de los productos también deben tener en cuenta otros aspectos. La finalidad de este modelo es ofrecer información sobre los posibles costos de las alternativas de productos y no debe reemplazar la planificación presupuestaria detallada una vez que se ha seleccionado el producto en cuestión.</t>
    </r>
  </si>
  <si>
    <r>
      <t xml:space="preserve">Panel  </t>
    </r>
    <r>
      <rPr>
        <b/>
        <sz val="24"/>
        <color theme="0"/>
        <rFont val="Aptos Narrow"/>
        <family val="2"/>
      </rPr>
      <t>—</t>
    </r>
    <r>
      <rPr>
        <b/>
        <sz val="24"/>
        <color theme="0"/>
        <rFont val="Arial"/>
        <family val="2"/>
      </rPr>
      <t xml:space="preserve"> Análisis principal</t>
    </r>
  </si>
  <si>
    <r>
      <t xml:space="preserve">Costo total de la vacuna 
(en millones de dólares </t>
    </r>
    <r>
      <rPr>
        <b/>
        <sz val="11"/>
        <color theme="1"/>
        <rFont val="Arial"/>
        <family val="2"/>
      </rPr>
      <t>estadounidenses)</t>
    </r>
  </si>
  <si>
    <t>Costo total del programa de vacunación 
(en millones de dólares estadounidenses)</t>
  </si>
  <si>
    <t>Panel  - Análisis de escenario opcional</t>
  </si>
  <si>
    <r>
      <t xml:space="preserve">Costo total del programa de vacunación
(en millones de dólares </t>
    </r>
    <r>
      <rPr>
        <b/>
        <sz val="11"/>
        <color theme="1"/>
        <rFont val="Arial"/>
        <family val="2"/>
      </rPr>
      <t>estadounidenses)</t>
    </r>
  </si>
  <si>
    <t>Opciones de entrega - rutina</t>
  </si>
  <si>
    <r>
      <t xml:space="preserve">% administrado en el </t>
    </r>
    <r>
      <rPr>
        <b/>
        <i/>
        <sz val="12"/>
        <color theme="4"/>
        <rFont val="Arial"/>
        <family val="2"/>
      </rPr>
      <t>Colegio</t>
    </r>
    <r>
      <rPr>
        <b/>
        <i/>
        <sz val="12"/>
        <color theme="1"/>
        <rFont val="Arial"/>
        <family val="2"/>
      </rPr>
      <t xml:space="preserve"> - rutina</t>
    </r>
  </si>
  <si>
    <t>Cobertura esperada de la primera dosis en el Colegio - rutina</t>
  </si>
  <si>
    <t>Cobertura esperada de la segunda dosis en el Colegio - rutina</t>
  </si>
  <si>
    <r>
      <t xml:space="preserve">% administrado en el </t>
    </r>
    <r>
      <rPr>
        <b/>
        <i/>
        <sz val="12"/>
        <color theme="4"/>
        <rFont val="Arial"/>
        <family val="2"/>
      </rPr>
      <t>Establecimiento</t>
    </r>
    <r>
      <rPr>
        <b/>
        <i/>
        <sz val="12"/>
        <color theme="1"/>
        <rFont val="Arial"/>
        <family val="2"/>
      </rPr>
      <t xml:space="preserve"> - rutina</t>
    </r>
  </si>
  <si>
    <t>Cobertura esperada de la primera dosis en el Establecimiento - rutina</t>
  </si>
  <si>
    <t>Cobertura esperada de la segunda dosis en el Establecimiento - rutina</t>
  </si>
  <si>
    <r>
      <t xml:space="preserve">% administrado en </t>
    </r>
    <r>
      <rPr>
        <b/>
        <i/>
        <sz val="12"/>
        <color theme="4"/>
        <rFont val="Arial"/>
        <family val="2"/>
      </rPr>
      <t>Otros lugares</t>
    </r>
    <r>
      <rPr>
        <b/>
        <i/>
        <sz val="12"/>
        <color theme="1"/>
        <rFont val="Arial"/>
        <family val="2"/>
      </rPr>
      <t xml:space="preserve"> - rutina</t>
    </r>
  </si>
  <si>
    <t>Cobertura esperada de la primera dosis en Otros lugares - rutina</t>
  </si>
  <si>
    <t>Cobertura esperada de la segunda dosis en Otros lugares - rutina</t>
  </si>
  <si>
    <t>Introduzca datos relacionados con el programa de vacunación: población destinataria anual para ohorte de una sola edad (CUSE), índice anual de crecimiento de la población y cobertura esperada para cada dosis en el esquema de vacunación. Si no existe un plan para una campaña de cohorte multi edad (CME), escriba cero para la población CME.</t>
  </si>
  <si>
    <t>► Seleccione las vacunas que le interesen del menú desplegable (opción 1 a 3) o introduzca directamente las características del producto (opción 4). 
► Introduzca el precio anticipado por dosis. Se proporcionan precios indicativos pero éstos deberían confirmase con el agente proveedor o el fabricante.
► Introduzca la tasa de desperdicio esperada para cada presentación y, si aplica, el costo esperado de la tramitación, el transporte internacional y los suministros.
► Introduzca una tasa de reserva si aplica.</t>
  </si>
  <si>
    <t>Los costos de los programas de vacunación incluyen los costos de la vacuna y el costo del envío. Los costos del envío cubren todos los gastos adicionales necesarios para aplicar vacunas, además del costo directo de la adquisición de la vacuna y productos básicos. Esto abarca gastos como viáticos, asignaciones de viaje, equipo de cadena de frío, vehículos, transporte y combustible, y puede variar según la ubicación de entrega. Se puede excluir cualquier costo del sistema ya imputado al sistema de vacunación (costos compartidos). Por ejemplo, no se incluirá el costo del transporte de la vacuna contra el VPH si forma parte del mismo transporte utilizado para otras vacunas. Puede ingresar los costos de introducción o sustitución de forma separada (una suma fija el primer año) o el costo por dosis enviada (cada año).</t>
  </si>
  <si>
    <t xml:space="preserve">Panel </t>
  </si>
  <si>
    <t>El panel proporciona resultados resumidos para el análisis principal y para los escenarios A, B y C si el análisis de escenario opcional para uso de multivacunas está lleno. El formato condicional se usa para destacar los posibles ahorros (color verde) y las posibles pérdidas (color rojo). Los resultados resumidos se proporcionan por separado según el costo de la vacuna (es decir, adquisición de vacunas y de suministros y los envíos internacionales), los costos de los programas de vacunación (es decir, costos de la vacuna más todos los costos hasta su aplicación) y por las necesidades del volumen de la cadena de frío.</t>
  </si>
  <si>
    <t>La hoja de Excel "Resultados" presenta la información de costos anuales, así como para un total a cinco años, por cada una de las opciones de vacuna indicadas en la hoja de Excel "Datos del modelo" para el escenario principal. Los resultados se proporcionan por separado según las necesidades del volumen de la cadena de frío, por el costo de la vacuna (es decir, la adquisición de vacunas y suministros y el envío internacional) y por los costos del programa de vacunación (es decir, el costo de la vacuna más todos los costos hasta su aplicación).</t>
  </si>
  <si>
    <r>
      <rPr>
        <b/>
        <sz val="12"/>
        <color theme="1"/>
        <rFont val="Arial"/>
        <family val="2"/>
      </rPr>
      <t xml:space="preserve">Número de dosis administradas </t>
    </r>
    <r>
      <rPr>
        <sz val="12"/>
        <color theme="1"/>
        <rFont val="Arial"/>
        <family val="2"/>
      </rPr>
      <t xml:space="preserve">= Población objetivo CUSE/CME × cobertura D1 de cada opción de entrega × proporción de cada opción de entrega + población objetivo CUSE/CME × cobertura D2 de cada opción de entrega × proporción de cada opción de entrega (si corresponde)
</t>
    </r>
    <r>
      <rPr>
        <b/>
        <sz val="12"/>
        <color theme="1"/>
        <rFont val="Arial"/>
        <family val="2"/>
      </rPr>
      <t>Total de dosis requeridas</t>
    </r>
    <r>
      <rPr>
        <sz val="12"/>
        <color theme="1"/>
        <rFont val="Arial"/>
        <family val="2"/>
      </rPr>
      <t xml:space="preserve"> = Número de dosis administradas x factor de desperdicio + dosis de reserva opcionales
</t>
    </r>
    <r>
      <rPr>
        <b/>
        <sz val="12"/>
        <color theme="1"/>
        <rFont val="Arial"/>
        <family val="2"/>
      </rPr>
      <t>Volumen total de la cadena de frío requerido</t>
    </r>
    <r>
      <rPr>
        <sz val="12"/>
        <color theme="1"/>
        <rFont val="Arial"/>
        <family val="2"/>
      </rPr>
      <t xml:space="preserve"> = Volumen de la cadena de frío por dosis en cm</t>
    </r>
    <r>
      <rPr>
        <vertAlign val="superscript"/>
        <sz val="12"/>
        <color theme="1"/>
        <rFont val="Arial"/>
        <family val="2"/>
      </rPr>
      <t>3</t>
    </r>
    <r>
      <rPr>
        <sz val="12"/>
        <color theme="1"/>
        <rFont val="Arial"/>
        <family val="2"/>
      </rPr>
      <t xml:space="preserve"> x total de dosis requeridas
</t>
    </r>
    <r>
      <rPr>
        <b/>
        <sz val="12"/>
        <color theme="1"/>
        <rFont val="Arial"/>
        <family val="2"/>
      </rPr>
      <t>Factor de desperdicio</t>
    </r>
    <r>
      <rPr>
        <sz val="12"/>
        <color theme="1"/>
        <rFont val="Arial"/>
        <family val="2"/>
      </rPr>
      <t xml:space="preserve"> = (1 / (1 - tasa de desperdicio))
</t>
    </r>
    <r>
      <rPr>
        <b/>
        <sz val="12"/>
        <color theme="1"/>
        <rFont val="Arial"/>
        <family val="2"/>
      </rPr>
      <t>Costo de la vacuna</t>
    </r>
    <r>
      <rPr>
        <sz val="12"/>
        <color theme="1"/>
        <rFont val="Arial"/>
        <family val="2"/>
      </rPr>
      <t xml:space="preserve"> = Total de dosis requeridas x (precio por dosis + precio por dosis x tramitación internacional + precio por dosis x transporte internacional) + (número de dosis administradas / volumen de caja/bolsa de seguridad x precio de caja/bolsa de seguridad) + (número de dosis aplicadas x precio de una jeringa)
</t>
    </r>
    <r>
      <rPr>
        <b/>
        <sz val="12"/>
        <color theme="1"/>
        <rFont val="Arial"/>
        <family val="2"/>
      </rPr>
      <t>Costo del programa de vacunación</t>
    </r>
    <r>
      <rPr>
        <sz val="12"/>
        <color theme="1"/>
        <rFont val="Arial"/>
        <family val="2"/>
      </rPr>
      <t xml:space="preserve"> = Costo de la vacuna + Número de dosis administradas x costo incremental de la administración por dosis + costos de introducción o sustitución (solo el 1 año)
* x = multiplicar</t>
    </r>
  </si>
  <si>
    <r>
      <rPr>
        <b/>
        <sz val="20"/>
        <color theme="0"/>
        <rFont val="Arial"/>
        <family val="2"/>
      </rPr>
      <t>Volumen total de la cadena de frío necesario</t>
    </r>
    <r>
      <rPr>
        <sz val="11"/>
        <color theme="0"/>
        <rFont val="Arial"/>
        <family val="2"/>
      </rPr>
      <t xml:space="preserve">
</t>
    </r>
    <r>
      <rPr>
        <i/>
        <sz val="10"/>
        <color theme="0"/>
        <rFont val="Arial"/>
        <family val="2"/>
      </rPr>
      <t>cm3</t>
    </r>
  </si>
  <si>
    <r>
      <t>Número de dosis necesarias</t>
    </r>
    <r>
      <rPr>
        <sz val="11"/>
        <color theme="0"/>
        <rFont val="Arial"/>
        <family val="2"/>
      </rPr>
      <t xml:space="preserve">
</t>
    </r>
    <r>
      <rPr>
        <i/>
        <sz val="10"/>
        <color theme="0"/>
        <rFont val="Arial"/>
        <family val="2"/>
      </rPr>
      <t>incluye dosis de reserva y desperdiciadas</t>
    </r>
    <r>
      <rPr>
        <b/>
        <i/>
        <sz val="10"/>
        <color theme="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</si>
</sst>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164" formatCode="&quot;$&quot;#,##0.00"/>
    <numFmt numFmtId="165" formatCode="&quot;$&quot;#,##0"/>
    <numFmt numFmtId="166" formatCode="0.0%"/>
    <numFmt numFmtId="167" formatCode="0.0"/>
    <numFmt numFmtId="168" formatCode="&quot;$ &quot;#,##0.00_);\(&quot;$ &quot;#,##0.00\)"/>
    <numFmt numFmtId="169" formatCode="&quot;$ &quot;#,##0.00"/>
    <numFmt numFmtId="170" formatCode="&quot;$ &quot;#,##0"/>
  </numFmts>
  <fonts count="99" x14ac:knownFonts="1">
    <font>
      <sz val="11"/>
      <color theme="1"/>
      <name val="Calibri"/>
      <family val="2"/>
      <scheme val="minor"/>
    </font>
    <font>
      <b/>
      <sz val="11"/>
      <color theme="1"/>
      <name val="Calibri"/>
      <family val="2"/>
      <scheme val="minor"/>
    </font>
    <font>
      <sz val="11"/>
      <color theme="1"/>
      <name val="Calibri"/>
      <family val="2"/>
      <scheme val="minor"/>
    </font>
    <font>
      <u/>
      <sz val="11"/>
      <color rgb="FF0000FF"/>
      <name val="Calibri"/>
      <family val="2"/>
      <scheme val="minor"/>
    </font>
    <font>
      <u/>
      <sz val="11"/>
      <color theme="1"/>
      <name val="Calibri"/>
      <family val="2"/>
      <scheme val="minor"/>
    </font>
    <font>
      <b/>
      <sz val="11"/>
      <color rgb="FFFF0000"/>
      <name val="Calibri"/>
      <family val="2"/>
      <scheme val="minor"/>
    </font>
    <font>
      <sz val="12"/>
      <color theme="1"/>
      <name val="Arial"/>
      <family val="2"/>
    </font>
    <font>
      <b/>
      <sz val="12"/>
      <color theme="1"/>
      <name val="Arial"/>
      <family val="2"/>
    </font>
    <font>
      <b/>
      <sz val="14"/>
      <color theme="1"/>
      <name val="Arial"/>
      <family val="2"/>
    </font>
    <font>
      <b/>
      <sz val="14"/>
      <color theme="0"/>
      <name val="Arial"/>
      <family val="2"/>
    </font>
    <font>
      <b/>
      <sz val="18"/>
      <color theme="0"/>
      <name val="Arial"/>
      <family val="2"/>
    </font>
    <font>
      <u/>
      <sz val="12"/>
      <color rgb="FF0000FF"/>
      <name val="Arial"/>
      <family val="2"/>
    </font>
    <font>
      <u/>
      <sz val="12"/>
      <color theme="1"/>
      <name val="Arial"/>
      <family val="2"/>
    </font>
    <font>
      <b/>
      <sz val="12"/>
      <color theme="4"/>
      <name val="Arial"/>
      <family val="2"/>
    </font>
    <font>
      <sz val="12"/>
      <color theme="0"/>
      <name val="Arial"/>
      <family val="2"/>
    </font>
    <font>
      <b/>
      <sz val="22"/>
      <color theme="0"/>
      <name val="Arial"/>
      <family val="2"/>
    </font>
    <font>
      <b/>
      <sz val="12"/>
      <color rgb="FFFF0000"/>
      <name val="Arial"/>
      <family val="2"/>
    </font>
    <font>
      <b/>
      <sz val="12"/>
      <color theme="1" tint="-0.499984740745262"/>
      <name val="Arial"/>
      <family val="2"/>
    </font>
    <font>
      <b/>
      <i/>
      <sz val="12"/>
      <color theme="1" tint="-0.499984740745262"/>
      <name val="Arial"/>
      <family val="2"/>
    </font>
    <font>
      <sz val="12"/>
      <color rgb="FF000000"/>
      <name val="Arial"/>
      <family val="2"/>
    </font>
    <font>
      <sz val="14"/>
      <color rgb="FF000000"/>
      <name val="Arial"/>
      <family val="2"/>
    </font>
    <font>
      <sz val="14"/>
      <color theme="1" tint="-0.499984740745262"/>
      <name val="Arial"/>
      <family val="2"/>
    </font>
    <font>
      <b/>
      <sz val="14"/>
      <color theme="1" tint="-0.499984740745262"/>
      <name val="Arial"/>
      <family val="2"/>
    </font>
    <font>
      <sz val="18"/>
      <color theme="0"/>
      <name val="Arial"/>
      <family val="2"/>
    </font>
    <font>
      <u/>
      <sz val="12"/>
      <color rgb="FF000000"/>
      <name val="Arial"/>
      <family val="2"/>
    </font>
    <font>
      <b/>
      <sz val="11"/>
      <color rgb="FF000000"/>
      <name val="Arial"/>
      <family val="2"/>
    </font>
    <font>
      <b/>
      <sz val="18"/>
      <color rgb="FFAD0012"/>
      <name val="Arial"/>
      <family val="2"/>
    </font>
    <font>
      <b/>
      <sz val="20"/>
      <color rgb="FF000000"/>
      <name val="Arial"/>
      <family val="2"/>
    </font>
    <font>
      <b/>
      <sz val="26"/>
      <color rgb="FF000000"/>
      <name val="Arial"/>
      <family val="2"/>
    </font>
    <font>
      <sz val="11"/>
      <color theme="1"/>
      <name val="Arial"/>
      <family val="2"/>
    </font>
    <font>
      <sz val="16"/>
      <color theme="1"/>
      <name val="Arial"/>
      <family val="2"/>
    </font>
    <font>
      <b/>
      <sz val="16"/>
      <name val="Arial"/>
      <family val="2"/>
    </font>
    <font>
      <b/>
      <sz val="14"/>
      <name val="Arial"/>
      <family val="2"/>
    </font>
    <font>
      <b/>
      <sz val="10"/>
      <color theme="1"/>
      <name val="Arial"/>
      <family val="2"/>
    </font>
    <font>
      <sz val="14"/>
      <color theme="1"/>
      <name val="Arial"/>
      <family val="2"/>
    </font>
    <font>
      <b/>
      <sz val="14"/>
      <color rgb="FFFF0000"/>
      <name val="Arial"/>
      <family val="2"/>
    </font>
    <font>
      <b/>
      <sz val="11"/>
      <color theme="1"/>
      <name val="Arial"/>
      <family val="2"/>
    </font>
    <font>
      <i/>
      <sz val="10"/>
      <color theme="1"/>
      <name val="Arial"/>
      <family val="2"/>
    </font>
    <font>
      <b/>
      <sz val="18"/>
      <color theme="1"/>
      <name val="Arial"/>
      <family val="2"/>
    </font>
    <font>
      <b/>
      <sz val="20"/>
      <color theme="0"/>
      <name val="Arial"/>
      <family val="2"/>
    </font>
    <font>
      <b/>
      <sz val="16"/>
      <color theme="1"/>
      <name val="Arial"/>
      <family val="2"/>
    </font>
    <font>
      <b/>
      <sz val="28"/>
      <color theme="8"/>
      <name val="Arial"/>
      <family val="2"/>
    </font>
    <font>
      <i/>
      <sz val="16"/>
      <color theme="1"/>
      <name val="Arial"/>
      <family val="2"/>
    </font>
    <font>
      <i/>
      <sz val="14"/>
      <color theme="1"/>
      <name val="Arial"/>
      <family val="2"/>
    </font>
    <font>
      <b/>
      <i/>
      <sz val="12"/>
      <color theme="1"/>
      <name val="Arial"/>
      <family val="2"/>
    </font>
    <font>
      <b/>
      <sz val="10"/>
      <color rgb="FFFF0000"/>
      <name val="Arial"/>
      <family val="2"/>
    </font>
    <font>
      <i/>
      <sz val="10"/>
      <name val="Arial"/>
      <family val="2"/>
    </font>
    <font>
      <sz val="11"/>
      <name val="Arial"/>
      <family val="2"/>
    </font>
    <font>
      <b/>
      <sz val="11"/>
      <name val="Arial"/>
      <family val="2"/>
    </font>
    <font>
      <sz val="16"/>
      <name val="Arial"/>
      <family val="2"/>
    </font>
    <font>
      <b/>
      <sz val="36"/>
      <color theme="0"/>
      <name val="Arial"/>
      <family val="2"/>
    </font>
    <font>
      <b/>
      <sz val="24"/>
      <color theme="0"/>
      <name val="Arial"/>
      <family val="2"/>
    </font>
    <font>
      <sz val="10"/>
      <color theme="1"/>
      <name val="Arial"/>
      <family val="2"/>
    </font>
    <font>
      <b/>
      <sz val="20"/>
      <color theme="1"/>
      <name val="Arial"/>
      <family val="2"/>
    </font>
    <font>
      <i/>
      <sz val="12"/>
      <color theme="1"/>
      <name val="Arial"/>
      <family val="2"/>
    </font>
    <font>
      <b/>
      <sz val="12"/>
      <name val="Arial"/>
      <family val="2"/>
    </font>
    <font>
      <i/>
      <sz val="11"/>
      <name val="Arial"/>
      <family val="2"/>
    </font>
    <font>
      <b/>
      <sz val="10"/>
      <color theme="1" tint="-0.499984740745262"/>
      <name val="Arial"/>
      <family val="2"/>
    </font>
    <font>
      <b/>
      <sz val="10"/>
      <name val="Arial"/>
      <family val="2"/>
    </font>
    <font>
      <sz val="12"/>
      <color theme="9" tint="0.79998168889431442"/>
      <name val="Arial"/>
      <family val="2"/>
    </font>
    <font>
      <b/>
      <sz val="12"/>
      <color theme="9" tint="0.79998168889431442"/>
      <name val="Arial"/>
      <family val="2"/>
    </font>
    <font>
      <b/>
      <u/>
      <sz val="12"/>
      <color theme="1"/>
      <name val="Arial"/>
      <family val="2"/>
    </font>
    <font>
      <b/>
      <sz val="14"/>
      <color theme="9" tint="0.79998168889431442"/>
      <name val="Arial"/>
      <family val="2"/>
    </font>
    <font>
      <b/>
      <sz val="15"/>
      <color theme="9" tint="0.79998168889431442"/>
      <name val="Arial"/>
      <family val="2"/>
    </font>
    <font>
      <b/>
      <sz val="15"/>
      <color theme="1"/>
      <name val="Arial"/>
      <family val="2"/>
    </font>
    <font>
      <b/>
      <sz val="20"/>
      <color theme="9" tint="0.79998168889431442"/>
      <name val="Arial"/>
      <family val="2"/>
    </font>
    <font>
      <b/>
      <sz val="12"/>
      <color theme="0"/>
      <name val="Arial"/>
      <family val="2"/>
    </font>
    <font>
      <i/>
      <sz val="10"/>
      <color theme="0"/>
      <name val="Arial"/>
      <family val="2"/>
    </font>
    <font>
      <sz val="12"/>
      <name val="Arial"/>
      <family val="2"/>
    </font>
    <font>
      <sz val="11"/>
      <color theme="9"/>
      <name val="Arial"/>
      <family val="2"/>
    </font>
    <font>
      <b/>
      <sz val="12"/>
      <color theme="9"/>
      <name val="Arial"/>
      <family val="2"/>
    </font>
    <font>
      <b/>
      <sz val="14"/>
      <color theme="9"/>
      <name val="Arial"/>
      <family val="2"/>
    </font>
    <font>
      <b/>
      <i/>
      <sz val="12"/>
      <color theme="9"/>
      <name val="Arial"/>
      <family val="2"/>
    </font>
    <font>
      <b/>
      <i/>
      <u/>
      <sz val="12"/>
      <color theme="1" tint="-0.499984740745262"/>
      <name val="Arial"/>
      <family val="2"/>
    </font>
    <font>
      <i/>
      <sz val="12"/>
      <color theme="1" tint="-0.499984740745262"/>
      <name val="Arial"/>
      <family val="2"/>
    </font>
    <font>
      <sz val="11"/>
      <color theme="5"/>
      <name val="Arial"/>
      <family val="2"/>
    </font>
    <font>
      <sz val="11"/>
      <color theme="4" tint="-0.249977111117893"/>
      <name val="Arial"/>
      <family val="2"/>
    </font>
    <font>
      <sz val="8"/>
      <name val="Calibri"/>
      <family val="2"/>
      <scheme val="minor"/>
    </font>
    <font>
      <u/>
      <sz val="11"/>
      <color rgb="FF0000FF"/>
      <name val="Arial"/>
      <family val="2"/>
    </font>
    <font>
      <i/>
      <sz val="11"/>
      <color theme="1"/>
      <name val="Calibri"/>
      <family val="2"/>
      <scheme val="minor"/>
    </font>
    <font>
      <b/>
      <sz val="8"/>
      <color rgb="FFFF0000"/>
      <name val="Arial"/>
      <family val="2"/>
    </font>
    <font>
      <b/>
      <i/>
      <sz val="12"/>
      <color theme="4"/>
      <name val="Arial"/>
      <family val="2"/>
    </font>
    <font>
      <b/>
      <i/>
      <sz val="14"/>
      <color theme="1"/>
      <name val="Arial"/>
      <family val="2"/>
    </font>
    <font>
      <sz val="10"/>
      <name val="Arial"/>
      <family val="2"/>
    </font>
    <font>
      <i/>
      <sz val="16"/>
      <name val="Arial"/>
      <family val="2"/>
    </font>
    <font>
      <b/>
      <sz val="24"/>
      <color theme="0"/>
      <name val="Aptos Narrow"/>
      <family val="2"/>
    </font>
    <font>
      <vertAlign val="superscript"/>
      <sz val="12"/>
      <color theme="1"/>
      <name val="Arial"/>
      <family val="2"/>
    </font>
    <font>
      <b/>
      <sz val="26"/>
      <color rgb="FFC00000"/>
      <name val="Arial"/>
      <family val="2"/>
    </font>
    <font>
      <sz val="26"/>
      <name val="Arial"/>
      <family val="2"/>
    </font>
    <font>
      <sz val="14"/>
      <color rgb="FF20242B"/>
      <name val="Arial"/>
      <family val="2"/>
    </font>
    <font>
      <b/>
      <sz val="14"/>
      <color rgb="FF20242B"/>
      <name val="Arial"/>
      <family val="2"/>
    </font>
    <font>
      <b/>
      <sz val="18"/>
      <color rgb="FFAE0012"/>
      <name val="Arial"/>
      <family val="2"/>
    </font>
    <font>
      <b/>
      <sz val="11"/>
      <color rgb="FFAE0012"/>
      <name val="Arial"/>
      <family val="2"/>
    </font>
    <font>
      <sz val="11"/>
      <color rgb="FFAE0012"/>
      <name val="Arial"/>
      <family val="2"/>
    </font>
    <font>
      <sz val="11"/>
      <color theme="0"/>
      <name val="Arial"/>
      <family val="2"/>
    </font>
    <font>
      <sz val="26"/>
      <color theme="1"/>
      <name val="Arial"/>
      <family val="2"/>
    </font>
    <font>
      <b/>
      <sz val="26"/>
      <color rgb="FFAE0012"/>
      <name val="Arial"/>
      <family val="2"/>
    </font>
    <font>
      <b/>
      <sz val="11.5"/>
      <color theme="1"/>
      <name val="Arial"/>
      <family val="2"/>
    </font>
    <font>
      <b/>
      <i/>
      <sz val="10"/>
      <color theme="0"/>
      <name val="Arial"/>
      <family val="2"/>
    </font>
  </fonts>
  <fills count="2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E8EBEB"/>
        <bgColor indexed="64"/>
      </patternFill>
    </fill>
    <fill>
      <patternFill patternType="solid">
        <fgColor theme="1"/>
        <bgColor indexed="64"/>
      </patternFill>
    </fill>
    <fill>
      <patternFill patternType="solid">
        <fgColor rgb="FFD7EDEF"/>
        <bgColor indexed="64"/>
      </patternFill>
    </fill>
    <fill>
      <patternFill patternType="solid">
        <fgColor theme="4"/>
        <bgColor indexed="64"/>
      </patternFill>
    </fill>
    <fill>
      <patternFill patternType="solid">
        <fgColor rgb="FF66BAC3"/>
        <bgColor indexed="64"/>
      </patternFill>
    </fill>
    <fill>
      <patternFill patternType="solid">
        <fgColor rgb="FFD2EFDF"/>
        <bgColor indexed="64"/>
      </patternFill>
    </fill>
    <fill>
      <patternFill patternType="solid">
        <fgColor theme="4" tint="-0.249977111117893"/>
        <bgColor indexed="64"/>
      </patternFill>
    </fill>
    <fill>
      <patternFill patternType="solid">
        <fgColor theme="3"/>
        <bgColor indexed="64"/>
      </patternFill>
    </fill>
    <fill>
      <patternFill patternType="solid">
        <fgColor theme="1" tint="0.39997558519241921"/>
        <bgColor indexed="64"/>
      </patternFill>
    </fill>
    <fill>
      <patternFill patternType="solid">
        <fgColor theme="9" tint="0.39997558519241921"/>
        <bgColor indexed="64"/>
      </patternFill>
    </fill>
    <fill>
      <patternFill patternType="solid">
        <fgColor rgb="FFD4EAEC"/>
        <bgColor indexed="64"/>
      </patternFill>
    </fill>
    <fill>
      <patternFill patternType="solid">
        <fgColor rgb="FFD2F0DF"/>
        <bgColor indexed="64"/>
      </patternFill>
    </fill>
    <fill>
      <patternFill patternType="solid">
        <fgColor rgb="FFAE0012"/>
        <bgColor indexed="64"/>
      </patternFill>
    </fill>
    <fill>
      <patternFill patternType="solid">
        <fgColor theme="8"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style="thin">
        <color indexed="64"/>
      </top>
      <bottom style="thin">
        <color indexed="64"/>
      </bottom>
      <diagonal/>
    </border>
    <border>
      <left style="thin">
        <color theme="1"/>
      </left>
      <right style="thin">
        <color theme="0"/>
      </right>
      <top style="thin">
        <color theme="1"/>
      </top>
      <bottom/>
      <diagonal/>
    </border>
    <border>
      <left/>
      <right style="thin">
        <color theme="0"/>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style="thin">
        <color theme="1"/>
      </bottom>
      <diagonal/>
    </border>
    <border>
      <left style="thin">
        <color indexed="64"/>
      </left>
      <right style="thin">
        <color theme="0"/>
      </right>
      <top style="thin">
        <color indexed="64"/>
      </top>
      <bottom style="thin">
        <color indexed="64"/>
      </bottom>
      <diagonal/>
    </border>
    <border>
      <left style="thin">
        <color indexed="64"/>
      </left>
      <right style="thin">
        <color theme="0"/>
      </right>
      <top/>
      <bottom style="thin">
        <color indexed="64"/>
      </bottom>
      <diagonal/>
    </border>
    <border>
      <left style="thin">
        <color theme="1"/>
      </left>
      <right/>
      <top style="thin">
        <color indexed="64"/>
      </top>
      <bottom style="thin">
        <color indexed="64"/>
      </bottom>
      <diagonal/>
    </border>
    <border>
      <left style="thin">
        <color indexed="64"/>
      </left>
      <right style="thin">
        <color theme="0"/>
      </right>
      <top style="thin">
        <color indexed="64"/>
      </top>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cellStyleXfs>
  <cellXfs count="519">
    <xf numFmtId="0" fontId="0" fillId="0" borderId="0" xfId="0"/>
    <xf numFmtId="0" fontId="0" fillId="0" borderId="0" xfId="0" applyAlignment="1">
      <alignment horizontal="center" vertical="center"/>
    </xf>
    <xf numFmtId="9" fontId="0" fillId="0" borderId="0" xfId="0" applyNumberFormat="1" applyAlignment="1">
      <alignment horizontal="center" vertical="center"/>
    </xf>
    <xf numFmtId="0" fontId="1" fillId="0" borderId="0" xfId="0" applyFont="1" applyAlignment="1">
      <alignment horizontal="center" vertical="center"/>
    </xf>
    <xf numFmtId="37" fontId="0" fillId="0" borderId="0" xfId="1" applyNumberFormat="1" applyFont="1" applyAlignment="1">
      <alignment horizontal="center" vertical="center"/>
    </xf>
    <xf numFmtId="0" fontId="4" fillId="2" borderId="0" xfId="0" applyFont="1" applyFill="1" applyAlignment="1">
      <alignment vertical="center" wrapText="1"/>
    </xf>
    <xf numFmtId="0" fontId="1" fillId="0" borderId="0" xfId="0" applyFont="1" applyAlignment="1">
      <alignment horizontal="center"/>
    </xf>
    <xf numFmtId="0" fontId="0" fillId="0" borderId="0" xfId="0" applyAlignment="1">
      <alignment horizontal="left" vertical="center" wrapText="1"/>
    </xf>
    <xf numFmtId="0" fontId="5" fillId="0" borderId="0" xfId="0" applyFont="1"/>
    <xf numFmtId="0" fontId="6" fillId="2" borderId="0" xfId="0" applyFont="1" applyFill="1"/>
    <xf numFmtId="0" fontId="6" fillId="4" borderId="0" xfId="0" applyFont="1" applyFill="1"/>
    <xf numFmtId="0" fontId="6" fillId="2" borderId="0" xfId="0" applyFont="1" applyFill="1" applyAlignment="1">
      <alignment horizontal="left" wrapText="1"/>
    </xf>
    <xf numFmtId="0" fontId="8" fillId="2" borderId="0" xfId="0" applyFont="1" applyFill="1" applyAlignment="1">
      <alignment horizontal="center"/>
    </xf>
    <xf numFmtId="0" fontId="8" fillId="6" borderId="0" xfId="0" applyFont="1" applyFill="1" applyAlignment="1">
      <alignment horizontal="center"/>
    </xf>
    <xf numFmtId="0" fontId="6" fillId="6" borderId="0" xfId="0" applyFont="1" applyFill="1"/>
    <xf numFmtId="0" fontId="6" fillId="2" borderId="0" xfId="0" applyFont="1" applyFill="1" applyAlignment="1">
      <alignment horizontal="center" vertical="center" wrapText="1"/>
    </xf>
    <xf numFmtId="0" fontId="9" fillId="7" borderId="0" xfId="0" applyFont="1" applyFill="1" applyAlignment="1">
      <alignment horizontal="center"/>
    </xf>
    <xf numFmtId="0" fontId="6" fillId="7" borderId="0" xfId="0" applyFont="1" applyFill="1"/>
    <xf numFmtId="0" fontId="10" fillId="9" borderId="0" xfId="0" applyFont="1" applyFill="1" applyAlignment="1">
      <alignment horizontal="center"/>
    </xf>
    <xf numFmtId="0" fontId="6" fillId="9" borderId="0" xfId="0" applyFont="1" applyFill="1"/>
    <xf numFmtId="0" fontId="6" fillId="10" borderId="0" xfId="0" applyFont="1" applyFill="1"/>
    <xf numFmtId="0" fontId="11" fillId="2" borderId="0" xfId="3" applyFont="1" applyFill="1" applyBorder="1" applyAlignment="1">
      <alignment horizontal="left" vertical="center"/>
    </xf>
    <xf numFmtId="0" fontId="12" fillId="2" borderId="0" xfId="0" applyFont="1" applyFill="1" applyAlignment="1">
      <alignment horizontal="center" vertical="center"/>
    </xf>
    <xf numFmtId="0" fontId="6" fillId="2" borderId="0" xfId="0" applyFont="1" applyFill="1" applyAlignment="1">
      <alignment horizontal="left" vertical="center" wrapText="1"/>
    </xf>
    <xf numFmtId="0" fontId="11" fillId="2" borderId="0" xfId="3" applyFont="1" applyFill="1" applyBorder="1" applyAlignment="1">
      <alignment horizontal="left" vertical="center" wrapText="1"/>
    </xf>
    <xf numFmtId="0" fontId="12" fillId="2" borderId="0" xfId="0" applyFont="1" applyFill="1" applyAlignment="1">
      <alignment horizontal="center" vertical="center" wrapText="1"/>
    </xf>
    <xf numFmtId="0" fontId="6" fillId="2" borderId="1" xfId="0" applyFont="1" applyFill="1" applyBorder="1" applyAlignment="1">
      <alignment vertical="center" wrapText="1"/>
    </xf>
    <xf numFmtId="0" fontId="6" fillId="10" borderId="0" xfId="0" applyFont="1" applyFill="1" applyAlignment="1">
      <alignment vertical="center" wrapText="1"/>
    </xf>
    <xf numFmtId="0" fontId="6" fillId="13" borderId="1" xfId="0" applyFont="1" applyFill="1" applyBorder="1" applyAlignment="1">
      <alignment vertical="center" wrapText="1"/>
    </xf>
    <xf numFmtId="0" fontId="6" fillId="5" borderId="1" xfId="0" applyFont="1" applyFill="1" applyBorder="1" applyAlignment="1">
      <alignment vertical="center" wrapText="1"/>
    </xf>
    <xf numFmtId="0" fontId="6" fillId="14" borderId="0" xfId="0" applyFont="1" applyFill="1"/>
    <xf numFmtId="0" fontId="14" fillId="15" borderId="0" xfId="0" applyFont="1" applyFill="1"/>
    <xf numFmtId="0" fontId="6" fillId="15" borderId="0" xfId="0" applyFont="1" applyFill="1"/>
    <xf numFmtId="0" fontId="16" fillId="4" borderId="0" xfId="0" applyFont="1" applyFill="1" applyAlignment="1">
      <alignment horizontal="left" vertical="center" wrapText="1"/>
    </xf>
    <xf numFmtId="0" fontId="19" fillId="4" borderId="0" xfId="0" applyFont="1" applyFill="1" applyAlignment="1">
      <alignment vertical="center" wrapText="1"/>
    </xf>
    <xf numFmtId="0" fontId="20" fillId="2" borderId="0" xfId="0" applyFont="1" applyFill="1" applyAlignment="1">
      <alignment horizontal="left" vertical="center" wrapText="1"/>
    </xf>
    <xf numFmtId="0" fontId="23" fillId="15" borderId="0" xfId="0" applyFont="1" applyFill="1" applyAlignment="1">
      <alignment vertical="center"/>
    </xf>
    <xf numFmtId="0" fontId="19" fillId="4" borderId="0" xfId="0" applyFont="1" applyFill="1" applyAlignment="1">
      <alignment vertical="center"/>
    </xf>
    <xf numFmtId="0" fontId="26" fillId="2" borderId="0" xfId="0" applyFont="1" applyFill="1" applyAlignment="1">
      <alignment vertical="center" wrapText="1"/>
    </xf>
    <xf numFmtId="0" fontId="27" fillId="2" borderId="0" xfId="0" applyFont="1" applyFill="1" applyAlignment="1">
      <alignment horizontal="center" vertical="center" wrapText="1"/>
    </xf>
    <xf numFmtId="0" fontId="28" fillId="2" borderId="0" xfId="0" applyFont="1" applyFill="1" applyAlignment="1">
      <alignment vertical="center" wrapText="1"/>
    </xf>
    <xf numFmtId="0" fontId="29" fillId="2" borderId="0" xfId="0" applyFont="1" applyFill="1" applyAlignment="1" applyProtection="1">
      <alignment horizontal="center" vertical="center"/>
      <protection hidden="1"/>
    </xf>
    <xf numFmtId="9" fontId="30" fillId="2" borderId="0" xfId="0" applyNumberFormat="1" applyFont="1" applyFill="1" applyAlignment="1" applyProtection="1">
      <alignment horizontal="center" vertical="center"/>
      <protection hidden="1"/>
    </xf>
    <xf numFmtId="0" fontId="30" fillId="2" borderId="0" xfId="0" applyFont="1" applyFill="1" applyAlignment="1" applyProtection="1">
      <alignment horizontal="center" vertical="center"/>
      <protection hidden="1"/>
    </xf>
    <xf numFmtId="9" fontId="30" fillId="2" borderId="0" xfId="2" applyFont="1" applyFill="1" applyBorder="1" applyAlignment="1" applyProtection="1">
      <alignment horizontal="center" vertical="center"/>
      <protection hidden="1"/>
    </xf>
    <xf numFmtId="0" fontId="31" fillId="2" borderId="0" xfId="0" applyFont="1" applyFill="1" applyAlignment="1" applyProtection="1">
      <alignment horizontal="center" vertical="center" wrapText="1"/>
      <protection hidden="1"/>
    </xf>
    <xf numFmtId="0" fontId="29" fillId="10" borderId="0" xfId="0" applyFont="1" applyFill="1" applyAlignment="1" applyProtection="1">
      <alignment horizontal="center" vertical="center"/>
      <protection hidden="1"/>
    </xf>
    <xf numFmtId="0" fontId="32" fillId="10" borderId="0" xfId="0" applyFont="1" applyFill="1" applyAlignment="1" applyProtection="1">
      <alignment horizontal="left" vertical="center" wrapText="1"/>
      <protection hidden="1"/>
    </xf>
    <xf numFmtId="9" fontId="34" fillId="5" borderId="1" xfId="0" applyNumberFormat="1" applyFont="1" applyFill="1" applyBorder="1" applyAlignment="1" applyProtection="1">
      <alignment horizontal="center" vertical="center"/>
      <protection locked="0"/>
    </xf>
    <xf numFmtId="0" fontId="34" fillId="10" borderId="0" xfId="0" applyFont="1" applyFill="1" applyAlignment="1" applyProtection="1">
      <alignment horizontal="center" vertical="center"/>
      <protection hidden="1"/>
    </xf>
    <xf numFmtId="9" fontId="30" fillId="10" borderId="0" xfId="0" applyNumberFormat="1" applyFont="1" applyFill="1" applyAlignment="1" applyProtection="1">
      <alignment horizontal="center" vertical="center"/>
      <protection hidden="1"/>
    </xf>
    <xf numFmtId="0" fontId="30" fillId="10" borderId="0" xfId="0" applyFont="1" applyFill="1" applyAlignment="1" applyProtection="1">
      <alignment horizontal="center" vertical="center"/>
      <protection hidden="1"/>
    </xf>
    <xf numFmtId="9" fontId="30" fillId="10" borderId="0" xfId="2" applyFont="1" applyFill="1" applyBorder="1" applyAlignment="1" applyProtection="1">
      <alignment horizontal="center" vertical="center"/>
      <protection hidden="1"/>
    </xf>
    <xf numFmtId="0" fontId="31" fillId="10" borderId="0" xfId="0" applyFont="1" applyFill="1" applyAlignment="1" applyProtection="1">
      <alignment horizontal="center" vertical="center" wrapText="1"/>
      <protection hidden="1"/>
    </xf>
    <xf numFmtId="0" fontId="35" fillId="10" borderId="0" xfId="0" applyFont="1" applyFill="1" applyAlignment="1" applyProtection="1">
      <alignment horizontal="center" vertical="center"/>
      <protection hidden="1"/>
    </xf>
    <xf numFmtId="164" fontId="29" fillId="2" borderId="0" xfId="0" applyNumberFormat="1" applyFont="1" applyFill="1" applyAlignment="1" applyProtection="1">
      <alignment horizontal="center" vertical="center"/>
      <protection hidden="1"/>
    </xf>
    <xf numFmtId="164" fontId="29" fillId="10" borderId="0" xfId="0" applyNumberFormat="1" applyFont="1" applyFill="1" applyAlignment="1" applyProtection="1">
      <alignment horizontal="center" vertical="center"/>
      <protection hidden="1"/>
    </xf>
    <xf numFmtId="0" fontId="36" fillId="10" borderId="0" xfId="0" applyFont="1" applyFill="1" applyAlignment="1" applyProtection="1">
      <alignment horizontal="center" vertical="center"/>
      <protection hidden="1"/>
    </xf>
    <xf numFmtId="0" fontId="37" fillId="10" borderId="0" xfId="0" applyFont="1" applyFill="1" applyAlignment="1" applyProtection="1">
      <alignment horizontal="center" vertical="center" wrapText="1"/>
      <protection hidden="1"/>
    </xf>
    <xf numFmtId="164" fontId="16" fillId="2" borderId="0" xfId="0" applyNumberFormat="1" applyFont="1" applyFill="1" applyAlignment="1" applyProtection="1">
      <alignment vertical="center" wrapText="1"/>
      <protection hidden="1"/>
    </xf>
    <xf numFmtId="164" fontId="16" fillId="10" borderId="2" xfId="0" applyNumberFormat="1" applyFont="1" applyFill="1" applyBorder="1" applyAlignment="1" applyProtection="1">
      <alignment vertical="center" wrapText="1"/>
      <protection hidden="1"/>
    </xf>
    <xf numFmtId="0" fontId="38" fillId="10" borderId="2" xfId="0" applyFont="1" applyFill="1" applyBorder="1" applyAlignment="1" applyProtection="1">
      <alignment horizontal="left"/>
      <protection hidden="1"/>
    </xf>
    <xf numFmtId="0" fontId="29" fillId="10" borderId="2" xfId="0" applyFont="1" applyFill="1" applyBorder="1" applyAlignment="1" applyProtection="1">
      <alignment horizontal="center" vertical="center"/>
      <protection hidden="1"/>
    </xf>
    <xf numFmtId="164" fontId="16" fillId="10" borderId="0" xfId="0" applyNumberFormat="1" applyFont="1" applyFill="1" applyAlignment="1" applyProtection="1">
      <alignment vertical="center" wrapText="1"/>
      <protection hidden="1"/>
    </xf>
    <xf numFmtId="0" fontId="39" fillId="11" borderId="0" xfId="0" applyFont="1" applyFill="1" applyAlignment="1" applyProtection="1">
      <alignment horizontal="center" vertical="center"/>
      <protection hidden="1"/>
    </xf>
    <xf numFmtId="0" fontId="29" fillId="11" borderId="0" xfId="0" applyFont="1" applyFill="1" applyAlignment="1" applyProtection="1">
      <alignment horizontal="center" vertical="center"/>
      <protection hidden="1"/>
    </xf>
    <xf numFmtId="164" fontId="6" fillId="2" borderId="0" xfId="0" applyNumberFormat="1" applyFont="1" applyFill="1" applyAlignment="1" applyProtection="1">
      <alignment horizontal="center" vertical="center"/>
      <protection hidden="1"/>
    </xf>
    <xf numFmtId="164" fontId="6" fillId="10" borderId="0" xfId="0" applyNumberFormat="1" applyFont="1" applyFill="1" applyAlignment="1" applyProtection="1">
      <alignment horizontal="center" vertical="center"/>
      <protection hidden="1"/>
    </xf>
    <xf numFmtId="164" fontId="30" fillId="10" borderId="0" xfId="0" applyNumberFormat="1" applyFont="1" applyFill="1" applyAlignment="1" applyProtection="1">
      <alignment horizontal="center" vertical="center"/>
      <protection locked="0"/>
    </xf>
    <xf numFmtId="164" fontId="8" fillId="10" borderId="0" xfId="0" applyNumberFormat="1" applyFont="1" applyFill="1" applyAlignment="1" applyProtection="1">
      <alignment horizontal="center" vertical="center"/>
      <protection hidden="1"/>
    </xf>
    <xf numFmtId="165" fontId="6" fillId="2" borderId="0" xfId="0" applyNumberFormat="1" applyFont="1" applyFill="1" applyAlignment="1" applyProtection="1">
      <alignment horizontal="center" vertical="center" wrapText="1"/>
      <protection hidden="1"/>
    </xf>
    <xf numFmtId="165" fontId="6" fillId="10" borderId="0" xfId="0" applyNumberFormat="1" applyFont="1" applyFill="1" applyAlignment="1" applyProtection="1">
      <alignment horizontal="center" vertical="center" wrapText="1"/>
      <protection hidden="1"/>
    </xf>
    <xf numFmtId="165" fontId="30" fillId="10" borderId="0" xfId="0" applyNumberFormat="1" applyFont="1" applyFill="1" applyAlignment="1" applyProtection="1">
      <alignment horizontal="center" vertical="center" wrapText="1"/>
      <protection locked="0"/>
    </xf>
    <xf numFmtId="165" fontId="8" fillId="10" borderId="0" xfId="0" applyNumberFormat="1"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8" fillId="10" borderId="0" xfId="0" applyFont="1" applyFill="1" applyAlignment="1" applyProtection="1">
      <alignment horizontal="center" vertical="center"/>
      <protection hidden="1"/>
    </xf>
    <xf numFmtId="0" fontId="40" fillId="10" borderId="0" xfId="0" applyFont="1" applyFill="1" applyAlignment="1" applyProtection="1">
      <alignment vertical="center"/>
      <protection hidden="1"/>
    </xf>
    <xf numFmtId="0" fontId="41" fillId="10" borderId="0" xfId="0" applyFont="1" applyFill="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1" fontId="6" fillId="2" borderId="0" xfId="2" applyNumberFormat="1" applyFont="1" applyFill="1" applyBorder="1" applyAlignment="1" applyProtection="1">
      <alignment horizontal="center" vertical="center"/>
      <protection hidden="1"/>
    </xf>
    <xf numFmtId="1" fontId="6" fillId="10" borderId="0" xfId="2" applyNumberFormat="1" applyFont="1" applyFill="1" applyBorder="1" applyAlignment="1" applyProtection="1">
      <alignment horizontal="center" vertical="center"/>
      <protection hidden="1"/>
    </xf>
    <xf numFmtId="1" fontId="30" fillId="10" borderId="12" xfId="2" applyNumberFormat="1" applyFont="1" applyFill="1" applyBorder="1" applyAlignment="1" applyProtection="1">
      <alignment horizontal="center" vertical="center"/>
      <protection locked="0"/>
    </xf>
    <xf numFmtId="1" fontId="8" fillId="13" borderId="1" xfId="2" applyNumberFormat="1" applyFont="1" applyFill="1" applyBorder="1" applyAlignment="1" applyProtection="1">
      <alignment horizontal="center" vertical="center"/>
      <protection locked="0"/>
    </xf>
    <xf numFmtId="1" fontId="8" fillId="10" borderId="7" xfId="2" applyNumberFormat="1" applyFont="1" applyFill="1" applyBorder="1" applyAlignment="1" applyProtection="1">
      <alignment horizontal="center" vertical="center"/>
      <protection hidden="1"/>
    </xf>
    <xf numFmtId="164" fontId="6" fillId="2" borderId="0" xfId="2" applyNumberFormat="1" applyFont="1" applyFill="1" applyBorder="1" applyAlignment="1" applyProtection="1">
      <alignment horizontal="center" vertical="center"/>
      <protection hidden="1"/>
    </xf>
    <xf numFmtId="164" fontId="6" fillId="10" borderId="0" xfId="2" applyNumberFormat="1" applyFont="1" applyFill="1" applyBorder="1" applyAlignment="1" applyProtection="1">
      <alignment horizontal="center" vertical="center"/>
      <protection hidden="1"/>
    </xf>
    <xf numFmtId="164" fontId="30" fillId="10" borderId="12" xfId="2" applyNumberFormat="1" applyFont="1" applyFill="1" applyBorder="1" applyAlignment="1" applyProtection="1">
      <alignment horizontal="center" vertical="center"/>
      <protection locked="0"/>
    </xf>
    <xf numFmtId="164" fontId="8" fillId="10" borderId="7" xfId="2" applyNumberFormat="1" applyFont="1" applyFill="1" applyBorder="1" applyAlignment="1" applyProtection="1">
      <alignment horizontal="center" vertical="center"/>
      <protection hidden="1"/>
    </xf>
    <xf numFmtId="9" fontId="6" fillId="2" borderId="0" xfId="2" applyFont="1" applyFill="1" applyBorder="1" applyAlignment="1" applyProtection="1">
      <alignment horizontal="center" vertical="center"/>
      <protection hidden="1"/>
    </xf>
    <xf numFmtId="9" fontId="6" fillId="10" borderId="0" xfId="2" applyFont="1" applyFill="1" applyBorder="1" applyAlignment="1" applyProtection="1">
      <alignment horizontal="center" vertical="center"/>
      <protection hidden="1"/>
    </xf>
    <xf numFmtId="9" fontId="30" fillId="10" borderId="12" xfId="2" applyFont="1" applyFill="1" applyBorder="1" applyAlignment="1" applyProtection="1">
      <alignment horizontal="center" vertical="center"/>
      <protection locked="0"/>
    </xf>
    <xf numFmtId="9" fontId="8" fillId="13" borderId="1" xfId="2" applyFont="1" applyFill="1" applyBorder="1" applyAlignment="1" applyProtection="1">
      <alignment horizontal="center" vertical="center"/>
      <protection locked="0"/>
    </xf>
    <xf numFmtId="9" fontId="8" fillId="10" borderId="7" xfId="2" applyFont="1" applyFill="1" applyBorder="1" applyAlignment="1" applyProtection="1">
      <alignment horizontal="center" vertical="center"/>
      <protection hidden="1"/>
    </xf>
    <xf numFmtId="166" fontId="6" fillId="2" borderId="0" xfId="2" applyNumberFormat="1" applyFont="1" applyFill="1" applyBorder="1" applyAlignment="1" applyProtection="1">
      <alignment horizontal="center" vertical="center"/>
      <protection hidden="1"/>
    </xf>
    <xf numFmtId="166" fontId="6" fillId="10" borderId="0" xfId="2" applyNumberFormat="1" applyFont="1" applyFill="1" applyBorder="1" applyAlignment="1" applyProtection="1">
      <alignment horizontal="center" vertical="center"/>
      <protection hidden="1"/>
    </xf>
    <xf numFmtId="166" fontId="30" fillId="10" borderId="12" xfId="2" applyNumberFormat="1" applyFont="1" applyFill="1" applyBorder="1" applyAlignment="1" applyProtection="1">
      <alignment horizontal="center" vertical="center"/>
      <protection locked="0"/>
    </xf>
    <xf numFmtId="166" fontId="8" fillId="13" borderId="1" xfId="2" applyNumberFormat="1" applyFont="1" applyFill="1" applyBorder="1" applyAlignment="1" applyProtection="1">
      <alignment horizontal="center" vertical="center"/>
      <protection locked="0"/>
    </xf>
    <xf numFmtId="166" fontId="8" fillId="10" borderId="7" xfId="2" applyNumberFormat="1" applyFont="1" applyFill="1" applyBorder="1" applyAlignment="1" applyProtection="1">
      <alignment horizontal="center" vertical="center"/>
      <protection hidden="1"/>
    </xf>
    <xf numFmtId="0" fontId="8" fillId="2" borderId="0" xfId="0" applyFont="1" applyFill="1" applyAlignment="1" applyProtection="1">
      <alignment vertical="center"/>
      <protection hidden="1"/>
    </xf>
    <xf numFmtId="0" fontId="8" fillId="10" borderId="0" xfId="0" applyFont="1" applyFill="1" applyAlignment="1" applyProtection="1">
      <alignment vertical="center"/>
      <protection hidden="1"/>
    </xf>
    <xf numFmtId="2" fontId="30" fillId="10" borderId="0" xfId="0" applyNumberFormat="1" applyFont="1" applyFill="1" applyAlignment="1" applyProtection="1">
      <alignment horizontal="center" vertical="center"/>
      <protection hidden="1"/>
    </xf>
    <xf numFmtId="2" fontId="34" fillId="2" borderId="1" xfId="0" applyNumberFormat="1" applyFont="1" applyFill="1" applyBorder="1" applyAlignment="1" applyProtection="1">
      <alignment horizontal="center" vertical="center"/>
      <protection hidden="1"/>
    </xf>
    <xf numFmtId="2" fontId="34" fillId="10" borderId="0" xfId="0" applyNumberFormat="1" applyFont="1" applyFill="1" applyAlignment="1" applyProtection="1">
      <alignment horizontal="center" vertical="center"/>
      <protection hidden="1"/>
    </xf>
    <xf numFmtId="0" fontId="29" fillId="0" borderId="0" xfId="0" applyFont="1" applyAlignment="1" applyProtection="1">
      <alignment horizontal="center" vertical="center"/>
      <protection hidden="1"/>
    </xf>
    <xf numFmtId="9" fontId="42" fillId="10" borderId="12" xfId="2" applyFont="1" applyFill="1" applyBorder="1" applyAlignment="1" applyProtection="1">
      <alignment horizontal="center" vertical="center"/>
      <protection hidden="1"/>
    </xf>
    <xf numFmtId="9" fontId="43" fillId="0" borderId="8" xfId="2" applyFont="1" applyFill="1" applyBorder="1" applyAlignment="1" applyProtection="1">
      <alignment horizontal="center" vertical="center"/>
      <protection hidden="1"/>
    </xf>
    <xf numFmtId="9" fontId="43" fillId="10" borderId="7" xfId="2" applyFont="1" applyFill="1" applyBorder="1" applyAlignment="1" applyProtection="1">
      <alignment horizontal="center" vertical="center"/>
      <protection hidden="1"/>
    </xf>
    <xf numFmtId="0" fontId="44" fillId="2" borderId="8" xfId="0" applyFont="1" applyFill="1" applyBorder="1" applyAlignment="1" applyProtection="1">
      <alignment horizontal="center" vertical="center" wrapText="1"/>
      <protection hidden="1"/>
    </xf>
    <xf numFmtId="9" fontId="8" fillId="13" borderId="6" xfId="2" applyFont="1" applyFill="1" applyBorder="1" applyAlignment="1" applyProtection="1">
      <alignment horizontal="center" vertical="center"/>
      <protection locked="0"/>
    </xf>
    <xf numFmtId="2" fontId="6" fillId="2" borderId="0" xfId="2" applyNumberFormat="1" applyFont="1" applyFill="1" applyBorder="1" applyAlignment="1" applyProtection="1">
      <alignment horizontal="center" vertical="center"/>
      <protection hidden="1"/>
    </xf>
    <xf numFmtId="2" fontId="6" fillId="10" borderId="0" xfId="2" applyNumberFormat="1" applyFont="1" applyFill="1" applyBorder="1" applyAlignment="1" applyProtection="1">
      <alignment horizontal="center" vertical="center"/>
      <protection hidden="1"/>
    </xf>
    <xf numFmtId="2" fontId="30" fillId="10" borderId="12" xfId="2" applyNumberFormat="1" applyFont="1" applyFill="1" applyBorder="1" applyAlignment="1" applyProtection="1">
      <alignment horizontal="center" vertical="center"/>
      <protection locked="0"/>
    </xf>
    <xf numFmtId="2" fontId="34" fillId="10" borderId="7" xfId="2" applyNumberFormat="1" applyFont="1" applyFill="1" applyBorder="1" applyAlignment="1" applyProtection="1">
      <alignment horizontal="center" vertical="center"/>
      <protection hidden="1"/>
    </xf>
    <xf numFmtId="1" fontId="34" fillId="10" borderId="7" xfId="2" applyNumberFormat="1" applyFont="1" applyFill="1" applyBorder="1" applyAlignment="1" applyProtection="1">
      <alignment horizontal="center" vertical="center"/>
      <protection hidden="1"/>
    </xf>
    <xf numFmtId="0" fontId="16" fillId="2" borderId="0" xfId="0" applyFont="1" applyFill="1" applyAlignment="1" applyProtection="1">
      <alignment vertical="center" wrapText="1"/>
      <protection hidden="1"/>
    </xf>
    <xf numFmtId="0" fontId="16" fillId="10" borderId="0" xfId="0" applyFont="1" applyFill="1" applyAlignment="1" applyProtection="1">
      <alignment vertical="center" wrapText="1"/>
      <protection hidden="1"/>
    </xf>
    <xf numFmtId="7" fontId="30" fillId="10" borderId="0" xfId="1" applyNumberFormat="1" applyFont="1" applyFill="1" applyBorder="1" applyAlignment="1" applyProtection="1">
      <alignment horizontal="center" vertical="center"/>
      <protection locked="0"/>
    </xf>
    <xf numFmtId="0" fontId="6" fillId="2" borderId="0" xfId="0" applyFont="1" applyFill="1" applyAlignment="1" applyProtection="1">
      <alignment vertical="center" wrapText="1"/>
      <protection hidden="1"/>
    </xf>
    <xf numFmtId="0" fontId="6" fillId="10" borderId="0" xfId="0" applyFont="1" applyFill="1" applyAlignment="1" applyProtection="1">
      <alignment vertical="center" wrapText="1"/>
      <protection hidden="1"/>
    </xf>
    <xf numFmtId="0" fontId="45" fillId="10" borderId="0" xfId="0" applyFont="1" applyFill="1" applyAlignment="1" applyProtection="1">
      <alignment horizontal="center" vertical="center" wrapText="1"/>
      <protection hidden="1"/>
    </xf>
    <xf numFmtId="0" fontId="40" fillId="10"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wrapText="1"/>
      <protection hidden="1"/>
    </xf>
    <xf numFmtId="0" fontId="8" fillId="10" borderId="0" xfId="0" applyFont="1" applyFill="1" applyAlignment="1" applyProtection="1">
      <alignment horizontal="center" vertical="center" wrapText="1"/>
      <protection hidden="1"/>
    </xf>
    <xf numFmtId="0" fontId="30" fillId="10" borderId="0" xfId="0" applyFont="1" applyFill="1" applyAlignment="1" applyProtection="1">
      <alignment horizontal="center" vertical="center" wrapText="1"/>
      <protection locked="0"/>
    </xf>
    <xf numFmtId="0" fontId="34" fillId="10" borderId="0" xfId="0" applyFont="1" applyFill="1" applyAlignment="1" applyProtection="1">
      <alignment vertical="center" wrapText="1"/>
      <protection hidden="1"/>
    </xf>
    <xf numFmtId="0" fontId="34" fillId="5" borderId="1" xfId="0" applyFont="1" applyFill="1" applyBorder="1" applyAlignment="1" applyProtection="1">
      <alignment horizontal="center" vertical="center" wrapText="1"/>
      <protection locked="0"/>
    </xf>
    <xf numFmtId="0" fontId="39" fillId="11" borderId="14" xfId="0" applyFont="1" applyFill="1" applyBorder="1" applyAlignment="1" applyProtection="1">
      <alignment horizontal="center" vertical="center" wrapText="1"/>
      <protection hidden="1"/>
    </xf>
    <xf numFmtId="0" fontId="7" fillId="10" borderId="0" xfId="0" applyFont="1" applyFill="1" applyAlignment="1" applyProtection="1">
      <alignment horizontal="center" vertical="center" wrapText="1"/>
      <protection hidden="1"/>
    </xf>
    <xf numFmtId="0" fontId="7" fillId="2" borderId="1" xfId="0" applyFont="1" applyFill="1" applyBorder="1" applyAlignment="1" applyProtection="1">
      <alignment horizontal="center" vertical="center"/>
      <protection hidden="1"/>
    </xf>
    <xf numFmtId="0" fontId="8" fillId="10" borderId="15" xfId="0" applyFont="1" applyFill="1" applyBorder="1" applyAlignment="1" applyProtection="1">
      <alignment vertical="center"/>
      <protection hidden="1"/>
    </xf>
    <xf numFmtId="0" fontId="29" fillId="2" borderId="0" xfId="0" applyFont="1" applyFill="1" applyAlignment="1" applyProtection="1">
      <alignment vertical="center" wrapText="1"/>
      <protection hidden="1"/>
    </xf>
    <xf numFmtId="0" fontId="29" fillId="10" borderId="0" xfId="0" applyFont="1" applyFill="1" applyAlignment="1" applyProtection="1">
      <alignment vertical="center" wrapText="1"/>
      <protection hidden="1"/>
    </xf>
    <xf numFmtId="0" fontId="46" fillId="10" borderId="0" xfId="0" applyFont="1" applyFill="1" applyAlignment="1" applyProtection="1">
      <alignment horizontal="center" vertical="center" wrapText="1"/>
      <protection hidden="1"/>
    </xf>
    <xf numFmtId="9" fontId="47" fillId="10" borderId="0" xfId="2" applyFont="1" applyFill="1" applyBorder="1" applyAlignment="1" applyProtection="1">
      <alignment horizontal="center" vertical="center"/>
      <protection hidden="1"/>
    </xf>
    <xf numFmtId="0" fontId="48" fillId="10"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10" borderId="0" xfId="0" applyFont="1" applyFill="1" applyAlignment="1" applyProtection="1">
      <alignment vertical="center"/>
      <protection hidden="1"/>
    </xf>
    <xf numFmtId="0" fontId="30" fillId="10" borderId="0" xfId="0" applyFont="1" applyFill="1" applyAlignment="1" applyProtection="1">
      <alignment horizontal="left" vertical="center" wrapText="1"/>
      <protection hidden="1"/>
    </xf>
    <xf numFmtId="9" fontId="30" fillId="2" borderId="3" xfId="2" applyFont="1" applyFill="1" applyBorder="1" applyAlignment="1" applyProtection="1">
      <alignment horizontal="center" vertical="center"/>
      <protection hidden="1"/>
    </xf>
    <xf numFmtId="0" fontId="7" fillId="2" borderId="0" xfId="0" applyFont="1" applyFill="1" applyAlignment="1" applyProtection="1">
      <alignment horizontal="left" vertical="center" wrapText="1"/>
      <protection hidden="1"/>
    </xf>
    <xf numFmtId="3" fontId="30" fillId="2" borderId="9" xfId="0" applyNumberFormat="1" applyFont="1" applyFill="1" applyBorder="1" applyAlignment="1" applyProtection="1">
      <alignment horizontal="center" vertical="center"/>
      <protection hidden="1"/>
    </xf>
    <xf numFmtId="0" fontId="7" fillId="2" borderId="0" xfId="0" applyFont="1" applyFill="1" applyAlignment="1" applyProtection="1">
      <alignment horizontal="center" vertical="center" wrapText="1"/>
      <protection hidden="1"/>
    </xf>
    <xf numFmtId="0" fontId="30" fillId="10" borderId="0" xfId="0" applyFont="1" applyFill="1" applyAlignment="1" applyProtection="1">
      <alignment horizontal="left" vertical="center"/>
      <protection hidden="1"/>
    </xf>
    <xf numFmtId="0" fontId="30" fillId="2" borderId="3" xfId="0" applyFont="1" applyFill="1" applyBorder="1" applyAlignment="1" applyProtection="1">
      <alignment horizontal="center" vertical="center"/>
      <protection hidden="1"/>
    </xf>
    <xf numFmtId="0" fontId="40" fillId="2" borderId="0" xfId="0" applyFont="1" applyFill="1" applyAlignment="1" applyProtection="1">
      <alignment horizontal="center" vertical="center"/>
      <protection hidden="1"/>
    </xf>
    <xf numFmtId="0" fontId="40" fillId="10" borderId="0" xfId="0" applyFont="1" applyFill="1" applyAlignment="1" applyProtection="1">
      <alignment horizontal="center" vertical="center"/>
      <protection hidden="1"/>
    </xf>
    <xf numFmtId="0" fontId="40" fillId="10" borderId="0" xfId="0" applyFont="1" applyFill="1" applyAlignment="1" applyProtection="1">
      <alignment horizontal="left" vertical="center"/>
      <protection hidden="1"/>
    </xf>
    <xf numFmtId="0" fontId="35" fillId="2" borderId="0" xfId="0" applyFont="1" applyFill="1" applyAlignment="1" applyProtection="1">
      <alignment horizontal="right" vertical="center"/>
      <protection hidden="1"/>
    </xf>
    <xf numFmtId="0" fontId="35" fillId="10" borderId="0" xfId="0" applyFont="1" applyFill="1" applyAlignment="1" applyProtection="1">
      <alignment horizontal="right" vertical="center"/>
      <protection hidden="1"/>
    </xf>
    <xf numFmtId="0" fontId="35" fillId="10" borderId="0" xfId="0" applyFont="1" applyFill="1" applyAlignment="1" applyProtection="1">
      <alignment vertical="center"/>
      <protection hidden="1"/>
    </xf>
    <xf numFmtId="0" fontId="50" fillId="14" borderId="0" xfId="0" applyFont="1" applyFill="1" applyAlignment="1" applyProtection="1">
      <alignment horizontal="center" vertical="center"/>
      <protection hidden="1"/>
    </xf>
    <xf numFmtId="0" fontId="29" fillId="14" borderId="0" xfId="0" applyFont="1" applyFill="1" applyAlignment="1" applyProtection="1">
      <alignment horizontal="center" vertical="center"/>
      <protection hidden="1"/>
    </xf>
    <xf numFmtId="0" fontId="52" fillId="2" borderId="0" xfId="0" applyFont="1" applyFill="1" applyAlignment="1" applyProtection="1">
      <alignment horizontal="left" vertical="center" wrapText="1"/>
      <protection hidden="1"/>
    </xf>
    <xf numFmtId="0" fontId="53" fillId="10" borderId="0" xfId="0" applyFont="1" applyFill="1" applyAlignment="1" applyProtection="1">
      <alignment vertical="center"/>
      <protection hidden="1"/>
    </xf>
    <xf numFmtId="0" fontId="43" fillId="10" borderId="0" xfId="0" applyFont="1" applyFill="1" applyAlignment="1" applyProtection="1">
      <alignment horizontal="left" vertical="center"/>
      <protection hidden="1"/>
    </xf>
    <xf numFmtId="0" fontId="43" fillId="2" borderId="0" xfId="0" applyFont="1" applyFill="1" applyAlignment="1" applyProtection="1">
      <alignment horizontal="left" vertical="center"/>
      <protection hidden="1"/>
    </xf>
    <xf numFmtId="164" fontId="6" fillId="8" borderId="0" xfId="0" applyNumberFormat="1" applyFont="1" applyFill="1" applyAlignment="1" applyProtection="1">
      <alignment horizontal="center" vertical="center"/>
      <protection hidden="1"/>
    </xf>
    <xf numFmtId="164" fontId="22" fillId="8" borderId="0" xfId="0" applyNumberFormat="1" applyFont="1" applyFill="1" applyAlignment="1" applyProtection="1">
      <alignment horizontal="center" vertical="center"/>
      <protection hidden="1"/>
    </xf>
    <xf numFmtId="0" fontId="7" fillId="8" borderId="0" xfId="0" applyFont="1" applyFill="1" applyAlignment="1" applyProtection="1">
      <alignment horizontal="center" vertical="center" wrapText="1"/>
      <protection hidden="1"/>
    </xf>
    <xf numFmtId="0" fontId="54" fillId="2" borderId="1" xfId="0" applyFont="1" applyFill="1" applyBorder="1" applyAlignment="1" applyProtection="1">
      <alignment horizontal="center" vertical="center" wrapText="1"/>
      <protection hidden="1"/>
    </xf>
    <xf numFmtId="0" fontId="54" fillId="8" borderId="0" xfId="0" applyFont="1" applyFill="1" applyAlignment="1" applyProtection="1">
      <alignment horizontal="center" vertical="center" wrapText="1"/>
      <protection hidden="1"/>
    </xf>
    <xf numFmtId="0" fontId="7" fillId="8" borderId="0" xfId="0" applyFont="1" applyFill="1" applyAlignment="1" applyProtection="1">
      <alignment vertical="center" wrapText="1"/>
      <protection hidden="1"/>
    </xf>
    <xf numFmtId="164" fontId="36" fillId="8" borderId="0" xfId="0" applyNumberFormat="1" applyFont="1" applyFill="1" applyAlignment="1" applyProtection="1">
      <alignment horizontal="center" vertical="center"/>
      <protection hidden="1"/>
    </xf>
    <xf numFmtId="164" fontId="36" fillId="2" borderId="0" xfId="0" applyNumberFormat="1" applyFont="1" applyFill="1" applyAlignment="1" applyProtection="1">
      <alignment horizontal="center" vertical="center"/>
      <protection hidden="1"/>
    </xf>
    <xf numFmtId="0" fontId="55" fillId="8" borderId="0" xfId="0" applyFont="1" applyFill="1" applyAlignment="1" applyProtection="1">
      <alignment horizontal="center" vertical="center" wrapText="1"/>
      <protection hidden="1"/>
    </xf>
    <xf numFmtId="0" fontId="8" fillId="0" borderId="0" xfId="0" applyFont="1" applyAlignment="1" applyProtection="1">
      <alignment horizontal="center" vertical="center"/>
      <protection hidden="1"/>
    </xf>
    <xf numFmtId="9" fontId="57" fillId="8" borderId="0" xfId="2" applyFont="1" applyFill="1" applyBorder="1" applyAlignment="1" applyProtection="1">
      <alignment horizontal="left" vertical="center"/>
      <protection hidden="1"/>
    </xf>
    <xf numFmtId="9" fontId="58" fillId="8" borderId="0" xfId="2" applyFont="1" applyFill="1" applyBorder="1" applyAlignment="1" applyProtection="1">
      <alignment horizontal="left" vertical="center"/>
      <protection hidden="1"/>
    </xf>
    <xf numFmtId="0" fontId="54" fillId="8" borderId="0" xfId="0" applyFont="1" applyFill="1" applyAlignment="1" applyProtection="1">
      <alignment horizontal="right" vertical="center" wrapText="1"/>
      <protection hidden="1"/>
    </xf>
    <xf numFmtId="2" fontId="32" fillId="8" borderId="0" xfId="0" applyNumberFormat="1" applyFont="1" applyFill="1" applyAlignment="1" applyProtection="1">
      <alignment horizontal="center" vertical="center"/>
      <protection hidden="1"/>
    </xf>
    <xf numFmtId="2" fontId="6" fillId="8" borderId="0" xfId="0" applyNumberFormat="1" applyFont="1" applyFill="1" applyAlignment="1" applyProtection="1">
      <alignment horizontal="center" vertical="center"/>
      <protection hidden="1"/>
    </xf>
    <xf numFmtId="0" fontId="60" fillId="8" borderId="0" xfId="0" applyFont="1" applyFill="1" applyAlignment="1" applyProtection="1">
      <alignment vertical="center"/>
      <protection hidden="1"/>
    </xf>
    <xf numFmtId="0" fontId="16" fillId="8" borderId="0" xfId="0" applyFont="1" applyFill="1" applyAlignment="1" applyProtection="1">
      <alignment vertical="center" wrapText="1"/>
      <protection hidden="1"/>
    </xf>
    <xf numFmtId="0" fontId="13" fillId="8" borderId="0" xfId="0" applyFont="1" applyFill="1" applyAlignment="1" applyProtection="1">
      <alignment vertical="center"/>
      <protection hidden="1"/>
    </xf>
    <xf numFmtId="0" fontId="16" fillId="8" borderId="0" xfId="0" applyFont="1" applyFill="1" applyAlignment="1" applyProtection="1">
      <alignment horizontal="center" vertical="center" wrapText="1"/>
      <protection hidden="1"/>
    </xf>
    <xf numFmtId="0" fontId="61" fillId="8" borderId="0" xfId="0" applyFont="1" applyFill="1" applyAlignment="1" applyProtection="1">
      <alignment horizontal="center" vertical="center" wrapText="1"/>
      <protection hidden="1"/>
    </xf>
    <xf numFmtId="0" fontId="62" fillId="8" borderId="0" xfId="0" applyFont="1" applyFill="1" applyAlignment="1" applyProtection="1">
      <alignment horizontal="center" vertical="center" wrapText="1"/>
      <protection hidden="1"/>
    </xf>
    <xf numFmtId="0" fontId="8" fillId="8" borderId="0" xfId="0" applyFont="1" applyFill="1" applyAlignment="1" applyProtection="1">
      <alignment horizontal="center" vertical="center" wrapText="1"/>
      <protection hidden="1"/>
    </xf>
    <xf numFmtId="0" fontId="8" fillId="8" borderId="0" xfId="0" applyFont="1" applyFill="1" applyAlignment="1" applyProtection="1">
      <alignment horizontal="center" vertical="center"/>
      <protection hidden="1"/>
    </xf>
    <xf numFmtId="0" fontId="36" fillId="8" borderId="0" xfId="0" applyFont="1" applyFill="1" applyAlignment="1" applyProtection="1">
      <alignment horizontal="center" vertical="center"/>
      <protection hidden="1"/>
    </xf>
    <xf numFmtId="0" fontId="36" fillId="8" borderId="0" xfId="0" applyFont="1" applyFill="1" applyAlignment="1" applyProtection="1">
      <alignment horizontal="center" vertical="center" wrapText="1"/>
      <protection hidden="1"/>
    </xf>
    <xf numFmtId="0" fontId="63" fillId="8" borderId="0" xfId="0" applyFont="1" applyFill="1" applyAlignment="1" applyProtection="1">
      <alignment vertical="center" wrapText="1"/>
      <protection hidden="1"/>
    </xf>
    <xf numFmtId="0" fontId="64" fillId="8" borderId="0" xfId="0" applyFont="1" applyFill="1" applyAlignment="1" applyProtection="1">
      <alignment vertical="center" wrapText="1"/>
      <protection hidden="1"/>
    </xf>
    <xf numFmtId="0" fontId="64" fillId="8" borderId="0" xfId="0" applyFont="1" applyFill="1" applyAlignment="1" applyProtection="1">
      <alignment horizontal="center" vertical="center" wrapText="1"/>
      <protection hidden="1"/>
    </xf>
    <xf numFmtId="0" fontId="65" fillId="8" borderId="0" xfId="0" applyFont="1" applyFill="1" applyAlignment="1" applyProtection="1">
      <alignment horizontal="left" vertical="center" wrapText="1"/>
      <protection hidden="1"/>
    </xf>
    <xf numFmtId="0" fontId="29" fillId="2" borderId="0" xfId="0" applyFont="1" applyFill="1" applyProtection="1">
      <protection hidden="1"/>
    </xf>
    <xf numFmtId="0" fontId="29" fillId="3" borderId="0" xfId="0" applyFont="1" applyFill="1" applyProtection="1">
      <protection hidden="1"/>
    </xf>
    <xf numFmtId="165" fontId="6" fillId="3" borderId="0" xfId="0" applyNumberFormat="1" applyFont="1" applyFill="1" applyAlignment="1" applyProtection="1">
      <alignment horizontal="center" vertical="center"/>
      <protection hidden="1"/>
    </xf>
    <xf numFmtId="0" fontId="54" fillId="3" borderId="0" xfId="0" applyFont="1" applyFill="1" applyAlignment="1" applyProtection="1">
      <alignment horizontal="right" vertical="center" wrapText="1"/>
      <protection hidden="1"/>
    </xf>
    <xf numFmtId="0" fontId="54" fillId="2" borderId="1" xfId="0" applyFont="1" applyFill="1" applyBorder="1" applyAlignment="1" applyProtection="1">
      <alignment horizontal="right" vertical="center" wrapText="1"/>
      <protection hidden="1"/>
    </xf>
    <xf numFmtId="0" fontId="29" fillId="3" borderId="0" xfId="0" applyFont="1" applyFill="1" applyAlignment="1" applyProtection="1">
      <alignment horizontal="center" vertical="center"/>
      <protection hidden="1"/>
    </xf>
    <xf numFmtId="165" fontId="8" fillId="3" borderId="0" xfId="0" applyNumberFormat="1" applyFont="1" applyFill="1" applyAlignment="1" applyProtection="1">
      <alignment horizontal="center" vertical="center"/>
      <protection hidden="1"/>
    </xf>
    <xf numFmtId="0" fontId="44" fillId="3" borderId="0" xfId="0" applyFont="1" applyFill="1" applyAlignment="1" applyProtection="1">
      <alignment horizontal="right" vertical="center" wrapText="1"/>
      <protection hidden="1"/>
    </xf>
    <xf numFmtId="0" fontId="44" fillId="2" borderId="1" xfId="0" applyFont="1" applyFill="1" applyBorder="1" applyAlignment="1" applyProtection="1">
      <alignment horizontal="right" vertical="center" wrapText="1"/>
      <protection hidden="1"/>
    </xf>
    <xf numFmtId="0" fontId="7" fillId="3" borderId="0" xfId="0" applyFont="1" applyFill="1" applyAlignment="1" applyProtection="1">
      <alignment horizontal="center" vertical="center" wrapText="1"/>
      <protection hidden="1"/>
    </xf>
    <xf numFmtId="165" fontId="68" fillId="3" borderId="10" xfId="0" applyNumberFormat="1" applyFont="1" applyFill="1" applyBorder="1" applyAlignment="1" applyProtection="1">
      <alignment horizontal="center" vertical="center"/>
      <protection hidden="1"/>
    </xf>
    <xf numFmtId="165" fontId="68" fillId="3" borderId="0" xfId="0" applyNumberFormat="1" applyFont="1" applyFill="1" applyAlignment="1" applyProtection="1">
      <alignment horizontal="center" vertical="center"/>
      <protection hidden="1"/>
    </xf>
    <xf numFmtId="0" fontId="54" fillId="3" borderId="10" xfId="0" applyFont="1" applyFill="1" applyBorder="1" applyAlignment="1" applyProtection="1">
      <alignment horizontal="right" vertical="center" wrapText="1"/>
      <protection hidden="1"/>
    </xf>
    <xf numFmtId="0" fontId="8" fillId="3" borderId="0" xfId="0" applyFont="1" applyFill="1" applyAlignment="1" applyProtection="1">
      <alignment horizontal="center" vertical="center"/>
      <protection hidden="1"/>
    </xf>
    <xf numFmtId="3" fontId="6" fillId="2" borderId="1" xfId="0" applyNumberFormat="1" applyFont="1" applyFill="1" applyBorder="1" applyAlignment="1" applyProtection="1">
      <alignment horizontal="center" vertical="center"/>
      <protection hidden="1"/>
    </xf>
    <xf numFmtId="3" fontId="6" fillId="3" borderId="0" xfId="0" applyNumberFormat="1" applyFont="1" applyFill="1" applyAlignment="1" applyProtection="1">
      <alignment horizontal="center" vertical="center"/>
      <protection hidden="1"/>
    </xf>
    <xf numFmtId="0" fontId="7" fillId="3" borderId="0" xfId="0" applyFont="1" applyFill="1" applyAlignment="1" applyProtection="1">
      <alignment vertical="center" wrapText="1"/>
      <protection hidden="1"/>
    </xf>
    <xf numFmtId="0" fontId="7" fillId="3" borderId="2" xfId="0" applyFont="1" applyFill="1" applyBorder="1" applyAlignment="1" applyProtection="1">
      <alignment horizontal="center" vertical="center" wrapText="1"/>
      <protection hidden="1"/>
    </xf>
    <xf numFmtId="0" fontId="69" fillId="2" borderId="0" xfId="0" applyFont="1" applyFill="1" applyProtection="1">
      <protection hidden="1"/>
    </xf>
    <xf numFmtId="0" fontId="70" fillId="3" borderId="0" xfId="0" applyFont="1" applyFill="1" applyAlignment="1" applyProtection="1">
      <alignment vertical="center" wrapText="1"/>
      <protection hidden="1"/>
    </xf>
    <xf numFmtId="0" fontId="69" fillId="3" borderId="0" xfId="0" applyFont="1" applyFill="1" applyAlignment="1" applyProtection="1">
      <alignment horizontal="center" vertical="center"/>
      <protection hidden="1"/>
    </xf>
    <xf numFmtId="3" fontId="6" fillId="3" borderId="10" xfId="0" applyNumberFormat="1" applyFont="1" applyFill="1" applyBorder="1" applyAlignment="1" applyProtection="1">
      <alignment horizontal="center" vertical="center"/>
      <protection hidden="1"/>
    </xf>
    <xf numFmtId="3" fontId="71" fillId="2" borderId="1" xfId="0" applyNumberFormat="1" applyFont="1" applyFill="1" applyBorder="1" applyAlignment="1" applyProtection="1">
      <alignment horizontal="center" vertical="center"/>
      <protection hidden="1"/>
    </xf>
    <xf numFmtId="3" fontId="71" fillId="3" borderId="0" xfId="0" applyNumberFormat="1" applyFont="1" applyFill="1" applyAlignment="1" applyProtection="1">
      <alignment horizontal="center" vertical="center"/>
      <protection hidden="1"/>
    </xf>
    <xf numFmtId="0" fontId="72" fillId="3" borderId="0" xfId="0" applyFont="1" applyFill="1" applyAlignment="1" applyProtection="1">
      <alignment horizontal="right" vertical="center" wrapText="1"/>
      <protection hidden="1"/>
    </xf>
    <xf numFmtId="0" fontId="72" fillId="2" borderId="1" xfId="0" applyFont="1" applyFill="1" applyBorder="1" applyAlignment="1" applyProtection="1">
      <alignment horizontal="right" vertical="center" wrapText="1"/>
      <protection hidden="1"/>
    </xf>
    <xf numFmtId="0" fontId="7" fillId="3" borderId="0" xfId="0" applyFont="1" applyFill="1" applyAlignment="1" applyProtection="1">
      <alignment horizontal="center" vertical="center"/>
      <protection hidden="1"/>
    </xf>
    <xf numFmtId="0" fontId="29" fillId="2" borderId="0" xfId="0" applyFont="1" applyFill="1" applyAlignment="1" applyProtection="1">
      <alignment wrapText="1"/>
      <protection hidden="1"/>
    </xf>
    <xf numFmtId="0" fontId="29" fillId="3" borderId="0" xfId="0" applyFont="1" applyFill="1" applyAlignment="1" applyProtection="1">
      <alignment wrapText="1"/>
      <protection hidden="1"/>
    </xf>
    <xf numFmtId="0" fontId="36" fillId="3" borderId="0" xfId="0" applyFont="1" applyFill="1" applyAlignment="1" applyProtection="1">
      <alignment vertical="center" wrapText="1"/>
      <protection hidden="1"/>
    </xf>
    <xf numFmtId="0" fontId="29" fillId="3" borderId="0" xfId="0" applyFont="1" applyFill="1" applyAlignment="1" applyProtection="1">
      <alignment horizontal="center" vertical="center" wrapText="1"/>
      <protection hidden="1"/>
    </xf>
    <xf numFmtId="1" fontId="8" fillId="10" borderId="0" xfId="2" applyNumberFormat="1" applyFont="1" applyFill="1" applyBorder="1" applyAlignment="1" applyProtection="1">
      <alignment horizontal="center" vertical="center"/>
      <protection hidden="1"/>
    </xf>
    <xf numFmtId="1" fontId="30" fillId="10" borderId="0" xfId="2" applyNumberFormat="1" applyFont="1" applyFill="1" applyBorder="1" applyAlignment="1" applyProtection="1">
      <alignment horizontal="center" vertical="center"/>
      <protection locked="0"/>
    </xf>
    <xf numFmtId="9" fontId="0" fillId="0" borderId="0" xfId="0" applyNumberFormat="1"/>
    <xf numFmtId="0" fontId="29" fillId="7" borderId="0" xfId="0" applyFont="1" applyFill="1" applyAlignment="1" applyProtection="1">
      <alignment horizontal="center" vertical="center"/>
      <protection hidden="1"/>
    </xf>
    <xf numFmtId="0" fontId="38" fillId="7" borderId="0" xfId="0" applyFont="1" applyFill="1" applyAlignment="1" applyProtection="1">
      <alignment horizontal="center" vertical="center"/>
      <protection hidden="1"/>
    </xf>
    <xf numFmtId="2" fontId="32" fillId="2" borderId="1" xfId="1" applyNumberFormat="1" applyFont="1" applyFill="1" applyBorder="1" applyAlignment="1" applyProtection="1">
      <alignment horizontal="center" vertical="center"/>
      <protection hidden="1"/>
    </xf>
    <xf numFmtId="2" fontId="32" fillId="2" borderId="1" xfId="0" applyNumberFormat="1" applyFont="1" applyFill="1" applyBorder="1" applyAlignment="1" applyProtection="1">
      <alignment horizontal="center" vertical="center"/>
      <protection hidden="1"/>
    </xf>
    <xf numFmtId="0" fontId="36" fillId="2" borderId="1" xfId="0" applyFont="1" applyFill="1" applyBorder="1" applyAlignment="1" applyProtection="1">
      <alignment horizontal="center" vertical="center"/>
      <protection hidden="1"/>
    </xf>
    <xf numFmtId="0" fontId="36" fillId="2" borderId="1" xfId="0" applyFont="1" applyFill="1" applyBorder="1" applyAlignment="1" applyProtection="1">
      <alignment horizontal="center" vertical="center" wrapText="1"/>
      <protection hidden="1"/>
    </xf>
    <xf numFmtId="164" fontId="45" fillId="10" borderId="0" xfId="0" applyNumberFormat="1" applyFont="1" applyFill="1" applyAlignment="1" applyProtection="1">
      <alignment horizontal="center" vertical="center" wrapText="1"/>
      <protection hidden="1"/>
    </xf>
    <xf numFmtId="164" fontId="45" fillId="10" borderId="0" xfId="0" applyNumberFormat="1" applyFont="1" applyFill="1" applyAlignment="1" applyProtection="1">
      <alignment vertical="center" wrapText="1"/>
      <protection hidden="1"/>
    </xf>
    <xf numFmtId="167" fontId="34" fillId="2" borderId="14" xfId="2" applyNumberFormat="1" applyFont="1" applyFill="1" applyBorder="1" applyAlignment="1" applyProtection="1">
      <alignment horizontal="center" vertical="center"/>
      <protection hidden="1"/>
    </xf>
    <xf numFmtId="9" fontId="0" fillId="0" borderId="0" xfId="2" applyFont="1" applyAlignment="1">
      <alignment horizontal="right" vertical="center"/>
    </xf>
    <xf numFmtId="0" fontId="0" fillId="0" borderId="0" xfId="2" applyNumberFormat="1" applyFont="1" applyAlignment="1">
      <alignment horizontal="right" vertical="center"/>
    </xf>
    <xf numFmtId="1" fontId="0" fillId="0" borderId="0" xfId="0" applyNumberFormat="1"/>
    <xf numFmtId="9" fontId="0" fillId="0" borderId="0" xfId="2" applyFont="1"/>
    <xf numFmtId="166" fontId="0" fillId="0" borderId="0" xfId="0" applyNumberFormat="1"/>
    <xf numFmtId="10" fontId="0" fillId="0" borderId="0" xfId="0" applyNumberFormat="1"/>
    <xf numFmtId="164" fontId="8" fillId="13" borderId="6" xfId="0" applyNumberFormat="1" applyFont="1" applyFill="1" applyBorder="1" applyAlignment="1" applyProtection="1">
      <alignment horizontal="center" vertical="center"/>
      <protection locked="0"/>
    </xf>
    <xf numFmtId="164" fontId="8" fillId="13" borderId="8"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wrapText="1"/>
      <protection hidden="1"/>
    </xf>
    <xf numFmtId="0" fontId="0" fillId="0" borderId="9" xfId="0" applyBorder="1"/>
    <xf numFmtId="0" fontId="0" fillId="0" borderId="10" xfId="0" applyBorder="1"/>
    <xf numFmtId="0" fontId="0" fillId="0" borderId="11" xfId="0" applyBorder="1"/>
    <xf numFmtId="0" fontId="0" fillId="0" borderId="12" xfId="0" applyBorder="1"/>
    <xf numFmtId="1" fontId="0" fillId="0" borderId="13" xfId="0" applyNumberFormat="1" applyBorder="1"/>
    <xf numFmtId="0" fontId="0" fillId="0" borderId="13" xfId="0" applyBorder="1"/>
    <xf numFmtId="0" fontId="0" fillId="0" borderId="14" xfId="0" applyBorder="1"/>
    <xf numFmtId="1" fontId="0" fillId="0" borderId="2" xfId="0" applyNumberFormat="1" applyBorder="1"/>
    <xf numFmtId="1" fontId="0" fillId="0" borderId="15" xfId="0" applyNumberFormat="1" applyBorder="1"/>
    <xf numFmtId="0" fontId="1" fillId="0" borderId="0" xfId="0" applyFont="1" applyAlignment="1">
      <alignment horizontal="left" vertical="center"/>
    </xf>
    <xf numFmtId="0" fontId="1" fillId="0" borderId="0" xfId="0" applyFont="1"/>
    <xf numFmtId="0" fontId="78" fillId="2" borderId="8" xfId="3" applyFont="1" applyFill="1" applyBorder="1" applyAlignment="1" applyProtection="1">
      <alignment horizontal="center" vertical="center" wrapText="1"/>
      <protection hidden="1"/>
    </xf>
    <xf numFmtId="0" fontId="79" fillId="0" borderId="0" xfId="0" applyFont="1" applyAlignment="1">
      <alignment horizontal="left" vertical="center" wrapText="1"/>
    </xf>
    <xf numFmtId="0" fontId="7" fillId="2" borderId="9" xfId="0" applyFont="1" applyFill="1" applyBorder="1" applyAlignment="1" applyProtection="1">
      <alignment horizontal="center" vertical="center" wrapText="1"/>
      <protection hidden="1"/>
    </xf>
    <xf numFmtId="0" fontId="44" fillId="2" borderId="14" xfId="0" applyFont="1" applyFill="1" applyBorder="1" applyAlignment="1" applyProtection="1">
      <alignment horizontal="center" vertical="center" wrapText="1"/>
      <protection hidden="1"/>
    </xf>
    <xf numFmtId="1" fontId="34" fillId="10" borderId="13" xfId="2" applyNumberFormat="1" applyFont="1" applyFill="1" applyBorder="1" applyAlignment="1" applyProtection="1">
      <alignment horizontal="center" vertical="center"/>
      <protection hidden="1"/>
    </xf>
    <xf numFmtId="0" fontId="29" fillId="2" borderId="16" xfId="0" applyFont="1" applyFill="1" applyBorder="1" applyAlignment="1" applyProtection="1">
      <alignment horizontal="center" vertical="center"/>
      <protection hidden="1"/>
    </xf>
    <xf numFmtId="9" fontId="30" fillId="4" borderId="3" xfId="2" applyFont="1" applyFill="1" applyBorder="1" applyAlignment="1" applyProtection="1">
      <alignment horizontal="center" vertical="center"/>
      <protection hidden="1"/>
    </xf>
    <xf numFmtId="0" fontId="29" fillId="2" borderId="17" xfId="0" applyFont="1" applyFill="1" applyBorder="1" applyAlignment="1" applyProtection="1">
      <alignment horizontal="center" vertical="center"/>
      <protection hidden="1"/>
    </xf>
    <xf numFmtId="0" fontId="29" fillId="2" borderId="18" xfId="0" applyFont="1" applyFill="1" applyBorder="1" applyAlignment="1" applyProtection="1">
      <alignment horizontal="center" vertical="center"/>
      <protection hidden="1"/>
    </xf>
    <xf numFmtId="0" fontId="29" fillId="4" borderId="19" xfId="0" applyFont="1" applyFill="1" applyBorder="1" applyAlignment="1" applyProtection="1">
      <alignment horizontal="center" vertical="center"/>
      <protection hidden="1"/>
    </xf>
    <xf numFmtId="9" fontId="49" fillId="4" borderId="3" xfId="2" applyFont="1" applyFill="1" applyBorder="1" applyAlignment="1" applyProtection="1">
      <alignment horizontal="center" vertical="center"/>
      <protection hidden="1"/>
    </xf>
    <xf numFmtId="0" fontId="7" fillId="4" borderId="21" xfId="0" applyFont="1" applyFill="1" applyBorder="1" applyAlignment="1" applyProtection="1">
      <alignment horizontal="center" vertical="center" wrapText="1"/>
      <protection hidden="1"/>
    </xf>
    <xf numFmtId="0" fontId="29" fillId="2" borderId="19" xfId="0" applyFont="1" applyFill="1" applyBorder="1" applyAlignment="1" applyProtection="1">
      <alignment horizontal="center" vertical="center"/>
      <protection hidden="1"/>
    </xf>
    <xf numFmtId="0" fontId="44" fillId="2" borderId="22" xfId="0" applyFont="1" applyFill="1" applyBorder="1" applyAlignment="1" applyProtection="1">
      <alignment horizontal="center" vertical="center" wrapText="1"/>
      <protection hidden="1"/>
    </xf>
    <xf numFmtId="0" fontId="44" fillId="2" borderId="20" xfId="0" applyFont="1" applyFill="1" applyBorder="1" applyAlignment="1" applyProtection="1">
      <alignment horizontal="center" vertical="center" wrapText="1"/>
      <protection hidden="1"/>
    </xf>
    <xf numFmtId="9" fontId="82" fillId="13" borderId="1" xfId="2" applyFont="1" applyFill="1" applyBorder="1" applyAlignment="1" applyProtection="1">
      <alignment horizontal="center" vertical="center"/>
      <protection locked="0"/>
    </xf>
    <xf numFmtId="9" fontId="42" fillId="2" borderId="5" xfId="2" applyFont="1" applyFill="1" applyBorder="1" applyAlignment="1" applyProtection="1">
      <alignment horizontal="center" vertical="center"/>
      <protection hidden="1"/>
    </xf>
    <xf numFmtId="0" fontId="52" fillId="2" borderId="8" xfId="0" applyFont="1" applyFill="1" applyBorder="1" applyAlignment="1" applyProtection="1">
      <alignment horizontal="center" vertical="center" wrapText="1"/>
      <protection hidden="1"/>
    </xf>
    <xf numFmtId="9" fontId="52" fillId="13" borderId="14" xfId="2" applyFont="1" applyFill="1" applyBorder="1" applyAlignment="1" applyProtection="1">
      <alignment horizontal="center" vertical="center"/>
      <protection locked="0"/>
    </xf>
    <xf numFmtId="9" fontId="52" fillId="2" borderId="3" xfId="2" applyFont="1" applyFill="1" applyBorder="1" applyAlignment="1" applyProtection="1">
      <alignment horizontal="center" vertical="center"/>
      <protection hidden="1"/>
    </xf>
    <xf numFmtId="0" fontId="52" fillId="2" borderId="6" xfId="0" applyFont="1" applyFill="1" applyBorder="1" applyAlignment="1" applyProtection="1">
      <alignment horizontal="center" vertical="center" wrapText="1"/>
      <protection hidden="1"/>
    </xf>
    <xf numFmtId="9" fontId="52" fillId="13" borderId="9" xfId="2" applyFont="1" applyFill="1" applyBorder="1" applyAlignment="1" applyProtection="1">
      <alignment horizontal="center" vertical="center"/>
      <protection locked="0"/>
    </xf>
    <xf numFmtId="9" fontId="83" fillId="2" borderId="3" xfId="2" applyFont="1" applyFill="1" applyBorder="1" applyAlignment="1" applyProtection="1">
      <alignment horizontal="center" vertical="center"/>
      <protection hidden="1"/>
    </xf>
    <xf numFmtId="0" fontId="52" fillId="2" borderId="1" xfId="0" applyFont="1" applyFill="1" applyBorder="1" applyAlignment="1" applyProtection="1">
      <alignment horizontal="center" vertical="center" wrapText="1"/>
      <protection hidden="1"/>
    </xf>
    <xf numFmtId="9" fontId="84" fillId="2" borderId="3" xfId="2" applyFont="1" applyFill="1" applyBorder="1" applyAlignment="1" applyProtection="1">
      <alignment horizontal="center" vertical="center"/>
      <protection hidden="1"/>
    </xf>
    <xf numFmtId="167" fontId="0" fillId="0" borderId="0" xfId="0" applyNumberFormat="1"/>
    <xf numFmtId="14" fontId="0" fillId="0" borderId="0" xfId="0" applyNumberFormat="1"/>
    <xf numFmtId="0" fontId="29" fillId="0" borderId="0" xfId="0" applyFont="1" applyProtection="1">
      <protection hidden="1"/>
    </xf>
    <xf numFmtId="0" fontId="6" fillId="8" borderId="0" xfId="0" applyFont="1" applyFill="1" applyAlignment="1" applyProtection="1">
      <alignment vertical="center" wrapText="1"/>
      <protection hidden="1"/>
    </xf>
    <xf numFmtId="0" fontId="59" fillId="8" borderId="0" xfId="0" applyFont="1" applyFill="1" applyAlignment="1" applyProtection="1">
      <alignment vertical="center" wrapText="1"/>
      <protection hidden="1"/>
    </xf>
    <xf numFmtId="0" fontId="29" fillId="8" borderId="0" xfId="0" applyFont="1" applyFill="1" applyProtection="1">
      <protection hidden="1"/>
    </xf>
    <xf numFmtId="0" fontId="36" fillId="0" borderId="0" xfId="0" applyFont="1" applyProtection="1">
      <protection hidden="1"/>
    </xf>
    <xf numFmtId="2" fontId="6" fillId="8" borderId="0" xfId="1" applyNumberFormat="1" applyFont="1" applyFill="1" applyBorder="1" applyAlignment="1" applyProtection="1">
      <alignment horizontal="center" vertical="center"/>
      <protection hidden="1"/>
    </xf>
    <xf numFmtId="2" fontId="59" fillId="8" borderId="0" xfId="1" applyNumberFormat="1" applyFont="1" applyFill="1" applyBorder="1" applyAlignment="1" applyProtection="1">
      <alignment horizontal="center" vertical="center"/>
      <protection hidden="1"/>
    </xf>
    <xf numFmtId="2" fontId="29" fillId="0" borderId="0" xfId="0" applyNumberFormat="1" applyFont="1" applyProtection="1">
      <protection hidden="1"/>
    </xf>
    <xf numFmtId="2" fontId="32" fillId="2" borderId="1" xfId="2" applyNumberFormat="1" applyFont="1" applyFill="1" applyBorder="1" applyAlignment="1" applyProtection="1">
      <alignment horizontal="center" vertical="center"/>
      <protection hidden="1"/>
    </xf>
    <xf numFmtId="9" fontId="6" fillId="8" borderId="0" xfId="2" applyFont="1" applyFill="1" applyBorder="1" applyAlignment="1" applyProtection="1">
      <alignment horizontal="center" vertical="center"/>
      <protection hidden="1"/>
    </xf>
    <xf numFmtId="2" fontId="32" fillId="8" borderId="0" xfId="2" applyNumberFormat="1" applyFont="1" applyFill="1" applyBorder="1" applyAlignment="1" applyProtection="1">
      <alignment horizontal="center" vertical="center"/>
      <protection hidden="1"/>
    </xf>
    <xf numFmtId="2" fontId="58" fillId="8" borderId="0" xfId="1" applyNumberFormat="1" applyFont="1" applyFill="1" applyBorder="1" applyAlignment="1" applyProtection="1">
      <alignment horizontal="left" vertical="center"/>
      <protection hidden="1"/>
    </xf>
    <xf numFmtId="166" fontId="6" fillId="8" borderId="0" xfId="2" applyNumberFormat="1" applyFont="1" applyFill="1" applyBorder="1" applyAlignment="1" applyProtection="1">
      <alignment horizontal="center" vertical="center"/>
      <protection hidden="1"/>
    </xf>
    <xf numFmtId="165" fontId="6" fillId="8" borderId="0" xfId="0" applyNumberFormat="1" applyFont="1" applyFill="1" applyAlignment="1" applyProtection="1">
      <alignment horizontal="center" vertical="center" wrapText="1"/>
      <protection hidden="1"/>
    </xf>
    <xf numFmtId="4" fontId="22" fillId="2" borderId="2" xfId="0" applyNumberFormat="1" applyFont="1" applyFill="1" applyBorder="1" applyAlignment="1" applyProtection="1">
      <alignment horizontal="center" vertical="center"/>
      <protection hidden="1"/>
    </xf>
    <xf numFmtId="4" fontId="22" fillId="2" borderId="0" xfId="0" applyNumberFormat="1" applyFont="1" applyFill="1" applyAlignment="1" applyProtection="1">
      <alignment horizontal="center" vertical="center"/>
      <protection hidden="1"/>
    </xf>
    <xf numFmtId="4" fontId="22" fillId="8" borderId="0" xfId="0" applyNumberFormat="1" applyFont="1" applyFill="1" applyAlignment="1" applyProtection="1">
      <alignment horizontal="center" vertical="center"/>
      <protection hidden="1"/>
    </xf>
    <xf numFmtId="0" fontId="6" fillId="2" borderId="4"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wrapText="1"/>
      <protection hidden="1"/>
    </xf>
    <xf numFmtId="0" fontId="6" fillId="2" borderId="11" xfId="0" applyFont="1" applyFill="1" applyBorder="1" applyAlignment="1" applyProtection="1">
      <alignment horizontal="center" vertical="center" wrapText="1"/>
      <protection hidden="1"/>
    </xf>
    <xf numFmtId="8" fontId="0" fillId="0" borderId="0" xfId="0" applyNumberFormat="1"/>
    <xf numFmtId="3" fontId="30" fillId="4" borderId="9" xfId="0" applyNumberFormat="1" applyFont="1" applyFill="1" applyBorder="1" applyAlignment="1" applyProtection="1">
      <alignment horizontal="center" vertical="center"/>
      <protection hidden="1"/>
    </xf>
    <xf numFmtId="0" fontId="29" fillId="2" borderId="23" xfId="0" applyFont="1" applyFill="1" applyBorder="1" applyAlignment="1" applyProtection="1">
      <alignment horizontal="center" vertical="center"/>
      <protection hidden="1"/>
    </xf>
    <xf numFmtId="0" fontId="7" fillId="2" borderId="11" xfId="0" applyFont="1" applyFill="1" applyBorder="1" applyAlignment="1" applyProtection="1">
      <alignment horizontal="center" vertical="center"/>
      <protection hidden="1"/>
    </xf>
    <xf numFmtId="0" fontId="29" fillId="2" borderId="24" xfId="0" applyFont="1" applyFill="1" applyBorder="1" applyAlignment="1" applyProtection="1">
      <alignment horizontal="center" vertical="center"/>
      <protection hidden="1"/>
    </xf>
    <xf numFmtId="0" fontId="29" fillId="4" borderId="3" xfId="0" applyFont="1" applyFill="1" applyBorder="1" applyAlignment="1" applyProtection="1">
      <alignment horizontal="center" vertical="center"/>
      <protection hidden="1"/>
    </xf>
    <xf numFmtId="0" fontId="29" fillId="4" borderId="5"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wrapText="1"/>
      <protection hidden="1"/>
    </xf>
    <xf numFmtId="0" fontId="29" fillId="2" borderId="26" xfId="0" applyFont="1" applyFill="1" applyBorder="1" applyAlignment="1" applyProtection="1">
      <alignment horizontal="center" vertical="center"/>
      <protection hidden="1"/>
    </xf>
    <xf numFmtId="9" fontId="8" fillId="2" borderId="1" xfId="2" applyFont="1" applyFill="1" applyBorder="1" applyAlignment="1" applyProtection="1">
      <alignment horizontal="center" vertical="center"/>
      <protection hidden="1"/>
    </xf>
    <xf numFmtId="9" fontId="7" fillId="4" borderId="1" xfId="2" applyFont="1" applyFill="1" applyBorder="1" applyAlignment="1" applyProtection="1">
      <alignment horizontal="center" vertical="center" wrapText="1"/>
      <protection hidden="1"/>
    </xf>
    <xf numFmtId="0" fontId="30" fillId="19" borderId="1" xfId="0" applyFont="1" applyFill="1" applyBorder="1" applyAlignment="1" applyProtection="1">
      <alignment horizontal="center" vertical="center" wrapText="1"/>
      <protection locked="0"/>
    </xf>
    <xf numFmtId="7" fontId="43" fillId="10" borderId="0" xfId="1" applyNumberFormat="1" applyFont="1" applyFill="1" applyBorder="1" applyAlignment="1" applyProtection="1">
      <alignment horizontal="center" vertical="center"/>
      <protection hidden="1"/>
    </xf>
    <xf numFmtId="1" fontId="43" fillId="2" borderId="8" xfId="2" applyNumberFormat="1" applyFont="1" applyFill="1" applyBorder="1" applyAlignment="1" applyProtection="1">
      <alignment horizontal="center" vertical="center"/>
      <protection hidden="1"/>
    </xf>
    <xf numFmtId="1" fontId="43" fillId="10" borderId="13" xfId="2" applyNumberFormat="1" applyFont="1" applyFill="1" applyBorder="1" applyAlignment="1" applyProtection="1">
      <alignment horizontal="center" vertical="center"/>
      <protection hidden="1"/>
    </xf>
    <xf numFmtId="1" fontId="43" fillId="10" borderId="7" xfId="2" applyNumberFormat="1" applyFont="1" applyFill="1" applyBorder="1" applyAlignment="1" applyProtection="1">
      <alignment horizontal="center" vertical="center"/>
      <protection hidden="1"/>
    </xf>
    <xf numFmtId="167" fontId="34" fillId="13" borderId="14" xfId="2" applyNumberFormat="1" applyFont="1" applyFill="1" applyBorder="1" applyAlignment="1" applyProtection="1">
      <alignment horizontal="center" vertical="center"/>
      <protection hidden="1"/>
    </xf>
    <xf numFmtId="0" fontId="15" fillId="15" borderId="0" xfId="0" applyFont="1" applyFill="1" applyAlignment="1">
      <alignment horizontal="center" vertical="center"/>
    </xf>
    <xf numFmtId="0" fontId="19" fillId="4" borderId="0" xfId="0" applyFont="1" applyFill="1" applyAlignment="1">
      <alignment horizontal="left" vertical="center" wrapText="1"/>
    </xf>
    <xf numFmtId="0" fontId="10" fillId="14" borderId="0" xfId="0" applyFont="1" applyFill="1" applyAlignment="1">
      <alignment horizontal="center" vertical="center"/>
    </xf>
    <xf numFmtId="0" fontId="6" fillId="2" borderId="0" xfId="0" applyFont="1" applyFill="1" applyAlignment="1">
      <alignment horizontal="left" vertical="top" wrapText="1"/>
    </xf>
    <xf numFmtId="9" fontId="52" fillId="13" borderId="3" xfId="2" applyFont="1" applyFill="1" applyBorder="1" applyAlignment="1" applyProtection="1">
      <alignment horizontal="center" vertical="center"/>
      <protection locked="0"/>
    </xf>
    <xf numFmtId="9" fontId="8" fillId="13" borderId="11" xfId="2" applyFont="1" applyFill="1" applyBorder="1" applyAlignment="1" applyProtection="1">
      <alignment horizontal="center" vertical="center"/>
      <protection locked="0"/>
    </xf>
    <xf numFmtId="9" fontId="43" fillId="0" borderId="15" xfId="2" applyFont="1" applyFill="1" applyBorder="1" applyAlignment="1" applyProtection="1">
      <alignment horizontal="center" vertical="center"/>
      <protection hidden="1"/>
    </xf>
    <xf numFmtId="166" fontId="8" fillId="13" borderId="4" xfId="2" applyNumberFormat="1" applyFont="1" applyFill="1" applyBorder="1" applyAlignment="1" applyProtection="1">
      <alignment horizontal="center" vertical="center"/>
      <protection locked="0"/>
    </xf>
    <xf numFmtId="9" fontId="8" fillId="13" borderId="4" xfId="2" applyFont="1" applyFill="1" applyBorder="1" applyAlignment="1" applyProtection="1">
      <alignment horizontal="center" vertical="center"/>
      <protection locked="0"/>
    </xf>
    <xf numFmtId="0" fontId="29" fillId="2" borderId="0" xfId="0" applyFont="1" applyFill="1" applyAlignment="1" applyProtection="1">
      <alignment horizontal="right" vertical="center"/>
      <protection hidden="1"/>
    </xf>
    <xf numFmtId="0" fontId="6" fillId="2" borderId="5"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center" vertical="center" wrapText="1"/>
      <protection hidden="1"/>
    </xf>
    <xf numFmtId="1" fontId="8" fillId="13" borderId="4" xfId="2"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38" fillId="3" borderId="0" xfId="0" applyFont="1" applyFill="1" applyAlignment="1" applyProtection="1">
      <alignment horizontal="center" vertical="center"/>
      <protection hidden="1"/>
    </xf>
    <xf numFmtId="1" fontId="34" fillId="13" borderId="6" xfId="2" applyNumberFormat="1" applyFont="1" applyFill="1" applyBorder="1" applyAlignment="1" applyProtection="1">
      <alignment horizontal="center" vertical="center"/>
      <protection locked="0"/>
    </xf>
    <xf numFmtId="0" fontId="6" fillId="4" borderId="5" xfId="0" applyFont="1" applyFill="1" applyBorder="1" applyAlignment="1" applyProtection="1">
      <alignment horizontal="left" vertical="center" wrapText="1"/>
      <protection hidden="1"/>
    </xf>
    <xf numFmtId="0" fontId="6" fillId="4" borderId="4" xfId="0" applyFont="1" applyFill="1" applyBorder="1" applyAlignment="1" applyProtection="1">
      <alignment horizontal="left" vertical="center" wrapText="1"/>
      <protection hidden="1"/>
    </xf>
    <xf numFmtId="0" fontId="6" fillId="20" borderId="0" xfId="0" applyFont="1" applyFill="1"/>
    <xf numFmtId="0" fontId="76" fillId="20" borderId="0" xfId="0" applyFont="1" applyFill="1" applyAlignment="1" applyProtection="1">
      <alignment horizontal="center" vertical="center"/>
      <protection hidden="1"/>
    </xf>
    <xf numFmtId="0" fontId="29" fillId="20" borderId="0" xfId="0" applyFont="1" applyFill="1" applyAlignment="1" applyProtection="1">
      <alignment horizontal="center" vertical="center"/>
      <protection hidden="1"/>
    </xf>
    <xf numFmtId="0" fontId="29" fillId="20" borderId="0" xfId="0" applyFont="1" applyFill="1" applyAlignment="1" applyProtection="1">
      <alignment horizontal="center"/>
      <protection hidden="1"/>
    </xf>
    <xf numFmtId="0" fontId="29" fillId="4" borderId="0" xfId="0" applyFont="1" applyFill="1" applyAlignment="1" applyProtection="1">
      <alignment horizontal="center" vertical="center"/>
      <protection hidden="1"/>
    </xf>
    <xf numFmtId="168" fontId="8" fillId="13" borderId="6" xfId="1" applyNumberFormat="1" applyFont="1" applyFill="1" applyBorder="1" applyAlignment="1" applyProtection="1">
      <alignment horizontal="center" vertical="center"/>
      <protection hidden="1"/>
    </xf>
    <xf numFmtId="168" fontId="43" fillId="2" borderId="8" xfId="1" applyNumberFormat="1" applyFont="1" applyFill="1" applyBorder="1" applyAlignment="1" applyProtection="1">
      <alignment horizontal="center" vertical="center"/>
      <protection hidden="1"/>
    </xf>
    <xf numFmtId="169" fontId="8" fillId="13" borderId="1" xfId="2" applyNumberFormat="1" applyFont="1" applyFill="1" applyBorder="1" applyAlignment="1" applyProtection="1">
      <alignment horizontal="center" vertical="center"/>
      <protection locked="0"/>
    </xf>
    <xf numFmtId="169" fontId="8" fillId="13" borderId="4" xfId="2" applyNumberFormat="1" applyFont="1" applyFill="1" applyBorder="1" applyAlignment="1" applyProtection="1">
      <alignment horizontal="center" vertical="center"/>
      <protection locked="0"/>
    </xf>
    <xf numFmtId="168" fontId="8" fillId="13" borderId="1" xfId="2" applyNumberFormat="1" applyFont="1" applyFill="1" applyBorder="1" applyAlignment="1" applyProtection="1">
      <alignment horizontal="center" vertical="center"/>
      <protection locked="0"/>
    </xf>
    <xf numFmtId="168" fontId="8" fillId="13" borderId="6" xfId="0" applyNumberFormat="1" applyFont="1" applyFill="1" applyBorder="1" applyAlignment="1" applyProtection="1">
      <alignment horizontal="center" vertical="center" wrapText="1"/>
      <protection locked="0"/>
    </xf>
    <xf numFmtId="168" fontId="8" fillId="13" borderId="1" xfId="0" applyNumberFormat="1" applyFont="1" applyFill="1" applyBorder="1" applyAlignment="1" applyProtection="1">
      <alignment horizontal="center" vertical="center" wrapText="1"/>
      <protection locked="0"/>
    </xf>
    <xf numFmtId="168" fontId="8" fillId="13" borderId="7" xfId="0" applyNumberFormat="1" applyFont="1" applyFill="1" applyBorder="1" applyAlignment="1" applyProtection="1">
      <alignment horizontal="center" vertical="center"/>
      <protection locked="0"/>
    </xf>
    <xf numFmtId="169" fontId="22" fillId="2" borderId="0" xfId="0" applyNumberFormat="1" applyFont="1" applyFill="1" applyAlignment="1" applyProtection="1">
      <alignment horizontal="center" vertical="center"/>
      <protection hidden="1"/>
    </xf>
    <xf numFmtId="169" fontId="22" fillId="2" borderId="2" xfId="0" applyNumberFormat="1" applyFont="1" applyFill="1" applyBorder="1" applyAlignment="1" applyProtection="1">
      <alignment horizontal="center" vertical="center"/>
      <protection hidden="1"/>
    </xf>
    <xf numFmtId="170" fontId="8" fillId="2" borderId="1" xfId="0" applyNumberFormat="1" applyFont="1" applyFill="1" applyBorder="1" applyAlignment="1" applyProtection="1">
      <alignment horizontal="center" vertical="center"/>
      <protection hidden="1"/>
    </xf>
    <xf numFmtId="170" fontId="68" fillId="2" borderId="1" xfId="0" applyNumberFormat="1" applyFont="1" applyFill="1" applyBorder="1" applyAlignment="1" applyProtection="1">
      <alignment horizontal="center" vertical="center"/>
      <protection hidden="1"/>
    </xf>
    <xf numFmtId="170" fontId="6" fillId="2" borderId="1" xfId="0" applyNumberFormat="1" applyFont="1" applyFill="1" applyBorder="1" applyAlignment="1" applyProtection="1">
      <alignment horizontal="center" vertical="center"/>
      <protection hidden="1"/>
    </xf>
    <xf numFmtId="0" fontId="6" fillId="10" borderId="14" xfId="0" applyFont="1" applyFill="1" applyBorder="1" applyAlignment="1">
      <alignment horizontal="right" vertical="center" wrapText="1"/>
    </xf>
    <xf numFmtId="0" fontId="6" fillId="10" borderId="2" xfId="0" applyFont="1" applyFill="1" applyBorder="1" applyAlignment="1">
      <alignment horizontal="right" vertical="center" wrapText="1"/>
    </xf>
    <xf numFmtId="0" fontId="6" fillId="2" borderId="0" xfId="0" applyFont="1" applyFill="1" applyAlignment="1">
      <alignment horizontal="left" vertical="top" wrapText="1"/>
    </xf>
    <xf numFmtId="0" fontId="10" fillId="9" borderId="0" xfId="0" applyFont="1" applyFill="1" applyAlignment="1">
      <alignment horizontal="center" vertical="center"/>
    </xf>
    <xf numFmtId="0" fontId="10" fillId="7" borderId="0" xfId="0" applyFont="1" applyFill="1" applyAlignment="1">
      <alignment horizontal="center" vertical="center"/>
    </xf>
    <xf numFmtId="0" fontId="8" fillId="6" borderId="0" xfId="0" applyFont="1" applyFill="1" applyAlignment="1">
      <alignment horizontal="center" vertical="center"/>
    </xf>
    <xf numFmtId="0" fontId="10" fillId="11" borderId="3" xfId="0" applyFont="1" applyFill="1" applyBorder="1" applyAlignment="1">
      <alignment horizontal="center"/>
    </xf>
    <xf numFmtId="0" fontId="10" fillId="11" borderId="5" xfId="0" applyFont="1" applyFill="1" applyBorder="1" applyAlignment="1">
      <alignment horizontal="center"/>
    </xf>
    <xf numFmtId="0" fontId="10" fillId="11" borderId="4" xfId="0" applyFont="1" applyFill="1" applyBorder="1" applyAlignment="1">
      <alignment horizontal="center"/>
    </xf>
    <xf numFmtId="0" fontId="6" fillId="10" borderId="3"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8" borderId="0" xfId="0" applyFont="1" applyFill="1" applyAlignment="1">
      <alignment horizontal="center" vertical="center" wrapText="1"/>
    </xf>
    <xf numFmtId="0" fontId="6" fillId="3" borderId="0" xfId="0" applyFont="1" applyFill="1" applyAlignment="1">
      <alignment horizontal="center" vertical="center" wrapText="1"/>
    </xf>
    <xf numFmtId="0" fontId="13" fillId="10" borderId="9" xfId="0" applyFont="1" applyFill="1" applyBorder="1" applyAlignment="1">
      <alignment horizontal="center" vertical="center"/>
    </xf>
    <xf numFmtId="0" fontId="13" fillId="10" borderId="10" xfId="0" applyFont="1" applyFill="1" applyBorder="1" applyAlignment="1">
      <alignment horizontal="center" vertical="center"/>
    </xf>
    <xf numFmtId="0" fontId="13" fillId="10" borderId="11" xfId="0" applyFont="1" applyFill="1" applyBorder="1" applyAlignment="1">
      <alignment horizontal="center" vertical="center"/>
    </xf>
    <xf numFmtId="0" fontId="7" fillId="12" borderId="1" xfId="0" applyFont="1" applyFill="1" applyBorder="1" applyAlignment="1">
      <alignment horizontal="center" vertical="center" wrapText="1"/>
    </xf>
    <xf numFmtId="0" fontId="6" fillId="10" borderId="1" xfId="0" applyFont="1" applyFill="1" applyBorder="1" applyAlignment="1">
      <alignment horizontal="left" vertical="center" wrapText="1"/>
    </xf>
    <xf numFmtId="0" fontId="7" fillId="12" borderId="6"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12" xfId="0" applyFont="1" applyFill="1" applyBorder="1" applyAlignment="1">
      <alignment horizontal="right" vertical="center" wrapText="1"/>
    </xf>
    <xf numFmtId="0" fontId="6" fillId="10" borderId="0" xfId="0" applyFont="1" applyFill="1" applyAlignment="1">
      <alignment horizontal="right" vertical="center" wrapText="1"/>
    </xf>
    <xf numFmtId="0" fontId="13" fillId="10" borderId="9"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1" fillId="18" borderId="0" xfId="3" applyFont="1" applyFill="1" applyBorder="1" applyAlignment="1">
      <alignment horizontal="left" vertical="center" wrapText="1"/>
    </xf>
    <xf numFmtId="0" fontId="11" fillId="18" borderId="13" xfId="3" applyFont="1" applyFill="1" applyBorder="1" applyAlignment="1">
      <alignment horizontal="left" vertical="center" wrapText="1"/>
    </xf>
    <xf numFmtId="0" fontId="11" fillId="10" borderId="0" xfId="3" applyFont="1" applyFill="1" applyBorder="1" applyAlignment="1">
      <alignment horizontal="left" vertical="center" wrapText="1"/>
    </xf>
    <xf numFmtId="0" fontId="11" fillId="10" borderId="13" xfId="3" applyFont="1" applyFill="1" applyBorder="1" applyAlignment="1">
      <alignment horizontal="left" vertical="center" wrapText="1"/>
    </xf>
    <xf numFmtId="0" fontId="11" fillId="10" borderId="2" xfId="3" applyFont="1" applyFill="1" applyBorder="1" applyAlignment="1">
      <alignment horizontal="left" vertical="center" wrapText="1"/>
    </xf>
    <xf numFmtId="0" fontId="11" fillId="10" borderId="15" xfId="3" applyFont="1" applyFill="1" applyBorder="1" applyAlignment="1">
      <alignment horizontal="left" vertical="center" wrapText="1"/>
    </xf>
    <xf numFmtId="0" fontId="10" fillId="14" borderId="0" xfId="0" applyFont="1" applyFill="1" applyAlignment="1">
      <alignment horizontal="center" vertical="center"/>
    </xf>
    <xf numFmtId="0" fontId="15" fillId="15" borderId="0" xfId="0" applyFont="1" applyFill="1" applyAlignment="1">
      <alignment horizontal="center" vertical="center"/>
    </xf>
    <xf numFmtId="0" fontId="6" fillId="10" borderId="12"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0" xfId="0" applyFont="1" applyFill="1" applyAlignment="1">
      <alignment horizontal="left" vertical="top" wrapText="1"/>
    </xf>
    <xf numFmtId="0" fontId="87" fillId="2" borderId="0" xfId="0" applyFont="1" applyFill="1" applyAlignment="1">
      <alignment horizontal="left" vertical="center" wrapText="1"/>
    </xf>
    <xf numFmtId="0" fontId="91" fillId="2" borderId="0" xfId="0" applyFont="1" applyFill="1" applyAlignment="1">
      <alignment horizontal="left" vertical="center" wrapText="1"/>
    </xf>
    <xf numFmtId="0" fontId="89" fillId="2" borderId="0" xfId="0" applyFont="1" applyFill="1" applyAlignment="1">
      <alignment horizontal="left" vertical="center" wrapText="1"/>
    </xf>
    <xf numFmtId="0" fontId="21" fillId="2" borderId="0" xfId="0" applyFont="1" applyFill="1" applyAlignment="1">
      <alignment horizontal="left" vertical="center" wrapText="1"/>
    </xf>
    <xf numFmtId="0" fontId="18" fillId="4" borderId="0" xfId="0" applyFont="1" applyFill="1" applyAlignment="1">
      <alignment horizontal="left" vertical="center" wrapText="1"/>
    </xf>
    <xf numFmtId="0" fontId="17" fillId="4" borderId="0" xfId="0" applyFont="1" applyFill="1" applyAlignment="1">
      <alignment horizontal="left" vertical="center" wrapText="1"/>
    </xf>
    <xf numFmtId="49" fontId="25" fillId="2" borderId="0" xfId="0" applyNumberFormat="1" applyFont="1" applyFill="1" applyAlignment="1">
      <alignment horizontal="right" vertical="center" wrapText="1"/>
    </xf>
    <xf numFmtId="0" fontId="19" fillId="4" borderId="0" xfId="0" applyFont="1" applyFill="1" applyAlignment="1">
      <alignment horizontal="left" vertical="center" wrapText="1"/>
    </xf>
    <xf numFmtId="0" fontId="29" fillId="2" borderId="0" xfId="0" applyFont="1" applyFill="1" applyAlignment="1" applyProtection="1">
      <alignment horizontal="right" vertical="center"/>
      <protection hidden="1"/>
    </xf>
    <xf numFmtId="0" fontId="39" fillId="12" borderId="0" xfId="0" applyFont="1" applyFill="1" applyAlignment="1" applyProtection="1">
      <alignment horizontal="center" vertical="center"/>
      <protection hidden="1"/>
    </xf>
    <xf numFmtId="168" fontId="8" fillId="13" borderId="3" xfId="0" applyNumberFormat="1" applyFont="1" applyFill="1" applyBorder="1" applyAlignment="1" applyProtection="1">
      <alignment horizontal="center" vertical="center" wrapText="1"/>
      <protection locked="0"/>
    </xf>
    <xf numFmtId="168" fontId="8" fillId="13" borderId="5" xfId="0" applyNumberFormat="1" applyFont="1" applyFill="1" applyBorder="1" applyAlignment="1" applyProtection="1">
      <alignment horizontal="center" vertical="center" wrapText="1"/>
      <protection locked="0"/>
    </xf>
    <xf numFmtId="168" fontId="8" fillId="13" borderId="4" xfId="0" applyNumberFormat="1" applyFont="1" applyFill="1" applyBorder="1" applyAlignment="1" applyProtection="1">
      <alignment horizontal="center" vertical="center" wrapText="1"/>
      <protection locked="0"/>
    </xf>
    <xf numFmtId="164" fontId="8" fillId="13" borderId="9" xfId="0" applyNumberFormat="1" applyFont="1" applyFill="1" applyBorder="1" applyAlignment="1" applyProtection="1">
      <alignment horizontal="center" vertical="center"/>
      <protection locked="0"/>
    </xf>
    <xf numFmtId="164" fontId="8" fillId="13" borderId="10" xfId="0" applyNumberFormat="1" applyFont="1" applyFill="1" applyBorder="1" applyAlignment="1" applyProtection="1">
      <alignment horizontal="center" vertical="center"/>
      <protection locked="0"/>
    </xf>
    <xf numFmtId="164" fontId="8" fillId="13" borderId="11" xfId="0" applyNumberFormat="1" applyFont="1" applyFill="1" applyBorder="1" applyAlignment="1" applyProtection="1">
      <alignment horizontal="center" vertical="center"/>
      <protection locked="0"/>
    </xf>
    <xf numFmtId="9" fontId="34" fillId="5" borderId="3" xfId="2" applyFont="1" applyFill="1" applyBorder="1" applyAlignment="1" applyProtection="1">
      <alignment horizontal="center" vertical="center"/>
      <protection locked="0"/>
    </xf>
    <xf numFmtId="9" fontId="34" fillId="5" borderId="5" xfId="2" applyFont="1" applyFill="1" applyBorder="1" applyAlignment="1" applyProtection="1">
      <alignment horizontal="center" vertical="center"/>
      <protection locked="0"/>
    </xf>
    <xf numFmtId="9" fontId="34" fillId="5" borderId="4" xfId="2" applyFont="1" applyFill="1" applyBorder="1" applyAlignment="1" applyProtection="1">
      <alignment horizontal="center" vertical="center"/>
      <protection locked="0"/>
    </xf>
    <xf numFmtId="168" fontId="43" fillId="2" borderId="2" xfId="1" applyNumberFormat="1" applyFont="1" applyFill="1" applyBorder="1" applyAlignment="1" applyProtection="1">
      <alignment horizontal="center" vertical="center"/>
      <protection hidden="1"/>
    </xf>
    <xf numFmtId="168" fontId="43" fillId="2" borderId="15" xfId="1" applyNumberFormat="1" applyFont="1" applyFill="1" applyBorder="1" applyAlignment="1" applyProtection="1">
      <alignment horizontal="center" vertical="center"/>
      <protection hidden="1"/>
    </xf>
    <xf numFmtId="168" fontId="8" fillId="13" borderId="10" xfId="1" applyNumberFormat="1" applyFont="1" applyFill="1" applyBorder="1" applyAlignment="1" applyProtection="1">
      <alignment horizontal="center" vertical="center"/>
      <protection hidden="1"/>
    </xf>
    <xf numFmtId="168" fontId="8" fillId="13" borderId="11" xfId="1" applyNumberFormat="1" applyFont="1" applyFill="1" applyBorder="1" applyAlignment="1" applyProtection="1">
      <alignment horizontal="center" vertical="center"/>
      <protection hidden="1"/>
    </xf>
    <xf numFmtId="169" fontId="8" fillId="13" borderId="3" xfId="2" applyNumberFormat="1" applyFont="1" applyFill="1" applyBorder="1" applyAlignment="1" applyProtection="1">
      <alignment horizontal="center" vertical="center"/>
      <protection locked="0"/>
    </xf>
    <xf numFmtId="169" fontId="8" fillId="13" borderId="5" xfId="2" applyNumberFormat="1" applyFont="1" applyFill="1" applyBorder="1" applyAlignment="1" applyProtection="1">
      <alignment horizontal="center" vertical="center"/>
      <protection locked="0"/>
    </xf>
    <xf numFmtId="169" fontId="8" fillId="13" borderId="4" xfId="2" applyNumberFormat="1" applyFont="1" applyFill="1" applyBorder="1" applyAlignment="1" applyProtection="1">
      <alignment horizontal="center" vertical="center"/>
      <protection locked="0"/>
    </xf>
    <xf numFmtId="1" fontId="8" fillId="13" borderId="3" xfId="2" applyNumberFormat="1" applyFont="1" applyFill="1" applyBorder="1" applyAlignment="1" applyProtection="1">
      <alignment horizontal="center" vertical="center"/>
      <protection locked="0"/>
    </xf>
    <xf numFmtId="1" fontId="8" fillId="13" borderId="5" xfId="2" applyNumberFormat="1" applyFont="1" applyFill="1" applyBorder="1" applyAlignment="1" applyProtection="1">
      <alignment horizontal="center" vertical="center"/>
      <protection locked="0"/>
    </xf>
    <xf numFmtId="1" fontId="8" fillId="13" borderId="4" xfId="2" applyNumberFormat="1" applyFont="1" applyFill="1" applyBorder="1" applyAlignment="1" applyProtection="1">
      <alignment horizontal="center" vertical="center"/>
      <protection locked="0"/>
    </xf>
    <xf numFmtId="168" fontId="8" fillId="13" borderId="3" xfId="2" applyNumberFormat="1" applyFont="1" applyFill="1" applyBorder="1" applyAlignment="1" applyProtection="1">
      <alignment horizontal="center" vertical="center"/>
      <protection locked="0"/>
    </xf>
    <xf numFmtId="168" fontId="8" fillId="13" borderId="5" xfId="2" applyNumberFormat="1" applyFont="1" applyFill="1" applyBorder="1" applyAlignment="1" applyProtection="1">
      <alignment horizontal="center" vertical="center"/>
      <protection locked="0"/>
    </xf>
    <xf numFmtId="168" fontId="8" fillId="13" borderId="4" xfId="2" applyNumberFormat="1" applyFont="1" applyFill="1" applyBorder="1" applyAlignment="1" applyProtection="1">
      <alignment horizontal="center" vertical="center"/>
      <protection locked="0"/>
    </xf>
    <xf numFmtId="9" fontId="82" fillId="13" borderId="25" xfId="2" applyFont="1" applyFill="1" applyBorder="1" applyAlignment="1" applyProtection="1">
      <alignment horizontal="center" vertical="center"/>
      <protection locked="0"/>
    </xf>
    <xf numFmtId="9" fontId="82" fillId="13" borderId="5" xfId="2" applyFont="1" applyFill="1" applyBorder="1" applyAlignment="1" applyProtection="1">
      <alignment horizontal="center" vertical="center"/>
      <protection locked="0"/>
    </xf>
    <xf numFmtId="9" fontId="82" fillId="13" borderId="4" xfId="2" applyFont="1" applyFill="1" applyBorder="1" applyAlignment="1" applyProtection="1">
      <alignment horizontal="center" vertical="center"/>
      <protection locked="0"/>
    </xf>
    <xf numFmtId="9" fontId="52" fillId="13" borderId="3" xfId="2" applyFont="1" applyFill="1" applyBorder="1" applyAlignment="1" applyProtection="1">
      <alignment horizontal="center" vertical="center"/>
      <protection locked="0"/>
    </xf>
    <xf numFmtId="9" fontId="52" fillId="13" borderId="5" xfId="2" applyFont="1" applyFill="1" applyBorder="1" applyAlignment="1" applyProtection="1">
      <alignment horizontal="center" vertical="center"/>
      <protection locked="0"/>
    </xf>
    <xf numFmtId="9" fontId="52" fillId="13" borderId="4" xfId="2"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protection hidden="1"/>
    </xf>
    <xf numFmtId="0" fontId="7" fillId="2" borderId="5"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34" fillId="5" borderId="3" xfId="0" applyFont="1" applyFill="1" applyBorder="1" applyAlignment="1" applyProtection="1">
      <alignment horizontal="center" vertical="center" wrapText="1"/>
      <protection locked="0"/>
    </xf>
    <xf numFmtId="0" fontId="34" fillId="5" borderId="5" xfId="0" applyFont="1" applyFill="1" applyBorder="1" applyAlignment="1" applyProtection="1">
      <alignment horizontal="center" vertical="center" wrapText="1"/>
      <protection locked="0"/>
    </xf>
    <xf numFmtId="0" fontId="34" fillId="5" borderId="4" xfId="0" applyFont="1" applyFill="1" applyBorder="1" applyAlignment="1" applyProtection="1">
      <alignment horizontal="center" vertical="center" wrapText="1"/>
      <protection locked="0"/>
    </xf>
    <xf numFmtId="3" fontId="8" fillId="13" borderId="3" xfId="0" applyNumberFormat="1" applyFont="1" applyFill="1" applyBorder="1" applyAlignment="1" applyProtection="1">
      <alignment horizontal="center" vertical="center"/>
      <protection locked="0"/>
    </xf>
    <xf numFmtId="3" fontId="8" fillId="13" borderId="5" xfId="0" applyNumberFormat="1" applyFont="1" applyFill="1" applyBorder="1" applyAlignment="1" applyProtection="1">
      <alignment horizontal="center" vertical="center"/>
      <protection locked="0"/>
    </xf>
    <xf numFmtId="3" fontId="8" fillId="13" borderId="4" xfId="0" applyNumberFormat="1" applyFont="1" applyFill="1" applyBorder="1" applyAlignment="1" applyProtection="1">
      <alignment horizontal="center" vertical="center"/>
      <protection locked="0"/>
    </xf>
    <xf numFmtId="168" fontId="8" fillId="13" borderId="12" xfId="0" applyNumberFormat="1" applyFont="1" applyFill="1" applyBorder="1" applyAlignment="1" applyProtection="1">
      <alignment horizontal="center" vertical="center"/>
      <protection locked="0"/>
    </xf>
    <xf numFmtId="168" fontId="8" fillId="13" borderId="0" xfId="0" applyNumberFormat="1" applyFont="1" applyFill="1" applyAlignment="1" applyProtection="1">
      <alignment horizontal="center" vertical="center"/>
      <protection locked="0"/>
    </xf>
    <xf numFmtId="168" fontId="8" fillId="13" borderId="13" xfId="0" applyNumberFormat="1" applyFont="1" applyFill="1" applyBorder="1" applyAlignment="1" applyProtection="1">
      <alignment horizontal="center" vertical="center"/>
      <protection locked="0"/>
    </xf>
    <xf numFmtId="164" fontId="8" fillId="13" borderId="14" xfId="0" applyNumberFormat="1" applyFont="1" applyFill="1" applyBorder="1" applyAlignment="1" applyProtection="1">
      <alignment horizontal="center" vertical="center"/>
      <protection locked="0"/>
    </xf>
    <xf numFmtId="164" fontId="8" fillId="13" borderId="2" xfId="0" applyNumberFormat="1" applyFont="1" applyFill="1" applyBorder="1" applyAlignment="1" applyProtection="1">
      <alignment horizontal="center" vertical="center"/>
      <protection locked="0"/>
    </xf>
    <xf numFmtId="164" fontId="8" fillId="13" borderId="15" xfId="0" applyNumberFormat="1" applyFont="1" applyFill="1" applyBorder="1" applyAlignment="1" applyProtection="1">
      <alignment horizontal="center" vertical="center"/>
      <protection locked="0"/>
    </xf>
    <xf numFmtId="9" fontId="8" fillId="13" borderId="3" xfId="2" applyFont="1" applyFill="1" applyBorder="1" applyAlignment="1" applyProtection="1">
      <alignment horizontal="center" vertical="center"/>
      <protection locked="0"/>
    </xf>
    <xf numFmtId="9" fontId="8" fillId="13" borderId="5" xfId="2" applyFont="1" applyFill="1" applyBorder="1" applyAlignment="1" applyProtection="1">
      <alignment horizontal="center" vertical="center"/>
      <protection locked="0"/>
    </xf>
    <xf numFmtId="9" fontId="8" fillId="13" borderId="4" xfId="2" applyFont="1" applyFill="1" applyBorder="1" applyAlignment="1" applyProtection="1">
      <alignment horizontal="center" vertical="center"/>
      <protection locked="0"/>
    </xf>
    <xf numFmtId="9" fontId="8" fillId="2" borderId="25" xfId="2" applyFont="1" applyFill="1" applyBorder="1" applyAlignment="1" applyProtection="1">
      <alignment horizontal="center" vertical="center"/>
      <protection hidden="1"/>
    </xf>
    <xf numFmtId="9" fontId="8" fillId="2" borderId="5" xfId="2" applyFont="1" applyFill="1" applyBorder="1" applyAlignment="1" applyProtection="1">
      <alignment horizontal="center" vertical="center"/>
      <protection hidden="1"/>
    </xf>
    <xf numFmtId="9" fontId="8" fillId="2" borderId="4" xfId="2" applyFont="1" applyFill="1" applyBorder="1" applyAlignment="1" applyProtection="1">
      <alignment horizontal="center" vertical="center"/>
      <protection hidden="1"/>
    </xf>
    <xf numFmtId="0" fontId="8" fillId="13" borderId="3" xfId="0" applyFont="1" applyFill="1" applyBorder="1" applyAlignment="1" applyProtection="1">
      <alignment horizontal="center" vertical="center"/>
      <protection locked="0"/>
    </xf>
    <xf numFmtId="0" fontId="8" fillId="13" borderId="5" xfId="0" applyFont="1" applyFill="1" applyBorder="1" applyAlignment="1" applyProtection="1">
      <alignment horizontal="center" vertical="center"/>
      <protection locked="0"/>
    </xf>
    <xf numFmtId="0" fontId="8" fillId="13" borderId="4" xfId="0" applyFont="1" applyFill="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hidden="1"/>
    </xf>
    <xf numFmtId="3" fontId="8" fillId="0" borderId="5" xfId="0" applyNumberFormat="1" applyFont="1" applyBorder="1" applyAlignment="1" applyProtection="1">
      <alignment horizontal="center" vertical="center"/>
      <protection hidden="1"/>
    </xf>
    <xf numFmtId="3" fontId="8" fillId="0" borderId="4" xfId="0" applyNumberFormat="1" applyFont="1" applyBorder="1" applyAlignment="1" applyProtection="1">
      <alignment horizontal="center" vertical="center"/>
      <protection hidden="1"/>
    </xf>
    <xf numFmtId="0" fontId="6" fillId="4" borderId="5" xfId="0" applyFont="1" applyFill="1" applyBorder="1" applyAlignment="1" applyProtection="1">
      <alignment horizontal="left" vertical="center" wrapText="1"/>
      <protection hidden="1"/>
    </xf>
    <xf numFmtId="0" fontId="6" fillId="4" borderId="4" xfId="0" applyFont="1" applyFill="1" applyBorder="1" applyAlignment="1" applyProtection="1">
      <alignment horizontal="left" vertical="center" wrapText="1"/>
      <protection hidden="1"/>
    </xf>
    <xf numFmtId="0" fontId="52" fillId="2" borderId="5" xfId="0" applyFont="1" applyFill="1" applyBorder="1" applyAlignment="1" applyProtection="1">
      <alignment horizontal="left" vertical="center" wrapText="1"/>
      <protection hidden="1"/>
    </xf>
    <xf numFmtId="0" fontId="52" fillId="2" borderId="4" xfId="0" applyFont="1" applyFill="1" applyBorder="1" applyAlignment="1" applyProtection="1">
      <alignment horizontal="left" vertical="center" wrapText="1"/>
      <protection hidden="1"/>
    </xf>
    <xf numFmtId="0" fontId="54" fillId="2" borderId="5" xfId="0" applyFont="1" applyFill="1" applyBorder="1" applyAlignment="1" applyProtection="1">
      <alignment horizontal="left" vertical="center" wrapText="1"/>
      <protection hidden="1"/>
    </xf>
    <xf numFmtId="0" fontId="54" fillId="2" borderId="4" xfId="0" applyFont="1" applyFill="1" applyBorder="1" applyAlignment="1" applyProtection="1">
      <alignment horizontal="left" vertical="center" wrapText="1"/>
      <protection hidden="1"/>
    </xf>
    <xf numFmtId="0" fontId="51" fillId="14" borderId="0" xfId="0" applyFont="1" applyFill="1" applyAlignment="1" applyProtection="1">
      <alignment horizontal="center" vertical="center"/>
      <protection hidden="1"/>
    </xf>
    <xf numFmtId="0" fontId="6" fillId="2" borderId="5" xfId="0" applyFont="1" applyFill="1" applyBorder="1" applyAlignment="1" applyProtection="1">
      <alignment horizontal="left" vertical="center"/>
      <protection hidden="1"/>
    </xf>
    <xf numFmtId="0" fontId="6" fillId="2" borderId="4" xfId="0" applyFont="1" applyFill="1" applyBorder="1" applyAlignment="1" applyProtection="1">
      <alignment horizontal="left" vertical="center"/>
      <protection hidden="1"/>
    </xf>
    <xf numFmtId="0" fontId="6" fillId="2" borderId="5" xfId="0" applyFont="1" applyFill="1" applyBorder="1" applyAlignment="1" applyProtection="1">
      <alignment horizontal="left" vertical="center" wrapText="1"/>
      <protection hidden="1"/>
    </xf>
    <xf numFmtId="0" fontId="6" fillId="2" borderId="4" xfId="0" applyFont="1" applyFill="1" applyBorder="1" applyAlignment="1" applyProtection="1">
      <alignment horizontal="left" vertical="center" wrapText="1"/>
      <protection hidden="1"/>
    </xf>
    <xf numFmtId="0" fontId="33" fillId="10" borderId="0" xfId="0" applyFont="1" applyFill="1" applyAlignment="1" applyProtection="1">
      <alignment horizontal="left" vertical="center" wrapText="1"/>
      <protection hidden="1"/>
    </xf>
    <xf numFmtId="0" fontId="7" fillId="2" borderId="3" xfId="0"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15" fillId="11" borderId="0" xfId="0" applyFont="1" applyFill="1" applyAlignment="1" applyProtection="1">
      <alignment horizontal="center" vertical="center"/>
      <protection hidden="1"/>
    </xf>
    <xf numFmtId="0" fontId="8" fillId="10" borderId="2" xfId="0" applyFont="1" applyFill="1" applyBorder="1" applyAlignment="1" applyProtection="1">
      <alignment horizontal="left"/>
      <protection hidden="1"/>
    </xf>
    <xf numFmtId="1" fontId="80" fillId="10" borderId="12" xfId="2" applyNumberFormat="1" applyFont="1" applyFill="1" applyBorder="1" applyAlignment="1" applyProtection="1">
      <alignment horizontal="center" vertical="center" wrapText="1"/>
      <protection hidden="1"/>
    </xf>
    <xf numFmtId="1" fontId="80" fillId="10" borderId="0" xfId="2" applyNumberFormat="1" applyFont="1" applyFill="1" applyBorder="1" applyAlignment="1" applyProtection="1">
      <alignment horizontal="center" vertical="center" wrapText="1"/>
      <protection hidden="1"/>
    </xf>
    <xf numFmtId="1" fontId="34" fillId="13" borderId="9" xfId="2" applyNumberFormat="1" applyFont="1" applyFill="1" applyBorder="1" applyAlignment="1" applyProtection="1">
      <alignment horizontal="center" vertical="center"/>
      <protection locked="0"/>
    </xf>
    <xf numFmtId="1" fontId="34" fillId="13" borderId="10" xfId="2" applyNumberFormat="1" applyFont="1" applyFill="1" applyBorder="1" applyAlignment="1" applyProtection="1">
      <alignment horizontal="center" vertical="center"/>
      <protection locked="0"/>
    </xf>
    <xf numFmtId="1" fontId="34" fillId="13" borderId="11" xfId="2" applyNumberFormat="1" applyFont="1" applyFill="1" applyBorder="1" applyAlignment="1" applyProtection="1">
      <alignment horizontal="center" vertical="center"/>
      <protection locked="0"/>
    </xf>
    <xf numFmtId="1" fontId="43" fillId="2" borderId="14" xfId="2" applyNumberFormat="1" applyFont="1" applyFill="1" applyBorder="1" applyAlignment="1" applyProtection="1">
      <alignment horizontal="center" vertical="center"/>
      <protection hidden="1"/>
    </xf>
    <xf numFmtId="1" fontId="43" fillId="2" borderId="2" xfId="2" applyNumberFormat="1" applyFont="1" applyFill="1" applyBorder="1" applyAlignment="1" applyProtection="1">
      <alignment horizontal="center" vertical="center"/>
      <protection hidden="1"/>
    </xf>
    <xf numFmtId="1" fontId="43" fillId="2" borderId="15" xfId="2" applyNumberFormat="1" applyFont="1" applyFill="1" applyBorder="1" applyAlignment="1" applyProtection="1">
      <alignment horizontal="center" vertical="center"/>
      <protection hidden="1"/>
    </xf>
    <xf numFmtId="167" fontId="34" fillId="2" borderId="3" xfId="2" applyNumberFormat="1" applyFont="1" applyFill="1" applyBorder="1" applyAlignment="1" applyProtection="1">
      <alignment horizontal="center" vertical="center"/>
      <protection hidden="1"/>
    </xf>
    <xf numFmtId="167" fontId="34" fillId="2" borderId="5" xfId="2" applyNumberFormat="1" applyFont="1" applyFill="1" applyBorder="1" applyAlignment="1" applyProtection="1">
      <alignment horizontal="center" vertical="center"/>
      <protection hidden="1"/>
    </xf>
    <xf numFmtId="167" fontId="34" fillId="2" borderId="4" xfId="2" applyNumberFormat="1" applyFont="1" applyFill="1" applyBorder="1" applyAlignment="1" applyProtection="1">
      <alignment horizontal="center" vertical="center"/>
      <protection hidden="1"/>
    </xf>
    <xf numFmtId="9" fontId="8" fillId="13" borderId="9" xfId="2" applyFont="1" applyFill="1" applyBorder="1" applyAlignment="1" applyProtection="1">
      <alignment horizontal="center" vertical="center"/>
      <protection locked="0"/>
    </xf>
    <xf numFmtId="9" fontId="8" fillId="13" borderId="10" xfId="2" applyFont="1" applyFill="1" applyBorder="1" applyAlignment="1" applyProtection="1">
      <alignment horizontal="center" vertical="center"/>
      <protection locked="0"/>
    </xf>
    <xf numFmtId="9" fontId="8" fillId="13" borderId="11" xfId="2" applyFont="1" applyFill="1" applyBorder="1" applyAlignment="1" applyProtection="1">
      <alignment horizontal="center" vertical="center"/>
      <protection locked="0"/>
    </xf>
    <xf numFmtId="9" fontId="43" fillId="0" borderId="14" xfId="2" applyFont="1" applyFill="1" applyBorder="1" applyAlignment="1" applyProtection="1">
      <alignment horizontal="center" vertical="center"/>
      <protection hidden="1"/>
    </xf>
    <xf numFmtId="9" fontId="43" fillId="0" borderId="2" xfId="2" applyFont="1" applyFill="1" applyBorder="1" applyAlignment="1" applyProtection="1">
      <alignment horizontal="center" vertical="center"/>
      <protection hidden="1"/>
    </xf>
    <xf numFmtId="9" fontId="43" fillId="0" borderId="15" xfId="2" applyFont="1" applyFill="1" applyBorder="1" applyAlignment="1" applyProtection="1">
      <alignment horizontal="center" vertical="center"/>
      <protection hidden="1"/>
    </xf>
    <xf numFmtId="2" fontId="34" fillId="2" borderId="3" xfId="0" applyNumberFormat="1" applyFont="1" applyFill="1" applyBorder="1" applyAlignment="1" applyProtection="1">
      <alignment horizontal="center" vertical="center"/>
      <protection hidden="1"/>
    </xf>
    <xf numFmtId="2" fontId="34" fillId="2" borderId="5" xfId="0" applyNumberFormat="1" applyFont="1" applyFill="1" applyBorder="1" applyAlignment="1" applyProtection="1">
      <alignment horizontal="center" vertical="center"/>
      <protection hidden="1"/>
    </xf>
    <xf numFmtId="2" fontId="34" fillId="2" borderId="4" xfId="0" applyNumberFormat="1" applyFont="1" applyFill="1" applyBorder="1" applyAlignment="1" applyProtection="1">
      <alignment horizontal="center" vertical="center"/>
      <protection hidden="1"/>
    </xf>
    <xf numFmtId="166" fontId="8" fillId="13" borderId="3" xfId="2" applyNumberFormat="1" applyFont="1" applyFill="1" applyBorder="1" applyAlignment="1" applyProtection="1">
      <alignment horizontal="center" vertical="center"/>
      <protection locked="0"/>
    </xf>
    <xf numFmtId="166" fontId="8" fillId="13" borderId="5" xfId="2" applyNumberFormat="1" applyFont="1" applyFill="1" applyBorder="1" applyAlignment="1" applyProtection="1">
      <alignment horizontal="center" vertical="center"/>
      <protection locked="0"/>
    </xf>
    <xf numFmtId="166" fontId="8" fillId="13" borderId="4" xfId="2" applyNumberFormat="1" applyFont="1" applyFill="1" applyBorder="1" applyAlignment="1" applyProtection="1">
      <alignment horizontal="center" vertical="center"/>
      <protection locked="0"/>
    </xf>
    <xf numFmtId="0" fontId="97" fillId="2" borderId="1" xfId="0" applyFont="1" applyFill="1" applyBorder="1" applyAlignment="1" applyProtection="1">
      <alignment horizontal="center" vertical="center" wrapText="1"/>
      <protection hidden="1"/>
    </xf>
    <xf numFmtId="0" fontId="8" fillId="8" borderId="0" xfId="0" applyFont="1" applyFill="1" applyAlignment="1" applyProtection="1">
      <alignment horizontal="left" vertical="center"/>
      <protection hidden="1"/>
    </xf>
    <xf numFmtId="0" fontId="29" fillId="8" borderId="0" xfId="0" applyFont="1" applyFill="1" applyAlignment="1" applyProtection="1">
      <alignment horizontal="center"/>
      <protection hidden="1"/>
    </xf>
    <xf numFmtId="0" fontId="53" fillId="8" borderId="0" xfId="0" applyFont="1" applyFill="1" applyAlignment="1" applyProtection="1">
      <alignment horizontal="left" vertical="center" wrapText="1"/>
      <protection hidden="1"/>
    </xf>
    <xf numFmtId="0" fontId="56" fillId="8" borderId="0" xfId="0" applyFont="1" applyFill="1" applyAlignment="1" applyProtection="1">
      <alignment horizontal="right" vertical="center"/>
      <protection hidden="1"/>
    </xf>
    <xf numFmtId="0" fontId="7" fillId="2" borderId="6"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36" fillId="2" borderId="6" xfId="0" applyFont="1" applyFill="1" applyBorder="1" applyAlignment="1" applyProtection="1">
      <alignment horizontal="center" vertical="center" wrapText="1"/>
      <protection hidden="1"/>
    </xf>
    <xf numFmtId="0" fontId="36" fillId="2" borderId="8" xfId="0" applyFont="1" applyFill="1" applyBorder="1" applyAlignment="1" applyProtection="1">
      <alignment horizontal="center" vertical="center" wrapText="1"/>
      <protection hidden="1"/>
    </xf>
    <xf numFmtId="0" fontId="51" fillId="9" borderId="0" xfId="0" applyFont="1" applyFill="1" applyAlignment="1" applyProtection="1">
      <alignment horizontal="center" vertical="center" wrapText="1"/>
      <protection hidden="1"/>
    </xf>
    <xf numFmtId="0" fontId="39" fillId="16" borderId="0" xfId="0" applyFont="1" applyFill="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hidden="1"/>
    </xf>
    <xf numFmtId="0" fontId="66" fillId="17" borderId="0" xfId="0" applyFont="1" applyFill="1" applyAlignment="1" applyProtection="1">
      <alignment horizontal="center" vertical="center" wrapText="1"/>
      <protection hidden="1"/>
    </xf>
    <xf numFmtId="0" fontId="66" fillId="21" borderId="0" xfId="0" applyFont="1" applyFill="1" applyAlignment="1" applyProtection="1">
      <alignment horizontal="center" vertical="center" wrapText="1"/>
      <protection hidden="1"/>
    </xf>
    <xf numFmtId="0" fontId="29" fillId="20" borderId="0" xfId="0" applyFont="1" applyFill="1" applyAlignment="1" applyProtection="1">
      <alignment horizontal="center"/>
      <protection hidden="1"/>
    </xf>
    <xf numFmtId="0" fontId="38" fillId="3" borderId="0" xfId="0" applyFont="1" applyFill="1" applyAlignment="1" applyProtection="1">
      <alignment horizontal="center" vertical="center"/>
      <protection hidden="1"/>
    </xf>
    <xf numFmtId="0" fontId="39" fillId="17" borderId="0" xfId="0" applyFont="1" applyFill="1" applyAlignment="1" applyProtection="1">
      <alignment horizontal="center" vertical="center"/>
      <protection hidden="1"/>
    </xf>
    <xf numFmtId="0" fontId="39" fillId="17" borderId="0" xfId="0" applyFont="1" applyFill="1" applyAlignment="1" applyProtection="1">
      <alignment horizontal="center" vertical="center" wrapText="1"/>
      <protection hidden="1"/>
    </xf>
    <xf numFmtId="0" fontId="14" fillId="17" borderId="0" xfId="0" applyFont="1" applyFill="1" applyAlignment="1" applyProtection="1">
      <alignment horizontal="center" vertical="center" wrapText="1"/>
      <protection hidden="1"/>
    </xf>
    <xf numFmtId="0" fontId="51" fillId="7" borderId="0" xfId="0" applyFont="1" applyFill="1" applyAlignment="1" applyProtection="1">
      <alignment horizontal="center" vertical="center"/>
      <protection hidden="1"/>
    </xf>
    <xf numFmtId="0" fontId="11" fillId="10" borderId="2" xfId="3" applyFont="1" applyFill="1" applyBorder="1" applyAlignment="1">
      <alignment horizontal="left" vertical="center"/>
    </xf>
    <xf numFmtId="0" fontId="11" fillId="10" borderId="15" xfId="3" applyFont="1" applyFill="1" applyBorder="1" applyAlignment="1">
      <alignment horizontal="left" vertical="center"/>
    </xf>
    <xf numFmtId="0" fontId="97" fillId="2" borderId="6" xfId="0" applyFont="1" applyFill="1" applyBorder="1" applyAlignment="1" applyProtection="1">
      <alignment horizontal="center" vertical="center" wrapText="1"/>
      <protection hidden="1"/>
    </xf>
    <xf numFmtId="0" fontId="97" fillId="2" borderId="8" xfId="0" applyFont="1" applyFill="1" applyBorder="1" applyAlignment="1" applyProtection="1">
      <alignment horizontal="center" vertical="center" wrapText="1"/>
      <protection hidden="1"/>
    </xf>
  </cellXfs>
  <cellStyles count="4">
    <cellStyle name="Currency" xfId="1" builtinId="4"/>
    <cellStyle name="Hyperlink" xfId="3" builtinId="8"/>
    <cellStyle name="Normal" xfId="0" builtinId="0"/>
    <cellStyle name="Percent" xfId="2" builtinId="5"/>
  </cellStyles>
  <dxfs count="1">
    <dxf>
      <font>
        <strike val="0"/>
        <color theme="8"/>
      </font>
    </dxf>
  </dxfs>
  <tableStyles count="0" defaultTableStyle="TableStyleMedium2" defaultPivotStyle="PivotStyleLight16"/>
  <colors>
    <mruColors>
      <color rgb="FFAE0012"/>
      <color rgb="FFD2EFDF"/>
      <color rgb="FF66BAC3"/>
      <color rgb="FFDFE3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12</xdr:col>
      <xdr:colOff>1171575</xdr:colOff>
      <xdr:row>1</xdr:row>
      <xdr:rowOff>161925</xdr:rowOff>
    </xdr:from>
    <xdr:ext cx="1162050" cy="476250"/>
    <xdr:pic>
      <xdr:nvPicPr>
        <xdr:cNvPr id="2" name="Picture 1">
          <a:extLst>
            <a:ext uri="{FF2B5EF4-FFF2-40B4-BE49-F238E27FC236}">
              <a16:creationId xmlns:a16="http://schemas.microsoft.com/office/drawing/2014/main" id="{FA99F207-493F-4863-8521-69D82302381C}"/>
            </a:ext>
          </a:extLst>
        </xdr:cNvPr>
        <xdr:cNvPicPr>
          <a:picLocks noChangeAspect="1"/>
        </xdr:cNvPicPr>
      </xdr:nvPicPr>
      <xdr:blipFill>
        <a:blip xmlns:r="http://schemas.openxmlformats.org/officeDocument/2006/relationships" r:embed="rId1"/>
        <a:stretch>
          <a:fillRect/>
        </a:stretch>
      </xdr:blipFill>
      <xdr:spPr>
        <a:xfrm>
          <a:off x="7391400" y="352425"/>
          <a:ext cx="1162050" cy="476250"/>
        </a:xfrm>
        <a:prstGeom prst="rect">
          <a:avLst/>
        </a:prstGeom>
      </xdr:spPr>
    </xdr:pic>
    <xdr:clientData/>
  </xdr:oneCellAnchor>
  <xdr:twoCellAnchor>
    <xdr:from>
      <xdr:col>0</xdr:col>
      <xdr:colOff>50800</xdr:colOff>
      <xdr:row>1</xdr:row>
      <xdr:rowOff>361112</xdr:rowOff>
    </xdr:from>
    <xdr:to>
      <xdr:col>3</xdr:col>
      <xdr:colOff>660400</xdr:colOff>
      <xdr:row>2</xdr:row>
      <xdr:rowOff>176099</xdr:rowOff>
    </xdr:to>
    <xdr:sp macro="" textlink="">
      <xdr:nvSpPr>
        <xdr:cNvPr id="4" name="Triangle 3">
          <a:extLst>
            <a:ext uri="{FF2B5EF4-FFF2-40B4-BE49-F238E27FC236}">
              <a16:creationId xmlns:a16="http://schemas.microsoft.com/office/drawing/2014/main" id="{7891DD26-1C18-814E-8714-3F0C1CEBED7A}"/>
            </a:ext>
          </a:extLst>
        </xdr:cNvPr>
        <xdr:cNvSpPr/>
      </xdr:nvSpPr>
      <xdr:spPr>
        <a:xfrm>
          <a:off x="50800" y="551612"/>
          <a:ext cx="1409700" cy="1364387"/>
        </a:xfrm>
        <a:prstGeom prst="ellipse">
          <a:avLst/>
        </a:prstGeom>
        <a:solidFill>
          <a:srgbClr val="AE001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419" sz="2000" b="1">
              <a:latin typeface="Arial" panose="020B0604020202020204" pitchFamily="34" charset="0"/>
              <a:cs typeface="Arial" panose="020B0604020202020204" pitchFamily="34" charset="0"/>
            </a:rPr>
            <a:t>VPH</a:t>
          </a:r>
        </a:p>
      </xdr:txBody>
    </xdr:sp>
    <xdr:clientData/>
  </xdr:twoCellAnchor>
  <xdr:oneCellAnchor>
    <xdr:from>
      <xdr:col>22</xdr:col>
      <xdr:colOff>0</xdr:colOff>
      <xdr:row>5</xdr:row>
      <xdr:rowOff>476250</xdr:rowOff>
    </xdr:from>
    <xdr:ext cx="184731" cy="264560"/>
    <xdr:sp macro="" textlink="">
      <xdr:nvSpPr>
        <xdr:cNvPr id="3" name="TextBox 2">
          <a:extLst>
            <a:ext uri="{FF2B5EF4-FFF2-40B4-BE49-F238E27FC236}">
              <a16:creationId xmlns:a16="http://schemas.microsoft.com/office/drawing/2014/main" id="{7407ED3B-CBF1-E08B-EB3C-94DEEF4DBAA8}"/>
            </a:ext>
          </a:extLst>
        </xdr:cNvPr>
        <xdr:cNvSpPr txBox="1"/>
      </xdr:nvSpPr>
      <xdr:spPr>
        <a:xfrm>
          <a:off x="128682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272146</xdr:colOff>
      <xdr:row>6</xdr:row>
      <xdr:rowOff>4920</xdr:rowOff>
    </xdr:from>
    <xdr:ext cx="242116" cy="717627"/>
    <xdr:pic>
      <xdr:nvPicPr>
        <xdr:cNvPr id="2" name="Picture 1">
          <a:extLst>
            <a:ext uri="{FF2B5EF4-FFF2-40B4-BE49-F238E27FC236}">
              <a16:creationId xmlns:a16="http://schemas.microsoft.com/office/drawing/2014/main" id="{F7AF0881-61FA-44E2-89AB-9EBA59F298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819" b="1819"/>
        <a:stretch/>
      </xdr:blipFill>
      <xdr:spPr>
        <a:xfrm>
          <a:off x="1504046" y="1109820"/>
          <a:ext cx="242116" cy="717627"/>
        </a:xfrm>
        <a:prstGeom prst="rect">
          <a:avLst/>
        </a:prstGeom>
      </xdr:spPr>
    </xdr:pic>
    <xdr:clientData/>
  </xdr:oneCellAnchor>
  <xdr:twoCellAnchor>
    <xdr:from>
      <xdr:col>2</xdr:col>
      <xdr:colOff>532915</xdr:colOff>
      <xdr:row>5</xdr:row>
      <xdr:rowOff>542425</xdr:rowOff>
    </xdr:from>
    <xdr:to>
      <xdr:col>3</xdr:col>
      <xdr:colOff>858035</xdr:colOff>
      <xdr:row>7</xdr:row>
      <xdr:rowOff>260350</xdr:rowOff>
    </xdr:to>
    <xdr:sp macro="" textlink="">
      <xdr:nvSpPr>
        <xdr:cNvPr id="3" name="TextBox 2">
          <a:extLst>
            <a:ext uri="{FF2B5EF4-FFF2-40B4-BE49-F238E27FC236}">
              <a16:creationId xmlns:a16="http://schemas.microsoft.com/office/drawing/2014/main" id="{0A9A7159-77C5-46DE-BB02-9D86FBA23325}"/>
            </a:ext>
          </a:extLst>
        </xdr:cNvPr>
        <xdr:cNvSpPr txBox="1"/>
      </xdr:nvSpPr>
      <xdr:spPr>
        <a:xfrm>
          <a:off x="1015515" y="1831475"/>
          <a:ext cx="1633220" cy="397375"/>
        </a:xfrm>
        <a:prstGeom prst="rect">
          <a:avLst/>
        </a:prstGeom>
        <a:solidFill>
          <a:srgbClr val="E8EBE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419" sz="1000">
              <a:latin typeface="Arial" panose="020B0604020202020204" pitchFamily="34" charset="0"/>
              <a:cs typeface="Arial" panose="020B0604020202020204" pitchFamily="34" charset="0"/>
            </a:rPr>
            <a:t>Costo o volumen más bajo</a:t>
          </a:r>
        </a:p>
      </xdr:txBody>
    </xdr:sp>
    <xdr:clientData/>
  </xdr:twoCellAnchor>
  <xdr:twoCellAnchor>
    <xdr:from>
      <xdr:col>2</xdr:col>
      <xdr:colOff>527176</xdr:colOff>
      <xdr:row>7</xdr:row>
      <xdr:rowOff>415712</xdr:rowOff>
    </xdr:from>
    <xdr:to>
      <xdr:col>3</xdr:col>
      <xdr:colOff>852296</xdr:colOff>
      <xdr:row>7</xdr:row>
      <xdr:rowOff>908050</xdr:rowOff>
    </xdr:to>
    <xdr:sp macro="" textlink="">
      <xdr:nvSpPr>
        <xdr:cNvPr id="4" name="TextBox 3">
          <a:extLst>
            <a:ext uri="{FF2B5EF4-FFF2-40B4-BE49-F238E27FC236}">
              <a16:creationId xmlns:a16="http://schemas.microsoft.com/office/drawing/2014/main" id="{2BF365DC-D1C8-49D6-A71D-46009F859A9D}"/>
            </a:ext>
          </a:extLst>
        </xdr:cNvPr>
        <xdr:cNvSpPr txBox="1"/>
      </xdr:nvSpPr>
      <xdr:spPr>
        <a:xfrm>
          <a:off x="1009776" y="2384212"/>
          <a:ext cx="1633220" cy="492338"/>
        </a:xfrm>
        <a:prstGeom prst="rect">
          <a:avLst/>
        </a:prstGeom>
        <a:solidFill>
          <a:srgbClr val="E8EBE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419" sz="1000">
              <a:latin typeface="Arial" panose="020B0604020202020204" pitchFamily="34" charset="0"/>
              <a:cs typeface="Arial" panose="020B0604020202020204" pitchFamily="34" charset="0"/>
            </a:rPr>
            <a:t>Costo o volumen más alto</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20320</xdr:colOff>
      <xdr:row>5</xdr:row>
      <xdr:rowOff>273213</xdr:rowOff>
    </xdr:from>
    <xdr:ext cx="191815" cy="684335"/>
    <xdr:pic>
      <xdr:nvPicPr>
        <xdr:cNvPr id="2" name="Picture 1">
          <a:extLst>
            <a:ext uri="{FF2B5EF4-FFF2-40B4-BE49-F238E27FC236}">
              <a16:creationId xmlns:a16="http://schemas.microsoft.com/office/drawing/2014/main" id="{B2AA5B4B-2AFE-4C0D-9FC2-A9EDCE7E8EF4}"/>
            </a:ext>
          </a:extLst>
        </xdr:cNvPr>
        <xdr:cNvPicPr>
          <a:picLocks noChangeAspect="1"/>
        </xdr:cNvPicPr>
      </xdr:nvPicPr>
      <xdr:blipFill rotWithShape="1">
        <a:blip xmlns:r="http://schemas.openxmlformats.org/officeDocument/2006/relationships" r:embed="rId1"/>
        <a:srcRect t="2241"/>
        <a:stretch/>
      </xdr:blipFill>
      <xdr:spPr>
        <a:xfrm>
          <a:off x="1252220" y="1105063"/>
          <a:ext cx="191815" cy="684335"/>
        </a:xfrm>
        <a:prstGeom prst="rect">
          <a:avLst/>
        </a:prstGeom>
      </xdr:spPr>
    </xdr:pic>
    <xdr:clientData/>
  </xdr:oneCellAnchor>
  <xdr:twoCellAnchor>
    <xdr:from>
      <xdr:col>3</xdr:col>
      <xdr:colOff>229867</xdr:colOff>
      <xdr:row>5</xdr:row>
      <xdr:rowOff>248283</xdr:rowOff>
    </xdr:from>
    <xdr:to>
      <xdr:col>4</xdr:col>
      <xdr:colOff>76200</xdr:colOff>
      <xdr:row>5</xdr:row>
      <xdr:rowOff>603250</xdr:rowOff>
    </xdr:to>
    <xdr:sp macro="" textlink="">
      <xdr:nvSpPr>
        <xdr:cNvPr id="3" name="TextBox 2">
          <a:extLst>
            <a:ext uri="{FF2B5EF4-FFF2-40B4-BE49-F238E27FC236}">
              <a16:creationId xmlns:a16="http://schemas.microsoft.com/office/drawing/2014/main" id="{0C6A1D5C-94D9-4B1E-A30E-E050201B8E19}"/>
            </a:ext>
          </a:extLst>
        </xdr:cNvPr>
        <xdr:cNvSpPr txBox="1"/>
      </xdr:nvSpPr>
      <xdr:spPr>
        <a:xfrm>
          <a:off x="1201417" y="1715133"/>
          <a:ext cx="1275083" cy="35496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419" sz="800">
              <a:latin typeface="Arial" panose="020B0604020202020204" pitchFamily="34" charset="0"/>
              <a:cs typeface="Arial" panose="020B0604020202020204" pitchFamily="34" charset="0"/>
            </a:rPr>
            <a:t>Costo o volumen más bajo</a:t>
          </a:r>
        </a:p>
      </xdr:txBody>
    </xdr:sp>
    <xdr:clientData/>
  </xdr:twoCellAnchor>
  <xdr:twoCellAnchor>
    <xdr:from>
      <xdr:col>3</xdr:col>
      <xdr:colOff>236220</xdr:colOff>
      <xdr:row>5</xdr:row>
      <xdr:rowOff>767080</xdr:rowOff>
    </xdr:from>
    <xdr:to>
      <xdr:col>4</xdr:col>
      <xdr:colOff>53341</xdr:colOff>
      <xdr:row>5</xdr:row>
      <xdr:rowOff>1130299</xdr:rowOff>
    </xdr:to>
    <xdr:sp macro="" textlink="">
      <xdr:nvSpPr>
        <xdr:cNvPr id="4" name="TextBox 3">
          <a:extLst>
            <a:ext uri="{FF2B5EF4-FFF2-40B4-BE49-F238E27FC236}">
              <a16:creationId xmlns:a16="http://schemas.microsoft.com/office/drawing/2014/main" id="{7AF58A67-C46E-43E2-8745-2D3B15728A3D}"/>
            </a:ext>
          </a:extLst>
        </xdr:cNvPr>
        <xdr:cNvSpPr txBox="1"/>
      </xdr:nvSpPr>
      <xdr:spPr>
        <a:xfrm>
          <a:off x="1207770" y="2233930"/>
          <a:ext cx="1245871" cy="36321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419" sz="800">
              <a:latin typeface="Arial" panose="020B0604020202020204" pitchFamily="34" charset="0"/>
              <a:cs typeface="Arial" panose="020B0604020202020204" pitchFamily="34" charset="0"/>
            </a:rPr>
            <a:t>Costo o volumen más alto</a:t>
          </a:r>
        </a:p>
      </xdr:txBody>
    </xdr:sp>
    <xdr:clientData/>
  </xdr:twoCellAnchor>
</xdr:wsDr>
</file>

<file path=xl/theme/theme1.xml><?xml version="1.0" encoding="utf-8"?>
<a:theme xmlns:a="http://schemas.openxmlformats.org/drawingml/2006/main" name="Office Theme">
  <a:themeElements>
    <a:clrScheme name="PATH - Shigella">
      <a:dk1>
        <a:srgbClr val="3F4856"/>
      </a:dk1>
      <a:lt1>
        <a:srgbClr val="FFFFFF"/>
      </a:lt1>
      <a:dk2>
        <a:srgbClr val="F65050"/>
      </a:dk2>
      <a:lt2>
        <a:srgbClr val="F5EFE9"/>
      </a:lt2>
      <a:accent1>
        <a:srgbClr val="009BA8"/>
      </a:accent1>
      <a:accent2>
        <a:srgbClr val="00602C"/>
      </a:accent2>
      <a:accent3>
        <a:srgbClr val="00AA49"/>
      </a:accent3>
      <a:accent4>
        <a:srgbClr val="FF2C3B"/>
      </a:accent4>
      <a:accent5>
        <a:srgbClr val="39339F"/>
      </a:accent5>
      <a:accent6>
        <a:srgbClr val="6863D8"/>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icef.org/supply/handling-fees" TargetMode="External"/><Relationship Id="rId7" Type="http://schemas.openxmlformats.org/officeDocument/2006/relationships/drawing" Target="../drawings/drawing1.xml"/><Relationship Id="rId2" Type="http://schemas.openxmlformats.org/officeDocument/2006/relationships/hyperlink" Target="https://immunizationeconomics.org/thinkwell-idcc/" TargetMode="External"/><Relationship Id="rId1" Type="http://schemas.openxmlformats.org/officeDocument/2006/relationships/hyperlink" Target="https://www.unicef.org/supply/documents/syringe-and-safety-box-bundles-price-data" TargetMode="External"/><Relationship Id="rId6" Type="http://schemas.openxmlformats.org/officeDocument/2006/relationships/printerSettings" Target="../printerSettings/printerSettings1.bin"/><Relationship Id="rId5" Type="http://schemas.openxmlformats.org/officeDocument/2006/relationships/hyperlink" Target="https://www.unicef.org/supply/documents/human-papilloma-virus-hpv-vaccine-price-data" TargetMode="External"/><Relationship Id="rId4" Type="http://schemas.openxmlformats.org/officeDocument/2006/relationships/hyperlink" Target="https://www.who.int/teams/immunization-vaccines-and-biologicals/vaccine-access/mi4a/mi4a-vaccine-purchase-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mmunizationeconomics.org/thinkwell-idcc/"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41BF7-4F8A-4679-9EA8-A8562BD00245}">
  <sheetPr codeName="Sheet1">
    <tabColor theme="3"/>
  </sheetPr>
  <dimension ref="A1:P58"/>
  <sheetViews>
    <sheetView tabSelected="1" zoomScaleNormal="100" zoomScaleSheetLayoutView="70" workbookViewId="0"/>
  </sheetViews>
  <sheetFormatPr defaultColWidth="8.77734375" defaultRowHeight="15" x14ac:dyDescent="0.25"/>
  <cols>
    <col min="1" max="1" width="4.21875" style="9" customWidth="1"/>
    <col min="2" max="3" width="3.21875" style="9" customWidth="1"/>
    <col min="4" max="4" width="8.77734375" style="9" customWidth="1"/>
    <col min="5" max="6" width="7.21875" style="9" customWidth="1"/>
    <col min="7" max="11" width="8.77734375" style="9"/>
    <col min="12" max="12" width="11.44140625" style="9" customWidth="1"/>
    <col min="13" max="13" width="32" style="9" customWidth="1"/>
    <col min="14" max="15" width="3.21875" style="9" customWidth="1"/>
    <col min="16" max="16" width="4.21875" style="9" customWidth="1"/>
    <col min="17" max="16384" width="8.77734375" style="9"/>
  </cols>
  <sheetData>
    <row r="1" spans="1:16" ht="15" customHeight="1" x14ac:dyDescent="0.25">
      <c r="A1" s="10"/>
      <c r="B1" s="333"/>
      <c r="C1" s="333"/>
      <c r="D1" s="333"/>
      <c r="E1" s="333"/>
      <c r="F1" s="333"/>
      <c r="G1" s="333"/>
      <c r="H1" s="333"/>
      <c r="I1" s="333"/>
      <c r="J1" s="333"/>
      <c r="K1" s="333"/>
      <c r="L1" s="333"/>
      <c r="M1" s="333"/>
      <c r="N1" s="333"/>
      <c r="O1" s="333"/>
      <c r="P1" s="10"/>
    </row>
    <row r="2" spans="1:16" ht="121.95" customHeight="1" x14ac:dyDescent="0.25">
      <c r="A2" s="10"/>
      <c r="C2" s="40"/>
      <c r="D2" s="40"/>
      <c r="E2" s="390" t="s">
        <v>121</v>
      </c>
      <c r="F2" s="390"/>
      <c r="G2" s="390"/>
      <c r="H2" s="390"/>
      <c r="I2" s="390"/>
      <c r="J2" s="390"/>
      <c r="K2" s="390"/>
      <c r="L2" s="390"/>
      <c r="M2" s="39"/>
      <c r="N2" s="39"/>
      <c r="P2" s="10"/>
    </row>
    <row r="3" spans="1:16" ht="54" customHeight="1" x14ac:dyDescent="0.25">
      <c r="A3" s="10"/>
      <c r="C3" s="38"/>
      <c r="D3" s="38"/>
      <c r="E3" s="391" t="s">
        <v>126</v>
      </c>
      <c r="F3" s="391"/>
      <c r="G3" s="391"/>
      <c r="H3" s="391"/>
      <c r="I3" s="391"/>
      <c r="J3" s="391"/>
      <c r="K3" s="391"/>
      <c r="L3" s="391"/>
      <c r="M3" s="396" t="s">
        <v>0</v>
      </c>
      <c r="N3" s="396"/>
      <c r="P3" s="10"/>
    </row>
    <row r="4" spans="1:16" ht="34.950000000000003" customHeight="1" x14ac:dyDescent="0.25">
      <c r="A4" s="10"/>
      <c r="B4" s="10"/>
      <c r="C4" s="397" t="s">
        <v>1</v>
      </c>
      <c r="D4" s="397"/>
      <c r="E4" s="397"/>
      <c r="F4" s="397"/>
      <c r="G4" s="397"/>
      <c r="H4" s="397"/>
      <c r="I4" s="397"/>
      <c r="J4" s="397"/>
      <c r="K4" s="397"/>
      <c r="L4" s="397"/>
      <c r="M4" s="397"/>
      <c r="N4" s="313"/>
      <c r="O4" s="10"/>
      <c r="P4" s="10"/>
    </row>
    <row r="5" spans="1:16" ht="7.95" customHeight="1" x14ac:dyDescent="0.25">
      <c r="A5" s="10"/>
      <c r="B5" s="10"/>
      <c r="C5" s="10"/>
      <c r="D5" s="37"/>
      <c r="E5" s="37"/>
      <c r="F5" s="37"/>
      <c r="G5" s="37"/>
      <c r="H5" s="37"/>
      <c r="I5" s="37"/>
      <c r="J5" s="37"/>
      <c r="K5" s="37"/>
      <c r="L5" s="37"/>
      <c r="M5" s="37"/>
      <c r="N5" s="37"/>
      <c r="O5" s="10"/>
      <c r="P5" s="10"/>
    </row>
    <row r="6" spans="1:16" ht="46.2" customHeight="1" x14ac:dyDescent="0.25">
      <c r="A6" s="10"/>
      <c r="B6" s="32"/>
      <c r="C6" s="36"/>
      <c r="D6" s="386" t="s">
        <v>2</v>
      </c>
      <c r="E6" s="386"/>
      <c r="F6" s="386"/>
      <c r="G6" s="386"/>
      <c r="H6" s="386"/>
      <c r="I6" s="386"/>
      <c r="J6" s="386"/>
      <c r="K6" s="386"/>
      <c r="L6" s="386"/>
      <c r="M6" s="386"/>
      <c r="N6" s="312"/>
      <c r="O6" s="36"/>
      <c r="P6" s="10"/>
    </row>
    <row r="7" spans="1:16" ht="7.95" customHeight="1" x14ac:dyDescent="0.25">
      <c r="A7" s="10"/>
      <c r="B7" s="10"/>
      <c r="C7" s="10"/>
      <c r="D7" s="10"/>
      <c r="E7" s="10"/>
      <c r="F7" s="10"/>
      <c r="G7" s="10"/>
      <c r="H7" s="10"/>
      <c r="I7" s="10"/>
      <c r="J7" s="10"/>
      <c r="K7" s="10"/>
      <c r="L7" s="10"/>
      <c r="M7" s="10"/>
      <c r="N7" s="10"/>
      <c r="O7" s="10"/>
      <c r="P7" s="10"/>
    </row>
    <row r="8" spans="1:16" ht="349.5" customHeight="1" x14ac:dyDescent="0.25">
      <c r="A8" s="10"/>
      <c r="B8" s="10"/>
      <c r="D8" s="392" t="s">
        <v>3</v>
      </c>
      <c r="E8" s="393"/>
      <c r="F8" s="393"/>
      <c r="G8" s="393"/>
      <c r="H8" s="393"/>
      <c r="I8" s="393"/>
      <c r="J8" s="393"/>
      <c r="K8" s="393"/>
      <c r="L8" s="393"/>
      <c r="M8" s="393"/>
      <c r="N8" s="35"/>
      <c r="O8" s="10"/>
      <c r="P8" s="10"/>
    </row>
    <row r="9" spans="1:16" ht="7.95" customHeight="1" x14ac:dyDescent="0.25">
      <c r="A9" s="10"/>
      <c r="B9" s="10"/>
      <c r="C9" s="10"/>
      <c r="D9" s="34"/>
      <c r="E9" s="34"/>
      <c r="F9" s="34"/>
      <c r="G9" s="34"/>
      <c r="H9" s="34"/>
      <c r="I9" s="34"/>
      <c r="J9" s="34"/>
      <c r="K9" s="34"/>
      <c r="L9" s="34"/>
      <c r="M9" s="34"/>
      <c r="N9" s="34"/>
      <c r="O9" s="10"/>
      <c r="P9" s="10"/>
    </row>
    <row r="10" spans="1:16" ht="116.25" customHeight="1" x14ac:dyDescent="0.25">
      <c r="A10" s="10"/>
      <c r="B10" s="10"/>
      <c r="C10" s="10"/>
      <c r="D10" s="394" t="s">
        <v>127</v>
      </c>
      <c r="E10" s="395"/>
      <c r="F10" s="395"/>
      <c r="G10" s="395"/>
      <c r="H10" s="395"/>
      <c r="I10" s="395"/>
      <c r="J10" s="395"/>
      <c r="K10" s="395"/>
      <c r="L10" s="395"/>
      <c r="M10" s="395"/>
      <c r="N10" s="33"/>
      <c r="O10" s="10"/>
      <c r="P10" s="10"/>
    </row>
    <row r="11" spans="1:16" ht="7.95" customHeight="1" x14ac:dyDescent="0.25">
      <c r="A11" s="10"/>
      <c r="B11" s="10"/>
      <c r="C11" s="10"/>
      <c r="D11" s="10"/>
      <c r="E11" s="10"/>
      <c r="F11" s="10"/>
      <c r="G11" s="10"/>
      <c r="H11" s="10"/>
      <c r="I11" s="10"/>
      <c r="J11" s="10"/>
      <c r="K11" s="10"/>
      <c r="L11" s="10"/>
      <c r="M11" s="10"/>
      <c r="N11" s="10"/>
      <c r="O11" s="10"/>
      <c r="P11" s="10"/>
    </row>
    <row r="12" spans="1:16" ht="49.2" customHeight="1" x14ac:dyDescent="0.25">
      <c r="A12" s="10"/>
      <c r="B12" s="32"/>
      <c r="C12" s="31"/>
      <c r="D12" s="386" t="s">
        <v>4</v>
      </c>
      <c r="E12" s="386"/>
      <c r="F12" s="386"/>
      <c r="G12" s="386"/>
      <c r="H12" s="386"/>
      <c r="I12" s="386"/>
      <c r="J12" s="386"/>
      <c r="K12" s="386"/>
      <c r="L12" s="386"/>
      <c r="M12" s="386"/>
      <c r="N12" s="312"/>
      <c r="O12" s="31"/>
      <c r="P12" s="10"/>
    </row>
    <row r="13" spans="1:16" ht="4.95" customHeight="1" x14ac:dyDescent="0.25">
      <c r="A13" s="10"/>
      <c r="B13" s="10"/>
      <c r="C13" s="10"/>
      <c r="D13" s="10"/>
      <c r="E13" s="10"/>
      <c r="F13" s="10"/>
      <c r="G13" s="10"/>
      <c r="H13" s="10"/>
      <c r="I13" s="10"/>
      <c r="J13" s="10"/>
      <c r="K13" s="10"/>
      <c r="L13" s="10"/>
      <c r="M13" s="10"/>
      <c r="N13" s="10"/>
      <c r="O13" s="10"/>
      <c r="P13" s="10"/>
    </row>
    <row r="14" spans="1:16" ht="28.95" customHeight="1" x14ac:dyDescent="0.25">
      <c r="A14" s="10"/>
      <c r="B14" s="10"/>
      <c r="C14" s="30"/>
      <c r="D14" s="385" t="s">
        <v>5</v>
      </c>
      <c r="E14" s="385"/>
      <c r="F14" s="385"/>
      <c r="G14" s="385"/>
      <c r="H14" s="385"/>
      <c r="I14" s="385"/>
      <c r="J14" s="385"/>
      <c r="K14" s="385"/>
      <c r="L14" s="385"/>
      <c r="M14" s="385"/>
      <c r="N14" s="314"/>
      <c r="O14" s="10"/>
      <c r="P14" s="10"/>
    </row>
    <row r="15" spans="1:16" ht="7.95" customHeight="1" x14ac:dyDescent="0.25">
      <c r="A15" s="10"/>
      <c r="B15" s="10"/>
      <c r="O15" s="10"/>
      <c r="P15" s="10"/>
    </row>
    <row r="16" spans="1:16" ht="15.45" customHeight="1" x14ac:dyDescent="0.25">
      <c r="A16" s="10"/>
      <c r="B16" s="10"/>
      <c r="D16" s="29"/>
      <c r="E16" s="389" t="s">
        <v>6</v>
      </c>
      <c r="F16" s="389"/>
      <c r="G16" s="389"/>
      <c r="H16" s="389"/>
      <c r="I16" s="389"/>
      <c r="J16" s="389"/>
      <c r="K16" s="389"/>
      <c r="L16" s="389"/>
      <c r="M16" s="389"/>
      <c r="N16" s="315"/>
      <c r="O16" s="10"/>
      <c r="P16" s="10"/>
    </row>
    <row r="17" spans="1:16" ht="13.2" customHeight="1" x14ac:dyDescent="0.25">
      <c r="A17" s="10"/>
      <c r="B17" s="10"/>
      <c r="D17" s="27"/>
      <c r="E17" s="389"/>
      <c r="F17" s="389"/>
      <c r="G17" s="389"/>
      <c r="H17" s="389"/>
      <c r="I17" s="389"/>
      <c r="J17" s="389"/>
      <c r="K17" s="389"/>
      <c r="L17" s="389"/>
      <c r="M17" s="389"/>
      <c r="N17" s="315"/>
      <c r="O17" s="10"/>
      <c r="P17" s="10"/>
    </row>
    <row r="18" spans="1:16" ht="19.95" customHeight="1" x14ac:dyDescent="0.25">
      <c r="A18" s="10"/>
      <c r="B18" s="10"/>
      <c r="D18" s="27"/>
      <c r="E18" s="389"/>
      <c r="F18" s="389"/>
      <c r="G18" s="389"/>
      <c r="H18" s="389"/>
      <c r="I18" s="389"/>
      <c r="J18" s="389"/>
      <c r="K18" s="389"/>
      <c r="L18" s="389"/>
      <c r="M18" s="389"/>
      <c r="N18" s="315"/>
      <c r="O18" s="10"/>
      <c r="P18" s="10"/>
    </row>
    <row r="19" spans="1:16" ht="6" customHeight="1" x14ac:dyDescent="0.25">
      <c r="A19" s="10"/>
      <c r="B19" s="10"/>
      <c r="D19" s="27"/>
      <c r="E19" s="27"/>
      <c r="F19" s="20"/>
      <c r="G19" s="20"/>
      <c r="H19" s="20"/>
      <c r="I19" s="20"/>
      <c r="J19" s="20"/>
      <c r="K19" s="20"/>
      <c r="L19" s="20"/>
      <c r="M19" s="20"/>
      <c r="O19" s="10"/>
      <c r="P19" s="10"/>
    </row>
    <row r="20" spans="1:16" ht="15.45" customHeight="1" x14ac:dyDescent="0.25">
      <c r="A20" s="10"/>
      <c r="B20" s="10"/>
      <c r="D20" s="28"/>
      <c r="E20" s="389" t="s">
        <v>7</v>
      </c>
      <c r="F20" s="389"/>
      <c r="G20" s="389"/>
      <c r="H20" s="389"/>
      <c r="I20" s="389"/>
      <c r="J20" s="389"/>
      <c r="K20" s="389"/>
      <c r="L20" s="389"/>
      <c r="M20" s="389"/>
      <c r="N20" s="23"/>
      <c r="O20" s="10"/>
      <c r="P20" s="10"/>
    </row>
    <row r="21" spans="1:16" ht="16.95" customHeight="1" x14ac:dyDescent="0.25">
      <c r="A21" s="10"/>
      <c r="B21" s="10"/>
      <c r="D21" s="27"/>
      <c r="E21" s="389"/>
      <c r="F21" s="389"/>
      <c r="G21" s="389"/>
      <c r="H21" s="389"/>
      <c r="I21" s="389"/>
      <c r="J21" s="389"/>
      <c r="K21" s="389"/>
      <c r="L21" s="389"/>
      <c r="M21" s="389"/>
      <c r="N21" s="23"/>
      <c r="O21" s="10"/>
      <c r="P21" s="10"/>
    </row>
    <row r="22" spans="1:16" ht="6" customHeight="1" x14ac:dyDescent="0.25">
      <c r="A22" s="10"/>
      <c r="B22" s="10"/>
      <c r="D22" s="27"/>
      <c r="E22" s="27"/>
      <c r="F22" s="20"/>
      <c r="G22" s="20"/>
      <c r="H22" s="20"/>
      <c r="I22" s="20"/>
      <c r="J22" s="20"/>
      <c r="K22" s="20"/>
      <c r="L22" s="20"/>
      <c r="M22" s="20"/>
      <c r="O22" s="10"/>
      <c r="P22" s="10"/>
    </row>
    <row r="23" spans="1:16" x14ac:dyDescent="0.25">
      <c r="A23" s="10"/>
      <c r="B23" s="10"/>
      <c r="D23" s="26"/>
      <c r="E23" s="387" t="s">
        <v>8</v>
      </c>
      <c r="F23" s="388"/>
      <c r="G23" s="388"/>
      <c r="H23" s="388"/>
      <c r="I23" s="388"/>
      <c r="J23" s="388"/>
      <c r="K23" s="388"/>
      <c r="L23" s="388"/>
      <c r="M23" s="388"/>
      <c r="N23" s="23"/>
      <c r="O23" s="10"/>
      <c r="P23" s="10"/>
    </row>
    <row r="24" spans="1:16" ht="10.199999999999999" customHeight="1" x14ac:dyDescent="0.25">
      <c r="A24" s="10"/>
      <c r="B24" s="10"/>
      <c r="D24" s="20"/>
      <c r="E24" s="20"/>
      <c r="F24" s="20"/>
      <c r="G24" s="20"/>
      <c r="H24" s="20"/>
      <c r="I24" s="20"/>
      <c r="J24" s="20"/>
      <c r="K24" s="20"/>
      <c r="L24" s="20"/>
      <c r="M24" s="20"/>
      <c r="O24" s="10"/>
      <c r="P24" s="10"/>
    </row>
    <row r="25" spans="1:16" ht="75" customHeight="1" x14ac:dyDescent="0.25">
      <c r="A25" s="10"/>
      <c r="B25" s="10"/>
      <c r="D25" s="368" t="s">
        <v>9</v>
      </c>
      <c r="E25" s="368"/>
      <c r="F25" s="368"/>
      <c r="G25" s="369" t="s">
        <v>143</v>
      </c>
      <c r="H25" s="369"/>
      <c r="I25" s="369"/>
      <c r="J25" s="369"/>
      <c r="K25" s="369"/>
      <c r="L25" s="369"/>
      <c r="M25" s="369"/>
      <c r="N25" s="23"/>
      <c r="O25" s="10"/>
      <c r="P25" s="10"/>
    </row>
    <row r="26" spans="1:16" ht="7.95" customHeight="1" x14ac:dyDescent="0.25">
      <c r="A26" s="10"/>
      <c r="B26" s="10"/>
      <c r="D26" s="20"/>
      <c r="E26" s="20"/>
      <c r="F26" s="20"/>
      <c r="G26" s="20"/>
      <c r="H26" s="20"/>
      <c r="I26" s="20"/>
      <c r="J26" s="20"/>
      <c r="K26" s="20"/>
      <c r="L26" s="20"/>
      <c r="M26" s="20"/>
      <c r="O26" s="10"/>
      <c r="P26" s="10"/>
    </row>
    <row r="27" spans="1:16" ht="132" customHeight="1" x14ac:dyDescent="0.25">
      <c r="A27" s="10"/>
      <c r="B27" s="10"/>
      <c r="D27" s="368" t="s">
        <v>10</v>
      </c>
      <c r="E27" s="368"/>
      <c r="F27" s="368"/>
      <c r="G27" s="369" t="s">
        <v>144</v>
      </c>
      <c r="H27" s="369"/>
      <c r="I27" s="369"/>
      <c r="J27" s="369"/>
      <c r="K27" s="369"/>
      <c r="L27" s="369"/>
      <c r="M27" s="369"/>
      <c r="N27" s="23"/>
      <c r="O27" s="10"/>
      <c r="P27" s="10"/>
    </row>
    <row r="28" spans="1:16" ht="24.45" customHeight="1" x14ac:dyDescent="0.25">
      <c r="A28" s="10"/>
      <c r="B28" s="10"/>
      <c r="D28" s="376" t="s">
        <v>11</v>
      </c>
      <c r="E28" s="377"/>
      <c r="F28" s="377"/>
      <c r="G28" s="377"/>
      <c r="H28" s="377"/>
      <c r="I28" s="377"/>
      <c r="J28" s="377"/>
      <c r="K28" s="377"/>
      <c r="L28" s="377"/>
      <c r="M28" s="378"/>
      <c r="N28" s="25"/>
      <c r="O28" s="10"/>
      <c r="P28" s="10"/>
    </row>
    <row r="29" spans="1:16" ht="19.2" customHeight="1" x14ac:dyDescent="0.25">
      <c r="A29" s="10"/>
      <c r="B29" s="10"/>
      <c r="D29" s="374" t="s">
        <v>12</v>
      </c>
      <c r="E29" s="375"/>
      <c r="F29" s="375"/>
      <c r="G29" s="379" t="s">
        <v>13</v>
      </c>
      <c r="H29" s="379"/>
      <c r="I29" s="379"/>
      <c r="J29" s="379"/>
      <c r="K29" s="379"/>
      <c r="L29" s="379"/>
      <c r="M29" s="380"/>
      <c r="N29" s="25"/>
      <c r="O29" s="10"/>
      <c r="P29" s="10"/>
    </row>
    <row r="30" spans="1:16" ht="21.45" customHeight="1" x14ac:dyDescent="0.25">
      <c r="A30" s="10"/>
      <c r="B30" s="10"/>
      <c r="D30" s="374"/>
      <c r="E30" s="375"/>
      <c r="F30" s="375"/>
      <c r="G30" s="379" t="s">
        <v>14</v>
      </c>
      <c r="H30" s="379"/>
      <c r="I30" s="379"/>
      <c r="J30" s="379"/>
      <c r="K30" s="379"/>
      <c r="L30" s="379"/>
      <c r="M30" s="380"/>
      <c r="N30" s="24"/>
      <c r="O30" s="10"/>
      <c r="P30" s="10"/>
    </row>
    <row r="31" spans="1:16" ht="27.45" customHeight="1" x14ac:dyDescent="0.25">
      <c r="A31" s="10"/>
      <c r="B31" s="10"/>
      <c r="D31" s="374" t="s">
        <v>15</v>
      </c>
      <c r="E31" s="375"/>
      <c r="F31" s="375"/>
      <c r="G31" s="381" t="s">
        <v>16</v>
      </c>
      <c r="H31" s="381"/>
      <c r="I31" s="381"/>
      <c r="J31" s="381"/>
      <c r="K31" s="381"/>
      <c r="L31" s="381"/>
      <c r="M31" s="382"/>
      <c r="N31" s="23"/>
      <c r="O31" s="10"/>
      <c r="P31" s="10"/>
    </row>
    <row r="32" spans="1:16" ht="29.7" customHeight="1" x14ac:dyDescent="0.25">
      <c r="A32" s="10"/>
      <c r="B32" s="10"/>
      <c r="D32" s="351" t="s">
        <v>17</v>
      </c>
      <c r="E32" s="352"/>
      <c r="F32" s="352"/>
      <c r="G32" s="383" t="s">
        <v>18</v>
      </c>
      <c r="H32" s="383"/>
      <c r="I32" s="383"/>
      <c r="J32" s="383"/>
      <c r="K32" s="383"/>
      <c r="L32" s="383"/>
      <c r="M32" s="384"/>
      <c r="N32" s="23"/>
      <c r="O32" s="10"/>
      <c r="P32" s="10"/>
    </row>
    <row r="33" spans="1:16" ht="7.95" customHeight="1" x14ac:dyDescent="0.25">
      <c r="A33" s="10"/>
      <c r="B33" s="10"/>
      <c r="D33" s="20"/>
      <c r="E33" s="20"/>
      <c r="F33" s="20"/>
      <c r="G33" s="20"/>
      <c r="H33" s="20"/>
      <c r="I33" s="20"/>
      <c r="J33" s="20"/>
      <c r="K33" s="20"/>
      <c r="L33" s="20"/>
      <c r="M33" s="20"/>
      <c r="O33" s="10"/>
      <c r="P33" s="10"/>
    </row>
    <row r="34" spans="1:16" ht="157.19999999999999" customHeight="1" x14ac:dyDescent="0.25">
      <c r="A34" s="10"/>
      <c r="B34" s="10"/>
      <c r="D34" s="370" t="s">
        <v>19</v>
      </c>
      <c r="E34" s="370"/>
      <c r="F34" s="370"/>
      <c r="G34" s="371" t="s">
        <v>145</v>
      </c>
      <c r="H34" s="372"/>
      <c r="I34" s="372"/>
      <c r="J34" s="372"/>
      <c r="K34" s="372"/>
      <c r="L34" s="372"/>
      <c r="M34" s="373"/>
      <c r="N34" s="23"/>
      <c r="O34" s="10"/>
      <c r="P34" s="10"/>
    </row>
    <row r="35" spans="1:16" ht="18" customHeight="1" x14ac:dyDescent="0.25">
      <c r="A35" s="10"/>
      <c r="B35" s="10"/>
      <c r="D35" s="365" t="s">
        <v>11</v>
      </c>
      <c r="E35" s="366"/>
      <c r="F35" s="366"/>
      <c r="G35" s="366"/>
      <c r="H35" s="366"/>
      <c r="I35" s="366"/>
      <c r="J35" s="366"/>
      <c r="K35" s="366"/>
      <c r="L35" s="366"/>
      <c r="M35" s="367"/>
      <c r="N35" s="22"/>
      <c r="O35" s="10"/>
      <c r="P35" s="10"/>
    </row>
    <row r="36" spans="1:16" ht="52.8" customHeight="1" x14ac:dyDescent="0.25">
      <c r="A36" s="10"/>
      <c r="B36" s="10"/>
      <c r="D36" s="351" t="s">
        <v>20</v>
      </c>
      <c r="E36" s="352"/>
      <c r="F36" s="352"/>
      <c r="G36" s="515" t="s">
        <v>21</v>
      </c>
      <c r="H36" s="515"/>
      <c r="I36" s="515"/>
      <c r="J36" s="515"/>
      <c r="K36" s="515"/>
      <c r="L36" s="515"/>
      <c r="M36" s="516"/>
      <c r="N36" s="21"/>
      <c r="O36" s="10"/>
      <c r="P36" s="10"/>
    </row>
    <row r="37" spans="1:16" ht="7.95" customHeight="1" x14ac:dyDescent="0.25">
      <c r="A37" s="10"/>
      <c r="B37" s="10"/>
      <c r="D37" s="20"/>
      <c r="E37" s="20"/>
      <c r="F37" s="20"/>
      <c r="G37" s="20"/>
      <c r="H37" s="20"/>
      <c r="I37" s="20"/>
      <c r="J37" s="20"/>
      <c r="K37" s="20"/>
      <c r="L37" s="20"/>
      <c r="M37" s="20"/>
      <c r="O37" s="10"/>
      <c r="P37" s="10"/>
    </row>
    <row r="38" spans="1:16" ht="25.2" customHeight="1" x14ac:dyDescent="0.4">
      <c r="A38" s="10"/>
      <c r="B38" s="10"/>
      <c r="D38" s="357" t="s">
        <v>22</v>
      </c>
      <c r="E38" s="358"/>
      <c r="F38" s="358"/>
      <c r="G38" s="358"/>
      <c r="H38" s="358"/>
      <c r="I38" s="358"/>
      <c r="J38" s="358"/>
      <c r="K38" s="358"/>
      <c r="L38" s="358"/>
      <c r="M38" s="359"/>
      <c r="N38" s="12"/>
      <c r="O38" s="10"/>
      <c r="P38" s="10"/>
    </row>
    <row r="39" spans="1:16" ht="7.95" customHeight="1" x14ac:dyDescent="0.25">
      <c r="A39" s="10"/>
      <c r="B39" s="10"/>
      <c r="D39" s="20"/>
      <c r="E39" s="20"/>
      <c r="F39" s="20"/>
      <c r="G39" s="20"/>
      <c r="H39" s="20"/>
      <c r="I39" s="20"/>
      <c r="J39" s="20"/>
      <c r="K39" s="20"/>
      <c r="L39" s="20"/>
      <c r="M39" s="20"/>
      <c r="O39" s="10"/>
      <c r="P39" s="10"/>
    </row>
    <row r="40" spans="1:16" ht="87.45" customHeight="1" x14ac:dyDescent="0.25">
      <c r="A40" s="10"/>
      <c r="B40" s="10"/>
      <c r="D40" s="360" t="s">
        <v>23</v>
      </c>
      <c r="E40" s="361"/>
      <c r="F40" s="361"/>
      <c r="G40" s="361"/>
      <c r="H40" s="361"/>
      <c r="I40" s="361"/>
      <c r="J40" s="361"/>
      <c r="K40" s="361"/>
      <c r="L40" s="361"/>
      <c r="M40" s="362"/>
      <c r="N40" s="15"/>
      <c r="O40" s="10"/>
      <c r="P40" s="10"/>
    </row>
    <row r="41" spans="1:16" ht="7.95" customHeight="1" x14ac:dyDescent="0.25">
      <c r="A41" s="10"/>
      <c r="B41" s="10"/>
      <c r="O41" s="10"/>
      <c r="P41" s="10"/>
    </row>
    <row r="42" spans="1:16" ht="34.200000000000003" customHeight="1" x14ac:dyDescent="0.4">
      <c r="A42" s="10"/>
      <c r="B42" s="10"/>
      <c r="C42" s="19"/>
      <c r="D42" s="354" t="s">
        <v>146</v>
      </c>
      <c r="E42" s="354"/>
      <c r="F42" s="354"/>
      <c r="G42" s="354"/>
      <c r="H42" s="354"/>
      <c r="I42" s="354"/>
      <c r="J42" s="354"/>
      <c r="K42" s="354"/>
      <c r="L42" s="354"/>
      <c r="M42" s="354"/>
      <c r="N42" s="18"/>
      <c r="O42" s="10"/>
      <c r="P42" s="10"/>
    </row>
    <row r="43" spans="1:16" ht="7.95" customHeight="1" x14ac:dyDescent="0.25">
      <c r="A43" s="10"/>
      <c r="B43" s="10"/>
      <c r="O43" s="10"/>
      <c r="P43" s="10"/>
    </row>
    <row r="44" spans="1:16" ht="96.45" customHeight="1" x14ac:dyDescent="0.25">
      <c r="A44" s="10"/>
      <c r="B44" s="10"/>
      <c r="D44" s="363" t="s">
        <v>147</v>
      </c>
      <c r="E44" s="363"/>
      <c r="F44" s="363"/>
      <c r="G44" s="363"/>
      <c r="H44" s="363"/>
      <c r="I44" s="363"/>
      <c r="J44" s="363"/>
      <c r="K44" s="363"/>
      <c r="L44" s="363"/>
      <c r="M44" s="363"/>
      <c r="N44" s="15"/>
      <c r="O44" s="10"/>
      <c r="P44" s="10"/>
    </row>
    <row r="45" spans="1:16" ht="7.95" customHeight="1" x14ac:dyDescent="0.25">
      <c r="A45" s="10"/>
      <c r="B45" s="10"/>
      <c r="O45" s="10"/>
      <c r="P45" s="10"/>
    </row>
    <row r="46" spans="1:16" ht="34.950000000000003" customHeight="1" x14ac:dyDescent="0.3">
      <c r="A46" s="10"/>
      <c r="B46" s="10"/>
      <c r="C46" s="17"/>
      <c r="D46" s="355" t="s">
        <v>24</v>
      </c>
      <c r="E46" s="355"/>
      <c r="F46" s="355"/>
      <c r="G46" s="355"/>
      <c r="H46" s="355"/>
      <c r="I46" s="355"/>
      <c r="J46" s="355"/>
      <c r="K46" s="355"/>
      <c r="L46" s="355"/>
      <c r="M46" s="355"/>
      <c r="N46" s="16"/>
      <c r="O46" s="10"/>
      <c r="P46" s="10"/>
    </row>
    <row r="47" spans="1:16" ht="7.95" customHeight="1" x14ac:dyDescent="0.3">
      <c r="A47" s="10"/>
      <c r="B47" s="10"/>
      <c r="D47" s="12"/>
      <c r="E47" s="12"/>
      <c r="F47" s="12"/>
      <c r="G47" s="12"/>
      <c r="H47" s="12"/>
      <c r="I47" s="12"/>
      <c r="J47" s="12"/>
      <c r="K47" s="12"/>
      <c r="L47" s="12"/>
      <c r="M47" s="12"/>
      <c r="N47" s="12"/>
      <c r="O47" s="10"/>
      <c r="P47" s="10"/>
    </row>
    <row r="48" spans="1:16" ht="106.95" customHeight="1" x14ac:dyDescent="0.25">
      <c r="A48" s="10"/>
      <c r="B48" s="10"/>
      <c r="D48" s="364" t="s">
        <v>148</v>
      </c>
      <c r="E48" s="364"/>
      <c r="F48" s="364"/>
      <c r="G48" s="364"/>
      <c r="H48" s="364"/>
      <c r="I48" s="364"/>
      <c r="J48" s="364"/>
      <c r="K48" s="364"/>
      <c r="L48" s="364"/>
      <c r="M48" s="364"/>
      <c r="N48" s="15"/>
      <c r="O48" s="10"/>
      <c r="P48" s="10"/>
    </row>
    <row r="49" spans="1:16" ht="7.95" customHeight="1" x14ac:dyDescent="0.3">
      <c r="A49" s="10"/>
      <c r="B49" s="10"/>
      <c r="D49" s="12"/>
      <c r="E49" s="12"/>
      <c r="F49" s="12"/>
      <c r="G49" s="12"/>
      <c r="H49" s="12"/>
      <c r="I49" s="12"/>
      <c r="J49" s="12"/>
      <c r="K49" s="12"/>
      <c r="L49" s="12"/>
      <c r="M49" s="12"/>
      <c r="N49" s="12"/>
      <c r="O49" s="10"/>
      <c r="P49" s="10"/>
    </row>
    <row r="50" spans="1:16" ht="25.2" customHeight="1" x14ac:dyDescent="0.3">
      <c r="A50" s="10"/>
      <c r="B50" s="10"/>
      <c r="C50" s="14"/>
      <c r="D50" s="356" t="s">
        <v>25</v>
      </c>
      <c r="E50" s="356"/>
      <c r="F50" s="356"/>
      <c r="G50" s="356"/>
      <c r="H50" s="356"/>
      <c r="I50" s="356"/>
      <c r="J50" s="356"/>
      <c r="K50" s="356"/>
      <c r="L50" s="356"/>
      <c r="M50" s="356"/>
      <c r="N50" s="13"/>
      <c r="O50" s="10"/>
      <c r="P50" s="10"/>
    </row>
    <row r="51" spans="1:16" ht="7.95" customHeight="1" x14ac:dyDescent="0.3">
      <c r="A51" s="10"/>
      <c r="B51" s="10"/>
      <c r="D51" s="12"/>
      <c r="E51" s="12"/>
      <c r="F51" s="12"/>
      <c r="G51" s="12"/>
      <c r="H51" s="12"/>
      <c r="I51" s="12"/>
      <c r="J51" s="12"/>
      <c r="K51" s="12"/>
      <c r="L51" s="12"/>
      <c r="M51" s="12"/>
      <c r="N51" s="12"/>
      <c r="O51" s="10"/>
      <c r="P51" s="10"/>
    </row>
    <row r="52" spans="1:16" ht="250.95" customHeight="1" x14ac:dyDescent="0.25">
      <c r="A52" s="10"/>
      <c r="B52" s="10"/>
      <c r="D52" s="353" t="s">
        <v>149</v>
      </c>
      <c r="E52" s="353"/>
      <c r="F52" s="353"/>
      <c r="G52" s="353"/>
      <c r="H52" s="353"/>
      <c r="I52" s="353"/>
      <c r="J52" s="353"/>
      <c r="K52" s="353"/>
      <c r="L52" s="353"/>
      <c r="M52" s="353"/>
      <c r="N52" s="11"/>
      <c r="O52" s="10"/>
      <c r="P52" s="10"/>
    </row>
    <row r="53" spans="1:16" ht="7.95" customHeight="1" x14ac:dyDescent="0.25">
      <c r="A53" s="10"/>
      <c r="B53" s="10"/>
      <c r="C53" s="10"/>
      <c r="D53" s="10"/>
      <c r="E53" s="10"/>
      <c r="F53" s="10"/>
      <c r="G53" s="10"/>
      <c r="H53" s="10"/>
      <c r="I53" s="10"/>
      <c r="J53" s="10"/>
      <c r="K53" s="10"/>
      <c r="L53" s="10"/>
      <c r="M53" s="10"/>
      <c r="N53" s="10"/>
      <c r="O53" s="10"/>
      <c r="P53" s="10"/>
    </row>
    <row r="55" spans="1:16" x14ac:dyDescent="0.25">
      <c r="D55" s="5"/>
    </row>
    <row r="56" spans="1:16" x14ac:dyDescent="0.25">
      <c r="D56" s="5"/>
    </row>
    <row r="57" spans="1:16" x14ac:dyDescent="0.25">
      <c r="D57" s="5"/>
    </row>
    <row r="58" spans="1:16" x14ac:dyDescent="0.25">
      <c r="D58" s="5"/>
    </row>
  </sheetData>
  <sheetProtection algorithmName="SHA-512" hashValue="9F+6U+V5khF8z1X5ufCEaC4ebBkz8m4+AVg2pd0aES/jFv7gD2YWOqKFPhJUa3Pwm23jgoOiWVqOpRjP3AqRfQ==" saltValue="UoQyuJgyXN6O75wYmt33pg==" spinCount="100000" sheet="1" objects="1" scenarios="1"/>
  <mergeCells count="37">
    <mergeCell ref="E2:L2"/>
    <mergeCell ref="E3:L3"/>
    <mergeCell ref="D12:M12"/>
    <mergeCell ref="D8:M8"/>
    <mergeCell ref="D10:M10"/>
    <mergeCell ref="M3:N3"/>
    <mergeCell ref="C4:M4"/>
    <mergeCell ref="D14:M14"/>
    <mergeCell ref="D6:M6"/>
    <mergeCell ref="E23:M23"/>
    <mergeCell ref="E16:M18"/>
    <mergeCell ref="E20:M21"/>
    <mergeCell ref="D35:M35"/>
    <mergeCell ref="D25:F25"/>
    <mergeCell ref="G25:M25"/>
    <mergeCell ref="D27:F27"/>
    <mergeCell ref="G27:M27"/>
    <mergeCell ref="D34:F34"/>
    <mergeCell ref="G34:M34"/>
    <mergeCell ref="D31:F31"/>
    <mergeCell ref="D32:F32"/>
    <mergeCell ref="D28:M28"/>
    <mergeCell ref="G30:M30"/>
    <mergeCell ref="G31:M31"/>
    <mergeCell ref="G32:M32"/>
    <mergeCell ref="G29:M29"/>
    <mergeCell ref="D29:F30"/>
    <mergeCell ref="D36:F36"/>
    <mergeCell ref="G36:M36"/>
    <mergeCell ref="D52:M52"/>
    <mergeCell ref="D42:M42"/>
    <mergeCell ref="D46:M46"/>
    <mergeCell ref="D50:M50"/>
    <mergeCell ref="D38:M38"/>
    <mergeCell ref="D40:M40"/>
    <mergeCell ref="D44:M44"/>
    <mergeCell ref="D48:M48"/>
  </mergeCells>
  <hyperlinks>
    <hyperlink ref="G32" r:id="rId1" xr:uid="{F103155F-0ECD-42B8-BDF2-276001A1689B}"/>
    <hyperlink ref="G36:M36" r:id="rId2" display="Immunization Delivery Cost Catalogue" xr:uid="{0FC6E934-9AFB-46EB-A28E-9A236A6521A7}"/>
    <hyperlink ref="G31" r:id="rId3" xr:uid="{87471D11-F6F7-4195-8440-65361C4D0DA4}"/>
    <hyperlink ref="G29:M29" r:id="rId4" display="WHO MI4A Vaccine Purchase Database" xr:uid="{39B4F633-AF43-43C9-9922-AB6330EF2E03}"/>
    <hyperlink ref="G30:M30" r:id="rId5" display="UNICEF Human Papilloma Virus (HPV) vaccine price data" xr:uid="{E66FDE4F-CFDC-45E7-A5A0-94578B583329}"/>
  </hyperlinks>
  <pageMargins left="0.25" right="0.25" top="0.75" bottom="0.75" header="0.3" footer="0.3"/>
  <pageSetup paperSize="9" scale="70" orientation="portrait" r:id="rId6"/>
  <rowBreaks count="1" manualBreakCount="1">
    <brk id="49" max="16383" man="1"/>
  </rowBreaks>
  <colBreaks count="1" manualBreakCount="1">
    <brk id="16" max="1048575" man="1"/>
  </col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E85B-7571-444F-8D86-B2E3CE3A231D}">
  <sheetPr codeName="Sheet2">
    <tabColor theme="4" tint="-0.249977111117893"/>
  </sheetPr>
  <dimension ref="A1:S152"/>
  <sheetViews>
    <sheetView zoomScaleNormal="100" workbookViewId="0"/>
  </sheetViews>
  <sheetFormatPr defaultColWidth="8.77734375" defaultRowHeight="13.8" outlineLevelRow="1" x14ac:dyDescent="0.3"/>
  <cols>
    <col min="1" max="1" width="1.21875" style="41" customWidth="1"/>
    <col min="2" max="3" width="1.77734375" style="41" customWidth="1"/>
    <col min="4" max="4" width="3.21875" style="41" customWidth="1"/>
    <col min="5" max="5" width="4" style="41" customWidth="1"/>
    <col min="6" max="6" width="43.44140625" style="41" customWidth="1"/>
    <col min="7" max="9" width="8.44140625" style="41" customWidth="1"/>
    <col min="10" max="10" width="1.44140625" style="41" customWidth="1"/>
    <col min="11" max="11" width="22.77734375" style="41" customWidth="1"/>
    <col min="12" max="12" width="1.44140625" style="41" customWidth="1"/>
    <col min="13" max="13" width="22.77734375" style="41" customWidth="1"/>
    <col min="14" max="14" width="2.21875" style="41" customWidth="1"/>
    <col min="15" max="15" width="22.77734375" style="41" customWidth="1"/>
    <col min="16" max="17" width="4.44140625" style="41" customWidth="1"/>
    <col min="18" max="18" width="4.77734375" style="41" customWidth="1"/>
    <col min="19" max="16384" width="8.77734375" style="41"/>
  </cols>
  <sheetData>
    <row r="1" spans="1:18" ht="7.95" customHeight="1" x14ac:dyDescent="0.3">
      <c r="B1" s="334"/>
      <c r="C1" s="334"/>
      <c r="D1" s="334"/>
      <c r="E1" s="334"/>
      <c r="F1" s="334"/>
      <c r="G1" s="334"/>
      <c r="H1" s="334"/>
      <c r="I1" s="334"/>
      <c r="J1" s="334"/>
      <c r="K1" s="334"/>
      <c r="L1" s="334"/>
      <c r="M1" s="334"/>
      <c r="N1" s="334"/>
      <c r="O1" s="334"/>
      <c r="P1" s="334"/>
      <c r="Q1" s="334"/>
    </row>
    <row r="2" spans="1:18" ht="19.2" customHeight="1" x14ac:dyDescent="0.3">
      <c r="B2" s="398" t="s">
        <v>26</v>
      </c>
      <c r="C2" s="398"/>
      <c r="D2" s="398"/>
      <c r="E2" s="398"/>
      <c r="F2" s="398"/>
      <c r="G2" s="398"/>
      <c r="H2" s="398"/>
      <c r="I2" s="398"/>
      <c r="J2" s="398"/>
      <c r="K2" s="398"/>
      <c r="L2" s="398"/>
      <c r="M2" s="398"/>
      <c r="N2" s="398"/>
      <c r="O2" s="398"/>
      <c r="P2" s="398"/>
      <c r="Q2" s="398"/>
    </row>
    <row r="3" spans="1:18" ht="14.7" customHeight="1" x14ac:dyDescent="0.3">
      <c r="A3" s="155"/>
      <c r="B3" s="154"/>
      <c r="C3" s="154"/>
      <c r="D3" s="154"/>
      <c r="E3" s="46"/>
      <c r="F3" s="46"/>
      <c r="G3" s="46"/>
      <c r="H3" s="46"/>
      <c r="I3" s="46"/>
      <c r="J3" s="46"/>
      <c r="K3" s="46"/>
      <c r="L3" s="46"/>
      <c r="M3" s="46"/>
      <c r="N3" s="46"/>
      <c r="O3" s="153"/>
      <c r="P3" s="153"/>
      <c r="Q3" s="46"/>
      <c r="R3" s="152"/>
    </row>
    <row r="4" spans="1:18" ht="60" customHeight="1" x14ac:dyDescent="0.3">
      <c r="B4" s="46"/>
      <c r="C4" s="151"/>
      <c r="D4" s="151"/>
      <c r="E4" s="151"/>
      <c r="F4" s="461" t="s">
        <v>5</v>
      </c>
      <c r="G4" s="461"/>
      <c r="H4" s="461"/>
      <c r="I4" s="461"/>
      <c r="J4" s="461"/>
      <c r="K4" s="461"/>
      <c r="L4" s="461"/>
      <c r="M4" s="461"/>
      <c r="N4" s="461"/>
      <c r="O4" s="461"/>
      <c r="P4" s="150"/>
      <c r="Q4" s="148"/>
      <c r="R4" s="147"/>
    </row>
    <row r="5" spans="1:18" ht="7.95" customHeight="1" x14ac:dyDescent="0.3">
      <c r="B5" s="46"/>
      <c r="C5" s="46"/>
      <c r="D5" s="46"/>
      <c r="E5" s="46"/>
      <c r="F5" s="149"/>
      <c r="G5" s="148"/>
      <c r="H5" s="148"/>
      <c r="I5" s="148"/>
      <c r="J5" s="148"/>
      <c r="K5" s="46"/>
      <c r="L5" s="148"/>
      <c r="M5" s="46"/>
      <c r="N5" s="46"/>
      <c r="O5" s="46"/>
      <c r="P5" s="46"/>
      <c r="Q5" s="148"/>
      <c r="R5" s="147"/>
    </row>
    <row r="6" spans="1:18" ht="46.2" customHeight="1" x14ac:dyDescent="0.3">
      <c r="B6" s="46"/>
      <c r="C6" s="46"/>
      <c r="D6" s="399" t="s">
        <v>9</v>
      </c>
      <c r="E6" s="399"/>
      <c r="F6" s="399"/>
      <c r="G6" s="399"/>
      <c r="H6" s="399"/>
      <c r="I6" s="399"/>
      <c r="J6" s="399"/>
      <c r="K6" s="399"/>
      <c r="L6" s="399"/>
      <c r="M6" s="399"/>
      <c r="N6" s="399"/>
      <c r="O6" s="399"/>
      <c r="P6" s="77"/>
      <c r="Q6" s="136"/>
      <c r="R6" s="144"/>
    </row>
    <row r="7" spans="1:18" ht="7.95" customHeight="1" x14ac:dyDescent="0.3">
      <c r="B7" s="46"/>
      <c r="C7" s="46"/>
      <c r="D7" s="46"/>
      <c r="E7" s="46"/>
      <c r="F7" s="146"/>
      <c r="G7" s="146"/>
      <c r="H7" s="146"/>
      <c r="I7" s="146"/>
      <c r="J7" s="146"/>
      <c r="K7" s="146"/>
      <c r="L7" s="146"/>
      <c r="M7" s="146"/>
      <c r="N7" s="145"/>
      <c r="O7" s="136"/>
      <c r="P7" s="136"/>
      <c r="Q7" s="136"/>
      <c r="R7" s="144"/>
    </row>
    <row r="8" spans="1:18" ht="42" customHeight="1" x14ac:dyDescent="0.3">
      <c r="B8" s="46"/>
      <c r="C8" s="46"/>
      <c r="D8" s="255"/>
      <c r="E8" s="256"/>
      <c r="F8" s="298" t="s">
        <v>27</v>
      </c>
      <c r="G8" s="449">
        <v>2026</v>
      </c>
      <c r="H8" s="450"/>
      <c r="I8" s="451"/>
      <c r="J8" s="143"/>
      <c r="K8" s="462" t="s">
        <v>28</v>
      </c>
      <c r="L8" s="462"/>
      <c r="M8" s="462"/>
      <c r="N8" s="462"/>
      <c r="O8" s="463"/>
      <c r="P8" s="142"/>
      <c r="Q8" s="136"/>
      <c r="R8" s="141"/>
    </row>
    <row r="9" spans="1:18" ht="42" customHeight="1" x14ac:dyDescent="0.3">
      <c r="B9" s="46"/>
      <c r="C9" s="46"/>
      <c r="D9" s="300"/>
      <c r="E9" s="301"/>
      <c r="F9" s="302" t="s">
        <v>29</v>
      </c>
      <c r="G9" s="452">
        <f>SUM(G10:G13)</f>
        <v>201000.02</v>
      </c>
      <c r="H9" s="453"/>
      <c r="I9" s="454"/>
      <c r="J9" s="296"/>
      <c r="K9" s="455" t="s">
        <v>30</v>
      </c>
      <c r="L9" s="455"/>
      <c r="M9" s="455"/>
      <c r="N9" s="455"/>
      <c r="O9" s="456"/>
      <c r="P9" s="137"/>
      <c r="Q9" s="136"/>
      <c r="R9" s="139"/>
    </row>
    <row r="10" spans="1:18" ht="25.2" customHeight="1" x14ac:dyDescent="0.3">
      <c r="B10" s="46"/>
      <c r="C10" s="46"/>
      <c r="D10" s="46"/>
      <c r="E10" s="299"/>
      <c r="F10" s="293" t="s">
        <v>31</v>
      </c>
      <c r="G10" s="434">
        <v>100000</v>
      </c>
      <c r="H10" s="435"/>
      <c r="I10" s="436"/>
      <c r="J10" s="140"/>
      <c r="K10" s="322" t="s">
        <v>30</v>
      </c>
      <c r="L10" s="322"/>
      <c r="M10" s="322"/>
      <c r="N10" s="322"/>
      <c r="O10" s="323"/>
      <c r="P10" s="137"/>
      <c r="Q10" s="136"/>
      <c r="R10" s="139"/>
    </row>
    <row r="11" spans="1:18" ht="25.2" customHeight="1" x14ac:dyDescent="0.3">
      <c r="B11" s="46"/>
      <c r="C11" s="46"/>
      <c r="D11" s="46"/>
      <c r="E11" s="297"/>
      <c r="F11" s="292" t="s">
        <v>32</v>
      </c>
      <c r="G11" s="434">
        <v>100000</v>
      </c>
      <c r="H11" s="435"/>
      <c r="I11" s="436"/>
      <c r="J11" s="140"/>
      <c r="K11" s="322" t="s">
        <v>30</v>
      </c>
      <c r="L11" s="322"/>
      <c r="M11" s="322"/>
      <c r="N11" s="322"/>
      <c r="O11" s="323"/>
      <c r="P11" s="137"/>
      <c r="Q11" s="136"/>
      <c r="R11" s="139"/>
    </row>
    <row r="12" spans="1:18" ht="25.2" customHeight="1" x14ac:dyDescent="0.3">
      <c r="B12" s="46"/>
      <c r="C12" s="46"/>
      <c r="D12" s="46"/>
      <c r="E12" s="303"/>
      <c r="F12" s="294" t="s">
        <v>33</v>
      </c>
      <c r="G12" s="434">
        <v>1000</v>
      </c>
      <c r="H12" s="435"/>
      <c r="I12" s="436"/>
      <c r="J12" s="140"/>
      <c r="K12" s="322" t="s">
        <v>30</v>
      </c>
      <c r="L12" s="322"/>
      <c r="M12" s="322"/>
      <c r="N12" s="322"/>
      <c r="O12" s="323"/>
      <c r="P12" s="137"/>
      <c r="Q12" s="136"/>
      <c r="R12" s="139"/>
    </row>
    <row r="13" spans="1:18" ht="42" customHeight="1" x14ac:dyDescent="0.3">
      <c r="B13" s="46"/>
      <c r="C13" s="46"/>
      <c r="D13" s="297"/>
      <c r="E13" s="253"/>
      <c r="F13" s="324" t="s">
        <v>34</v>
      </c>
      <c r="G13" s="443">
        <v>0.02</v>
      </c>
      <c r="H13" s="444"/>
      <c r="I13" s="445"/>
      <c r="J13" s="138"/>
      <c r="K13" s="464" t="s">
        <v>35</v>
      </c>
      <c r="L13" s="464"/>
      <c r="M13" s="464"/>
      <c r="N13" s="464"/>
      <c r="O13" s="465"/>
      <c r="P13" s="137"/>
      <c r="Q13" s="136"/>
      <c r="R13" s="135"/>
    </row>
    <row r="14" spans="1:18" ht="38.700000000000003" customHeight="1" x14ac:dyDescent="0.3">
      <c r="B14" s="46"/>
      <c r="C14" s="46"/>
      <c r="D14" s="46"/>
      <c r="E14" s="46"/>
      <c r="F14" s="46"/>
      <c r="G14" s="305" t="s">
        <v>36</v>
      </c>
      <c r="H14" s="305" t="s">
        <v>32</v>
      </c>
      <c r="I14" s="305" t="s">
        <v>37</v>
      </c>
      <c r="J14" s="46"/>
      <c r="K14" s="46"/>
      <c r="L14" s="46"/>
      <c r="M14" s="46"/>
      <c r="N14" s="46"/>
      <c r="O14" s="46"/>
      <c r="P14" s="137"/>
      <c r="Q14" s="136"/>
      <c r="R14" s="135"/>
    </row>
    <row r="15" spans="1:18" ht="67.2" customHeight="1" x14ac:dyDescent="0.3">
      <c r="B15" s="46"/>
      <c r="C15" s="46"/>
      <c r="D15" s="300"/>
      <c r="E15" s="301"/>
      <c r="F15" s="302" t="s">
        <v>133</v>
      </c>
      <c r="G15" s="304">
        <f>SUM(G16,G19,G22)</f>
        <v>1</v>
      </c>
      <c r="H15" s="304">
        <f t="shared" ref="H15:I15" si="0">SUM(H16,H19,H22)</f>
        <v>1</v>
      </c>
      <c r="I15" s="304">
        <f t="shared" si="0"/>
        <v>1</v>
      </c>
      <c r="J15" s="254"/>
      <c r="K15" s="455" t="s">
        <v>38</v>
      </c>
      <c r="L15" s="455"/>
      <c r="M15" s="455"/>
      <c r="N15" s="455"/>
      <c r="O15" s="456"/>
      <c r="P15" s="137"/>
      <c r="Q15" s="136"/>
      <c r="R15" s="135"/>
    </row>
    <row r="16" spans="1:18" ht="42" customHeight="1" x14ac:dyDescent="0.3">
      <c r="B16" s="46"/>
      <c r="C16" s="46"/>
      <c r="D16" s="46"/>
      <c r="E16" s="260"/>
      <c r="F16" s="261" t="s">
        <v>134</v>
      </c>
      <c r="G16" s="263">
        <v>0.7</v>
      </c>
      <c r="H16" s="263">
        <v>0.7</v>
      </c>
      <c r="I16" s="263">
        <v>0.25</v>
      </c>
      <c r="J16" s="264"/>
      <c r="K16" s="459" t="s">
        <v>39</v>
      </c>
      <c r="L16" s="459"/>
      <c r="M16" s="459"/>
      <c r="N16" s="459"/>
      <c r="O16" s="460"/>
      <c r="P16" s="137"/>
      <c r="Q16" s="136"/>
      <c r="R16" s="135"/>
    </row>
    <row r="17" spans="2:18" ht="30" customHeight="1" x14ac:dyDescent="0.3">
      <c r="B17" s="46"/>
      <c r="C17" s="46"/>
      <c r="D17" s="46"/>
      <c r="E17" s="46"/>
      <c r="F17" s="265" t="s">
        <v>135</v>
      </c>
      <c r="G17" s="266">
        <v>0.8</v>
      </c>
      <c r="H17" s="266">
        <v>0.8</v>
      </c>
      <c r="I17" s="266">
        <v>0.8</v>
      </c>
      <c r="J17" s="267"/>
      <c r="K17" s="457" t="s">
        <v>40</v>
      </c>
      <c r="L17" s="457"/>
      <c r="M17" s="457"/>
      <c r="N17" s="457"/>
      <c r="O17" s="458"/>
      <c r="P17" s="137"/>
      <c r="Q17" s="136"/>
      <c r="R17" s="135"/>
    </row>
    <row r="18" spans="2:18" ht="30" customHeight="1" x14ac:dyDescent="0.3">
      <c r="B18" s="46"/>
      <c r="C18" s="46"/>
      <c r="D18" s="46"/>
      <c r="E18" s="46"/>
      <c r="F18" s="268" t="s">
        <v>136</v>
      </c>
      <c r="G18" s="269">
        <v>0.7</v>
      </c>
      <c r="H18" s="269">
        <v>0.7</v>
      </c>
      <c r="I18" s="269">
        <v>0.7</v>
      </c>
      <c r="J18" s="267"/>
      <c r="K18" s="457" t="s">
        <v>40</v>
      </c>
      <c r="L18" s="457"/>
      <c r="M18" s="457"/>
      <c r="N18" s="457"/>
      <c r="O18" s="458"/>
      <c r="P18" s="137"/>
      <c r="Q18" s="136"/>
      <c r="R18" s="135"/>
    </row>
    <row r="19" spans="2:18" ht="42" customHeight="1" x14ac:dyDescent="0.3">
      <c r="B19" s="46"/>
      <c r="C19" s="46"/>
      <c r="D19" s="46"/>
      <c r="E19" s="260"/>
      <c r="F19" s="261" t="s">
        <v>137</v>
      </c>
      <c r="G19" s="263">
        <v>0.15</v>
      </c>
      <c r="H19" s="263">
        <v>0.15</v>
      </c>
      <c r="I19" s="263">
        <v>0.25</v>
      </c>
      <c r="J19" s="264"/>
      <c r="K19" s="459" t="s">
        <v>39</v>
      </c>
      <c r="L19" s="459"/>
      <c r="M19" s="459"/>
      <c r="N19" s="459"/>
      <c r="O19" s="460"/>
      <c r="P19" s="137"/>
      <c r="Q19" s="136"/>
      <c r="R19" s="135"/>
    </row>
    <row r="20" spans="2:18" ht="30" customHeight="1" x14ac:dyDescent="0.3">
      <c r="B20" s="46"/>
      <c r="C20" s="46"/>
      <c r="D20" s="46"/>
      <c r="E20" s="46"/>
      <c r="F20" s="265" t="s">
        <v>138</v>
      </c>
      <c r="G20" s="266">
        <v>0.8</v>
      </c>
      <c r="H20" s="266">
        <v>0.8</v>
      </c>
      <c r="I20" s="266">
        <v>0.8</v>
      </c>
      <c r="J20" s="267"/>
      <c r="K20" s="457" t="s">
        <v>40</v>
      </c>
      <c r="L20" s="457"/>
      <c r="M20" s="457"/>
      <c r="N20" s="457"/>
      <c r="O20" s="458"/>
      <c r="P20" s="137"/>
      <c r="Q20" s="136"/>
      <c r="R20" s="135"/>
    </row>
    <row r="21" spans="2:18" ht="30" customHeight="1" x14ac:dyDescent="0.3">
      <c r="B21" s="46"/>
      <c r="C21" s="46"/>
      <c r="D21" s="46"/>
      <c r="E21" s="46"/>
      <c r="F21" s="268" t="s">
        <v>139</v>
      </c>
      <c r="G21" s="269">
        <v>0.7</v>
      </c>
      <c r="H21" s="269">
        <v>0.7</v>
      </c>
      <c r="I21" s="269">
        <v>0.7</v>
      </c>
      <c r="J21" s="267"/>
      <c r="K21" s="457" t="s">
        <v>40</v>
      </c>
      <c r="L21" s="457"/>
      <c r="M21" s="457"/>
      <c r="N21" s="457"/>
      <c r="O21" s="458"/>
      <c r="P21" s="137"/>
      <c r="Q21" s="136"/>
      <c r="R21" s="135"/>
    </row>
    <row r="22" spans="2:18" ht="42" customHeight="1" x14ac:dyDescent="0.3">
      <c r="B22" s="46"/>
      <c r="C22" s="46"/>
      <c r="D22" s="46"/>
      <c r="E22" s="260"/>
      <c r="F22" s="261" t="s">
        <v>140</v>
      </c>
      <c r="G22" s="263">
        <v>0.15</v>
      </c>
      <c r="H22" s="263">
        <v>0.15</v>
      </c>
      <c r="I22" s="263">
        <v>0.5</v>
      </c>
      <c r="J22" s="264"/>
      <c r="K22" s="459" t="s">
        <v>39</v>
      </c>
      <c r="L22" s="459"/>
      <c r="M22" s="459"/>
      <c r="N22" s="459"/>
      <c r="O22" s="460"/>
      <c r="P22" s="137"/>
      <c r="Q22" s="136"/>
      <c r="R22" s="135"/>
    </row>
    <row r="23" spans="2:18" ht="30" customHeight="1" x14ac:dyDescent="0.3">
      <c r="B23" s="46"/>
      <c r="C23" s="46"/>
      <c r="D23" s="46"/>
      <c r="E23" s="46"/>
      <c r="F23" s="265" t="s">
        <v>141</v>
      </c>
      <c r="G23" s="266">
        <v>0.8</v>
      </c>
      <c r="H23" s="266">
        <v>0.75</v>
      </c>
      <c r="I23" s="266">
        <v>0.8</v>
      </c>
      <c r="J23" s="270"/>
      <c r="K23" s="457" t="s">
        <v>40</v>
      </c>
      <c r="L23" s="457"/>
      <c r="M23" s="457"/>
      <c r="N23" s="457"/>
      <c r="O23" s="458"/>
      <c r="P23" s="137"/>
      <c r="Q23" s="136"/>
      <c r="R23" s="135"/>
    </row>
    <row r="24" spans="2:18" ht="30" customHeight="1" x14ac:dyDescent="0.3">
      <c r="B24" s="46"/>
      <c r="C24" s="46"/>
      <c r="D24" s="46"/>
      <c r="E24" s="46"/>
      <c r="F24" s="268" t="s">
        <v>142</v>
      </c>
      <c r="G24" s="316">
        <v>0.75</v>
      </c>
      <c r="H24" s="316">
        <v>0.7</v>
      </c>
      <c r="I24" s="316">
        <v>0.75</v>
      </c>
      <c r="J24" s="270"/>
      <c r="K24" s="457" t="s">
        <v>40</v>
      </c>
      <c r="L24" s="457"/>
      <c r="M24" s="457"/>
      <c r="N24" s="457"/>
      <c r="O24" s="458"/>
      <c r="P24" s="137"/>
      <c r="Q24" s="136"/>
      <c r="R24" s="135"/>
    </row>
    <row r="25" spans="2:18" ht="42" customHeight="1" x14ac:dyDescent="0.3">
      <c r="B25" s="46"/>
      <c r="C25" s="46"/>
      <c r="D25" s="257"/>
      <c r="E25" s="301"/>
      <c r="F25" s="302" t="s">
        <v>41</v>
      </c>
      <c r="G25" s="434">
        <v>400000</v>
      </c>
      <c r="H25" s="435"/>
      <c r="I25" s="436"/>
      <c r="J25" s="296"/>
      <c r="K25" s="331" t="s">
        <v>42</v>
      </c>
      <c r="L25" s="331"/>
      <c r="M25" s="331"/>
      <c r="N25" s="331"/>
      <c r="O25" s="332"/>
      <c r="P25" s="137"/>
      <c r="Q25" s="136"/>
      <c r="R25" s="135"/>
    </row>
    <row r="26" spans="2:18" ht="69.45" customHeight="1" x14ac:dyDescent="0.3">
      <c r="B26" s="46"/>
      <c r="C26" s="46"/>
      <c r="D26" s="257"/>
      <c r="E26" s="337"/>
      <c r="F26" s="259" t="s">
        <v>43</v>
      </c>
      <c r="G26" s="446">
        <f>SUM(G27,G30,G33)</f>
        <v>1</v>
      </c>
      <c r="H26" s="447"/>
      <c r="I26" s="448"/>
      <c r="J26" s="258"/>
      <c r="K26" s="455" t="s">
        <v>38</v>
      </c>
      <c r="L26" s="455"/>
      <c r="M26" s="455"/>
      <c r="N26" s="455"/>
      <c r="O26" s="456"/>
      <c r="P26" s="137"/>
      <c r="Q26" s="136"/>
      <c r="R26" s="135"/>
    </row>
    <row r="27" spans="2:18" ht="42" customHeight="1" x14ac:dyDescent="0.3">
      <c r="B27" s="46"/>
      <c r="C27" s="46"/>
      <c r="D27" s="46"/>
      <c r="E27" s="260"/>
      <c r="F27" s="262" t="s">
        <v>44</v>
      </c>
      <c r="G27" s="422">
        <v>0.9</v>
      </c>
      <c r="H27" s="423"/>
      <c r="I27" s="424"/>
      <c r="J27" s="272"/>
      <c r="K27" s="459" t="s">
        <v>39</v>
      </c>
      <c r="L27" s="459"/>
      <c r="M27" s="459"/>
      <c r="N27" s="459"/>
      <c r="O27" s="460"/>
      <c r="P27" s="137"/>
      <c r="Q27" s="136"/>
      <c r="R27" s="135"/>
    </row>
    <row r="28" spans="2:18" ht="30" customHeight="1" x14ac:dyDescent="0.3">
      <c r="B28" s="46"/>
      <c r="C28" s="46"/>
      <c r="D28" s="46"/>
      <c r="E28" s="46"/>
      <c r="F28" s="265" t="s">
        <v>45</v>
      </c>
      <c r="G28" s="425">
        <v>0.9</v>
      </c>
      <c r="H28" s="426"/>
      <c r="I28" s="427"/>
      <c r="J28" s="270"/>
      <c r="K28" s="457" t="s">
        <v>46</v>
      </c>
      <c r="L28" s="457"/>
      <c r="M28" s="457"/>
      <c r="N28" s="457"/>
      <c r="O28" s="458"/>
      <c r="P28" s="137"/>
      <c r="Q28" s="136"/>
      <c r="R28" s="135"/>
    </row>
    <row r="29" spans="2:18" ht="30" customHeight="1" x14ac:dyDescent="0.3">
      <c r="B29" s="46"/>
      <c r="C29" s="46"/>
      <c r="D29" s="46"/>
      <c r="E29" s="46"/>
      <c r="F29" s="268" t="s">
        <v>47</v>
      </c>
      <c r="G29" s="425">
        <v>0.8</v>
      </c>
      <c r="H29" s="426"/>
      <c r="I29" s="427"/>
      <c r="J29" s="270"/>
      <c r="K29" s="457" t="s">
        <v>46</v>
      </c>
      <c r="L29" s="457"/>
      <c r="M29" s="457"/>
      <c r="N29" s="457"/>
      <c r="O29" s="458"/>
      <c r="P29" s="137"/>
      <c r="Q29" s="136"/>
      <c r="R29" s="135"/>
    </row>
    <row r="30" spans="2:18" ht="42" customHeight="1" x14ac:dyDescent="0.3">
      <c r="B30" s="46"/>
      <c r="C30" s="46"/>
      <c r="D30" s="46"/>
      <c r="E30" s="260"/>
      <c r="F30" s="262" t="s">
        <v>48</v>
      </c>
      <c r="G30" s="422">
        <v>0.1</v>
      </c>
      <c r="H30" s="423"/>
      <c r="I30" s="424"/>
      <c r="J30" s="272"/>
      <c r="K30" s="459" t="s">
        <v>39</v>
      </c>
      <c r="L30" s="459"/>
      <c r="M30" s="459"/>
      <c r="N30" s="459"/>
      <c r="O30" s="460"/>
      <c r="P30" s="137"/>
      <c r="Q30" s="136"/>
      <c r="R30" s="135"/>
    </row>
    <row r="31" spans="2:18" ht="30" customHeight="1" x14ac:dyDescent="0.3">
      <c r="B31" s="46"/>
      <c r="C31" s="46"/>
      <c r="D31" s="46"/>
      <c r="E31" s="46"/>
      <c r="F31" s="265" t="s">
        <v>49</v>
      </c>
      <c r="G31" s="425">
        <v>0.9</v>
      </c>
      <c r="H31" s="426"/>
      <c r="I31" s="427"/>
      <c r="J31" s="270"/>
      <c r="K31" s="457" t="s">
        <v>46</v>
      </c>
      <c r="L31" s="457"/>
      <c r="M31" s="457"/>
      <c r="N31" s="457"/>
      <c r="O31" s="458"/>
      <c r="P31" s="137"/>
      <c r="Q31" s="136"/>
      <c r="R31" s="135"/>
    </row>
    <row r="32" spans="2:18" ht="30" customHeight="1" x14ac:dyDescent="0.3">
      <c r="B32" s="46"/>
      <c r="C32" s="46"/>
      <c r="D32" s="46"/>
      <c r="E32" s="46"/>
      <c r="F32" s="268" t="s">
        <v>50</v>
      </c>
      <c r="G32" s="425">
        <v>0.8</v>
      </c>
      <c r="H32" s="426"/>
      <c r="I32" s="427"/>
      <c r="J32" s="270"/>
      <c r="K32" s="457" t="s">
        <v>46</v>
      </c>
      <c r="L32" s="457"/>
      <c r="M32" s="457"/>
      <c r="N32" s="457"/>
      <c r="O32" s="458"/>
      <c r="P32" s="137"/>
      <c r="Q32" s="136"/>
      <c r="R32" s="135"/>
    </row>
    <row r="33" spans="2:19" ht="42" customHeight="1" x14ac:dyDescent="0.3">
      <c r="B33" s="46"/>
      <c r="C33" s="46"/>
      <c r="D33" s="46"/>
      <c r="E33" s="260"/>
      <c r="F33" s="262" t="s">
        <v>51</v>
      </c>
      <c r="G33" s="422">
        <v>0</v>
      </c>
      <c r="H33" s="423"/>
      <c r="I33" s="424"/>
      <c r="J33" s="272"/>
      <c r="K33" s="459" t="s">
        <v>39</v>
      </c>
      <c r="L33" s="459"/>
      <c r="M33" s="459"/>
      <c r="N33" s="459"/>
      <c r="O33" s="460"/>
      <c r="P33" s="137"/>
      <c r="Q33" s="136"/>
      <c r="R33" s="135"/>
    </row>
    <row r="34" spans="2:19" ht="30" customHeight="1" x14ac:dyDescent="0.3">
      <c r="B34" s="46"/>
      <c r="C34" s="46"/>
      <c r="D34" s="46"/>
      <c r="E34" s="46"/>
      <c r="F34" s="265" t="s">
        <v>52</v>
      </c>
      <c r="G34" s="425">
        <v>0</v>
      </c>
      <c r="H34" s="426"/>
      <c r="I34" s="427"/>
      <c r="J34" s="270"/>
      <c r="K34" s="457" t="s">
        <v>46</v>
      </c>
      <c r="L34" s="457"/>
      <c r="M34" s="457"/>
      <c r="N34" s="457"/>
      <c r="O34" s="458"/>
      <c r="P34" s="137"/>
      <c r="Q34" s="136"/>
      <c r="R34" s="135"/>
    </row>
    <row r="35" spans="2:19" ht="30" customHeight="1" x14ac:dyDescent="0.3">
      <c r="B35" s="46"/>
      <c r="C35" s="46"/>
      <c r="D35" s="46"/>
      <c r="E35" s="46"/>
      <c r="F35" s="271" t="s">
        <v>53</v>
      </c>
      <c r="G35" s="425">
        <v>0</v>
      </c>
      <c r="H35" s="426"/>
      <c r="I35" s="427"/>
      <c r="J35" s="270"/>
      <c r="K35" s="457" t="s">
        <v>46</v>
      </c>
      <c r="L35" s="457"/>
      <c r="M35" s="457"/>
      <c r="N35" s="457"/>
      <c r="O35" s="458"/>
      <c r="P35" s="137"/>
      <c r="Q35" s="136"/>
      <c r="R35" s="135"/>
    </row>
    <row r="36" spans="2:19" ht="7.95" customHeight="1" x14ac:dyDescent="0.3">
      <c r="B36" s="46"/>
      <c r="C36" s="46"/>
      <c r="D36" s="46"/>
      <c r="E36" s="46"/>
      <c r="F36" s="131"/>
      <c r="G36" s="131"/>
      <c r="H36" s="131"/>
      <c r="I36" s="131"/>
      <c r="J36" s="131"/>
      <c r="K36" s="134"/>
      <c r="L36" s="131"/>
      <c r="M36" s="133"/>
      <c r="N36" s="133"/>
      <c r="O36" s="132"/>
      <c r="P36" s="132"/>
      <c r="Q36" s="131"/>
      <c r="R36" s="130"/>
    </row>
    <row r="37" spans="2:19" ht="45" customHeight="1" x14ac:dyDescent="0.3">
      <c r="B37" s="46"/>
      <c r="C37" s="46"/>
      <c r="D37" s="46"/>
      <c r="E37" s="46"/>
      <c r="F37" s="399" t="s">
        <v>10</v>
      </c>
      <c r="G37" s="399"/>
      <c r="H37" s="399"/>
      <c r="I37" s="399"/>
      <c r="J37" s="399"/>
      <c r="K37" s="399"/>
      <c r="L37" s="399"/>
      <c r="M37" s="399"/>
      <c r="N37" s="399"/>
      <c r="O37" s="399"/>
      <c r="P37" s="77"/>
      <c r="Q37" s="76"/>
      <c r="R37" s="74"/>
    </row>
    <row r="38" spans="2:19" ht="7.95" customHeight="1" x14ac:dyDescent="0.3">
      <c r="B38" s="46"/>
      <c r="C38" s="46"/>
      <c r="D38" s="46"/>
      <c r="E38" s="46"/>
      <c r="F38" s="46"/>
      <c r="G38" s="46"/>
      <c r="H38" s="46"/>
      <c r="I38" s="46"/>
      <c r="J38" s="46"/>
      <c r="K38" s="46"/>
      <c r="L38" s="46"/>
      <c r="M38" s="46"/>
      <c r="N38" s="46"/>
      <c r="O38" s="46"/>
      <c r="P38" s="46"/>
      <c r="Q38" s="46"/>
    </row>
    <row r="39" spans="2:19" ht="58.2" customHeight="1" x14ac:dyDescent="0.3">
      <c r="B39" s="46"/>
      <c r="C39" s="46"/>
      <c r="D39" s="46"/>
      <c r="E39" s="46"/>
      <c r="F39" s="129"/>
      <c r="G39" s="428" t="s">
        <v>54</v>
      </c>
      <c r="H39" s="429"/>
      <c r="I39" s="430"/>
      <c r="J39" s="127"/>
      <c r="K39" s="128" t="s">
        <v>55</v>
      </c>
      <c r="L39" s="127"/>
      <c r="M39" s="128" t="s">
        <v>56</v>
      </c>
      <c r="N39" s="127"/>
      <c r="O39" s="326" t="s">
        <v>57</v>
      </c>
      <c r="P39" s="122"/>
      <c r="Q39" s="46"/>
    </row>
    <row r="40" spans="2:19" ht="147" customHeight="1" x14ac:dyDescent="0.3">
      <c r="B40" s="46"/>
      <c r="C40" s="46"/>
      <c r="D40" s="46"/>
      <c r="E40" s="46"/>
      <c r="F40" s="126" t="s">
        <v>58</v>
      </c>
      <c r="G40" s="431" t="s">
        <v>59</v>
      </c>
      <c r="H40" s="432"/>
      <c r="I40" s="433"/>
      <c r="J40" s="124"/>
      <c r="K40" s="125" t="s">
        <v>60</v>
      </c>
      <c r="L40" s="124"/>
      <c r="M40" s="125" t="s">
        <v>61</v>
      </c>
      <c r="N40" s="124"/>
      <c r="O40" s="306" t="s">
        <v>62</v>
      </c>
      <c r="P40" s="123"/>
      <c r="Q40" s="122"/>
      <c r="R40" s="121"/>
    </row>
    <row r="41" spans="2:19" ht="8.25" customHeight="1" x14ac:dyDescent="0.3">
      <c r="B41" s="46"/>
      <c r="C41" s="46"/>
      <c r="D41" s="46"/>
      <c r="E41" s="46"/>
      <c r="F41" s="120"/>
      <c r="G41" s="119"/>
      <c r="H41" s="119"/>
      <c r="I41" s="119"/>
      <c r="J41" s="115"/>
      <c r="K41" s="119"/>
      <c r="L41" s="115"/>
      <c r="M41" s="119"/>
      <c r="N41" s="115"/>
      <c r="O41" s="119"/>
      <c r="P41" s="119"/>
      <c r="Q41" s="118"/>
      <c r="R41" s="117"/>
    </row>
    <row r="42" spans="2:19" ht="39" customHeight="1" x14ac:dyDescent="0.3">
      <c r="B42" s="46"/>
      <c r="C42" s="46"/>
      <c r="D42" s="46"/>
      <c r="E42" s="46"/>
      <c r="F42" s="327" t="s">
        <v>63</v>
      </c>
      <c r="G42" s="411">
        <v>4.5</v>
      </c>
      <c r="H42" s="411"/>
      <c r="I42" s="412"/>
      <c r="J42" s="124"/>
      <c r="K42" s="338">
        <v>4.5</v>
      </c>
      <c r="L42" s="124"/>
      <c r="M42" s="338">
        <v>4.5</v>
      </c>
      <c r="N42" s="124"/>
      <c r="O42" s="338">
        <v>4.5</v>
      </c>
      <c r="P42" s="116"/>
      <c r="Q42" s="115"/>
      <c r="R42" s="114"/>
    </row>
    <row r="43" spans="2:19" ht="25.2" customHeight="1" x14ac:dyDescent="0.3">
      <c r="B43" s="46"/>
      <c r="C43" s="46"/>
      <c r="D43" s="46"/>
      <c r="E43" s="46"/>
      <c r="F43" s="107" t="s">
        <v>64</v>
      </c>
      <c r="G43" s="409" t="str">
        <f>IFERROR(INDEX(Datos!$A$3:$E$8,MATCH(G40,Datos!$A$3:$A$8,0),5),"-")</f>
        <v>$ 2.90 - $ 9.50</v>
      </c>
      <c r="H43" s="409"/>
      <c r="I43" s="410"/>
      <c r="J43" s="307"/>
      <c r="K43" s="339">
        <f>IFERROR(INDEX(Datos!$A$3:$E$8,MATCH(K40,Datos!$A$3:$A$8,0),5),"-")</f>
        <v>3.5</v>
      </c>
      <c r="L43" s="307"/>
      <c r="M43" s="339" t="str">
        <f>IFERROR(INDEX(Datos!$A$3:$E$8,MATCH(M40,Datos!$A$3:$A$8,0),5),"-")</f>
        <v>$ 4.50 - $ 26.75</v>
      </c>
      <c r="N43" s="307"/>
      <c r="O43" s="339" t="s">
        <v>65</v>
      </c>
      <c r="P43" s="116"/>
      <c r="Q43" s="115"/>
      <c r="R43" s="114"/>
    </row>
    <row r="44" spans="2:19" ht="46.2" customHeight="1" x14ac:dyDescent="0.3">
      <c r="B44" s="46"/>
      <c r="C44" s="46"/>
      <c r="D44" s="46"/>
      <c r="E44" s="46"/>
      <c r="F44" s="250" t="s">
        <v>66</v>
      </c>
      <c r="G44" s="474">
        <v>1</v>
      </c>
      <c r="H44" s="475"/>
      <c r="I44" s="476"/>
      <c r="J44" s="252"/>
      <c r="K44" s="330">
        <v>2</v>
      </c>
      <c r="L44" s="113"/>
      <c r="M44" s="330">
        <v>1</v>
      </c>
      <c r="N44" s="113"/>
      <c r="O44" s="330">
        <v>1</v>
      </c>
      <c r="P44" s="472" t="str">
        <f>IF(OR(AND(G40=Datos!$A$4,'Datos del Modelo'!G44&lt;2),AND(K40=Datos!$A$4,'Datos del Modelo'!K44&lt;2),AND(M40=Datos!$A$4,'Datos del Modelo'!M44&lt;2),AND(O40=Datos!$A$4,'Datos del Modelo'!O44&lt;2)),"!! Walrinvax requiere 2 dosis","")</f>
        <v/>
      </c>
      <c r="Q44" s="473"/>
      <c r="R44" s="79"/>
    </row>
    <row r="45" spans="2:19" ht="30.75" customHeight="1" x14ac:dyDescent="0.3">
      <c r="B45" s="46"/>
      <c r="C45" s="46"/>
      <c r="D45" s="46"/>
      <c r="E45" s="46"/>
      <c r="F45" s="251" t="s">
        <v>67</v>
      </c>
      <c r="G45" s="477">
        <f>IFERROR(INDEX(Datos!$A$3:$D$8,MATCH(G40,Datos!$A$3:$A$8,0),2),"-")</f>
        <v>2</v>
      </c>
      <c r="H45" s="478"/>
      <c r="I45" s="479"/>
      <c r="J45" s="309"/>
      <c r="K45" s="308">
        <f>IFERROR(INDEX(Datos!$A$3:$D$8,MATCH(K40,Datos!$A$3:$A$8,0),2),"-")</f>
        <v>2</v>
      </c>
      <c r="L45" s="310"/>
      <c r="M45" s="308">
        <f>IFERROR(INDEX(Datos!$A$3:$D$8,MATCH(M40,Datos!$A$3:$A$8,0),2),"-")</f>
        <v>2</v>
      </c>
      <c r="N45" s="113"/>
      <c r="O45" s="308" t="s">
        <v>65</v>
      </c>
      <c r="P45" s="81"/>
      <c r="Q45" s="80"/>
      <c r="R45" s="79"/>
    </row>
    <row r="46" spans="2:19" ht="39" customHeight="1" x14ac:dyDescent="0.3">
      <c r="B46" s="46"/>
      <c r="C46" s="46"/>
      <c r="D46" s="46"/>
      <c r="E46" s="46"/>
      <c r="F46" s="328" t="s">
        <v>68</v>
      </c>
      <c r="G46" s="480">
        <f>IFERROR(INDEX(Datos!$A$3:$D$8,MATCH(G40,Datos!$A$3:$A$8,0),4),"-")</f>
        <v>14.6</v>
      </c>
      <c r="H46" s="481"/>
      <c r="I46" s="482"/>
      <c r="J46" s="112"/>
      <c r="K46" s="227">
        <f>IFERROR(INDEX(Datos!$A$3:$D$8,MATCH(K40,Datos!$A$3:$A$8,0),4),"-")</f>
        <v>11.8</v>
      </c>
      <c r="L46" s="112"/>
      <c r="M46" s="227">
        <f>IFERROR(INDEX(Datos!$A$3:$D$8,MATCH(M40,Datos!$A$3:$A$8,0),4),"-")</f>
        <v>15</v>
      </c>
      <c r="N46" s="112"/>
      <c r="O46" s="311">
        <v>15</v>
      </c>
      <c r="P46" s="111"/>
      <c r="Q46" s="110"/>
      <c r="R46" s="109"/>
    </row>
    <row r="47" spans="2:19" ht="39" customHeight="1" x14ac:dyDescent="0.3">
      <c r="B47" s="46"/>
      <c r="C47" s="46"/>
      <c r="D47" s="46"/>
      <c r="E47" s="46"/>
      <c r="F47" s="327" t="s">
        <v>69</v>
      </c>
      <c r="G47" s="483">
        <v>0.05</v>
      </c>
      <c r="H47" s="484"/>
      <c r="I47" s="485"/>
      <c r="J47" s="92"/>
      <c r="K47" s="317">
        <v>0.05</v>
      </c>
      <c r="L47" s="92"/>
      <c r="M47" s="108">
        <v>0.1</v>
      </c>
      <c r="N47" s="92"/>
      <c r="O47" s="108">
        <v>0.05</v>
      </c>
      <c r="P47" s="90"/>
      <c r="Q47" s="89"/>
      <c r="R47" s="88"/>
    </row>
    <row r="48" spans="2:19" ht="19.95" customHeight="1" x14ac:dyDescent="0.3">
      <c r="B48" s="46"/>
      <c r="C48" s="46"/>
      <c r="D48" s="46"/>
      <c r="E48" s="46"/>
      <c r="F48" s="107" t="s">
        <v>70</v>
      </c>
      <c r="G48" s="486">
        <f>IFERROR(INDEX(Datos!$A$3:$D$8,MATCH(G40,Datos!$A$3:$A$8,0),3),"-")</f>
        <v>0.05</v>
      </c>
      <c r="H48" s="487"/>
      <c r="I48" s="488"/>
      <c r="J48" s="106"/>
      <c r="K48" s="318">
        <f>IFERROR(INDEX(Datos!$A$3:$D$8,MATCH(K40,Datos!$A$3:$A$8,0),3),"-")</f>
        <v>0.05</v>
      </c>
      <c r="L48" s="106"/>
      <c r="M48" s="105">
        <f>IFERROR(INDEX(Datos!$A$3:$D$8,MATCH(M40,Datos!$A$3:$A$8,0),3),"-")</f>
        <v>0.05</v>
      </c>
      <c r="N48" s="106"/>
      <c r="O48" s="105" t="s">
        <v>65</v>
      </c>
      <c r="P48" s="104"/>
      <c r="Q48" s="89"/>
      <c r="R48" s="88"/>
      <c r="S48" s="103"/>
    </row>
    <row r="49" spans="2:18" ht="39" customHeight="1" x14ac:dyDescent="0.3">
      <c r="B49" s="46"/>
      <c r="C49" s="46"/>
      <c r="D49" s="46"/>
      <c r="E49" s="46"/>
      <c r="F49" s="326" t="s">
        <v>71</v>
      </c>
      <c r="G49" s="489">
        <f>(1/(1-G47))</f>
        <v>1.0526315789473684</v>
      </c>
      <c r="H49" s="490"/>
      <c r="I49" s="491"/>
      <c r="J49" s="102"/>
      <c r="K49" s="101">
        <f>(1/(1-K47))</f>
        <v>1.0526315789473684</v>
      </c>
      <c r="L49" s="102"/>
      <c r="M49" s="101">
        <f>(1/(1-M47))</f>
        <v>1.1111111111111112</v>
      </c>
      <c r="N49" s="102"/>
      <c r="O49" s="101">
        <f>(1/(1-O47))</f>
        <v>1.0526315789473684</v>
      </c>
      <c r="P49" s="100"/>
      <c r="Q49" s="99"/>
      <c r="R49" s="98"/>
    </row>
    <row r="50" spans="2:18" ht="39" customHeight="1" x14ac:dyDescent="0.3">
      <c r="B50" s="46"/>
      <c r="C50" s="46"/>
      <c r="D50" s="46"/>
      <c r="E50" s="46"/>
      <c r="F50" s="326" t="s">
        <v>72</v>
      </c>
      <c r="G50" s="492">
        <v>0.05</v>
      </c>
      <c r="H50" s="493"/>
      <c r="I50" s="494"/>
      <c r="J50" s="97"/>
      <c r="K50" s="319">
        <v>0.05</v>
      </c>
      <c r="L50" s="97"/>
      <c r="M50" s="96">
        <v>0.05</v>
      </c>
      <c r="N50" s="97"/>
      <c r="O50" s="96">
        <v>0.05</v>
      </c>
      <c r="P50" s="95"/>
      <c r="Q50" s="94"/>
      <c r="R50" s="93"/>
    </row>
    <row r="51" spans="2:18" ht="39" customHeight="1" x14ac:dyDescent="0.3">
      <c r="B51" s="46"/>
      <c r="C51" s="46"/>
      <c r="D51" s="46"/>
      <c r="E51" s="46"/>
      <c r="F51" s="326" t="s">
        <v>73</v>
      </c>
      <c r="G51" s="443">
        <v>7.0000000000000007E-2</v>
      </c>
      <c r="H51" s="444"/>
      <c r="I51" s="445"/>
      <c r="J51" s="92"/>
      <c r="K51" s="320">
        <v>7.0000000000000007E-2</v>
      </c>
      <c r="L51" s="92"/>
      <c r="M51" s="91">
        <v>7.0000000000000007E-2</v>
      </c>
      <c r="N51" s="92"/>
      <c r="O51" s="91">
        <v>7.0000000000000007E-2</v>
      </c>
      <c r="P51" s="90"/>
      <c r="Q51" s="89"/>
      <c r="R51" s="88"/>
    </row>
    <row r="52" spans="2:18" ht="39" customHeight="1" x14ac:dyDescent="0.3">
      <c r="B52" s="46"/>
      <c r="C52" s="46"/>
      <c r="D52" s="46"/>
      <c r="E52" s="46"/>
      <c r="F52" s="326" t="s">
        <v>74</v>
      </c>
      <c r="G52" s="443">
        <v>0.25</v>
      </c>
      <c r="H52" s="444"/>
      <c r="I52" s="445"/>
      <c r="J52" s="92"/>
      <c r="K52" s="320">
        <v>0.25</v>
      </c>
      <c r="L52" s="92"/>
      <c r="M52" s="91">
        <v>0.25</v>
      </c>
      <c r="N52" s="92"/>
      <c r="O52" s="91">
        <v>0.25</v>
      </c>
      <c r="P52" s="90"/>
      <c r="Q52" s="89"/>
      <c r="R52" s="88"/>
    </row>
    <row r="53" spans="2:18" ht="39" customHeight="1" x14ac:dyDescent="0.3">
      <c r="B53" s="46"/>
      <c r="C53" s="46"/>
      <c r="D53" s="46"/>
      <c r="E53" s="46"/>
      <c r="F53" s="326" t="s">
        <v>75</v>
      </c>
      <c r="G53" s="413">
        <v>0.8</v>
      </c>
      <c r="H53" s="414"/>
      <c r="I53" s="415"/>
      <c r="J53" s="87"/>
      <c r="K53" s="341">
        <v>0.8</v>
      </c>
      <c r="L53" s="87"/>
      <c r="M53" s="340">
        <v>0.8</v>
      </c>
      <c r="N53" s="87"/>
      <c r="O53" s="340">
        <v>0.8</v>
      </c>
      <c r="P53" s="86"/>
      <c r="Q53" s="85"/>
      <c r="R53" s="84"/>
    </row>
    <row r="54" spans="2:18" ht="39" customHeight="1" x14ac:dyDescent="0.3">
      <c r="B54" s="46"/>
      <c r="C54" s="46"/>
      <c r="D54" s="46"/>
      <c r="E54" s="46"/>
      <c r="F54" s="326" t="s">
        <v>76</v>
      </c>
      <c r="G54" s="416">
        <v>100</v>
      </c>
      <c r="H54" s="417"/>
      <c r="I54" s="418"/>
      <c r="J54" s="83"/>
      <c r="K54" s="325">
        <v>100</v>
      </c>
      <c r="L54" s="83"/>
      <c r="M54" s="82">
        <v>100</v>
      </c>
      <c r="N54" s="83"/>
      <c r="O54" s="82">
        <v>100</v>
      </c>
      <c r="P54" s="81"/>
      <c r="Q54" s="80"/>
      <c r="R54" s="79"/>
    </row>
    <row r="55" spans="2:18" ht="39" customHeight="1" x14ac:dyDescent="0.3">
      <c r="B55" s="46"/>
      <c r="C55" s="46"/>
      <c r="D55" s="46"/>
      <c r="E55" s="46"/>
      <c r="F55" s="326" t="s">
        <v>77</v>
      </c>
      <c r="G55" s="419">
        <v>0.04</v>
      </c>
      <c r="H55" s="420"/>
      <c r="I55" s="421"/>
      <c r="J55" s="216"/>
      <c r="K55" s="342">
        <v>0.04</v>
      </c>
      <c r="L55" s="216"/>
      <c r="M55" s="342">
        <v>0.04</v>
      </c>
      <c r="N55" s="216"/>
      <c r="O55" s="342">
        <v>0.04</v>
      </c>
      <c r="P55" s="217"/>
      <c r="Q55" s="80"/>
      <c r="R55" s="79"/>
    </row>
    <row r="56" spans="2:18" ht="7.95" customHeight="1" x14ac:dyDescent="0.3">
      <c r="B56" s="46"/>
      <c r="C56" s="46"/>
      <c r="D56" s="46"/>
      <c r="E56" s="46"/>
      <c r="F56" s="78"/>
      <c r="G56" s="46"/>
      <c r="H56" s="46"/>
      <c r="I56" s="46"/>
      <c r="J56" s="46"/>
      <c r="K56" s="46"/>
      <c r="L56" s="46"/>
      <c r="M56" s="46"/>
      <c r="N56" s="46"/>
      <c r="O56" s="78"/>
      <c r="P56" s="78"/>
      <c r="Q56" s="46"/>
    </row>
    <row r="57" spans="2:18" ht="45" customHeight="1" x14ac:dyDescent="0.3">
      <c r="B57" s="46"/>
      <c r="C57" s="46"/>
      <c r="D57" s="46"/>
      <c r="E57" s="46"/>
      <c r="F57" s="399" t="s">
        <v>19</v>
      </c>
      <c r="G57" s="399"/>
      <c r="H57" s="399"/>
      <c r="I57" s="399"/>
      <c r="J57" s="399"/>
      <c r="K57" s="399"/>
      <c r="L57" s="399"/>
      <c r="M57" s="399"/>
      <c r="N57" s="399"/>
      <c r="O57" s="399"/>
      <c r="P57" s="77"/>
      <c r="Q57" s="76"/>
      <c r="R57" s="74"/>
    </row>
    <row r="58" spans="2:18" ht="7.95" customHeight="1" x14ac:dyDescent="0.3">
      <c r="B58" s="46"/>
      <c r="C58" s="46"/>
      <c r="D58" s="46"/>
      <c r="E58" s="46"/>
      <c r="F58" s="75"/>
      <c r="G58" s="75"/>
      <c r="H58" s="75"/>
      <c r="I58" s="75"/>
      <c r="J58" s="75"/>
      <c r="K58" s="75"/>
      <c r="L58" s="75"/>
      <c r="M58" s="46"/>
      <c r="N58" s="46"/>
      <c r="O58" s="75"/>
      <c r="P58" s="75"/>
      <c r="Q58" s="75"/>
      <c r="R58" s="74"/>
    </row>
    <row r="59" spans="2:18" ht="82.5" customHeight="1" x14ac:dyDescent="0.3">
      <c r="B59" s="46"/>
      <c r="C59" s="46"/>
      <c r="D59" s="46"/>
      <c r="E59" s="46"/>
      <c r="F59" s="326" t="s">
        <v>78</v>
      </c>
      <c r="G59" s="400">
        <v>0</v>
      </c>
      <c r="H59" s="401"/>
      <c r="I59" s="402"/>
      <c r="J59" s="73"/>
      <c r="K59" s="343">
        <v>0</v>
      </c>
      <c r="L59" s="73"/>
      <c r="M59" s="344">
        <v>0</v>
      </c>
      <c r="N59" s="73"/>
      <c r="O59" s="343">
        <v>0</v>
      </c>
      <c r="P59" s="72"/>
      <c r="Q59" s="71"/>
      <c r="R59" s="70"/>
    </row>
    <row r="60" spans="2:18" ht="34.5" customHeight="1" x14ac:dyDescent="0.3">
      <c r="B60" s="46"/>
      <c r="C60" s="46"/>
      <c r="D60" s="46"/>
      <c r="E60" s="46"/>
      <c r="F60" s="327" t="s">
        <v>20</v>
      </c>
      <c r="G60" s="403"/>
      <c r="H60" s="404"/>
      <c r="I60" s="405"/>
      <c r="J60" s="69"/>
      <c r="K60" s="234"/>
      <c r="L60" s="69"/>
      <c r="M60" s="234"/>
      <c r="N60" s="69"/>
      <c r="O60" s="234"/>
      <c r="P60" s="68"/>
      <c r="Q60" s="67"/>
      <c r="R60" s="66"/>
    </row>
    <row r="61" spans="2:18" ht="25.2" customHeight="1" x14ac:dyDescent="0.3">
      <c r="B61" s="46"/>
      <c r="C61" s="46"/>
      <c r="D61" s="46"/>
      <c r="E61" s="46"/>
      <c r="F61" s="236" t="s">
        <v>79</v>
      </c>
      <c r="G61" s="437">
        <v>1</v>
      </c>
      <c r="H61" s="438"/>
      <c r="I61" s="439"/>
      <c r="J61" s="69"/>
      <c r="K61" s="345">
        <v>1</v>
      </c>
      <c r="L61" s="69"/>
      <c r="M61" s="345">
        <v>1</v>
      </c>
      <c r="N61" s="69"/>
      <c r="O61" s="345">
        <v>1</v>
      </c>
      <c r="P61" s="68"/>
      <c r="Q61" s="67"/>
      <c r="R61" s="66"/>
    </row>
    <row r="62" spans="2:18" ht="25.2" customHeight="1" x14ac:dyDescent="0.3">
      <c r="B62" s="46"/>
      <c r="C62" s="46"/>
      <c r="D62" s="46"/>
      <c r="E62" s="46"/>
      <c r="F62" s="236" t="s">
        <v>80</v>
      </c>
      <c r="G62" s="437">
        <v>1</v>
      </c>
      <c r="H62" s="438"/>
      <c r="I62" s="439"/>
      <c r="J62" s="69"/>
      <c r="K62" s="345">
        <v>1</v>
      </c>
      <c r="L62" s="69"/>
      <c r="M62" s="345">
        <v>1</v>
      </c>
      <c r="N62" s="69"/>
      <c r="O62" s="345">
        <v>1</v>
      </c>
      <c r="P62" s="68"/>
      <c r="Q62" s="67"/>
      <c r="R62" s="66"/>
    </row>
    <row r="63" spans="2:18" ht="25.2" customHeight="1" x14ac:dyDescent="0.3">
      <c r="B63" s="46"/>
      <c r="C63" s="46"/>
      <c r="D63" s="46"/>
      <c r="E63" s="46"/>
      <c r="F63" s="236" t="s">
        <v>81</v>
      </c>
      <c r="G63" s="437">
        <v>1</v>
      </c>
      <c r="H63" s="438"/>
      <c r="I63" s="439"/>
      <c r="J63" s="69"/>
      <c r="K63" s="345">
        <v>1</v>
      </c>
      <c r="L63" s="69"/>
      <c r="M63" s="345">
        <v>1</v>
      </c>
      <c r="N63" s="69"/>
      <c r="O63" s="345">
        <v>1</v>
      </c>
      <c r="P63" s="68"/>
      <c r="Q63" s="67"/>
      <c r="R63" s="66"/>
    </row>
    <row r="64" spans="2:18" ht="20.25" customHeight="1" x14ac:dyDescent="0.3">
      <c r="B64" s="46"/>
      <c r="C64" s="46"/>
      <c r="D64" s="46"/>
      <c r="E64" s="46"/>
      <c r="F64" s="248" t="s">
        <v>82</v>
      </c>
      <c r="G64" s="440"/>
      <c r="H64" s="441"/>
      <c r="I64" s="442"/>
      <c r="J64" s="69"/>
      <c r="K64" s="235"/>
      <c r="L64" s="69"/>
      <c r="M64" s="235"/>
      <c r="N64" s="69"/>
      <c r="O64" s="235"/>
      <c r="P64" s="68"/>
      <c r="Q64" s="67"/>
      <c r="R64" s="66"/>
    </row>
    <row r="65" spans="2:18" ht="18.45" customHeight="1" x14ac:dyDescent="0.3">
      <c r="B65" s="46"/>
      <c r="C65" s="46"/>
      <c r="D65" s="46"/>
      <c r="E65" s="46"/>
      <c r="F65" s="46"/>
      <c r="G65" s="225"/>
      <c r="H65" s="225"/>
      <c r="I65" s="225"/>
      <c r="J65" s="226"/>
      <c r="K65" s="225"/>
      <c r="L65" s="226"/>
      <c r="M65" s="225"/>
      <c r="N65" s="226"/>
      <c r="O65" s="225"/>
      <c r="P65" s="46"/>
      <c r="Q65" s="63"/>
      <c r="R65" s="59"/>
    </row>
    <row r="66" spans="2:18" ht="60" customHeight="1" x14ac:dyDescent="0.3">
      <c r="B66" s="46"/>
      <c r="C66" s="46"/>
      <c r="D66" s="46"/>
      <c r="E66" s="65"/>
      <c r="F66" s="470" t="s">
        <v>22</v>
      </c>
      <c r="G66" s="470"/>
      <c r="H66" s="470"/>
      <c r="I66" s="470"/>
      <c r="J66" s="470"/>
      <c r="K66" s="470"/>
      <c r="L66" s="470"/>
      <c r="M66" s="470"/>
      <c r="N66" s="470"/>
      <c r="O66" s="470"/>
      <c r="P66" s="64"/>
      <c r="Q66" s="63"/>
      <c r="R66" s="59"/>
    </row>
    <row r="67" spans="2:18" ht="31.95" customHeight="1" x14ac:dyDescent="0.4">
      <c r="B67" s="46"/>
      <c r="C67" s="46"/>
      <c r="D67" s="46"/>
      <c r="E67" s="62"/>
      <c r="F67" s="471" t="s">
        <v>83</v>
      </c>
      <c r="G67" s="471"/>
      <c r="H67" s="471"/>
      <c r="I67" s="471"/>
      <c r="J67" s="471"/>
      <c r="K67" s="471"/>
      <c r="L67" s="471"/>
      <c r="M67" s="471"/>
      <c r="N67" s="471"/>
      <c r="O67" s="471"/>
      <c r="P67" s="61"/>
      <c r="Q67" s="60"/>
      <c r="R67" s="59"/>
    </row>
    <row r="68" spans="2:18" ht="7.95" hidden="1" customHeight="1" outlineLevel="1" x14ac:dyDescent="0.3">
      <c r="B68" s="46"/>
      <c r="C68" s="46"/>
      <c r="D68" s="46"/>
      <c r="E68" s="46"/>
      <c r="F68" s="57"/>
      <c r="G68" s="56"/>
      <c r="H68" s="56"/>
      <c r="I68" s="56"/>
      <c r="J68" s="56"/>
      <c r="K68" s="58"/>
      <c r="L68" s="56"/>
      <c r="M68" s="46"/>
      <c r="N68" s="46"/>
      <c r="O68" s="57"/>
      <c r="P68" s="57"/>
      <c r="Q68" s="56"/>
      <c r="R68" s="55"/>
    </row>
    <row r="69" spans="2:18" ht="24" hidden="1" customHeight="1" outlineLevel="1" x14ac:dyDescent="0.3">
      <c r="B69" s="46"/>
      <c r="C69" s="46"/>
      <c r="D69" s="46"/>
      <c r="E69" s="46"/>
      <c r="F69" s="467" t="s">
        <v>84</v>
      </c>
      <c r="G69" s="468"/>
      <c r="H69" s="468"/>
      <c r="I69" s="468"/>
      <c r="J69" s="468"/>
      <c r="K69" s="468"/>
      <c r="L69" s="468"/>
      <c r="M69" s="468"/>
      <c r="N69" s="468"/>
      <c r="O69" s="469"/>
      <c r="P69" s="54"/>
      <c r="Q69" s="56"/>
      <c r="R69" s="55"/>
    </row>
    <row r="70" spans="2:18" ht="7.95" hidden="1" customHeight="1" outlineLevel="1" x14ac:dyDescent="0.3">
      <c r="B70" s="46"/>
      <c r="C70" s="46"/>
      <c r="D70" s="46"/>
      <c r="E70" s="46"/>
      <c r="F70" s="57"/>
      <c r="G70" s="56"/>
      <c r="H70" s="56"/>
      <c r="I70" s="56"/>
      <c r="J70" s="56"/>
      <c r="K70" s="58"/>
      <c r="L70" s="56"/>
      <c r="M70" s="46"/>
      <c r="N70" s="46"/>
      <c r="O70" s="57"/>
      <c r="P70" s="57"/>
      <c r="Q70" s="56"/>
      <c r="R70" s="55"/>
    </row>
    <row r="71" spans="2:18" ht="50.7" hidden="1" customHeight="1" outlineLevel="1" x14ac:dyDescent="0.3">
      <c r="B71" s="46"/>
      <c r="C71" s="46"/>
      <c r="D71" s="46"/>
      <c r="E71" s="46"/>
      <c r="F71" s="326" t="s">
        <v>85</v>
      </c>
      <c r="G71" s="406">
        <v>0.2</v>
      </c>
      <c r="H71" s="407"/>
      <c r="I71" s="408"/>
      <c r="J71" s="49"/>
      <c r="K71" s="48">
        <v>0.3</v>
      </c>
      <c r="L71" s="49"/>
      <c r="M71" s="48">
        <v>0.25</v>
      </c>
      <c r="N71" s="49"/>
      <c r="O71" s="48">
        <v>0.25</v>
      </c>
      <c r="P71" s="50"/>
      <c r="Q71" s="46"/>
    </row>
    <row r="72" spans="2:18" ht="7.95" hidden="1" customHeight="1" outlineLevel="1" x14ac:dyDescent="0.3">
      <c r="B72" s="46"/>
      <c r="C72" s="46"/>
      <c r="D72" s="46"/>
      <c r="E72" s="46"/>
      <c r="F72" s="46"/>
      <c r="G72" s="46"/>
      <c r="H72" s="46"/>
      <c r="I72" s="46"/>
      <c r="J72" s="46"/>
      <c r="K72" s="46"/>
      <c r="L72" s="46"/>
      <c r="M72" s="46"/>
      <c r="N72" s="46"/>
      <c r="O72" s="46"/>
      <c r="P72" s="46"/>
      <c r="Q72" s="46"/>
    </row>
    <row r="73" spans="2:18" ht="24" hidden="1" customHeight="1" outlineLevel="1" x14ac:dyDescent="0.3">
      <c r="B73" s="46"/>
      <c r="C73" s="46"/>
      <c r="D73" s="46"/>
      <c r="E73" s="46"/>
      <c r="F73" s="467" t="s">
        <v>86</v>
      </c>
      <c r="G73" s="468"/>
      <c r="H73" s="468"/>
      <c r="I73" s="468"/>
      <c r="J73" s="468"/>
      <c r="K73" s="468"/>
      <c r="L73" s="468"/>
      <c r="M73" s="468"/>
      <c r="N73" s="468"/>
      <c r="O73" s="469"/>
      <c r="P73" s="54"/>
      <c r="Q73" s="46"/>
    </row>
    <row r="74" spans="2:18" ht="7.95" hidden="1" customHeight="1" outlineLevel="1" x14ac:dyDescent="0.3">
      <c r="B74" s="46"/>
      <c r="C74" s="46"/>
      <c r="D74" s="46"/>
      <c r="E74" s="46"/>
      <c r="F74" s="46"/>
      <c r="G74" s="46"/>
      <c r="H74" s="46"/>
      <c r="I74" s="46"/>
      <c r="J74" s="46"/>
      <c r="K74" s="46"/>
      <c r="L74" s="46"/>
      <c r="M74" s="46"/>
      <c r="N74" s="46"/>
      <c r="O74" s="46"/>
      <c r="P74" s="46"/>
      <c r="Q74" s="46"/>
    </row>
    <row r="75" spans="2:18" ht="50.7" hidden="1" customHeight="1" outlineLevel="1" x14ac:dyDescent="0.3">
      <c r="B75" s="46"/>
      <c r="C75" s="46"/>
      <c r="D75" s="46"/>
      <c r="E75" s="46"/>
      <c r="F75" s="326" t="s">
        <v>85</v>
      </c>
      <c r="G75" s="406">
        <v>0.2</v>
      </c>
      <c r="H75" s="407"/>
      <c r="I75" s="408"/>
      <c r="J75" s="49"/>
      <c r="K75" s="48">
        <v>0.3</v>
      </c>
      <c r="L75" s="49"/>
      <c r="M75" s="48">
        <v>0.5</v>
      </c>
      <c r="N75" s="49"/>
      <c r="O75" s="48">
        <v>0</v>
      </c>
      <c r="P75" s="50"/>
      <c r="Q75" s="46"/>
    </row>
    <row r="76" spans="2:18" ht="7.95" hidden="1" customHeight="1" outlineLevel="1" x14ac:dyDescent="0.3">
      <c r="B76" s="46"/>
      <c r="C76" s="46"/>
      <c r="D76" s="46"/>
      <c r="E76" s="46"/>
      <c r="F76" s="53"/>
      <c r="G76" s="52"/>
      <c r="H76" s="52"/>
      <c r="I76" s="52"/>
      <c r="J76" s="51"/>
      <c r="K76" s="50"/>
      <c r="L76" s="51"/>
      <c r="M76" s="50"/>
      <c r="N76" s="51"/>
      <c r="O76" s="50"/>
      <c r="P76" s="50"/>
      <c r="Q76" s="46"/>
    </row>
    <row r="77" spans="2:18" ht="24" hidden="1" customHeight="1" outlineLevel="1" x14ac:dyDescent="0.3">
      <c r="B77" s="46"/>
      <c r="C77" s="46"/>
      <c r="D77" s="46"/>
      <c r="E77" s="46"/>
      <c r="F77" s="467" t="s">
        <v>87</v>
      </c>
      <c r="G77" s="468"/>
      <c r="H77" s="468"/>
      <c r="I77" s="468"/>
      <c r="J77" s="468"/>
      <c r="K77" s="468"/>
      <c r="L77" s="468"/>
      <c r="M77" s="468"/>
      <c r="N77" s="468"/>
      <c r="O77" s="469"/>
      <c r="P77" s="54"/>
      <c r="Q77" s="46"/>
    </row>
    <row r="78" spans="2:18" ht="7.95" hidden="1" customHeight="1" outlineLevel="1" x14ac:dyDescent="0.3">
      <c r="B78" s="46"/>
      <c r="C78" s="46"/>
      <c r="D78" s="46"/>
      <c r="E78" s="46"/>
      <c r="F78" s="53"/>
      <c r="G78" s="52"/>
      <c r="H78" s="52"/>
      <c r="I78" s="52"/>
      <c r="J78" s="51"/>
      <c r="K78" s="50"/>
      <c r="L78" s="51"/>
      <c r="M78" s="50"/>
      <c r="N78" s="51"/>
      <c r="O78" s="50"/>
      <c r="P78" s="50"/>
      <c r="Q78" s="46"/>
    </row>
    <row r="79" spans="2:18" ht="50.7" hidden="1" customHeight="1" outlineLevel="1" x14ac:dyDescent="0.3">
      <c r="B79" s="46"/>
      <c r="C79" s="46"/>
      <c r="D79" s="46"/>
      <c r="E79" s="46"/>
      <c r="F79" s="326" t="s">
        <v>85</v>
      </c>
      <c r="G79" s="406">
        <v>0.5</v>
      </c>
      <c r="H79" s="407"/>
      <c r="I79" s="408"/>
      <c r="J79" s="49"/>
      <c r="K79" s="48">
        <v>0</v>
      </c>
      <c r="L79" s="49"/>
      <c r="M79" s="48">
        <v>0.5</v>
      </c>
      <c r="N79" s="49"/>
      <c r="O79" s="48">
        <v>0</v>
      </c>
      <c r="P79" s="50"/>
      <c r="Q79" s="46"/>
    </row>
    <row r="80" spans="2:18" ht="28.2" hidden="1" customHeight="1" outlineLevel="1" x14ac:dyDescent="0.3">
      <c r="B80" s="46"/>
      <c r="C80" s="46"/>
      <c r="D80" s="46"/>
      <c r="E80" s="46"/>
      <c r="F80" s="466" t="s">
        <v>88</v>
      </c>
      <c r="G80" s="466"/>
      <c r="H80" s="466"/>
      <c r="I80" s="466"/>
      <c r="J80" s="466"/>
      <c r="K80" s="466"/>
      <c r="L80" s="466"/>
      <c r="M80" s="466"/>
      <c r="N80" s="466"/>
      <c r="O80" s="466"/>
      <c r="P80" s="47"/>
      <c r="Q80" s="46"/>
    </row>
    <row r="81" spans="6:16" ht="14.7" customHeight="1" collapsed="1" x14ac:dyDescent="0.3">
      <c r="F81" s="45"/>
      <c r="G81" s="44"/>
      <c r="H81" s="44"/>
      <c r="I81" s="44"/>
      <c r="J81" s="43"/>
      <c r="K81" s="42"/>
      <c r="L81" s="43"/>
      <c r="M81" s="42"/>
      <c r="N81" s="43"/>
      <c r="O81" s="42"/>
      <c r="P81" s="42"/>
    </row>
    <row r="82" spans="6:16" ht="19.95" customHeight="1" x14ac:dyDescent="0.3"/>
    <row r="83" spans="6:16" ht="19.95" customHeight="1" x14ac:dyDescent="0.3"/>
    <row r="84" spans="6:16" ht="19.95" customHeight="1" x14ac:dyDescent="0.3"/>
    <row r="85" spans="6:16" ht="19.95" customHeight="1" x14ac:dyDescent="0.3"/>
    <row r="86" spans="6:16" ht="19.95" customHeight="1" x14ac:dyDescent="0.3"/>
    <row r="87" spans="6:16" ht="19.95" customHeight="1" x14ac:dyDescent="0.3"/>
    <row r="88" spans="6:16" ht="19.95" customHeight="1" x14ac:dyDescent="0.3"/>
    <row r="89" spans="6:16" ht="19.95" customHeight="1" x14ac:dyDescent="0.3"/>
    <row r="90" spans="6:16" ht="19.95" customHeight="1" x14ac:dyDescent="0.3"/>
    <row r="91" spans="6:16" ht="19.95" customHeight="1" x14ac:dyDescent="0.3"/>
    <row r="92" spans="6:16" ht="28.95" customHeight="1" x14ac:dyDescent="0.3"/>
    <row r="93" spans="6:16" ht="19.95" customHeight="1" x14ac:dyDescent="0.3"/>
    <row r="94" spans="6:16" ht="19.95" customHeight="1" x14ac:dyDescent="0.3"/>
    <row r="95" spans="6:16" ht="19.95" customHeight="1" x14ac:dyDescent="0.3"/>
    <row r="96" spans="6:16" ht="19.95" customHeight="1" x14ac:dyDescent="0.3"/>
    <row r="97" ht="19.95" customHeight="1" x14ac:dyDescent="0.3"/>
    <row r="98" ht="19.95" customHeight="1" x14ac:dyDescent="0.3"/>
    <row r="99" ht="19.95" customHeight="1" x14ac:dyDescent="0.3"/>
    <row r="100" ht="19.95" customHeight="1" x14ac:dyDescent="0.3"/>
    <row r="101" ht="19.95" customHeight="1" x14ac:dyDescent="0.3"/>
    <row r="102" ht="19.95" customHeight="1" x14ac:dyDescent="0.3"/>
    <row r="103" ht="18" customHeight="1" x14ac:dyDescent="0.3"/>
    <row r="104" ht="25.2" customHeight="1" x14ac:dyDescent="0.3"/>
    <row r="105" ht="18" customHeight="1" x14ac:dyDescent="0.3"/>
    <row r="107" ht="19.95" customHeight="1" x14ac:dyDescent="0.3"/>
    <row r="108" ht="19.95" customHeight="1" x14ac:dyDescent="0.3"/>
    <row r="109" ht="19.95" customHeight="1" x14ac:dyDescent="0.3"/>
    <row r="110" ht="19.95" customHeight="1" x14ac:dyDescent="0.3"/>
    <row r="111" ht="19.95" customHeight="1" x14ac:dyDescent="0.3"/>
    <row r="112" ht="19.95" customHeight="1" x14ac:dyDescent="0.3"/>
    <row r="113" ht="19.95" customHeight="1" x14ac:dyDescent="0.3"/>
    <row r="114" ht="19.95" customHeight="1" x14ac:dyDescent="0.3"/>
    <row r="115" ht="19.95" customHeight="1" x14ac:dyDescent="0.3"/>
    <row r="116" ht="19.95" customHeight="1" x14ac:dyDescent="0.3"/>
    <row r="118" ht="19.95" customHeight="1" x14ac:dyDescent="0.3"/>
    <row r="119" ht="19.95" customHeight="1" x14ac:dyDescent="0.3"/>
    <row r="120" ht="19.95" customHeight="1" x14ac:dyDescent="0.3"/>
    <row r="121" ht="19.95" customHeight="1" x14ac:dyDescent="0.3"/>
    <row r="122" ht="19.95" customHeight="1" x14ac:dyDescent="0.3"/>
    <row r="123" ht="19.95" customHeight="1" x14ac:dyDescent="0.3"/>
    <row r="124" ht="19.95" customHeight="1" x14ac:dyDescent="0.3"/>
    <row r="125" ht="19.95" customHeight="1" x14ac:dyDescent="0.3"/>
    <row r="126" ht="19.95" customHeight="1" x14ac:dyDescent="0.3"/>
    <row r="127" ht="19.95" customHeight="1" x14ac:dyDescent="0.3"/>
    <row r="129" ht="25.2" customHeight="1" x14ac:dyDescent="0.3"/>
    <row r="131" ht="36" customHeight="1" x14ac:dyDescent="0.3"/>
    <row r="132" ht="19.95" customHeight="1" x14ac:dyDescent="0.3"/>
    <row r="133" ht="19.95" customHeight="1" x14ac:dyDescent="0.3"/>
    <row r="134" ht="19.95" customHeight="1" x14ac:dyDescent="0.3"/>
    <row r="135" ht="19.95" customHeight="1" x14ac:dyDescent="0.3"/>
    <row r="136" ht="19.95" customHeight="1" x14ac:dyDescent="0.3"/>
    <row r="137" ht="19.95" customHeight="1" x14ac:dyDescent="0.3"/>
    <row r="138" ht="19.95" customHeight="1" x14ac:dyDescent="0.3"/>
    <row r="139" ht="19.95" customHeight="1" x14ac:dyDescent="0.3"/>
    <row r="140" ht="19.95" customHeight="1" x14ac:dyDescent="0.3"/>
    <row r="141" ht="19.95" customHeight="1" x14ac:dyDescent="0.3"/>
    <row r="143" ht="19.95" customHeight="1" x14ac:dyDescent="0.3"/>
    <row r="144" ht="19.95" customHeight="1" x14ac:dyDescent="0.3"/>
    <row r="145" ht="19.95" customHeight="1" x14ac:dyDescent="0.3"/>
    <row r="146" ht="19.95" customHeight="1" x14ac:dyDescent="0.3"/>
    <row r="147" ht="19.95" customHeight="1" x14ac:dyDescent="0.3"/>
    <row r="148" ht="19.95" customHeight="1" x14ac:dyDescent="0.3"/>
    <row r="149" ht="19.95" customHeight="1" x14ac:dyDescent="0.3"/>
    <row r="150" ht="19.95" customHeight="1" x14ac:dyDescent="0.3"/>
    <row r="151" ht="19.95" customHeight="1" x14ac:dyDescent="0.3"/>
    <row r="152" ht="19.95" customHeight="1" x14ac:dyDescent="0.3"/>
  </sheetData>
  <sheetProtection algorithmName="SHA-512" hashValue="MozkngXE/c9b7u+2r4ZvnvVBvxmshcis0eHa/Dn2cx2plIQK7ujplpjwRkFtJ5knU3PVNy+k895R4UD329Z4Mg==" saltValue="R6QODMltbjP1nozyDhkl/Q==" spinCount="100000" sheet="1" formatRows="0"/>
  <protectedRanges>
    <protectedRange sqref="A81:XFD81" name="Range2"/>
    <protectedRange sqref="A68:XFD68" name="Range1"/>
  </protectedRanges>
  <mergeCells count="77">
    <mergeCell ref="G29:I29"/>
    <mergeCell ref="P44:Q44"/>
    <mergeCell ref="F57:O57"/>
    <mergeCell ref="G44:I44"/>
    <mergeCell ref="G45:I45"/>
    <mergeCell ref="G46:I46"/>
    <mergeCell ref="G47:I47"/>
    <mergeCell ref="G48:I48"/>
    <mergeCell ref="G49:I49"/>
    <mergeCell ref="G50:I50"/>
    <mergeCell ref="G51:I51"/>
    <mergeCell ref="G52:I52"/>
    <mergeCell ref="G30:I30"/>
    <mergeCell ref="G31:I31"/>
    <mergeCell ref="G32:I32"/>
    <mergeCell ref="F80:O80"/>
    <mergeCell ref="F77:O77"/>
    <mergeCell ref="F66:O66"/>
    <mergeCell ref="F69:O69"/>
    <mergeCell ref="F73:O73"/>
    <mergeCell ref="F67:O67"/>
    <mergeCell ref="G79:I79"/>
    <mergeCell ref="F4:O4"/>
    <mergeCell ref="F37:O37"/>
    <mergeCell ref="K8:O8"/>
    <mergeCell ref="K9:O9"/>
    <mergeCell ref="K13:O13"/>
    <mergeCell ref="K23:O23"/>
    <mergeCell ref="K33:O33"/>
    <mergeCell ref="K34:O34"/>
    <mergeCell ref="K35:O35"/>
    <mergeCell ref="K17:O17"/>
    <mergeCell ref="K32:O32"/>
    <mergeCell ref="K20:O20"/>
    <mergeCell ref="K21:O21"/>
    <mergeCell ref="K22:O22"/>
    <mergeCell ref="G27:I27"/>
    <mergeCell ref="G28:I28"/>
    <mergeCell ref="K15:O15"/>
    <mergeCell ref="K26:O26"/>
    <mergeCell ref="K28:O28"/>
    <mergeCell ref="K29:O29"/>
    <mergeCell ref="K31:O31"/>
    <mergeCell ref="K16:O16"/>
    <mergeCell ref="K19:O19"/>
    <mergeCell ref="K18:O18"/>
    <mergeCell ref="K30:O30"/>
    <mergeCell ref="K24:O24"/>
    <mergeCell ref="K27:O27"/>
    <mergeCell ref="G25:I25"/>
    <mergeCell ref="G13:I13"/>
    <mergeCell ref="G26:I26"/>
    <mergeCell ref="G8:I8"/>
    <mergeCell ref="G9:I9"/>
    <mergeCell ref="G10:I10"/>
    <mergeCell ref="G11:I11"/>
    <mergeCell ref="G61:I61"/>
    <mergeCell ref="G62:I62"/>
    <mergeCell ref="G63:I63"/>
    <mergeCell ref="G64:I64"/>
    <mergeCell ref="G71:I71"/>
    <mergeCell ref="B2:Q2"/>
    <mergeCell ref="D6:O6"/>
    <mergeCell ref="G59:I59"/>
    <mergeCell ref="G60:I60"/>
    <mergeCell ref="G75:I75"/>
    <mergeCell ref="G43:I43"/>
    <mergeCell ref="G42:I42"/>
    <mergeCell ref="G53:I53"/>
    <mergeCell ref="G54:I54"/>
    <mergeCell ref="G55:I55"/>
    <mergeCell ref="G33:I33"/>
    <mergeCell ref="G34:I34"/>
    <mergeCell ref="G35:I35"/>
    <mergeCell ref="G39:I39"/>
    <mergeCell ref="G40:I40"/>
    <mergeCell ref="G12:I12"/>
  </mergeCells>
  <hyperlinks>
    <hyperlink ref="F64" r:id="rId1" xr:uid="{ADAC4FE8-4F70-426A-99A6-F84A3D8EAE52}"/>
  </hyperlinks>
  <printOptions horizontalCentered="1" verticalCentered="1"/>
  <pageMargins left="0.25" right="0.25" top="0.75" bottom="0.75" header="0.3" footer="0.3"/>
  <pageSetup scale="70" orientation="landscape" r:id="rId2"/>
  <rowBreaks count="4" manualBreakCount="4">
    <brk id="35" min="4" max="14" man="1"/>
    <brk id="43" min="4" max="14" man="1"/>
    <brk id="64" min="4" max="13" man="1"/>
    <brk id="130" max="16383" man="1"/>
  </rowBreaks>
  <ignoredErrors>
    <ignoredError sqref="G26 G15"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AC6AB85C-DE0E-4E96-A382-15160659D437}">
          <x14:formula1>
            <xm:f>Datos!$B$15:$B$35</xm:f>
          </x14:formula1>
          <xm:sqref>K71 O79 M79 K79 G75 O75 M75 K75 G71 O71 M71 G79</xm:sqref>
        </x14:dataValidation>
        <x14:dataValidation type="list" allowBlank="1" showInputMessage="1" showErrorMessage="1" xr:uid="{7D635E66-60DC-492C-BEBE-5A0171D9CD77}">
          <x14:formula1>
            <xm:f>Datos!$A$3:$A$7</xm:f>
          </x14:formula1>
          <xm:sqref>G40 M40 K40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00FD-BE23-4E55-B0C3-A1AF1E1FA508}">
  <sheetPr codeName="Sheet4">
    <tabColor theme="1"/>
  </sheetPr>
  <dimension ref="B1:O38"/>
  <sheetViews>
    <sheetView showGridLines="0" zoomScale="96" zoomScaleNormal="96" workbookViewId="0"/>
  </sheetViews>
  <sheetFormatPr defaultColWidth="8.77734375" defaultRowHeight="13.8" outlineLevelRow="1" x14ac:dyDescent="0.25"/>
  <cols>
    <col min="1" max="1" width="1.77734375" style="275" customWidth="1"/>
    <col min="2" max="2" width="5.21875" style="275" customWidth="1"/>
    <col min="3" max="3" width="20" style="275" customWidth="1"/>
    <col min="4" max="4" width="12.77734375" style="275" customWidth="1"/>
    <col min="5" max="5" width="2.44140625" style="275" customWidth="1"/>
    <col min="6" max="6" width="20.44140625" style="275" customWidth="1"/>
    <col min="7" max="7" width="7" style="275" customWidth="1"/>
    <col min="8" max="8" width="20.44140625" style="275" customWidth="1"/>
    <col min="9" max="9" width="6.77734375" style="275" customWidth="1"/>
    <col min="10" max="10" width="20.44140625" style="275" customWidth="1"/>
    <col min="11" max="11" width="6.77734375" style="275" customWidth="1"/>
    <col min="12" max="12" width="20.44140625" style="275" customWidth="1"/>
    <col min="13" max="13" width="8.77734375" style="275" bestFit="1" customWidth="1"/>
    <col min="14" max="16384" width="8.77734375" style="275"/>
  </cols>
  <sheetData>
    <row r="1" spans="2:15" ht="7.95" customHeight="1" x14ac:dyDescent="0.25">
      <c r="B1" s="335"/>
      <c r="C1" s="335"/>
      <c r="D1" s="335"/>
      <c r="E1" s="335"/>
      <c r="F1" s="335"/>
      <c r="G1" s="335"/>
      <c r="H1" s="335"/>
      <c r="I1" s="335"/>
      <c r="J1" s="335"/>
      <c r="K1" s="335"/>
      <c r="L1" s="335"/>
      <c r="M1" s="335"/>
    </row>
    <row r="2" spans="2:15" ht="19.2" customHeight="1" x14ac:dyDescent="0.25">
      <c r="B2" s="398" t="s">
        <v>89</v>
      </c>
      <c r="C2" s="398"/>
      <c r="D2" s="398"/>
      <c r="E2" s="398"/>
      <c r="F2" s="398"/>
      <c r="G2" s="398"/>
      <c r="H2" s="398"/>
      <c r="I2" s="398"/>
      <c r="J2" s="398"/>
      <c r="K2" s="398"/>
      <c r="L2" s="398"/>
      <c r="M2" s="398"/>
    </row>
    <row r="3" spans="2:15" ht="7.95" customHeight="1" x14ac:dyDescent="0.25">
      <c r="B3" s="182"/>
      <c r="C3" s="498"/>
      <c r="D3" s="498"/>
      <c r="E3" s="498"/>
      <c r="F3" s="498"/>
      <c r="G3" s="498"/>
      <c r="H3" s="498"/>
      <c r="I3" s="498"/>
      <c r="J3" s="498"/>
      <c r="K3" s="498"/>
      <c r="L3" s="498"/>
      <c r="M3" s="498"/>
    </row>
    <row r="4" spans="2:15" ht="60" customHeight="1" x14ac:dyDescent="0.25">
      <c r="B4" s="182"/>
      <c r="C4" s="504" t="s">
        <v>128</v>
      </c>
      <c r="D4" s="504"/>
      <c r="E4" s="504"/>
      <c r="F4" s="504"/>
      <c r="G4" s="504"/>
      <c r="H4" s="504"/>
      <c r="I4" s="504"/>
      <c r="J4" s="504"/>
      <c r="K4" s="504"/>
      <c r="L4" s="504"/>
      <c r="M4" s="184"/>
    </row>
    <row r="5" spans="2:15" ht="7.95" customHeight="1" x14ac:dyDescent="0.25">
      <c r="B5" s="183"/>
      <c r="C5" s="183"/>
      <c r="D5" s="183"/>
      <c r="E5" s="183"/>
      <c r="F5" s="182"/>
      <c r="G5" s="182"/>
      <c r="H5" s="182"/>
      <c r="I5" s="182"/>
      <c r="J5" s="182"/>
      <c r="K5" s="182"/>
      <c r="L5" s="182"/>
      <c r="M5" s="181"/>
    </row>
    <row r="6" spans="2:15" ht="46.2" customHeight="1" x14ac:dyDescent="0.25">
      <c r="B6" s="497"/>
      <c r="C6" s="161"/>
      <c r="D6" s="161"/>
      <c r="E6" s="158"/>
      <c r="F6" s="224" t="s">
        <v>54</v>
      </c>
      <c r="G6" s="180"/>
      <c r="H6" s="223" t="s">
        <v>55</v>
      </c>
      <c r="I6" s="179"/>
      <c r="J6" s="223" t="s">
        <v>56</v>
      </c>
      <c r="K6" s="179"/>
      <c r="L6" s="224" t="s">
        <v>57</v>
      </c>
      <c r="M6" s="176"/>
    </row>
    <row r="7" spans="2:15" ht="7.95" customHeight="1" x14ac:dyDescent="0.25">
      <c r="B7" s="497"/>
      <c r="C7" s="161"/>
      <c r="D7" s="161"/>
      <c r="E7" s="158"/>
      <c r="F7" s="177"/>
      <c r="G7" s="177"/>
      <c r="H7" s="178"/>
      <c r="I7" s="178"/>
      <c r="J7" s="178"/>
      <c r="K7" s="178"/>
      <c r="L7" s="177"/>
      <c r="M7" s="176"/>
    </row>
    <row r="8" spans="2:15" ht="109.95" customHeight="1" x14ac:dyDescent="0.25">
      <c r="B8" s="497"/>
      <c r="C8" s="175"/>
      <c r="D8" s="161"/>
      <c r="E8" s="158"/>
      <c r="F8" s="326" t="str">
        <f>Resultados!F6</f>
        <v>CECOLIN
bivalente, 1 dosis/frasco, líquido</v>
      </c>
      <c r="G8" s="276"/>
      <c r="H8" s="326" t="str">
        <f>Resultados!H6</f>
        <v>WALRINVAX 
bivalente, 1 dosis/frasco, líquido</v>
      </c>
      <c r="I8" s="276"/>
      <c r="J8" s="326" t="str">
        <f>Resultados!J6</f>
        <v>GARDASIL4
tetravalente, 1 dosis/frasco, líquido</v>
      </c>
      <c r="K8" s="276"/>
      <c r="L8" s="326" t="str">
        <f>Resultados!L6</f>
        <v>Opción totalmente personalizable - introduzca el nombre aquí</v>
      </c>
      <c r="M8" s="277"/>
    </row>
    <row r="9" spans="2:15" ht="7.95" customHeight="1" x14ac:dyDescent="0.25">
      <c r="B9" s="278"/>
      <c r="C9" s="173"/>
      <c r="D9" s="173"/>
      <c r="E9" s="173"/>
      <c r="F9" s="174" t="s">
        <v>90</v>
      </c>
      <c r="G9" s="173"/>
      <c r="H9" s="172" t="s">
        <v>90</v>
      </c>
      <c r="I9" s="173"/>
      <c r="J9" s="172" t="s">
        <v>90</v>
      </c>
      <c r="K9" s="173"/>
      <c r="L9" s="172" t="s">
        <v>90</v>
      </c>
      <c r="M9" s="171"/>
      <c r="O9" s="279"/>
    </row>
    <row r="10" spans="2:15" s="282" customFormat="1" ht="40.200000000000003" customHeight="1" x14ac:dyDescent="0.25">
      <c r="B10" s="278"/>
      <c r="C10" s="500" t="s">
        <v>91</v>
      </c>
      <c r="D10" s="159" t="s">
        <v>92</v>
      </c>
      <c r="E10" s="168"/>
      <c r="F10" s="221">
        <f>Resultados!F19/1000000</f>
        <v>1.2990020037577892</v>
      </c>
      <c r="G10" s="280"/>
      <c r="H10" s="221">
        <f>Resultados!H19/1000000</f>
        <v>2.4108352475851578</v>
      </c>
      <c r="I10" s="280"/>
      <c r="J10" s="221">
        <f>Resultados!J19/1000000</f>
        <v>1.3687626252553333</v>
      </c>
      <c r="K10" s="280"/>
      <c r="L10" s="221">
        <f>IF(Panel!L8&lt;&gt;0, Resultados!L19/1000000," " )</f>
        <v>1.2990020037577892</v>
      </c>
      <c r="M10" s="281"/>
    </row>
    <row r="11" spans="2:15" s="282" customFormat="1" ht="40.200000000000003" customHeight="1" x14ac:dyDescent="0.25">
      <c r="B11" s="278"/>
      <c r="C11" s="501"/>
      <c r="D11" s="159" t="s">
        <v>93</v>
      </c>
      <c r="E11" s="168"/>
      <c r="F11" s="222">
        <f>F10/5</f>
        <v>0.25980040075155786</v>
      </c>
      <c r="G11" s="170"/>
      <c r="H11" s="222">
        <f>H10/5</f>
        <v>0.48216704951703154</v>
      </c>
      <c r="I11" s="280"/>
      <c r="J11" s="222">
        <f>J10/5</f>
        <v>0.27375252505106668</v>
      </c>
      <c r="K11" s="280"/>
      <c r="L11" s="222">
        <f>IF(Panel!L8&lt;&gt;0,L10/5, " ")</f>
        <v>0.25980040075155786</v>
      </c>
      <c r="M11" s="281"/>
    </row>
    <row r="12" spans="2:15" s="282" customFormat="1" ht="7.95" customHeight="1" x14ac:dyDescent="0.25">
      <c r="B12" s="278"/>
      <c r="C12" s="158"/>
      <c r="D12" s="160"/>
      <c r="E12" s="168"/>
      <c r="F12" s="169"/>
      <c r="G12" s="170"/>
      <c r="H12" s="169"/>
      <c r="I12" s="280"/>
      <c r="J12" s="169"/>
      <c r="K12" s="280"/>
      <c r="L12" s="169"/>
      <c r="M12" s="281"/>
    </row>
    <row r="13" spans="2:15" ht="72" customHeight="1" x14ac:dyDescent="0.25">
      <c r="B13" s="278"/>
      <c r="C13" s="326" t="s">
        <v>94</v>
      </c>
      <c r="D13" s="159" t="s">
        <v>93</v>
      </c>
      <c r="E13" s="168"/>
      <c r="F13" s="283">
        <f>AVERAGE(Resultados!F28:F32)/1000000</f>
        <v>3.7930858509727448</v>
      </c>
      <c r="G13" s="284"/>
      <c r="H13" s="283">
        <f>AVERAGE(Resultados!H28:H32)/1000000</f>
        <v>5.6895711843009718</v>
      </c>
      <c r="I13" s="167">
        <f>(H13-F13)/F13</f>
        <v>0.49998481654241211</v>
      </c>
      <c r="J13" s="283">
        <f>AVERAGE(Resultados!J28:J32)/1000000</f>
        <v>4.1062878757659993</v>
      </c>
      <c r="K13" s="167">
        <f>(J13-F13)/F13</f>
        <v>8.2571825974604093E-2</v>
      </c>
      <c r="L13" s="283">
        <f>IF(Panel!L8&lt;&gt;0,AVERAGE(Resultados!L28:L32)/1000000," ")</f>
        <v>3.8970060112733678</v>
      </c>
      <c r="M13" s="166">
        <f>(L13-F13)/F13</f>
        <v>2.7397260273972567E-2</v>
      </c>
    </row>
    <row r="14" spans="2:15" ht="7.95" customHeight="1" x14ac:dyDescent="0.25">
      <c r="B14" s="278"/>
      <c r="C14" s="161"/>
      <c r="D14" s="160"/>
      <c r="E14" s="168"/>
      <c r="F14" s="285"/>
      <c r="G14" s="284"/>
      <c r="H14" s="285"/>
      <c r="I14" s="286"/>
      <c r="J14" s="285"/>
      <c r="K14" s="167"/>
      <c r="L14" s="285"/>
      <c r="M14" s="166"/>
    </row>
    <row r="15" spans="2:15" ht="40.200000000000003" customHeight="1" x14ac:dyDescent="0.25">
      <c r="B15" s="278"/>
      <c r="C15" s="517" t="s">
        <v>129</v>
      </c>
      <c r="D15" s="159" t="s">
        <v>92</v>
      </c>
      <c r="E15" s="168"/>
      <c r="F15" s="283">
        <f>Resultados!F36/1000000</f>
        <v>6.6042296170644423</v>
      </c>
      <c r="G15" s="287"/>
      <c r="H15" s="283">
        <f>Resultados!H36/1000000</f>
        <v>12.258568761872905</v>
      </c>
      <c r="I15" s="167">
        <f>(H15-F15)/F15</f>
        <v>0.85616937518320224</v>
      </c>
      <c r="J15" s="283">
        <f>Resultados!J36/1000000</f>
        <v>6.9558231494120637</v>
      </c>
      <c r="K15" s="167">
        <f>(J15-F15)/F15</f>
        <v>5.3237629933270476E-2</v>
      </c>
      <c r="L15" s="283">
        <f>IF(Panel!L8&lt;&gt;0,Resultados!L36/1000000," ")</f>
        <v>6.6042296170644423</v>
      </c>
      <c r="M15" s="166">
        <f>(L15-F15)/F15</f>
        <v>0</v>
      </c>
    </row>
    <row r="16" spans="2:15" ht="39.6" customHeight="1" x14ac:dyDescent="0.25">
      <c r="B16" s="278"/>
      <c r="C16" s="518"/>
      <c r="D16" s="159" t="s">
        <v>93</v>
      </c>
      <c r="E16" s="168"/>
      <c r="F16" s="283">
        <f>F15/5</f>
        <v>1.3208459234128884</v>
      </c>
      <c r="G16" s="284"/>
      <c r="H16" s="283">
        <f>H15/5</f>
        <v>2.4517137523745811</v>
      </c>
      <c r="I16" s="167">
        <f>(H16-F16)/F16</f>
        <v>0.85616937518320235</v>
      </c>
      <c r="J16" s="283">
        <f>J15/5</f>
        <v>1.3911646298824127</v>
      </c>
      <c r="K16" s="167">
        <f>(J16-F16)/F16</f>
        <v>5.3237629933270511E-2</v>
      </c>
      <c r="L16" s="283">
        <f>IF(Panel!L8&lt;&gt;0,L15/5," ")</f>
        <v>1.3208459234128884</v>
      </c>
      <c r="M16" s="166">
        <f>(L16-F16)/F16</f>
        <v>0</v>
      </c>
    </row>
    <row r="17" spans="2:13" ht="7.95" customHeight="1" x14ac:dyDescent="0.25">
      <c r="B17" s="278"/>
      <c r="C17" s="158"/>
      <c r="D17" s="160"/>
      <c r="E17" s="168"/>
      <c r="F17" s="285"/>
      <c r="G17" s="284"/>
      <c r="H17" s="285"/>
      <c r="I17" s="286"/>
      <c r="J17" s="285"/>
      <c r="K17" s="167"/>
      <c r="L17" s="285"/>
      <c r="M17" s="166"/>
    </row>
    <row r="18" spans="2:13" ht="40.200000000000003" customHeight="1" x14ac:dyDescent="0.25">
      <c r="B18" s="278"/>
      <c r="C18" s="502" t="s">
        <v>130</v>
      </c>
      <c r="D18" s="159" t="s">
        <v>92</v>
      </c>
      <c r="E18" s="168"/>
      <c r="F18" s="283">
        <f>Resultados!F45/1000000</f>
        <v>7.8010393580570847</v>
      </c>
      <c r="G18" s="284"/>
      <c r="H18" s="283">
        <f>Resultados!H45/1000000</f>
        <v>14.515432117555916</v>
      </c>
      <c r="I18" s="167">
        <f>(H18-F18)/F18</f>
        <v>0.86070489473483536</v>
      </c>
      <c r="J18" s="283">
        <f>Resultados!J45/1000000</f>
        <v>8.1526328904047052</v>
      </c>
      <c r="K18" s="167">
        <f>(J18-F18)/F18</f>
        <v>4.5070088254905029E-2</v>
      </c>
      <c r="L18" s="283">
        <f>IF(Panel!L8&lt;&gt;0,Resultados!L45/1000000," ")</f>
        <v>7.8010393580570847</v>
      </c>
      <c r="M18" s="166">
        <f>(L18-F18)/F18</f>
        <v>0</v>
      </c>
    </row>
    <row r="19" spans="2:13" ht="55.2" customHeight="1" x14ac:dyDescent="0.25">
      <c r="B19" s="278"/>
      <c r="C19" s="503"/>
      <c r="D19" s="159" t="s">
        <v>93</v>
      </c>
      <c r="E19" s="168"/>
      <c r="F19" s="283">
        <f>F18/5</f>
        <v>1.5602078716114169</v>
      </c>
      <c r="G19" s="284"/>
      <c r="H19" s="283">
        <f>H18/5</f>
        <v>2.9030864235111831</v>
      </c>
      <c r="I19" s="167">
        <f>(H19-F19)/F19</f>
        <v>0.86070489473483536</v>
      </c>
      <c r="J19" s="283">
        <f>J18/5</f>
        <v>1.630526578080941</v>
      </c>
      <c r="K19" s="167">
        <f>(J19-F19)/F19</f>
        <v>4.5070088254905029E-2</v>
      </c>
      <c r="L19" s="283">
        <f>IF(Panel!L8&lt;&gt;0,L18/5," ")</f>
        <v>1.5602078716114169</v>
      </c>
      <c r="M19" s="166">
        <f>(L19-F19)/F19</f>
        <v>0</v>
      </c>
    </row>
    <row r="20" spans="2:13" ht="21" customHeight="1" x14ac:dyDescent="0.25">
      <c r="B20" s="278"/>
      <c r="C20" s="499" t="s">
        <v>96</v>
      </c>
      <c r="D20" s="499"/>
      <c r="E20" s="499"/>
      <c r="F20" s="499"/>
      <c r="G20" s="499"/>
      <c r="H20" s="499"/>
      <c r="I20" s="499"/>
      <c r="J20" s="499"/>
      <c r="K20" s="499"/>
      <c r="L20" s="499"/>
      <c r="M20" s="499"/>
    </row>
    <row r="21" spans="2:13" ht="17.399999999999999" x14ac:dyDescent="0.25">
      <c r="C21" s="165"/>
      <c r="D21" s="165"/>
      <c r="E21" s="165"/>
      <c r="F21" s="165"/>
      <c r="G21" s="165"/>
      <c r="H21" s="165"/>
      <c r="I21" s="165"/>
      <c r="J21" s="103"/>
      <c r="K21" s="103"/>
      <c r="L21" s="165"/>
      <c r="M21" s="165"/>
    </row>
    <row r="22" spans="2:13" ht="15.6" x14ac:dyDescent="0.25">
      <c r="B22" s="278"/>
      <c r="C22" s="164"/>
      <c r="D22" s="164"/>
      <c r="E22" s="164"/>
      <c r="F22" s="288"/>
      <c r="G22" s="288"/>
      <c r="H22" s="288"/>
      <c r="I22" s="288"/>
      <c r="J22" s="288"/>
      <c r="K22" s="288"/>
      <c r="L22" s="288"/>
      <c r="M22" s="288"/>
    </row>
    <row r="23" spans="2:13" ht="31.95" customHeight="1" x14ac:dyDescent="0.25">
      <c r="B23" s="278"/>
      <c r="C23" s="505" t="s">
        <v>131</v>
      </c>
      <c r="D23" s="505"/>
      <c r="E23" s="505"/>
      <c r="F23" s="505"/>
      <c r="G23" s="505"/>
      <c r="H23" s="505"/>
      <c r="I23" s="505"/>
      <c r="J23" s="505"/>
      <c r="K23" s="505"/>
      <c r="L23" s="505"/>
      <c r="M23" s="156"/>
    </row>
    <row r="24" spans="2:13" ht="27" customHeight="1" x14ac:dyDescent="0.25">
      <c r="B24" s="278"/>
      <c r="C24" s="496" t="s">
        <v>97</v>
      </c>
      <c r="D24" s="496"/>
      <c r="E24" s="496"/>
      <c r="F24" s="496"/>
      <c r="G24" s="496"/>
      <c r="H24" s="496"/>
      <c r="I24" s="496"/>
      <c r="J24" s="496"/>
      <c r="K24" s="156"/>
      <c r="L24" s="156"/>
      <c r="M24" s="156"/>
    </row>
    <row r="25" spans="2:13" ht="34.200000000000003" hidden="1" customHeight="1" outlineLevel="1" x14ac:dyDescent="0.25">
      <c r="B25" s="278"/>
      <c r="C25" s="158"/>
      <c r="D25" s="158"/>
      <c r="E25" s="158"/>
      <c r="F25" s="163" t="s">
        <v>84</v>
      </c>
      <c r="G25" s="162"/>
      <c r="H25" s="163" t="s">
        <v>86</v>
      </c>
      <c r="I25" s="162"/>
      <c r="J25" s="163" t="s">
        <v>87</v>
      </c>
      <c r="K25" s="156"/>
      <c r="L25" s="156"/>
      <c r="M25" s="156"/>
    </row>
    <row r="26" spans="2:13" ht="7.95" hidden="1" customHeight="1" outlineLevel="1" x14ac:dyDescent="0.25">
      <c r="B26" s="278"/>
      <c r="C26" s="158"/>
      <c r="D26" s="158"/>
      <c r="E26" s="158"/>
      <c r="F26" s="156"/>
      <c r="G26" s="156"/>
      <c r="H26" s="156"/>
      <c r="I26" s="156"/>
      <c r="J26" s="156"/>
      <c r="K26" s="156"/>
      <c r="L26" s="156"/>
      <c r="M26" s="156"/>
    </row>
    <row r="27" spans="2:13" ht="40.200000000000003" hidden="1" customHeight="1" outlineLevel="1" x14ac:dyDescent="0.25">
      <c r="B27" s="278"/>
      <c r="C27" s="506" t="s">
        <v>91</v>
      </c>
      <c r="D27" s="159" t="s">
        <v>92</v>
      </c>
      <c r="E27" s="158"/>
      <c r="F27" s="289">
        <f>('Datos del Modelo'!$G71*Resultados!$F19+'Datos del Modelo'!$K71*Resultados!$H19+'Datos del Modelo'!$M71*Resultados!$J19+'Datos del Modelo'!$O71*Resultados!$L19)/1000000</f>
        <v>1.6499921322803861</v>
      </c>
      <c r="G27" s="157"/>
      <c r="H27" s="289">
        <f>('Datos del Modelo'!$G75*Resultados!$F19+'Datos del Modelo'!$K75*Resultados!$H19+'Datos del Modelo'!$M75*Resultados!$J19+'Datos del Modelo'!$O75*Resultados!$L19)/1000000</f>
        <v>1.667432287654772</v>
      </c>
      <c r="I27" s="157"/>
      <c r="J27" s="289">
        <f>('Datos del Modelo'!$G79*Resultados!$F19+'Datos del Modelo'!$K79*Resultados!$H19+'Datos del Modelo'!$M79*Resultados!$J19+'Datos del Modelo'!$O79*Resultados!$L19)/1000000</f>
        <v>1.3338823145065613</v>
      </c>
      <c r="K27" s="156"/>
      <c r="L27" s="156"/>
      <c r="M27" s="156"/>
    </row>
    <row r="28" spans="2:13" ht="40.200000000000003" hidden="1" customHeight="1" outlineLevel="1" x14ac:dyDescent="0.25">
      <c r="B28" s="278"/>
      <c r="C28" s="506"/>
      <c r="D28" s="159" t="s">
        <v>93</v>
      </c>
      <c r="E28" s="158"/>
      <c r="F28" s="290">
        <f>F27/5</f>
        <v>0.32999842645607724</v>
      </c>
      <c r="G28" s="157"/>
      <c r="H28" s="290">
        <f>H27/5</f>
        <v>0.33348645753095441</v>
      </c>
      <c r="I28" s="157"/>
      <c r="J28" s="290">
        <f>J27/5</f>
        <v>0.26677646290131224</v>
      </c>
      <c r="K28" s="156"/>
      <c r="L28" s="156"/>
      <c r="M28" s="156"/>
    </row>
    <row r="29" spans="2:13" ht="7.95" hidden="1" customHeight="1" outlineLevel="1" x14ac:dyDescent="0.25">
      <c r="B29" s="278"/>
      <c r="C29" s="158"/>
      <c r="D29" s="160"/>
      <c r="E29" s="158"/>
      <c r="F29" s="291"/>
      <c r="G29" s="157"/>
      <c r="H29" s="291"/>
      <c r="I29" s="157"/>
      <c r="J29" s="291"/>
      <c r="K29" s="156"/>
      <c r="L29" s="156"/>
      <c r="M29" s="156"/>
    </row>
    <row r="30" spans="2:13" ht="72" hidden="1" customHeight="1" outlineLevel="1" x14ac:dyDescent="0.25">
      <c r="B30" s="278"/>
      <c r="C30" s="326" t="s">
        <v>94</v>
      </c>
      <c r="D30" s="159" t="s">
        <v>93</v>
      </c>
      <c r="E30" s="158"/>
      <c r="F30" s="290">
        <f>('Datos del Modelo'!$G71*SUM(Resultados!$F28:$F32)/5+'Datos del Modelo'!$K71*SUM(Resultados!$H28:$H32)/5+'Datos del Modelo'!$M71*SUM(Resultados!$J28:$J32)/5+'Datos del Modelo'!$O71*SUM(Resultados!$L28:$L32)/5)/1000000</f>
        <v>4.4663119972446834</v>
      </c>
      <c r="G30" s="157"/>
      <c r="H30" s="290">
        <f>('Datos del Modelo'!$G75*SUM(Resultados!$F28:$F32)/5+'Datos del Modelo'!$K75*SUM(Resultados!$H28:$H32)/5+'Datos del Modelo'!$M75*SUM(Resultados!$J28:$J32)/5+'Datos del Modelo'!$O75*SUM(Resultados!$L28:$L32)/5)/1000000</f>
        <v>4.5186324633678403</v>
      </c>
      <c r="I30" s="157"/>
      <c r="J30" s="290">
        <f>('Datos del Modelo'!$G79*SUM(Resultados!$F28:$F32)/5+'Datos del Modelo'!$K79*SUM(Resultados!$H28:$H32)/5+'Datos del Modelo'!$M79*SUM(Resultados!$J28:$J32)/5+'Datos del Modelo'!$O79*SUM(Resultados!$L28:$L32)/5)/1000000</f>
        <v>3.9496868633693718</v>
      </c>
      <c r="K30" s="156"/>
      <c r="L30" s="156"/>
      <c r="M30" s="156"/>
    </row>
    <row r="31" spans="2:13" ht="7.95" hidden="1" customHeight="1" outlineLevel="1" x14ac:dyDescent="0.25">
      <c r="B31" s="278"/>
      <c r="C31" s="161"/>
      <c r="D31" s="160"/>
      <c r="E31" s="158"/>
      <c r="F31" s="291"/>
      <c r="G31" s="157"/>
      <c r="H31" s="291"/>
      <c r="I31" s="157"/>
      <c r="J31" s="291"/>
      <c r="K31" s="156"/>
      <c r="L31" s="156"/>
      <c r="M31" s="156"/>
    </row>
    <row r="32" spans="2:13" ht="40.200000000000003" hidden="1" customHeight="1" outlineLevel="1" x14ac:dyDescent="0.25">
      <c r="B32" s="278"/>
      <c r="C32" s="495" t="s">
        <v>95</v>
      </c>
      <c r="D32" s="159" t="s">
        <v>92</v>
      </c>
      <c r="E32" s="158"/>
      <c r="F32" s="346">
        <f>('Datos del Modelo'!$G71*Resultados!F36+'Datos del Modelo'!$K71*Resultados!H36+'Datos del Modelo'!$M71*Resultados!J36+'Datos del Modelo'!$O71*Resultados!L36)/1000000</f>
        <v>8.3884297435938855</v>
      </c>
      <c r="G32" s="157"/>
      <c r="H32" s="346">
        <f>('Datos del Modelo'!$G75*Resultados!F36+'Datos del Modelo'!$K75*Resultados!H36+'Datos del Modelo'!$M75*Resultados!J36+'Datos del Modelo'!$O75*Resultados!L36)/1000000</f>
        <v>8.4763281266807908</v>
      </c>
      <c r="I32" s="157"/>
      <c r="J32" s="346">
        <f>('Datos del Modelo'!$G79*Resultados!F36+'Datos del Modelo'!$K79*Resultados!H36+'Datos del Modelo'!$M79*Resultados!J36+'Datos del Modelo'!$O79*Resultados!L36)/1000000</f>
        <v>6.780026383238253</v>
      </c>
      <c r="K32" s="156"/>
      <c r="L32" s="156"/>
      <c r="M32" s="156"/>
    </row>
    <row r="33" spans="2:13" ht="40.200000000000003" hidden="1" customHeight="1" outlineLevel="1" x14ac:dyDescent="0.25">
      <c r="B33" s="278"/>
      <c r="C33" s="495"/>
      <c r="D33" s="159" t="s">
        <v>93</v>
      </c>
      <c r="E33" s="158"/>
      <c r="F33" s="346">
        <f>F32/5</f>
        <v>1.6776859487187772</v>
      </c>
      <c r="G33" s="157"/>
      <c r="H33" s="346">
        <f>H32/5</f>
        <v>1.6952656253361582</v>
      </c>
      <c r="I33" s="157"/>
      <c r="J33" s="346">
        <f>J32/5</f>
        <v>1.3560052766476507</v>
      </c>
      <c r="K33" s="156"/>
      <c r="L33" s="156"/>
      <c r="M33" s="156"/>
    </row>
    <row r="34" spans="2:13" ht="7.95" hidden="1" customHeight="1" outlineLevel="1" x14ac:dyDescent="0.25">
      <c r="B34" s="278"/>
      <c r="C34" s="158"/>
      <c r="D34" s="160"/>
      <c r="E34" s="158"/>
      <c r="F34" s="157"/>
      <c r="G34" s="157"/>
      <c r="H34" s="157"/>
      <c r="I34" s="157"/>
      <c r="J34" s="157"/>
      <c r="K34" s="156"/>
      <c r="L34" s="156"/>
      <c r="M34" s="156"/>
    </row>
    <row r="35" spans="2:13" ht="40.200000000000003" hidden="1" customHeight="1" outlineLevel="1" x14ac:dyDescent="0.25">
      <c r="B35" s="278"/>
      <c r="C35" s="495" t="s">
        <v>132</v>
      </c>
      <c r="D35" s="159" t="s">
        <v>92</v>
      </c>
      <c r="E35" s="158"/>
      <c r="F35" s="347">
        <f>('Datos del Modelo'!$G71*Resultados!F45+'Datos del Modelo'!$K71*Resultados!H45+'Datos del Modelo'!$M71*Resultados!J45+'Datos del Modelo'!O$71*Resultados!L45)/1000000</f>
        <v>9.9032555689936395</v>
      </c>
      <c r="G35" s="157"/>
      <c r="H35" s="347">
        <f>('Datos del Modelo'!$G75*Resultados!F45+'Datos del Modelo'!$K75*Resultados!H45+'Datos del Modelo'!$M75*Resultados!J45+'Datos del Modelo'!$O75*Resultados!L45)/1000000</f>
        <v>9.9911539520805448</v>
      </c>
      <c r="I35" s="157"/>
      <c r="J35" s="347">
        <f>('Datos del Modelo'!$G79*Resultados!F45+'Datos del Modelo'!$K79*Resultados!H45+'Datos del Modelo'!$M79*Resultados!J45+'Datos del Modelo'!$O79*Resultados!L45)/1000000</f>
        <v>7.9768361242308954</v>
      </c>
      <c r="K35" s="156"/>
      <c r="L35" s="156"/>
      <c r="M35" s="156"/>
    </row>
    <row r="36" spans="2:13" ht="46.5" hidden="1" customHeight="1" outlineLevel="1" x14ac:dyDescent="0.25">
      <c r="B36" s="278"/>
      <c r="C36" s="495"/>
      <c r="D36" s="159" t="s">
        <v>93</v>
      </c>
      <c r="E36" s="158"/>
      <c r="F36" s="346">
        <f>F35/5</f>
        <v>1.9806511137987279</v>
      </c>
      <c r="G36" s="157"/>
      <c r="H36" s="346">
        <f>H35/5</f>
        <v>1.998230790416109</v>
      </c>
      <c r="I36" s="157"/>
      <c r="J36" s="346">
        <f>J35/5</f>
        <v>1.595367224846179</v>
      </c>
      <c r="K36" s="156"/>
      <c r="L36" s="156"/>
      <c r="M36" s="156"/>
    </row>
    <row r="37" spans="2:13" hidden="1" outlineLevel="1" x14ac:dyDescent="0.25">
      <c r="B37" s="278"/>
      <c r="C37" s="278"/>
      <c r="D37" s="278"/>
      <c r="E37" s="278"/>
      <c r="F37" s="278"/>
      <c r="G37" s="278"/>
      <c r="H37" s="278"/>
      <c r="I37" s="278"/>
      <c r="J37" s="278"/>
      <c r="K37" s="278"/>
      <c r="L37" s="278"/>
      <c r="M37" s="278"/>
    </row>
    <row r="38" spans="2:13" collapsed="1" x14ac:dyDescent="0.25"/>
  </sheetData>
  <sheetProtection algorithmName="SHA-512" hashValue="+AXLOW7fERT08/bAY+EIb9leeT7etxHFE858BKsjR+lPliwdoDz5G8j3FXIY3GnO/W7DRRNHvdQxjEnZYGWf8g==" saltValue="9hme0sDObGugJOf/iS3rRQ==" spinCount="100000" sheet="1" formatRows="0"/>
  <mergeCells count="13">
    <mergeCell ref="C32:C33"/>
    <mergeCell ref="C35:C36"/>
    <mergeCell ref="C24:J24"/>
    <mergeCell ref="B2:M2"/>
    <mergeCell ref="B6:B8"/>
    <mergeCell ref="C3:M3"/>
    <mergeCell ref="C20:M20"/>
    <mergeCell ref="C10:C11"/>
    <mergeCell ref="C15:C16"/>
    <mergeCell ref="C18:C19"/>
    <mergeCell ref="C4:L4"/>
    <mergeCell ref="C23:L23"/>
    <mergeCell ref="C27:C28"/>
  </mergeCells>
  <conditionalFormatting sqref="F13 H13 J13 L13">
    <cfRule type="colorScale" priority="6">
      <colorScale>
        <cfvo type="min"/>
        <cfvo type="percentile" val="50"/>
        <cfvo type="max"/>
        <color rgb="FF00BB6B"/>
        <color rgb="FFE2E278"/>
        <color theme="3"/>
      </colorScale>
    </cfRule>
  </conditionalFormatting>
  <conditionalFormatting sqref="F30 H30 J30">
    <cfRule type="colorScale" priority="3">
      <colorScale>
        <cfvo type="min"/>
        <cfvo type="percentile" val="50"/>
        <cfvo type="max"/>
        <color rgb="FF00BB6B"/>
        <color rgb="FFE2E278"/>
        <color theme="3"/>
      </colorScale>
    </cfRule>
  </conditionalFormatting>
  <conditionalFormatting sqref="F32 H32 J32">
    <cfRule type="colorScale" priority="2">
      <colorScale>
        <cfvo type="min"/>
        <cfvo type="percentile" val="50"/>
        <cfvo type="max"/>
        <color rgb="FF00BB6B"/>
        <color rgb="FFE2E278"/>
        <color theme="3"/>
      </colorScale>
    </cfRule>
    <cfRule type="colorScale" priority="12">
      <colorScale>
        <cfvo type="min"/>
        <cfvo type="max"/>
        <color rgb="FF00BB6B"/>
        <color rgb="FFE2E278"/>
      </colorScale>
    </cfRule>
  </conditionalFormatting>
  <conditionalFormatting sqref="F35 H35 J35">
    <cfRule type="colorScale" priority="1">
      <colorScale>
        <cfvo type="min"/>
        <cfvo type="percentile" val="50"/>
        <cfvo type="max"/>
        <color rgb="FF00BB6B"/>
        <color rgb="FFE2E278"/>
        <color theme="3"/>
      </colorScale>
    </cfRule>
    <cfRule type="colorScale" priority="11">
      <colorScale>
        <cfvo type="min"/>
        <cfvo type="max"/>
        <color rgb="FF00BB6B"/>
        <color rgb="FFE2E278"/>
      </colorScale>
    </cfRule>
  </conditionalFormatting>
  <conditionalFormatting sqref="H13:H14 F13:F14 J13:J14 L13:L14">
    <cfRule type="colorScale" priority="9">
      <colorScale>
        <cfvo type="min"/>
        <cfvo type="max"/>
        <color rgb="FF00BB6B"/>
        <color rgb="FFE2E278"/>
      </colorScale>
    </cfRule>
  </conditionalFormatting>
  <conditionalFormatting sqref="H15 F15 J15 L15">
    <cfRule type="colorScale" priority="5">
      <colorScale>
        <cfvo type="min"/>
        <cfvo type="percentile" val="50"/>
        <cfvo type="max"/>
        <color rgb="FF00BB6B"/>
        <color rgb="FFE2E278"/>
        <color theme="3"/>
      </colorScale>
    </cfRule>
    <cfRule type="colorScale" priority="8">
      <colorScale>
        <cfvo type="min"/>
        <cfvo type="max"/>
        <color rgb="FF00BB6B"/>
        <color rgb="FFE2E278"/>
      </colorScale>
    </cfRule>
  </conditionalFormatting>
  <conditionalFormatting sqref="H18 F18 J18 L18">
    <cfRule type="colorScale" priority="4">
      <colorScale>
        <cfvo type="min"/>
        <cfvo type="percentile" val="50"/>
        <cfvo type="max"/>
        <color rgb="FF00BB6B"/>
        <color rgb="FFE2E278"/>
        <color theme="3"/>
      </colorScale>
    </cfRule>
    <cfRule type="colorScale" priority="7">
      <colorScale>
        <cfvo type="min"/>
        <cfvo type="max"/>
        <color rgb="FF00BB6B"/>
        <color rgb="FFE2E278"/>
      </colorScale>
    </cfRule>
  </conditionalFormatting>
  <conditionalFormatting sqref="H30:H31 F30:F31 J30:J31">
    <cfRule type="colorScale" priority="13">
      <colorScale>
        <cfvo type="min"/>
        <cfvo type="max"/>
        <color rgb="FF00BB6B"/>
        <color rgb="FFE2E278"/>
      </colorScale>
    </cfRule>
  </conditionalFormatting>
  <conditionalFormatting sqref="L12">
    <cfRule type="colorScale" priority="10">
      <colorScale>
        <cfvo type="min"/>
        <cfvo type="max"/>
        <color rgb="FF00BB6B"/>
        <color rgb="FFE2E278"/>
      </colorScale>
    </cfRule>
  </conditionalFormatting>
  <conditionalFormatting sqref="M13 M15:M16 M18:M19">
    <cfRule type="containsErrors" dxfId="0" priority="14">
      <formula>ISERROR(M13)</formula>
    </cfRule>
  </conditionalFormatting>
  <pageMargins left="0.25" right="0.25" top="0.75" bottom="0.75" header="0.3" footer="0.3"/>
  <pageSetup scale="70" orientation="landscape" r:id="rId1"/>
  <rowBreaks count="1" manualBreakCount="1">
    <brk id="20" min="1" max="11" man="1"/>
  </rowBreaks>
  <ignoredErrors>
    <ignoredError sqref="I16 I19"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31D9-9774-48E7-B15E-69D1D11928FD}">
  <sheetPr codeName="Sheet5">
    <tabColor theme="9"/>
  </sheetPr>
  <dimension ref="A1:O51"/>
  <sheetViews>
    <sheetView zoomScaleNormal="100" workbookViewId="0"/>
  </sheetViews>
  <sheetFormatPr defaultColWidth="8.77734375" defaultRowHeight="13.8" x14ac:dyDescent="0.25"/>
  <cols>
    <col min="1" max="1" width="2.44140625" style="185" customWidth="1"/>
    <col min="2" max="3" width="5.77734375" style="185" customWidth="1"/>
    <col min="4" max="4" width="20.44140625" style="185" customWidth="1"/>
    <col min="5" max="5" width="1.44140625" style="185" customWidth="1"/>
    <col min="6" max="6" width="22.44140625" style="185" customWidth="1"/>
    <col min="7" max="7" width="1.44140625" style="185" customWidth="1"/>
    <col min="8" max="8" width="22.44140625" style="185" customWidth="1"/>
    <col min="9" max="9" width="1.44140625" style="185" customWidth="1"/>
    <col min="10" max="10" width="22.44140625" style="185" customWidth="1"/>
    <col min="11" max="11" width="1.44140625" style="185" customWidth="1"/>
    <col min="12" max="12" width="22.44140625" style="185" customWidth="1"/>
    <col min="13" max="14" width="5.77734375" style="185" customWidth="1"/>
    <col min="15" max="17" width="10.44140625" style="185" bestFit="1" customWidth="1"/>
    <col min="18" max="16384" width="8.77734375" style="185"/>
  </cols>
  <sheetData>
    <row r="1" spans="1:15" ht="7.95" customHeight="1" x14ac:dyDescent="0.25">
      <c r="B1" s="509"/>
      <c r="C1" s="509"/>
      <c r="D1" s="509"/>
      <c r="E1" s="509"/>
      <c r="F1" s="509"/>
      <c r="G1" s="509"/>
      <c r="H1" s="509"/>
      <c r="I1" s="509"/>
      <c r="J1" s="509"/>
      <c r="K1" s="509"/>
      <c r="L1" s="509"/>
      <c r="M1" s="509"/>
      <c r="N1" s="336"/>
    </row>
    <row r="2" spans="1:15" ht="19.2" customHeight="1" x14ac:dyDescent="0.25">
      <c r="A2" s="398" t="s">
        <v>98</v>
      </c>
      <c r="B2" s="398"/>
      <c r="C2" s="398"/>
      <c r="D2" s="398"/>
      <c r="E2" s="398"/>
      <c r="F2" s="398"/>
      <c r="G2" s="398"/>
      <c r="H2" s="398"/>
      <c r="I2" s="398"/>
      <c r="J2" s="398"/>
      <c r="K2" s="398"/>
      <c r="L2" s="398"/>
      <c r="M2" s="398"/>
      <c r="N2" s="398"/>
      <c r="O2" s="321"/>
    </row>
    <row r="3" spans="1:15" ht="14.7" customHeight="1" x14ac:dyDescent="0.25">
      <c r="B3" s="190"/>
      <c r="C3" s="190"/>
      <c r="D3" s="510"/>
      <c r="E3" s="510"/>
      <c r="F3" s="510"/>
      <c r="G3" s="510"/>
      <c r="H3" s="510"/>
      <c r="I3" s="510"/>
      <c r="J3" s="510"/>
      <c r="K3" s="510"/>
      <c r="L3" s="510"/>
      <c r="M3" s="329"/>
      <c r="N3" s="329"/>
    </row>
    <row r="4" spans="1:15" ht="60" customHeight="1" x14ac:dyDescent="0.25">
      <c r="B4" s="190"/>
      <c r="C4" s="219"/>
      <c r="D4" s="514" t="s">
        <v>99</v>
      </c>
      <c r="E4" s="514"/>
      <c r="F4" s="514"/>
      <c r="G4" s="514"/>
      <c r="H4" s="514"/>
      <c r="I4" s="514"/>
      <c r="J4" s="514"/>
      <c r="K4" s="514"/>
      <c r="L4" s="514"/>
      <c r="M4" s="220"/>
      <c r="N4" s="329"/>
    </row>
    <row r="5" spans="1:15" ht="14.7" customHeight="1" x14ac:dyDescent="0.25">
      <c r="B5" s="190"/>
      <c r="C5" s="190"/>
      <c r="D5" s="329"/>
      <c r="E5" s="329"/>
      <c r="F5" s="329"/>
      <c r="G5" s="329"/>
      <c r="H5" s="329"/>
      <c r="I5" s="329"/>
      <c r="J5" s="329"/>
      <c r="K5" s="329"/>
      <c r="L5" s="186"/>
      <c r="M5" s="186"/>
      <c r="N5" s="186"/>
    </row>
    <row r="6" spans="1:15" s="212" customFormat="1" ht="121.2" customHeight="1" x14ac:dyDescent="0.25">
      <c r="B6" s="215"/>
      <c r="C6" s="215"/>
      <c r="D6" s="214"/>
      <c r="E6" s="214"/>
      <c r="F6" s="326" t="str">
        <f>'Datos del Modelo'!G40</f>
        <v>CECOLIN
bivalente, 1 dosis/frasco, líquido</v>
      </c>
      <c r="G6" s="194"/>
      <c r="H6" s="326" t="str">
        <f>'Datos del Modelo'!K40</f>
        <v>WALRINVAX 
bivalente, 1 dosis/frasco, líquido</v>
      </c>
      <c r="I6" s="194"/>
      <c r="J6" s="326" t="str">
        <f>'Datos del Modelo'!M40</f>
        <v>GARDASIL4
tetravalente, 1 dosis/frasco, líquido</v>
      </c>
      <c r="K6" s="194"/>
      <c r="L6" s="326" t="str">
        <f>'Datos del Modelo'!O40</f>
        <v>Opción totalmente personalizable - introduzca el nombre aquí</v>
      </c>
      <c r="M6" s="213"/>
      <c r="N6" s="213"/>
    </row>
    <row r="7" spans="1:15" ht="15" customHeight="1" x14ac:dyDescent="0.25">
      <c r="B7" s="190"/>
      <c r="C7" s="190"/>
      <c r="D7" s="198"/>
      <c r="E7" s="198"/>
      <c r="F7" s="198"/>
      <c r="G7" s="198"/>
      <c r="H7" s="198"/>
      <c r="I7" s="198"/>
      <c r="J7" s="198"/>
      <c r="K7" s="198"/>
      <c r="L7" s="198"/>
      <c r="M7" s="186"/>
      <c r="N7" s="186"/>
    </row>
    <row r="8" spans="1:15" ht="40.950000000000003" customHeight="1" x14ac:dyDescent="0.25">
      <c r="B8" s="190"/>
      <c r="C8" s="190"/>
      <c r="D8" s="511" t="s">
        <v>100</v>
      </c>
      <c r="E8" s="511"/>
      <c r="F8" s="511"/>
      <c r="G8" s="511"/>
      <c r="H8" s="511"/>
      <c r="I8" s="511"/>
      <c r="J8" s="511"/>
      <c r="K8" s="511"/>
      <c r="L8" s="511"/>
      <c r="M8" s="186"/>
      <c r="N8" s="186"/>
    </row>
    <row r="9" spans="1:15" ht="7.95" customHeight="1" x14ac:dyDescent="0.25">
      <c r="B9" s="190"/>
      <c r="C9" s="190"/>
      <c r="D9" s="211"/>
      <c r="E9" s="211"/>
      <c r="F9" s="211"/>
      <c r="G9" s="211"/>
      <c r="H9" s="211"/>
      <c r="I9" s="211"/>
      <c r="J9" s="211"/>
      <c r="K9" s="211"/>
      <c r="L9" s="211"/>
      <c r="M9" s="186"/>
      <c r="N9" s="186"/>
    </row>
    <row r="10" spans="1:15" ht="34.950000000000003" customHeight="1" x14ac:dyDescent="0.25">
      <c r="B10" s="190"/>
      <c r="C10" s="190"/>
      <c r="D10" s="210" t="s">
        <v>101</v>
      </c>
      <c r="E10" s="209"/>
      <c r="F10" s="207">
        <f>SUM(F11:F15)</f>
        <v>1192906.6276080001</v>
      </c>
      <c r="G10" s="208"/>
      <c r="H10" s="207">
        <f>SUM(H11:H15)</f>
        <v>2249148.2092439998</v>
      </c>
      <c r="I10" s="208"/>
      <c r="J10" s="207">
        <f>SUM(J11:J15)</f>
        <v>1192906.6276080001</v>
      </c>
      <c r="K10" s="208"/>
      <c r="L10" s="207">
        <f>SUM(L11:L15)</f>
        <v>1192906.6276080001</v>
      </c>
      <c r="M10" s="186"/>
      <c r="N10" s="186"/>
    </row>
    <row r="11" spans="1:15" ht="15.6" x14ac:dyDescent="0.25">
      <c r="B11" s="190"/>
      <c r="C11" s="190"/>
      <c r="D11" s="189">
        <f>'Datos del Modelo'!$G$8</f>
        <v>2026</v>
      </c>
      <c r="E11" s="188"/>
      <c r="F11" s="199">
        <f>IF('Datos del Modelo'!G$44=2,(('Datos del Modelo'!$G$10*(1+'Datos del Modelo'!$G$13)^(D11-'Datos del Modelo'!$G$8))*(SUM('Datos del Modelo'!$G$16*'Datos del Modelo'!$G$17,'Datos del Modelo'!$G$19*'Datos del Modelo'!$G$20,'Datos del Modelo'!$G$22*'Datos del Modelo'!$G$23))+('Datos del Modelo'!$G$10*(1+'Datos del Modelo'!$G$13)^(D11-'Datos del Modelo'!$G$8))*(SUM('Datos del Modelo'!$G$16*'Datos del Modelo'!$G$18,'Datos del Modelo'!$G$19*'Datos del Modelo'!$G$21,'Datos del Modelo'!$G$22*'Datos del Modelo'!$G$24)))+(('Datos del Modelo'!$G$11*(1+'Datos del Modelo'!$G$13)^(D11-'Datos del Modelo'!$G$8))*(SUM('Datos del Modelo'!$H$16*'Datos del Modelo'!$H$17,'Datos del Modelo'!$H$19*'Datos del Modelo'!$H$20,'Datos del Modelo'!$H$22*'Datos del Modelo'!$H$23))+('Datos del Modelo'!$G$11*(1+'Datos del Modelo'!$G$13)^(D11-'Datos del Modelo'!$G$8))*(SUM('Datos del Modelo'!$H$16*'Datos del Modelo'!$H$18,'Datos del Modelo'!$H$19*'Datos del Modelo'!$H$21,'Datos del Modelo'!$H$22*'Datos del Modelo'!$H$24)))+(('Datos del Modelo'!$G$12*(1+'Datos del Modelo'!$G$13)^(D11-'Datos del Modelo'!$G$8))*(SUM('Datos del Modelo'!$I$16*'Datos del Modelo'!$I$17,'Datos del Modelo'!$I$19*'Datos del Modelo'!$I$20,'Datos del Modelo'!$I$22*'Datos del Modelo'!$I$23))+('Datos del Modelo'!$G$12*(1+'Datos del Modelo'!$G$13)^(D11-'Datos del Modelo'!$G$8))*(SUM('Datos del Modelo'!$I$16*'Datos del Modelo'!$I$18,'Datos del Modelo'!$I$19*'Datos del Modelo'!$I$21,'Datos del Modelo'!$I$22*'Datos del Modelo'!$I$24))),('Datos del Modelo'!$G$10*(1+'Datos del Modelo'!$G$13)^(D11-'Datos del Modelo'!$G$8))*(SUM('Datos del Modelo'!$G$16*'Datos del Modelo'!$G$17,'Datos del Modelo'!$G$19*'Datos del Modelo'!$G$20,'Datos del Modelo'!$G$22*'Datos del Modelo'!$G$23))+('Datos del Modelo'!$G$11*(1+'Datos del Modelo'!$G$13)^(D11-'Datos del Modelo'!$G$8))*(SUM('Datos del Modelo'!$H$16*'Datos del Modelo'!$H$17,'Datos del Modelo'!$H$19*'Datos del Modelo'!$H$20,'Datos del Modelo'!$H$22*'Datos del Modelo'!$H$23))+('Datos del Modelo'!$G$12*(1+'Datos del Modelo'!$G$13)^(D11-'Datos del Modelo'!$G$8))*(SUM('Datos del Modelo'!$I$16*'Datos del Modelo'!$I$17,'Datos del Modelo'!$I$19*'Datos del Modelo'!$I$20,'Datos del Modelo'!$I$22*'Datos del Modelo'!$I$23)))+IF('Datos del Modelo'!G$44=2,(('Datos del Modelo'!$G$25*SUM('Datos del Modelo'!$G$27*'Datos del Modelo'!$G$28,'Datos del Modelo'!$G$30*'Datos del Modelo'!$G$31,'Datos del Modelo'!$G$33*'Datos del Modelo'!$G$34))+('Datos del Modelo'!$G$25*SUM('Datos del Modelo'!$G$27*'Datos del Modelo'!$G$29,'Datos del Modelo'!$G$30*'Datos del Modelo'!$G$32,'Datos del Modelo'!$G$33*'Datos del Modelo'!$G$35))),('Datos del Modelo'!$G$25*SUM('Datos del Modelo'!$G$27*'Datos del Modelo'!$G$28,'Datos del Modelo'!$G$30*'Datos del Modelo'!$G$31,'Datos del Modelo'!$G$33*'Datos del Modelo'!$G$34)))</f>
        <v>520050</v>
      </c>
      <c r="G11" s="200"/>
      <c r="H11" s="199">
        <f>IF('Datos del Modelo'!K$44=2,(('Datos del Modelo'!$G$10*(1+'Datos del Modelo'!$G$13)^($D11-'Datos del Modelo'!$G$8))*(SUM('Datos del Modelo'!$G$16*'Datos del Modelo'!$G$17,'Datos del Modelo'!$G$19*'Datos del Modelo'!$G$20,'Datos del Modelo'!$G$22*'Datos del Modelo'!$G$23))+('Datos del Modelo'!$G$10*(1+'Datos del Modelo'!$G$13)^($D11-'Datos del Modelo'!$G$8))*(SUM('Datos del Modelo'!$G$16*'Datos del Modelo'!$G$18,'Datos del Modelo'!$G$19*'Datos del Modelo'!$G$21,'Datos del Modelo'!$G$22*'Datos del Modelo'!$G$24)))+(('Datos del Modelo'!$G$11*(1+'Datos del Modelo'!$G$13)^($D11-'Datos del Modelo'!$G$8))*(SUM('Datos del Modelo'!$H$16*'Datos del Modelo'!$H$17,'Datos del Modelo'!$H$19*'Datos del Modelo'!$H$20,'Datos del Modelo'!$H$22*'Datos del Modelo'!$H$23))+('Datos del Modelo'!$G$11*(1+'Datos del Modelo'!$G$13)^($D11-'Datos del Modelo'!$G$8))*(SUM('Datos del Modelo'!$H$16*'Datos del Modelo'!$H$18,'Datos del Modelo'!$H$19*'Datos del Modelo'!$H$21,'Datos del Modelo'!$H$22*'Datos del Modelo'!$H$24)))+(('Datos del Modelo'!$G$12*(1+'Datos del Modelo'!$G$13)^($D11-'Datos del Modelo'!$G$8))*(SUM('Datos del Modelo'!$I$16*'Datos del Modelo'!$I$17,'Datos del Modelo'!$I$19*'Datos del Modelo'!$I$20,'Datos del Modelo'!$I$22*'Datos del Modelo'!$I$23))+('Datos del Modelo'!$G$12*(1+'Datos del Modelo'!$G$13)^($D11-'Datos del Modelo'!$G$8))*(SUM('Datos del Modelo'!$I$16*'Datos del Modelo'!$I$18,'Datos del Modelo'!$I$19*'Datos del Modelo'!$I$21,'Datos del Modelo'!$I$22*'Datos del Modelo'!$I$24))),('Datos del Modelo'!$G$10*(1+'Datos del Modelo'!$G$13)^($D11-'Datos del Modelo'!$G$8))*(SUM('Datos del Modelo'!$G$16*'Datos del Modelo'!$G$17,'Datos del Modelo'!$G$19*'Datos del Modelo'!$G$20,'Datos del Modelo'!$G$22*'Datos del Modelo'!$G$23))+('Datos del Modelo'!$G$11*(1+'Datos del Modelo'!$G$13)^($D11-'Datos del Modelo'!$G$8))*(SUM('Datos del Modelo'!$H$16*'Datos del Modelo'!$H$17,'Datos del Modelo'!$H$19*'Datos del Modelo'!$H$20,'Datos del Modelo'!$H$22*'Datos del Modelo'!$H$23))+('Datos del Modelo'!$G$12*(1+'Datos del Modelo'!$G$13)^($D11-'Datos del Modelo'!$G$8))*(SUM('Datos del Modelo'!$I$16*'Datos del Modelo'!$I$17,'Datos del Modelo'!$I$19*'Datos del Modelo'!$I$20,'Datos del Modelo'!$I$22*'Datos del Modelo'!$I$23)))+IF('Datos del Modelo'!K$44=2,(('Datos del Modelo'!$G$25*SUM('Datos del Modelo'!$G$27*'Datos del Modelo'!$G$28,'Datos del Modelo'!$G$30*'Datos del Modelo'!$G$31,'Datos del Modelo'!$G$33*'Datos del Modelo'!$G$34))+('Datos del Modelo'!$G$25*SUM('Datos del Modelo'!$G$27*'Datos del Modelo'!$G$29,'Datos del Modelo'!$G$30*'Datos del Modelo'!$G$32,'Datos del Modelo'!$G$33*'Datos del Modelo'!$G$35))),('Datos del Modelo'!$G$25*SUM('Datos del Modelo'!$G$27*'Datos del Modelo'!$G$28,'Datos del Modelo'!$G$30*'Datos del Modelo'!$G$31,'Datos del Modelo'!$G$33*'Datos del Modelo'!$G$34)))</f>
        <v>981525</v>
      </c>
      <c r="I11" s="200"/>
      <c r="J11" s="199">
        <f>IF('Datos del Modelo'!M$44=2,(('Datos del Modelo'!$G$10*(1+'Datos del Modelo'!$G$13)^($D11-'Datos del Modelo'!$G$8))*(SUM('Datos del Modelo'!$G$16*'Datos del Modelo'!$G$17,'Datos del Modelo'!$G$19*'Datos del Modelo'!$G$20,'Datos del Modelo'!$G$22*'Datos del Modelo'!$G$23))+('Datos del Modelo'!$G$10*(1+'Datos del Modelo'!$G$13)^($D11-'Datos del Modelo'!$G$8))*(SUM('Datos del Modelo'!$G$16*'Datos del Modelo'!$G$18,'Datos del Modelo'!$G$19*'Datos del Modelo'!$G$21,'Datos del Modelo'!$G$22*'Datos del Modelo'!$G$24)))+(('Datos del Modelo'!$G$11*(1+'Datos del Modelo'!$G$13)^($D11-'Datos del Modelo'!$G$8))*(SUM('Datos del Modelo'!$H$16*'Datos del Modelo'!$H$17,'Datos del Modelo'!$H$19*'Datos del Modelo'!$H$20,'Datos del Modelo'!$H$22*'Datos del Modelo'!$H$23))+('Datos del Modelo'!$G$11*(1+'Datos del Modelo'!$G$13)^($D11-'Datos del Modelo'!$G$8))*(SUM('Datos del Modelo'!$H$16*'Datos del Modelo'!$H$18,'Datos del Modelo'!$H$19*'Datos del Modelo'!$H$21,'Datos del Modelo'!$H$22*'Datos del Modelo'!$H$24)))+(('Datos del Modelo'!$G$12*(1+'Datos del Modelo'!$G$13)^($D11-'Datos del Modelo'!$G$8))*(SUM('Datos del Modelo'!$I$16*'Datos del Modelo'!$I$17,'Datos del Modelo'!$I$19*'Datos del Modelo'!$I$20,'Datos del Modelo'!$I$22*'Datos del Modelo'!$I$23))+('Datos del Modelo'!$G$12*(1+'Datos del Modelo'!$G$13)^($D11-'Datos del Modelo'!$G$8))*(SUM('Datos del Modelo'!$I$16*'Datos del Modelo'!$I$18,'Datos del Modelo'!$I$19*'Datos del Modelo'!$I$21,'Datos del Modelo'!$I$22*'Datos del Modelo'!$I$24))),('Datos del Modelo'!$G$10*(1+'Datos del Modelo'!$G$13)^($D11-'Datos del Modelo'!$G$8))*(SUM('Datos del Modelo'!$G$16*'Datos del Modelo'!$G$17,'Datos del Modelo'!$G$19*'Datos del Modelo'!$G$20,'Datos del Modelo'!$G$22*'Datos del Modelo'!$G$23))+('Datos del Modelo'!$G$11*(1+'Datos del Modelo'!$G$13)^($D11-'Datos del Modelo'!$G$8))*(SUM('Datos del Modelo'!$H$16*'Datos del Modelo'!$H$17,'Datos del Modelo'!$H$19*'Datos del Modelo'!$H$20,'Datos del Modelo'!$H$22*'Datos del Modelo'!$H$23))+('Datos del Modelo'!$G$12*(1+'Datos del Modelo'!$G$13)^($D11-'Datos del Modelo'!$G$8))*(SUM('Datos del Modelo'!$I$16*'Datos del Modelo'!$I$17,'Datos del Modelo'!$I$19*'Datos del Modelo'!$I$20,'Datos del Modelo'!$I$22*'Datos del Modelo'!$I$23)))+IF('Datos del Modelo'!M$44=2,(('Datos del Modelo'!$G$25*SUM('Datos del Modelo'!$G$27*'Datos del Modelo'!$G$28,'Datos del Modelo'!$G$30*'Datos del Modelo'!$G$31,'Datos del Modelo'!$G$33*'Datos del Modelo'!$G$34))+('Datos del Modelo'!$G$25*SUM('Datos del Modelo'!$G$27*'Datos del Modelo'!$G$29,'Datos del Modelo'!$G$30*'Datos del Modelo'!$G$32,'Datos del Modelo'!$G$33*'Datos del Modelo'!$G$35))),('Datos del Modelo'!$G$25*SUM('Datos del Modelo'!$G$27*'Datos del Modelo'!$G$28,'Datos del Modelo'!$G$30*'Datos del Modelo'!$G$31,'Datos del Modelo'!$G$33*'Datos del Modelo'!$G$34)))</f>
        <v>520050</v>
      </c>
      <c r="K11" s="200"/>
      <c r="L11" s="199">
        <f>IF('Datos del Modelo'!O$44=2,(('Datos del Modelo'!$G$10*(1+'Datos del Modelo'!$G$13)^($D11-'Datos del Modelo'!$G$8))*(SUM('Datos del Modelo'!$G$16*'Datos del Modelo'!$G$17,'Datos del Modelo'!$G$19*'Datos del Modelo'!$G$20,'Datos del Modelo'!$G$22*'Datos del Modelo'!$G$23))+('Datos del Modelo'!$G$10*(1+'Datos del Modelo'!$G$13)^($D11-'Datos del Modelo'!$G$8))*(SUM('Datos del Modelo'!$G$16*'Datos del Modelo'!$G$18,'Datos del Modelo'!$G$19*'Datos del Modelo'!$G$21,'Datos del Modelo'!$G$22*'Datos del Modelo'!$G$24)))+(('Datos del Modelo'!$G$11*(1+'Datos del Modelo'!$G$13)^($D11-'Datos del Modelo'!$G$8))*(SUM('Datos del Modelo'!$H$16*'Datos del Modelo'!$H$17,'Datos del Modelo'!$H$19*'Datos del Modelo'!$H$20,'Datos del Modelo'!$H$22*'Datos del Modelo'!$H$23))+('Datos del Modelo'!$G$11*(1+'Datos del Modelo'!$G$13)^($D11-'Datos del Modelo'!$G$8))*(SUM('Datos del Modelo'!$H$16*'Datos del Modelo'!$H$18,'Datos del Modelo'!$H$19*'Datos del Modelo'!$H$21,'Datos del Modelo'!$H$22*'Datos del Modelo'!$H$24)))+(('Datos del Modelo'!$G$12*(1+'Datos del Modelo'!$G$13)^($D11-'Datos del Modelo'!$G$8))*(SUM('Datos del Modelo'!$I$16*'Datos del Modelo'!$I$17,'Datos del Modelo'!$I$19*'Datos del Modelo'!$I$20,'Datos del Modelo'!$I$22*'Datos del Modelo'!$I$23))+('Datos del Modelo'!$G$12*(1+'Datos del Modelo'!$G$13)^($D11-'Datos del Modelo'!$G$8))*(SUM('Datos del Modelo'!$I$16*'Datos del Modelo'!$I$18,'Datos del Modelo'!$I$19*'Datos del Modelo'!$I$21,'Datos del Modelo'!$I$22*'Datos del Modelo'!$I$24))),('Datos del Modelo'!$G$10*(1+'Datos del Modelo'!$G$13)^($D11-'Datos del Modelo'!$G$8))*(SUM('Datos del Modelo'!$G$16*'Datos del Modelo'!$G$17,'Datos del Modelo'!$G$19*'Datos del Modelo'!$G$20,'Datos del Modelo'!$G$22*'Datos del Modelo'!$G$23))+('Datos del Modelo'!$G$11*(1+'Datos del Modelo'!$G$13)^($D11-'Datos del Modelo'!$G$8))*(SUM('Datos del Modelo'!$H$16*'Datos del Modelo'!$H$17,'Datos del Modelo'!$H$19*'Datos del Modelo'!$H$20,'Datos del Modelo'!$H$22*'Datos del Modelo'!$H$23))+('Datos del Modelo'!$G$12*(1+'Datos del Modelo'!$G$13)^($D11-'Datos del Modelo'!$G$8))*(SUM('Datos del Modelo'!$I$16*'Datos del Modelo'!$I$17,'Datos del Modelo'!$I$19*'Datos del Modelo'!$I$20,'Datos del Modelo'!$I$22*'Datos del Modelo'!$I$23)))+IF('Datos del Modelo'!O$44=2,(('Datos del Modelo'!$G$25*SUM('Datos del Modelo'!$G$27*'Datos del Modelo'!$G$28,'Datos del Modelo'!$G$30*'Datos del Modelo'!$G$31,'Datos del Modelo'!$G$33*'Datos del Modelo'!$G$34))+('Datos del Modelo'!$G$25*SUM('Datos del Modelo'!$G$27*'Datos del Modelo'!$G$29,'Datos del Modelo'!$G$30*'Datos del Modelo'!$G$32,'Datos del Modelo'!$G$33*'Datos del Modelo'!$G$35))),('Datos del Modelo'!$G$25*SUM('Datos del Modelo'!$G$27*'Datos del Modelo'!$G$28,'Datos del Modelo'!$G$30*'Datos del Modelo'!$G$31,'Datos del Modelo'!$G$33*'Datos del Modelo'!$G$34)))</f>
        <v>520050</v>
      </c>
      <c r="M11" s="186"/>
      <c r="N11" s="186"/>
    </row>
    <row r="12" spans="1:15" ht="15.6" x14ac:dyDescent="0.25">
      <c r="B12" s="190"/>
      <c r="C12" s="190"/>
      <c r="D12" s="189">
        <f>'Datos del Modelo'!$G$8+1</f>
        <v>2027</v>
      </c>
      <c r="E12" s="188"/>
      <c r="F12" s="199">
        <f>IF('Datos del Modelo'!G$44=2,(('Datos del Modelo'!$G$10*(1+'Datos del Modelo'!$G$13)^(D12-'Datos del Modelo'!$G$8))*(SUM('Datos del Modelo'!$G$16*'Datos del Modelo'!$G$17,'Datos del Modelo'!$G$19*'Datos del Modelo'!$G$20,'Datos del Modelo'!$G$22*'Datos del Modelo'!$G$23))+('Datos del Modelo'!$G$10*(1+'Datos del Modelo'!$G$13)^(D12-'Datos del Modelo'!$G$8))*(SUM('Datos del Modelo'!$G$16*'Datos del Modelo'!$G$18,'Datos del Modelo'!$G$19*'Datos del Modelo'!$G$21,'Datos del Modelo'!$G$22*'Datos del Modelo'!$G$24)))+(('Datos del Modelo'!$G$11*(1+'Datos del Modelo'!$G$13)^(D12-'Datos del Modelo'!$G$8))*(SUM('Datos del Modelo'!$H$16*'Datos del Modelo'!$H$17,'Datos del Modelo'!$H$19*'Datos del Modelo'!$H$20,'Datos del Modelo'!$H$22*'Datos del Modelo'!$H$23))+('Datos del Modelo'!$G$11*(1+'Datos del Modelo'!$G$13)^(D12-'Datos del Modelo'!$G$8))*(SUM('Datos del Modelo'!$H$16*'Datos del Modelo'!$H$18,'Datos del Modelo'!$H$19*'Datos del Modelo'!$H$21,'Datos del Modelo'!$H$22*'Datos del Modelo'!$H$24)))+(('Datos del Modelo'!$G$12*(1+'Datos del Modelo'!$G$13)^(D12-'Datos del Modelo'!$G$8))*(SUM('Datos del Modelo'!$I$16*'Datos del Modelo'!$I$17,'Datos del Modelo'!$I$19*'Datos del Modelo'!$I$20,'Datos del Modelo'!$I$22*'Datos del Modelo'!$I$23))+('Datos del Modelo'!$G$12*(1+'Datos del Modelo'!$G$13)^(D12-'Datos del Modelo'!$G$8))*(SUM('Datos del Modelo'!$I$16*'Datos del Modelo'!$I$18,'Datos del Modelo'!$I$19*'Datos del Modelo'!$I$21,'Datos del Modelo'!$I$22*'Datos del Modelo'!$I$24))),('Datos del Modelo'!$G$10*(1+'Datos del Modelo'!$G$13)^(D12-'Datos del Modelo'!$G$8))*(SUM('Datos del Modelo'!$G$16*'Datos del Modelo'!$G$17,'Datos del Modelo'!$G$19*'Datos del Modelo'!$G$20,'Datos del Modelo'!$G$22*'Datos del Modelo'!$G$23))+('Datos del Modelo'!$G$11*(1+'Datos del Modelo'!$G$13)^(D12-'Datos del Modelo'!$G$8))*(SUM('Datos del Modelo'!$H$16*'Datos del Modelo'!$H$17,'Datos del Modelo'!$H$19*'Datos del Modelo'!$H$20,'Datos del Modelo'!$H$22*'Datos del Modelo'!$H$23))+('Datos del Modelo'!$G$12*(1+'Datos del Modelo'!$G$13)^(D12-'Datos del Modelo'!$G$8))*(SUM('Datos del Modelo'!$I$16*'Datos del Modelo'!$I$17,'Datos del Modelo'!$I$19*'Datos del Modelo'!$I$20,'Datos del Modelo'!$I$22*'Datos del Modelo'!$I$23)))</f>
        <v>163251</v>
      </c>
      <c r="G12" s="200"/>
      <c r="H12" s="199">
        <f>IF('Datos del Modelo'!K$44=2,(('Datos del Modelo'!$G$10*(1+'Datos del Modelo'!$G$13)^($D12-'Datos del Modelo'!$G$8))*(SUM('Datos del Modelo'!$G$16*'Datos del Modelo'!$G$17,'Datos del Modelo'!$G$19*'Datos del Modelo'!$G$20,'Datos del Modelo'!$G$22*'Datos del Modelo'!$G$23))+('Datos del Modelo'!$G$10*(1+'Datos del Modelo'!$G$13)^($D12-'Datos del Modelo'!$G$8))*(SUM('Datos del Modelo'!$G$16*'Datos del Modelo'!$G$18,'Datos del Modelo'!$G$19*'Datos del Modelo'!$G$21,'Datos del Modelo'!$G$22*'Datos del Modelo'!$G$24)))+(('Datos del Modelo'!$G$11*(1+'Datos del Modelo'!$G$13)^($D12-'Datos del Modelo'!$G$8))*(SUM('Datos del Modelo'!$H$16*'Datos del Modelo'!$H$17,'Datos del Modelo'!$H$19*'Datos del Modelo'!$H$20,'Datos del Modelo'!$H$22*'Datos del Modelo'!$H$23))+('Datos del Modelo'!$G$11*(1+'Datos del Modelo'!$G$13)^($D12-'Datos del Modelo'!$G$8))*(SUM('Datos del Modelo'!$H$16*'Datos del Modelo'!$H$18,'Datos del Modelo'!$H$19*'Datos del Modelo'!$H$21,'Datos del Modelo'!$H$22*'Datos del Modelo'!$H$24)))+(('Datos del Modelo'!$G$12*(1+'Datos del Modelo'!$G$13)^($D12-'Datos del Modelo'!$G$8))*(SUM('Datos del Modelo'!$I$16*'Datos del Modelo'!$I$17,'Datos del Modelo'!$I$19*'Datos del Modelo'!$I$20,'Datos del Modelo'!$I$22*'Datos del Modelo'!$I$23))+('Datos del Modelo'!$G$12*(1+'Datos del Modelo'!$G$13)^($D12-'Datos del Modelo'!$G$8))*(SUM('Datos del Modelo'!$I$16*'Datos del Modelo'!$I$18,'Datos del Modelo'!$I$19*'Datos del Modelo'!$I$21,'Datos del Modelo'!$I$22*'Datos del Modelo'!$I$24))),('Datos del Modelo'!$G$10*(1+'Datos del Modelo'!$G$13)^($D12-'Datos del Modelo'!$G$8))*(SUM('Datos del Modelo'!$G$16*'Datos del Modelo'!$G$17,'Datos del Modelo'!$G$19*'Datos del Modelo'!$G$20,'Datos del Modelo'!$G$22*'Datos del Modelo'!$G$23))+('Datos del Modelo'!$G$11*(1+'Datos del Modelo'!$G$13)^($D12-'Datos del Modelo'!$G$8))*(SUM('Datos del Modelo'!$H$16*'Datos del Modelo'!$H$17,'Datos del Modelo'!$H$19*'Datos del Modelo'!$H$20,'Datos del Modelo'!$H$22*'Datos del Modelo'!$H$23))+('Datos del Modelo'!$G$12*(1+'Datos del Modelo'!$G$13)^($D12-'Datos del Modelo'!$G$8))*(SUM('Datos del Modelo'!$I$16*'Datos del Modelo'!$I$17,'Datos del Modelo'!$I$19*'Datos del Modelo'!$I$20,'Datos del Modelo'!$I$22*'Datos del Modelo'!$I$23)))</f>
        <v>307555.5</v>
      </c>
      <c r="I12" s="200"/>
      <c r="J12" s="199">
        <f>IF('Datos del Modelo'!M$44=2,(('Datos del Modelo'!$G$10*(1+'Datos del Modelo'!$G$13)^($D12-'Datos del Modelo'!$G$8))*(SUM('Datos del Modelo'!$G$16*'Datos del Modelo'!$G$17,'Datos del Modelo'!$G$19*'Datos del Modelo'!$G$20,'Datos del Modelo'!$G$22*'Datos del Modelo'!$G$23))+('Datos del Modelo'!$G$10*(1+'Datos del Modelo'!$G$13)^($D12-'Datos del Modelo'!$G$8))*(SUM('Datos del Modelo'!$G$16*'Datos del Modelo'!$G$18,'Datos del Modelo'!$G$19*'Datos del Modelo'!$G$21,'Datos del Modelo'!$G$22*'Datos del Modelo'!$G$24)))+(('Datos del Modelo'!$G$11*(1+'Datos del Modelo'!$G$13)^($D12-'Datos del Modelo'!$G$8))*(SUM('Datos del Modelo'!$H$16*'Datos del Modelo'!$H$17,'Datos del Modelo'!$H$19*'Datos del Modelo'!$H$20,'Datos del Modelo'!$H$22*'Datos del Modelo'!$H$23))+('Datos del Modelo'!$G$11*(1+'Datos del Modelo'!$G$13)^($D12-'Datos del Modelo'!$G$8))*(SUM('Datos del Modelo'!$H$16*'Datos del Modelo'!$H$18,'Datos del Modelo'!$H$19*'Datos del Modelo'!$H$21,'Datos del Modelo'!$H$22*'Datos del Modelo'!$H$24)))+(('Datos del Modelo'!$G$12*(1+'Datos del Modelo'!$G$13)^($D12-'Datos del Modelo'!$G$8))*(SUM('Datos del Modelo'!$I$16*'Datos del Modelo'!$I$17,'Datos del Modelo'!$I$19*'Datos del Modelo'!$I$20,'Datos del Modelo'!$I$22*'Datos del Modelo'!$I$23))+('Datos del Modelo'!$G$12*(1+'Datos del Modelo'!$G$13)^($D12-'Datos del Modelo'!$G$8))*(SUM('Datos del Modelo'!$I$16*'Datos del Modelo'!$I$18,'Datos del Modelo'!$I$19*'Datos del Modelo'!$I$21,'Datos del Modelo'!$I$22*'Datos del Modelo'!$I$24))),('Datos del Modelo'!$G$10*(1+'Datos del Modelo'!$G$13)^($D12-'Datos del Modelo'!$G$8))*(SUM('Datos del Modelo'!$G$16*'Datos del Modelo'!$G$17,'Datos del Modelo'!$G$19*'Datos del Modelo'!$G$20,'Datos del Modelo'!$G$22*'Datos del Modelo'!$G$23))+('Datos del Modelo'!$G$11*(1+'Datos del Modelo'!$G$13)^($D12-'Datos del Modelo'!$G$8))*(SUM('Datos del Modelo'!$H$16*'Datos del Modelo'!$H$17,'Datos del Modelo'!$H$19*'Datos del Modelo'!$H$20,'Datos del Modelo'!$H$22*'Datos del Modelo'!$H$23))+('Datos del Modelo'!$G$12*(1+'Datos del Modelo'!$G$13)^($D12-'Datos del Modelo'!$G$8))*(SUM('Datos del Modelo'!$I$16*'Datos del Modelo'!$I$17,'Datos del Modelo'!$I$19*'Datos del Modelo'!$I$20,'Datos del Modelo'!$I$22*'Datos del Modelo'!$I$23)))</f>
        <v>163251</v>
      </c>
      <c r="K12" s="200"/>
      <c r="L12" s="199">
        <f>IF('Datos del Modelo'!O$44=2,(('Datos del Modelo'!$G$10*(1+'Datos del Modelo'!$G$13)^($D12-'Datos del Modelo'!$G$8))*(SUM('Datos del Modelo'!$G$16*'Datos del Modelo'!$G$17,'Datos del Modelo'!$G$19*'Datos del Modelo'!$G$20,'Datos del Modelo'!$G$22*'Datos del Modelo'!$G$23))+('Datos del Modelo'!$G$10*(1+'Datos del Modelo'!$G$13)^($D12-'Datos del Modelo'!$G$8))*(SUM('Datos del Modelo'!$G$16*'Datos del Modelo'!$G$18,'Datos del Modelo'!$G$19*'Datos del Modelo'!$G$21,'Datos del Modelo'!$G$22*'Datos del Modelo'!$G$24)))+(('Datos del Modelo'!$G$11*(1+'Datos del Modelo'!$G$13)^($D12-'Datos del Modelo'!$G$8))*(SUM('Datos del Modelo'!$H$16*'Datos del Modelo'!$H$17,'Datos del Modelo'!$H$19*'Datos del Modelo'!$H$20,'Datos del Modelo'!$H$22*'Datos del Modelo'!$H$23))+('Datos del Modelo'!$G$11*(1+'Datos del Modelo'!$G$13)^($D12-'Datos del Modelo'!$G$8))*(SUM('Datos del Modelo'!$H$16*'Datos del Modelo'!$H$18,'Datos del Modelo'!$H$19*'Datos del Modelo'!$H$21,'Datos del Modelo'!$H$22*'Datos del Modelo'!$H$24)))+(('Datos del Modelo'!$G$12*(1+'Datos del Modelo'!$G$13)^($D12-'Datos del Modelo'!$G$8))*(SUM('Datos del Modelo'!$I$16*'Datos del Modelo'!$I$17,'Datos del Modelo'!$I$19*'Datos del Modelo'!$I$20,'Datos del Modelo'!$I$22*'Datos del Modelo'!$I$23))+('Datos del Modelo'!$G$12*(1+'Datos del Modelo'!$G$13)^($D12-'Datos del Modelo'!$G$8))*(SUM('Datos del Modelo'!$I$16*'Datos del Modelo'!$I$18,'Datos del Modelo'!$I$19*'Datos del Modelo'!$I$21,'Datos del Modelo'!$I$22*'Datos del Modelo'!$I$24))),('Datos del Modelo'!$G$10*(1+'Datos del Modelo'!$G$13)^($D12-'Datos del Modelo'!$G$8))*(SUM('Datos del Modelo'!$G$16*'Datos del Modelo'!$G$17,'Datos del Modelo'!$G$19*'Datos del Modelo'!$G$20,'Datos del Modelo'!$G$22*'Datos del Modelo'!$G$23))+('Datos del Modelo'!$G$11*(1+'Datos del Modelo'!$G$13)^($D12-'Datos del Modelo'!$G$8))*(SUM('Datos del Modelo'!$H$16*'Datos del Modelo'!$H$17,'Datos del Modelo'!$H$19*'Datos del Modelo'!$H$20,'Datos del Modelo'!$H$22*'Datos del Modelo'!$H$23))+('Datos del Modelo'!$G$12*(1+'Datos del Modelo'!$G$13)^($D12-'Datos del Modelo'!$G$8))*(SUM('Datos del Modelo'!$I$16*'Datos del Modelo'!$I$17,'Datos del Modelo'!$I$19*'Datos del Modelo'!$I$20,'Datos del Modelo'!$I$22*'Datos del Modelo'!$I$23)))</f>
        <v>163251</v>
      </c>
      <c r="M12" s="186"/>
      <c r="N12" s="186"/>
    </row>
    <row r="13" spans="1:15" ht="15.6" x14ac:dyDescent="0.25">
      <c r="B13" s="190"/>
      <c r="C13" s="190"/>
      <c r="D13" s="189">
        <f>'Datos del Modelo'!$G$8+2</f>
        <v>2028</v>
      </c>
      <c r="E13" s="188"/>
      <c r="F13" s="199">
        <f>IF('Datos del Modelo'!G$44=2,(('Datos del Modelo'!$G$10*(1+'Datos del Modelo'!$G$13)^(D13-'Datos del Modelo'!$G$8))*(SUM('Datos del Modelo'!$G$16*'Datos del Modelo'!$G$17,'Datos del Modelo'!$G$19*'Datos del Modelo'!$G$20,'Datos del Modelo'!$G$22*'Datos del Modelo'!$G$23))+('Datos del Modelo'!$G$10*(1+'Datos del Modelo'!$G$13)^(D13-'Datos del Modelo'!$G$8))*(SUM('Datos del Modelo'!$G$16*'Datos del Modelo'!$G$18,'Datos del Modelo'!$G$19*'Datos del Modelo'!$G$21,'Datos del Modelo'!$G$22*'Datos del Modelo'!$G$24)))+(('Datos del Modelo'!$G$11*(1+'Datos del Modelo'!$G$13)^(D13-'Datos del Modelo'!$G$8))*(SUM('Datos del Modelo'!$H$16*'Datos del Modelo'!$H$17,'Datos del Modelo'!$H$19*'Datos del Modelo'!$H$20,'Datos del Modelo'!$H$22*'Datos del Modelo'!$H$23))+('Datos del Modelo'!$G$11*(1+'Datos del Modelo'!$G$13)^(D13-'Datos del Modelo'!$G$8))*(SUM('Datos del Modelo'!$H$16*'Datos del Modelo'!$H$18,'Datos del Modelo'!$H$19*'Datos del Modelo'!$H$21,'Datos del Modelo'!$H$22*'Datos del Modelo'!$H$24)))+(('Datos del Modelo'!$G$12*(1+'Datos del Modelo'!$G$13)^(D13-'Datos del Modelo'!$G$8))*(SUM('Datos del Modelo'!$I$16*'Datos del Modelo'!$I$17,'Datos del Modelo'!$I$19*'Datos del Modelo'!$I$20,'Datos del Modelo'!$I$22*'Datos del Modelo'!$I$23))+('Datos del Modelo'!$G$12*(1+'Datos del Modelo'!$G$13)^(D13-'Datos del Modelo'!$G$8))*(SUM('Datos del Modelo'!$I$16*'Datos del Modelo'!$I$18,'Datos del Modelo'!$I$19*'Datos del Modelo'!$I$21,'Datos del Modelo'!$I$22*'Datos del Modelo'!$I$24))),('Datos del Modelo'!$G$10*(1+'Datos del Modelo'!$G$13)^(D13-'Datos del Modelo'!$G$8))*(SUM('Datos del Modelo'!$G$16*'Datos del Modelo'!$G$17,'Datos del Modelo'!$G$19*'Datos del Modelo'!$G$20,'Datos del Modelo'!$G$22*'Datos del Modelo'!$G$23))+('Datos del Modelo'!$G$11*(1+'Datos del Modelo'!$G$13)^(D13-'Datos del Modelo'!$G$8))*(SUM('Datos del Modelo'!$H$16*'Datos del Modelo'!$H$17,'Datos del Modelo'!$H$19*'Datos del Modelo'!$H$20,'Datos del Modelo'!$H$22*'Datos del Modelo'!$H$23))+('Datos del Modelo'!$G$12*(1+'Datos del Modelo'!$G$13)^(D13-'Datos del Modelo'!$G$8))*(SUM('Datos del Modelo'!$I$16*'Datos del Modelo'!$I$17,'Datos del Modelo'!$I$19*'Datos del Modelo'!$I$20,'Datos del Modelo'!$I$22*'Datos del Modelo'!$I$23)))</f>
        <v>166516.02000000002</v>
      </c>
      <c r="G13" s="200"/>
      <c r="H13" s="199">
        <f>IF('Datos del Modelo'!K$44=2,(('Datos del Modelo'!$G$10*(1+'Datos del Modelo'!$G$13)^($D13-'Datos del Modelo'!$G$8))*(SUM('Datos del Modelo'!$G$16*'Datos del Modelo'!$G$17,'Datos del Modelo'!$G$19*'Datos del Modelo'!$G$20,'Datos del Modelo'!$G$22*'Datos del Modelo'!$G$23))+('Datos del Modelo'!$G$10*(1+'Datos del Modelo'!$G$13)^($D13-'Datos del Modelo'!$G$8))*(SUM('Datos del Modelo'!$G$16*'Datos del Modelo'!$G$18,'Datos del Modelo'!$G$19*'Datos del Modelo'!$G$21,'Datos del Modelo'!$G$22*'Datos del Modelo'!$G$24)))+(('Datos del Modelo'!$G$11*(1+'Datos del Modelo'!$G$13)^($D13-'Datos del Modelo'!$G$8))*(SUM('Datos del Modelo'!$H$16*'Datos del Modelo'!$H$17,'Datos del Modelo'!$H$19*'Datos del Modelo'!$H$20,'Datos del Modelo'!$H$22*'Datos del Modelo'!$H$23))+('Datos del Modelo'!$G$11*(1+'Datos del Modelo'!$G$13)^($D13-'Datos del Modelo'!$G$8))*(SUM('Datos del Modelo'!$H$16*'Datos del Modelo'!$H$18,'Datos del Modelo'!$H$19*'Datos del Modelo'!$H$21,'Datos del Modelo'!$H$22*'Datos del Modelo'!$H$24)))+(('Datos del Modelo'!$G$12*(1+'Datos del Modelo'!$G$13)^($D13-'Datos del Modelo'!$G$8))*(SUM('Datos del Modelo'!$I$16*'Datos del Modelo'!$I$17,'Datos del Modelo'!$I$19*'Datos del Modelo'!$I$20,'Datos del Modelo'!$I$22*'Datos del Modelo'!$I$23))+('Datos del Modelo'!$G$12*(1+'Datos del Modelo'!$G$13)^($D13-'Datos del Modelo'!$G$8))*(SUM('Datos del Modelo'!$I$16*'Datos del Modelo'!$I$18,'Datos del Modelo'!$I$19*'Datos del Modelo'!$I$21,'Datos del Modelo'!$I$22*'Datos del Modelo'!$I$24))),('Datos del Modelo'!$G$10*(1+'Datos del Modelo'!$G$13)^($D13-'Datos del Modelo'!$G$8))*(SUM('Datos del Modelo'!$G$16*'Datos del Modelo'!$G$17,'Datos del Modelo'!$G$19*'Datos del Modelo'!$G$20,'Datos del Modelo'!$G$22*'Datos del Modelo'!$G$23))+('Datos del Modelo'!$G$11*(1+'Datos del Modelo'!$G$13)^($D13-'Datos del Modelo'!$G$8))*(SUM('Datos del Modelo'!$H$16*'Datos del Modelo'!$H$17,'Datos del Modelo'!$H$19*'Datos del Modelo'!$H$20,'Datos del Modelo'!$H$22*'Datos del Modelo'!$H$23))+('Datos del Modelo'!$G$12*(1+'Datos del Modelo'!$G$13)^($D13-'Datos del Modelo'!$G$8))*(SUM('Datos del Modelo'!$I$16*'Datos del Modelo'!$I$17,'Datos del Modelo'!$I$19*'Datos del Modelo'!$I$20,'Datos del Modelo'!$I$22*'Datos del Modelo'!$I$23)))</f>
        <v>313706.61</v>
      </c>
      <c r="I13" s="200"/>
      <c r="J13" s="199">
        <f>IF('Datos del Modelo'!M$44=2,(('Datos del Modelo'!$G$10*(1+'Datos del Modelo'!$G$13)^($D13-'Datos del Modelo'!$G$8))*(SUM('Datos del Modelo'!$G$16*'Datos del Modelo'!$G$17,'Datos del Modelo'!$G$19*'Datos del Modelo'!$G$20,'Datos del Modelo'!$G$22*'Datos del Modelo'!$G$23))+('Datos del Modelo'!$G$10*(1+'Datos del Modelo'!$G$13)^($D13-'Datos del Modelo'!$G$8))*(SUM('Datos del Modelo'!$G$16*'Datos del Modelo'!$G$18,'Datos del Modelo'!$G$19*'Datos del Modelo'!$G$21,'Datos del Modelo'!$G$22*'Datos del Modelo'!$G$24)))+(('Datos del Modelo'!$G$11*(1+'Datos del Modelo'!$G$13)^($D13-'Datos del Modelo'!$G$8))*(SUM('Datos del Modelo'!$H$16*'Datos del Modelo'!$H$17,'Datos del Modelo'!$H$19*'Datos del Modelo'!$H$20,'Datos del Modelo'!$H$22*'Datos del Modelo'!$H$23))+('Datos del Modelo'!$G$11*(1+'Datos del Modelo'!$G$13)^($D13-'Datos del Modelo'!$G$8))*(SUM('Datos del Modelo'!$H$16*'Datos del Modelo'!$H$18,'Datos del Modelo'!$H$19*'Datos del Modelo'!$H$21,'Datos del Modelo'!$H$22*'Datos del Modelo'!$H$24)))+(('Datos del Modelo'!$G$12*(1+'Datos del Modelo'!$G$13)^($D13-'Datos del Modelo'!$G$8))*(SUM('Datos del Modelo'!$I$16*'Datos del Modelo'!$I$17,'Datos del Modelo'!$I$19*'Datos del Modelo'!$I$20,'Datos del Modelo'!$I$22*'Datos del Modelo'!$I$23))+('Datos del Modelo'!$G$12*(1+'Datos del Modelo'!$G$13)^($D13-'Datos del Modelo'!$G$8))*(SUM('Datos del Modelo'!$I$16*'Datos del Modelo'!$I$18,'Datos del Modelo'!$I$19*'Datos del Modelo'!$I$21,'Datos del Modelo'!$I$22*'Datos del Modelo'!$I$24))),('Datos del Modelo'!$G$10*(1+'Datos del Modelo'!$G$13)^($D13-'Datos del Modelo'!$G$8))*(SUM('Datos del Modelo'!$G$16*'Datos del Modelo'!$G$17,'Datos del Modelo'!$G$19*'Datos del Modelo'!$G$20,'Datos del Modelo'!$G$22*'Datos del Modelo'!$G$23))+('Datos del Modelo'!$G$11*(1+'Datos del Modelo'!$G$13)^($D13-'Datos del Modelo'!$G$8))*(SUM('Datos del Modelo'!$H$16*'Datos del Modelo'!$H$17,'Datos del Modelo'!$H$19*'Datos del Modelo'!$H$20,'Datos del Modelo'!$H$22*'Datos del Modelo'!$H$23))+('Datos del Modelo'!$G$12*(1+'Datos del Modelo'!$G$13)^($D13-'Datos del Modelo'!$G$8))*(SUM('Datos del Modelo'!$I$16*'Datos del Modelo'!$I$17,'Datos del Modelo'!$I$19*'Datos del Modelo'!$I$20,'Datos del Modelo'!$I$22*'Datos del Modelo'!$I$23)))</f>
        <v>166516.02000000002</v>
      </c>
      <c r="K13" s="200"/>
      <c r="L13" s="199">
        <f>IF('Datos del Modelo'!O$44=2,(('Datos del Modelo'!$G$10*(1+'Datos del Modelo'!$G$13)^($D13-'Datos del Modelo'!$G$8))*(SUM('Datos del Modelo'!$G$16*'Datos del Modelo'!$G$17,'Datos del Modelo'!$G$19*'Datos del Modelo'!$G$20,'Datos del Modelo'!$G$22*'Datos del Modelo'!$G$23))+('Datos del Modelo'!$G$10*(1+'Datos del Modelo'!$G$13)^($D13-'Datos del Modelo'!$G$8))*(SUM('Datos del Modelo'!$G$16*'Datos del Modelo'!$G$18,'Datos del Modelo'!$G$19*'Datos del Modelo'!$G$21,'Datos del Modelo'!$G$22*'Datos del Modelo'!$G$24)))+(('Datos del Modelo'!$G$11*(1+'Datos del Modelo'!$G$13)^($D13-'Datos del Modelo'!$G$8))*(SUM('Datos del Modelo'!$H$16*'Datos del Modelo'!$H$17,'Datos del Modelo'!$H$19*'Datos del Modelo'!$H$20,'Datos del Modelo'!$H$22*'Datos del Modelo'!$H$23))+('Datos del Modelo'!$G$11*(1+'Datos del Modelo'!$G$13)^($D13-'Datos del Modelo'!$G$8))*(SUM('Datos del Modelo'!$H$16*'Datos del Modelo'!$H$18,'Datos del Modelo'!$H$19*'Datos del Modelo'!$H$21,'Datos del Modelo'!$H$22*'Datos del Modelo'!$H$24)))+(('Datos del Modelo'!$G$12*(1+'Datos del Modelo'!$G$13)^($D13-'Datos del Modelo'!$G$8))*(SUM('Datos del Modelo'!$I$16*'Datos del Modelo'!$I$17,'Datos del Modelo'!$I$19*'Datos del Modelo'!$I$20,'Datos del Modelo'!$I$22*'Datos del Modelo'!$I$23))+('Datos del Modelo'!$G$12*(1+'Datos del Modelo'!$G$13)^($D13-'Datos del Modelo'!$G$8))*(SUM('Datos del Modelo'!$I$16*'Datos del Modelo'!$I$18,'Datos del Modelo'!$I$19*'Datos del Modelo'!$I$21,'Datos del Modelo'!$I$22*'Datos del Modelo'!$I$24))),('Datos del Modelo'!$G$10*(1+'Datos del Modelo'!$G$13)^($D13-'Datos del Modelo'!$G$8))*(SUM('Datos del Modelo'!$G$16*'Datos del Modelo'!$G$17,'Datos del Modelo'!$G$19*'Datos del Modelo'!$G$20,'Datos del Modelo'!$G$22*'Datos del Modelo'!$G$23))+('Datos del Modelo'!$G$11*(1+'Datos del Modelo'!$G$13)^($D13-'Datos del Modelo'!$G$8))*(SUM('Datos del Modelo'!$H$16*'Datos del Modelo'!$H$17,'Datos del Modelo'!$H$19*'Datos del Modelo'!$H$20,'Datos del Modelo'!$H$22*'Datos del Modelo'!$H$23))+('Datos del Modelo'!$G$12*(1+'Datos del Modelo'!$G$13)^($D13-'Datos del Modelo'!$G$8))*(SUM('Datos del Modelo'!$I$16*'Datos del Modelo'!$I$17,'Datos del Modelo'!$I$19*'Datos del Modelo'!$I$20,'Datos del Modelo'!$I$22*'Datos del Modelo'!$I$23)))</f>
        <v>166516.02000000002</v>
      </c>
      <c r="M13" s="186"/>
      <c r="N13" s="186"/>
    </row>
    <row r="14" spans="1:15" ht="15.6" x14ac:dyDescent="0.25">
      <c r="B14" s="190"/>
      <c r="C14" s="190"/>
      <c r="D14" s="189">
        <f>'Datos del Modelo'!$G$8+3</f>
        <v>2029</v>
      </c>
      <c r="E14" s="188"/>
      <c r="F14" s="199">
        <f>IF('Datos del Modelo'!G$44=2,(('Datos del Modelo'!$G$10*(1+'Datos del Modelo'!$G$13)^(D14-'Datos del Modelo'!$G$8))*(SUM('Datos del Modelo'!$G$16*'Datos del Modelo'!$G$17,'Datos del Modelo'!$G$19*'Datos del Modelo'!$G$20,'Datos del Modelo'!$G$22*'Datos del Modelo'!$G$23))+('Datos del Modelo'!$G$10*(1+'Datos del Modelo'!$G$13)^(D14-'Datos del Modelo'!$G$8))*(SUM('Datos del Modelo'!$G$16*'Datos del Modelo'!$G$18,'Datos del Modelo'!$G$19*'Datos del Modelo'!$G$21,'Datos del Modelo'!$G$22*'Datos del Modelo'!$G$24)))+(('Datos del Modelo'!$G$11*(1+'Datos del Modelo'!$G$13)^(D14-'Datos del Modelo'!$G$8))*(SUM('Datos del Modelo'!$H$16*'Datos del Modelo'!$H$17,'Datos del Modelo'!$H$19*'Datos del Modelo'!$H$20,'Datos del Modelo'!$H$22*'Datos del Modelo'!$H$23))+('Datos del Modelo'!$G$11*(1+'Datos del Modelo'!$G$13)^(D14-'Datos del Modelo'!$G$8))*(SUM('Datos del Modelo'!$H$16*'Datos del Modelo'!$H$18,'Datos del Modelo'!$H$19*'Datos del Modelo'!$H$21,'Datos del Modelo'!$H$22*'Datos del Modelo'!$H$24)))+(('Datos del Modelo'!$G$12*(1+'Datos del Modelo'!$G$13)^(D14-'Datos del Modelo'!$G$8))*(SUM('Datos del Modelo'!$I$16*'Datos del Modelo'!$I$17,'Datos del Modelo'!$I$19*'Datos del Modelo'!$I$20,'Datos del Modelo'!$I$22*'Datos del Modelo'!$I$23))+('Datos del Modelo'!$G$12*(1+'Datos del Modelo'!$G$13)^(D14-'Datos del Modelo'!$G$8))*(SUM('Datos del Modelo'!$I$16*'Datos del Modelo'!$I$18,'Datos del Modelo'!$I$19*'Datos del Modelo'!$I$21,'Datos del Modelo'!$I$22*'Datos del Modelo'!$I$24))),('Datos del Modelo'!$G$10*(1+'Datos del Modelo'!$G$13)^(D14-'Datos del Modelo'!$G$8))*(SUM('Datos del Modelo'!$G$16*'Datos del Modelo'!$G$17,'Datos del Modelo'!$G$19*'Datos del Modelo'!$G$20,'Datos del Modelo'!$G$22*'Datos del Modelo'!$G$23))+('Datos del Modelo'!$G$11*(1+'Datos del Modelo'!$G$13)^(D14-'Datos del Modelo'!$G$8))*(SUM('Datos del Modelo'!$H$16*'Datos del Modelo'!$H$17,'Datos del Modelo'!$H$19*'Datos del Modelo'!$H$20,'Datos del Modelo'!$H$22*'Datos del Modelo'!$H$23))+('Datos del Modelo'!$G$12*(1+'Datos del Modelo'!$G$13)^(D14-'Datos del Modelo'!$G$8))*(SUM('Datos del Modelo'!$I$16*'Datos del Modelo'!$I$17,'Datos del Modelo'!$I$19*'Datos del Modelo'!$I$20,'Datos del Modelo'!$I$22*'Datos del Modelo'!$I$23)))</f>
        <v>169846.34039999996</v>
      </c>
      <c r="G14" s="200"/>
      <c r="H14" s="199">
        <f>IF('Datos del Modelo'!K$44=2,(('Datos del Modelo'!$G$10*(1+'Datos del Modelo'!$G$13)^($D14-'Datos del Modelo'!$G$8))*(SUM('Datos del Modelo'!$G$16*'Datos del Modelo'!$G$17,'Datos del Modelo'!$G$19*'Datos del Modelo'!$G$20,'Datos del Modelo'!$G$22*'Datos del Modelo'!$G$23))+('Datos del Modelo'!$G$10*(1+'Datos del Modelo'!$G$13)^($D14-'Datos del Modelo'!$G$8))*(SUM('Datos del Modelo'!$G$16*'Datos del Modelo'!$G$18,'Datos del Modelo'!$G$19*'Datos del Modelo'!$G$21,'Datos del Modelo'!$G$22*'Datos del Modelo'!$G$24)))+(('Datos del Modelo'!$G$11*(1+'Datos del Modelo'!$G$13)^($D14-'Datos del Modelo'!$G$8))*(SUM('Datos del Modelo'!$H$16*'Datos del Modelo'!$H$17,'Datos del Modelo'!$H$19*'Datos del Modelo'!$H$20,'Datos del Modelo'!$H$22*'Datos del Modelo'!$H$23))+('Datos del Modelo'!$G$11*(1+'Datos del Modelo'!$G$13)^($D14-'Datos del Modelo'!$G$8))*(SUM('Datos del Modelo'!$H$16*'Datos del Modelo'!$H$18,'Datos del Modelo'!$H$19*'Datos del Modelo'!$H$21,'Datos del Modelo'!$H$22*'Datos del Modelo'!$H$24)))+(('Datos del Modelo'!$G$12*(1+'Datos del Modelo'!$G$13)^($D14-'Datos del Modelo'!$G$8))*(SUM('Datos del Modelo'!$I$16*'Datos del Modelo'!$I$17,'Datos del Modelo'!$I$19*'Datos del Modelo'!$I$20,'Datos del Modelo'!$I$22*'Datos del Modelo'!$I$23))+('Datos del Modelo'!$G$12*(1+'Datos del Modelo'!$G$13)^($D14-'Datos del Modelo'!$G$8))*(SUM('Datos del Modelo'!$I$16*'Datos del Modelo'!$I$18,'Datos del Modelo'!$I$19*'Datos del Modelo'!$I$21,'Datos del Modelo'!$I$22*'Datos del Modelo'!$I$24))),('Datos del Modelo'!$G$10*(1+'Datos del Modelo'!$G$13)^($D14-'Datos del Modelo'!$G$8))*(SUM('Datos del Modelo'!$G$16*'Datos del Modelo'!$G$17,'Datos del Modelo'!$G$19*'Datos del Modelo'!$G$20,'Datos del Modelo'!$G$22*'Datos del Modelo'!$G$23))+('Datos del Modelo'!$G$11*(1+'Datos del Modelo'!$G$13)^($D14-'Datos del Modelo'!$G$8))*(SUM('Datos del Modelo'!$H$16*'Datos del Modelo'!$H$17,'Datos del Modelo'!$H$19*'Datos del Modelo'!$H$20,'Datos del Modelo'!$H$22*'Datos del Modelo'!$H$23))+('Datos del Modelo'!$G$12*(1+'Datos del Modelo'!$G$13)^($D14-'Datos del Modelo'!$G$8))*(SUM('Datos del Modelo'!$I$16*'Datos del Modelo'!$I$17,'Datos del Modelo'!$I$19*'Datos del Modelo'!$I$20,'Datos del Modelo'!$I$22*'Datos del Modelo'!$I$23)))</f>
        <v>319980.74219999992</v>
      </c>
      <c r="I14" s="200"/>
      <c r="J14" s="199">
        <f>IF('Datos del Modelo'!M$44=2,(('Datos del Modelo'!$G$10*(1+'Datos del Modelo'!$G$13)^($D14-'Datos del Modelo'!$G$8))*(SUM('Datos del Modelo'!$G$16*'Datos del Modelo'!$G$17,'Datos del Modelo'!$G$19*'Datos del Modelo'!$G$20,'Datos del Modelo'!$G$22*'Datos del Modelo'!$G$23))+('Datos del Modelo'!$G$10*(1+'Datos del Modelo'!$G$13)^($D14-'Datos del Modelo'!$G$8))*(SUM('Datos del Modelo'!$G$16*'Datos del Modelo'!$G$18,'Datos del Modelo'!$G$19*'Datos del Modelo'!$G$21,'Datos del Modelo'!$G$22*'Datos del Modelo'!$G$24)))+(('Datos del Modelo'!$G$11*(1+'Datos del Modelo'!$G$13)^($D14-'Datos del Modelo'!$G$8))*(SUM('Datos del Modelo'!$H$16*'Datos del Modelo'!$H$17,'Datos del Modelo'!$H$19*'Datos del Modelo'!$H$20,'Datos del Modelo'!$H$22*'Datos del Modelo'!$H$23))+('Datos del Modelo'!$G$11*(1+'Datos del Modelo'!$G$13)^($D14-'Datos del Modelo'!$G$8))*(SUM('Datos del Modelo'!$H$16*'Datos del Modelo'!$H$18,'Datos del Modelo'!$H$19*'Datos del Modelo'!$H$21,'Datos del Modelo'!$H$22*'Datos del Modelo'!$H$24)))+(('Datos del Modelo'!$G$12*(1+'Datos del Modelo'!$G$13)^($D14-'Datos del Modelo'!$G$8))*(SUM('Datos del Modelo'!$I$16*'Datos del Modelo'!$I$17,'Datos del Modelo'!$I$19*'Datos del Modelo'!$I$20,'Datos del Modelo'!$I$22*'Datos del Modelo'!$I$23))+('Datos del Modelo'!$G$12*(1+'Datos del Modelo'!$G$13)^($D14-'Datos del Modelo'!$G$8))*(SUM('Datos del Modelo'!$I$16*'Datos del Modelo'!$I$18,'Datos del Modelo'!$I$19*'Datos del Modelo'!$I$21,'Datos del Modelo'!$I$22*'Datos del Modelo'!$I$24))),('Datos del Modelo'!$G$10*(1+'Datos del Modelo'!$G$13)^($D14-'Datos del Modelo'!$G$8))*(SUM('Datos del Modelo'!$G$16*'Datos del Modelo'!$G$17,'Datos del Modelo'!$G$19*'Datos del Modelo'!$G$20,'Datos del Modelo'!$G$22*'Datos del Modelo'!$G$23))+('Datos del Modelo'!$G$11*(1+'Datos del Modelo'!$G$13)^($D14-'Datos del Modelo'!$G$8))*(SUM('Datos del Modelo'!$H$16*'Datos del Modelo'!$H$17,'Datos del Modelo'!$H$19*'Datos del Modelo'!$H$20,'Datos del Modelo'!$H$22*'Datos del Modelo'!$H$23))+('Datos del Modelo'!$G$12*(1+'Datos del Modelo'!$G$13)^($D14-'Datos del Modelo'!$G$8))*(SUM('Datos del Modelo'!$I$16*'Datos del Modelo'!$I$17,'Datos del Modelo'!$I$19*'Datos del Modelo'!$I$20,'Datos del Modelo'!$I$22*'Datos del Modelo'!$I$23)))</f>
        <v>169846.34039999996</v>
      </c>
      <c r="K14" s="200"/>
      <c r="L14" s="199">
        <f>IF('Datos del Modelo'!O$44=2,(('Datos del Modelo'!$G$10*(1+'Datos del Modelo'!$G$13)^($D14-'Datos del Modelo'!$G$8))*(SUM('Datos del Modelo'!$G$16*'Datos del Modelo'!$G$17,'Datos del Modelo'!$G$19*'Datos del Modelo'!$G$20,'Datos del Modelo'!$G$22*'Datos del Modelo'!$G$23))+('Datos del Modelo'!$G$10*(1+'Datos del Modelo'!$G$13)^($D14-'Datos del Modelo'!$G$8))*(SUM('Datos del Modelo'!$G$16*'Datos del Modelo'!$G$18,'Datos del Modelo'!$G$19*'Datos del Modelo'!$G$21,'Datos del Modelo'!$G$22*'Datos del Modelo'!$G$24)))+(('Datos del Modelo'!$G$11*(1+'Datos del Modelo'!$G$13)^($D14-'Datos del Modelo'!$G$8))*(SUM('Datos del Modelo'!$H$16*'Datos del Modelo'!$H$17,'Datos del Modelo'!$H$19*'Datos del Modelo'!$H$20,'Datos del Modelo'!$H$22*'Datos del Modelo'!$H$23))+('Datos del Modelo'!$G$11*(1+'Datos del Modelo'!$G$13)^($D14-'Datos del Modelo'!$G$8))*(SUM('Datos del Modelo'!$H$16*'Datos del Modelo'!$H$18,'Datos del Modelo'!$H$19*'Datos del Modelo'!$H$21,'Datos del Modelo'!$H$22*'Datos del Modelo'!$H$24)))+(('Datos del Modelo'!$G$12*(1+'Datos del Modelo'!$G$13)^($D14-'Datos del Modelo'!$G$8))*(SUM('Datos del Modelo'!$I$16*'Datos del Modelo'!$I$17,'Datos del Modelo'!$I$19*'Datos del Modelo'!$I$20,'Datos del Modelo'!$I$22*'Datos del Modelo'!$I$23))+('Datos del Modelo'!$G$12*(1+'Datos del Modelo'!$G$13)^($D14-'Datos del Modelo'!$G$8))*(SUM('Datos del Modelo'!$I$16*'Datos del Modelo'!$I$18,'Datos del Modelo'!$I$19*'Datos del Modelo'!$I$21,'Datos del Modelo'!$I$22*'Datos del Modelo'!$I$24))),('Datos del Modelo'!$G$10*(1+'Datos del Modelo'!$G$13)^($D14-'Datos del Modelo'!$G$8))*(SUM('Datos del Modelo'!$G$16*'Datos del Modelo'!$G$17,'Datos del Modelo'!$G$19*'Datos del Modelo'!$G$20,'Datos del Modelo'!$G$22*'Datos del Modelo'!$G$23))+('Datos del Modelo'!$G$11*(1+'Datos del Modelo'!$G$13)^($D14-'Datos del Modelo'!$G$8))*(SUM('Datos del Modelo'!$H$16*'Datos del Modelo'!$H$17,'Datos del Modelo'!$H$19*'Datos del Modelo'!$H$20,'Datos del Modelo'!$H$22*'Datos del Modelo'!$H$23))+('Datos del Modelo'!$G$12*(1+'Datos del Modelo'!$G$13)^($D14-'Datos del Modelo'!$G$8))*(SUM('Datos del Modelo'!$I$16*'Datos del Modelo'!$I$17,'Datos del Modelo'!$I$19*'Datos del Modelo'!$I$20,'Datos del Modelo'!$I$22*'Datos del Modelo'!$I$23)))</f>
        <v>169846.34039999996</v>
      </c>
      <c r="M14" s="186"/>
      <c r="N14" s="186"/>
    </row>
    <row r="15" spans="1:15" ht="15.75" customHeight="1" x14ac:dyDescent="0.25">
      <c r="B15" s="190"/>
      <c r="C15" s="190"/>
      <c r="D15" s="189">
        <f>'Datos del Modelo'!$G$8+4</f>
        <v>2030</v>
      </c>
      <c r="E15" s="188"/>
      <c r="F15" s="199">
        <f>IF('Datos del Modelo'!G$44=2,(('Datos del Modelo'!$G$10*(1+'Datos del Modelo'!$G$13)^(D15-'Datos del Modelo'!$G$8))*(SUM('Datos del Modelo'!$G$16*'Datos del Modelo'!$G$17,'Datos del Modelo'!$G$19*'Datos del Modelo'!$G$20,'Datos del Modelo'!$G$22*'Datos del Modelo'!$G$23))+('Datos del Modelo'!$G$10*(1+'Datos del Modelo'!$G$13)^(D15-'Datos del Modelo'!$G$8))*(SUM('Datos del Modelo'!$G$16*'Datos del Modelo'!$G$18,'Datos del Modelo'!$G$19*'Datos del Modelo'!$G$21,'Datos del Modelo'!$G$22*'Datos del Modelo'!$G$24)))+(('Datos del Modelo'!$G$11*(1+'Datos del Modelo'!$G$13)^(D15-'Datos del Modelo'!$G$8))*(SUM('Datos del Modelo'!$H$16*'Datos del Modelo'!$H$17,'Datos del Modelo'!$H$19*'Datos del Modelo'!$H$20,'Datos del Modelo'!$H$22*'Datos del Modelo'!$H$23))+('Datos del Modelo'!$G$11*(1+'Datos del Modelo'!$G$13)^(D15-'Datos del Modelo'!$G$8))*(SUM('Datos del Modelo'!$H$16*'Datos del Modelo'!$H$18,'Datos del Modelo'!$H$19*'Datos del Modelo'!$H$21,'Datos del Modelo'!$H$22*'Datos del Modelo'!$H$24)))+(('Datos del Modelo'!$G$12*(1+'Datos del Modelo'!$G$13)^(D15-'Datos del Modelo'!$G$8))*(SUM('Datos del Modelo'!$I$16*'Datos del Modelo'!$I$17,'Datos del Modelo'!$I$19*'Datos del Modelo'!$I$20,'Datos del Modelo'!$I$22*'Datos del Modelo'!$I$23))+('Datos del Modelo'!$G$12*(1+'Datos del Modelo'!$G$13)^(D15-'Datos del Modelo'!$G$8))*(SUM('Datos del Modelo'!$I$16*'Datos del Modelo'!$I$18,'Datos del Modelo'!$I$19*'Datos del Modelo'!$I$21,'Datos del Modelo'!$I$22*'Datos del Modelo'!$I$24))),('Datos del Modelo'!$G$10*(1+'Datos del Modelo'!$G$13)^(D15-'Datos del Modelo'!$G$8))*(SUM('Datos del Modelo'!$G$16*'Datos del Modelo'!$G$17,'Datos del Modelo'!$G$19*'Datos del Modelo'!$G$20,'Datos del Modelo'!$G$22*'Datos del Modelo'!$G$23))+('Datos del Modelo'!$G$11*(1+'Datos del Modelo'!$G$13)^(D15-'Datos del Modelo'!$G$8))*(SUM('Datos del Modelo'!$H$16*'Datos del Modelo'!$H$17,'Datos del Modelo'!$H$19*'Datos del Modelo'!$H$20,'Datos del Modelo'!$H$22*'Datos del Modelo'!$H$23))+('Datos del Modelo'!$G$12*(1+'Datos del Modelo'!$G$13)^(D15-'Datos del Modelo'!$G$8))*(SUM('Datos del Modelo'!$I$16*'Datos del Modelo'!$I$17,'Datos del Modelo'!$I$19*'Datos del Modelo'!$I$20,'Datos del Modelo'!$I$22*'Datos del Modelo'!$I$23)))</f>
        <v>173243.26720799998</v>
      </c>
      <c r="G15" s="200"/>
      <c r="H15" s="199">
        <f>IF('Datos del Modelo'!K$44=2,(('Datos del Modelo'!$G$10*(1+'Datos del Modelo'!$G$13)^($D15-'Datos del Modelo'!$G$8))*(SUM('Datos del Modelo'!$G$16*'Datos del Modelo'!$G$17,'Datos del Modelo'!$G$19*'Datos del Modelo'!$G$20,'Datos del Modelo'!$G$22*'Datos del Modelo'!$G$23))+('Datos del Modelo'!$G$10*(1+'Datos del Modelo'!$G$13)^($D15-'Datos del Modelo'!$G$8))*(SUM('Datos del Modelo'!$G$16*'Datos del Modelo'!$G$18,'Datos del Modelo'!$G$19*'Datos del Modelo'!$G$21,'Datos del Modelo'!$G$22*'Datos del Modelo'!$G$24)))+(('Datos del Modelo'!$G$11*(1+'Datos del Modelo'!$G$13)^($D15-'Datos del Modelo'!$G$8))*(SUM('Datos del Modelo'!$H$16*'Datos del Modelo'!$H$17,'Datos del Modelo'!$H$19*'Datos del Modelo'!$H$20,'Datos del Modelo'!$H$22*'Datos del Modelo'!$H$23))+('Datos del Modelo'!$G$11*(1+'Datos del Modelo'!$G$13)^($D15-'Datos del Modelo'!$G$8))*(SUM('Datos del Modelo'!$H$16*'Datos del Modelo'!$H$18,'Datos del Modelo'!$H$19*'Datos del Modelo'!$H$21,'Datos del Modelo'!$H$22*'Datos del Modelo'!$H$24)))+(('Datos del Modelo'!$G$12*(1+'Datos del Modelo'!$G$13)^($D15-'Datos del Modelo'!$G$8))*(SUM('Datos del Modelo'!$I$16*'Datos del Modelo'!$I$17,'Datos del Modelo'!$I$19*'Datos del Modelo'!$I$20,'Datos del Modelo'!$I$22*'Datos del Modelo'!$I$23))+('Datos del Modelo'!$G$12*(1+'Datos del Modelo'!$G$13)^($D15-'Datos del Modelo'!$G$8))*(SUM('Datos del Modelo'!$I$16*'Datos del Modelo'!$I$18,'Datos del Modelo'!$I$19*'Datos del Modelo'!$I$21,'Datos del Modelo'!$I$22*'Datos del Modelo'!$I$24))),('Datos del Modelo'!$G$10*(1+'Datos del Modelo'!$G$13)^($D15-'Datos del Modelo'!$G$8))*(SUM('Datos del Modelo'!$G$16*'Datos del Modelo'!$G$17,'Datos del Modelo'!$G$19*'Datos del Modelo'!$G$20,'Datos del Modelo'!$G$22*'Datos del Modelo'!$G$23))+('Datos del Modelo'!$G$11*(1+'Datos del Modelo'!$G$13)^($D15-'Datos del Modelo'!$G$8))*(SUM('Datos del Modelo'!$H$16*'Datos del Modelo'!$H$17,'Datos del Modelo'!$H$19*'Datos del Modelo'!$H$20,'Datos del Modelo'!$H$22*'Datos del Modelo'!$H$23))+('Datos del Modelo'!$G$12*(1+'Datos del Modelo'!$G$13)^($D15-'Datos del Modelo'!$G$8))*(SUM('Datos del Modelo'!$I$16*'Datos del Modelo'!$I$17,'Datos del Modelo'!$I$19*'Datos del Modelo'!$I$20,'Datos del Modelo'!$I$22*'Datos del Modelo'!$I$23)))</f>
        <v>326380.35704400006</v>
      </c>
      <c r="I15" s="200"/>
      <c r="J15" s="199">
        <f>IF('Datos del Modelo'!M$44=2,(('Datos del Modelo'!$G$10*(1+'Datos del Modelo'!$G$13)^($D15-'Datos del Modelo'!$G$8))*(SUM('Datos del Modelo'!$G$16*'Datos del Modelo'!$G$17,'Datos del Modelo'!$G$19*'Datos del Modelo'!$G$20,'Datos del Modelo'!$G$22*'Datos del Modelo'!$G$23))+('Datos del Modelo'!$G$10*(1+'Datos del Modelo'!$G$13)^($D15-'Datos del Modelo'!$G$8))*(SUM('Datos del Modelo'!$G$16*'Datos del Modelo'!$G$18,'Datos del Modelo'!$G$19*'Datos del Modelo'!$G$21,'Datos del Modelo'!$G$22*'Datos del Modelo'!$G$24)))+(('Datos del Modelo'!$G$11*(1+'Datos del Modelo'!$G$13)^($D15-'Datos del Modelo'!$G$8))*(SUM('Datos del Modelo'!$H$16*'Datos del Modelo'!$H$17,'Datos del Modelo'!$H$19*'Datos del Modelo'!$H$20,'Datos del Modelo'!$H$22*'Datos del Modelo'!$H$23))+('Datos del Modelo'!$G$11*(1+'Datos del Modelo'!$G$13)^($D15-'Datos del Modelo'!$G$8))*(SUM('Datos del Modelo'!$H$16*'Datos del Modelo'!$H$18,'Datos del Modelo'!$H$19*'Datos del Modelo'!$H$21,'Datos del Modelo'!$H$22*'Datos del Modelo'!$H$24)))+(('Datos del Modelo'!$G$12*(1+'Datos del Modelo'!$G$13)^($D15-'Datos del Modelo'!$G$8))*(SUM('Datos del Modelo'!$I$16*'Datos del Modelo'!$I$17,'Datos del Modelo'!$I$19*'Datos del Modelo'!$I$20,'Datos del Modelo'!$I$22*'Datos del Modelo'!$I$23))+('Datos del Modelo'!$G$12*(1+'Datos del Modelo'!$G$13)^($D15-'Datos del Modelo'!$G$8))*(SUM('Datos del Modelo'!$I$16*'Datos del Modelo'!$I$18,'Datos del Modelo'!$I$19*'Datos del Modelo'!$I$21,'Datos del Modelo'!$I$22*'Datos del Modelo'!$I$24))),('Datos del Modelo'!$G$10*(1+'Datos del Modelo'!$G$13)^($D15-'Datos del Modelo'!$G$8))*(SUM('Datos del Modelo'!$G$16*'Datos del Modelo'!$G$17,'Datos del Modelo'!$G$19*'Datos del Modelo'!$G$20,'Datos del Modelo'!$G$22*'Datos del Modelo'!$G$23))+('Datos del Modelo'!$G$11*(1+'Datos del Modelo'!$G$13)^($D15-'Datos del Modelo'!$G$8))*(SUM('Datos del Modelo'!$H$16*'Datos del Modelo'!$H$17,'Datos del Modelo'!$H$19*'Datos del Modelo'!$H$20,'Datos del Modelo'!$H$22*'Datos del Modelo'!$H$23))+('Datos del Modelo'!$G$12*(1+'Datos del Modelo'!$G$13)^($D15-'Datos del Modelo'!$G$8))*(SUM('Datos del Modelo'!$I$16*'Datos del Modelo'!$I$17,'Datos del Modelo'!$I$19*'Datos del Modelo'!$I$20,'Datos del Modelo'!$I$22*'Datos del Modelo'!$I$23)))</f>
        <v>173243.26720799998</v>
      </c>
      <c r="K15" s="200"/>
      <c r="L15" s="199">
        <f>IF('Datos del Modelo'!O$44=2,(('Datos del Modelo'!$G$10*(1+'Datos del Modelo'!$G$13)^($D15-'Datos del Modelo'!$G$8))*(SUM('Datos del Modelo'!$G$16*'Datos del Modelo'!$G$17,'Datos del Modelo'!$G$19*'Datos del Modelo'!$G$20,'Datos del Modelo'!$G$22*'Datos del Modelo'!$G$23))+('Datos del Modelo'!$G$10*(1+'Datos del Modelo'!$G$13)^($D15-'Datos del Modelo'!$G$8))*(SUM('Datos del Modelo'!$G$16*'Datos del Modelo'!$G$18,'Datos del Modelo'!$G$19*'Datos del Modelo'!$G$21,'Datos del Modelo'!$G$22*'Datos del Modelo'!$G$24)))+(('Datos del Modelo'!$G$11*(1+'Datos del Modelo'!$G$13)^($D15-'Datos del Modelo'!$G$8))*(SUM('Datos del Modelo'!$H$16*'Datos del Modelo'!$H$17,'Datos del Modelo'!$H$19*'Datos del Modelo'!$H$20,'Datos del Modelo'!$H$22*'Datos del Modelo'!$H$23))+('Datos del Modelo'!$G$11*(1+'Datos del Modelo'!$G$13)^($D15-'Datos del Modelo'!$G$8))*(SUM('Datos del Modelo'!$H$16*'Datos del Modelo'!$H$18,'Datos del Modelo'!$H$19*'Datos del Modelo'!$H$21,'Datos del Modelo'!$H$22*'Datos del Modelo'!$H$24)))+(('Datos del Modelo'!$G$12*(1+'Datos del Modelo'!$G$13)^($D15-'Datos del Modelo'!$G$8))*(SUM('Datos del Modelo'!$I$16*'Datos del Modelo'!$I$17,'Datos del Modelo'!$I$19*'Datos del Modelo'!$I$20,'Datos del Modelo'!$I$22*'Datos del Modelo'!$I$23))+('Datos del Modelo'!$G$12*(1+'Datos del Modelo'!$G$13)^($D15-'Datos del Modelo'!$G$8))*(SUM('Datos del Modelo'!$I$16*'Datos del Modelo'!$I$18,'Datos del Modelo'!$I$19*'Datos del Modelo'!$I$21,'Datos del Modelo'!$I$22*'Datos del Modelo'!$I$24))),('Datos del Modelo'!$G$10*(1+'Datos del Modelo'!$G$13)^($D15-'Datos del Modelo'!$G$8))*(SUM('Datos del Modelo'!$G$16*'Datos del Modelo'!$G$17,'Datos del Modelo'!$G$19*'Datos del Modelo'!$G$20,'Datos del Modelo'!$G$22*'Datos del Modelo'!$G$23))+('Datos del Modelo'!$G$11*(1+'Datos del Modelo'!$G$13)^($D15-'Datos del Modelo'!$G$8))*(SUM('Datos del Modelo'!$H$16*'Datos del Modelo'!$H$17,'Datos del Modelo'!$H$19*'Datos del Modelo'!$H$20,'Datos del Modelo'!$H$22*'Datos del Modelo'!$H$23))+('Datos del Modelo'!$G$12*(1+'Datos del Modelo'!$G$13)^($D15-'Datos del Modelo'!$G$8))*(SUM('Datos del Modelo'!$I$16*'Datos del Modelo'!$I$17,'Datos del Modelo'!$I$19*'Datos del Modelo'!$I$20,'Datos del Modelo'!$I$22*'Datos del Modelo'!$I$23)))</f>
        <v>173243.26720799998</v>
      </c>
      <c r="M15" s="186"/>
      <c r="N15" s="186"/>
    </row>
    <row r="16" spans="1:15" ht="15" customHeight="1" x14ac:dyDescent="0.25">
      <c r="B16" s="190"/>
      <c r="C16" s="190"/>
      <c r="D16" s="197"/>
      <c r="E16" s="188"/>
      <c r="F16" s="206"/>
      <c r="G16" s="200"/>
      <c r="H16" s="206"/>
      <c r="I16" s="200"/>
      <c r="J16" s="206"/>
      <c r="K16" s="200"/>
      <c r="L16" s="206"/>
      <c r="M16" s="186"/>
      <c r="N16" s="186"/>
    </row>
    <row r="17" spans="2:14" ht="42" customHeight="1" x14ac:dyDescent="0.25">
      <c r="B17" s="190"/>
      <c r="C17" s="190"/>
      <c r="D17" s="512" t="s">
        <v>151</v>
      </c>
      <c r="E17" s="511"/>
      <c r="F17" s="511"/>
      <c r="G17" s="511"/>
      <c r="H17" s="511"/>
      <c r="I17" s="511"/>
      <c r="J17" s="511"/>
      <c r="K17" s="511"/>
      <c r="L17" s="511"/>
      <c r="M17" s="186"/>
      <c r="N17" s="186"/>
    </row>
    <row r="18" spans="2:14" ht="7.95" customHeight="1" x14ac:dyDescent="0.25">
      <c r="B18" s="190"/>
      <c r="C18" s="190"/>
      <c r="D18" s="194"/>
      <c r="E18" s="194"/>
      <c r="F18" s="194"/>
      <c r="G18" s="194"/>
      <c r="H18" s="194"/>
      <c r="I18" s="194"/>
      <c r="J18" s="194"/>
      <c r="K18" s="194"/>
      <c r="L18" s="194"/>
      <c r="M18" s="186"/>
      <c r="N18" s="186"/>
    </row>
    <row r="19" spans="2:14" ht="34.950000000000003" customHeight="1" x14ac:dyDescent="0.25">
      <c r="B19" s="190"/>
      <c r="C19" s="190"/>
      <c r="D19" s="210" t="s">
        <v>101</v>
      </c>
      <c r="E19" s="209"/>
      <c r="F19" s="207">
        <f>SUM(F20:F24)</f>
        <v>1299002.0037577893</v>
      </c>
      <c r="G19" s="208"/>
      <c r="H19" s="207">
        <f>SUM(H20:H24)</f>
        <v>2410835.2475851579</v>
      </c>
      <c r="I19" s="208"/>
      <c r="J19" s="207">
        <f>SUM(J20:J24)</f>
        <v>1368762.6252553333</v>
      </c>
      <c r="K19" s="208"/>
      <c r="L19" s="207">
        <f>SUM(L20:L24)</f>
        <v>1299002.0037577893</v>
      </c>
      <c r="M19" s="186"/>
      <c r="N19" s="186"/>
    </row>
    <row r="20" spans="2:14" ht="15.6" x14ac:dyDescent="0.25">
      <c r="B20" s="190"/>
      <c r="C20" s="190"/>
      <c r="D20" s="189">
        <f>'Datos del Modelo'!$G$8</f>
        <v>2026</v>
      </c>
      <c r="E20" s="188"/>
      <c r="F20" s="199">
        <f>F11*'Datos del Modelo'!G$49+Datos!$B41*'Datos del Modelo'!G$52</f>
        <v>587433.55263157887</v>
      </c>
      <c r="G20" s="200"/>
      <c r="H20" s="199">
        <f>H11*'Datos del Modelo'!K$49+Datos!$B41*'Datos del Modelo'!K$52</f>
        <v>1073196.7105263157</v>
      </c>
      <c r="I20" s="200"/>
      <c r="J20" s="199">
        <f>J11*'Datos del Modelo'!M$49+Datos!$B41*'Datos del Modelo'!M$52</f>
        <v>617845.83333333337</v>
      </c>
      <c r="K20" s="200"/>
      <c r="L20" s="199">
        <f>L11*'Datos del Modelo'!O$49+Datos!$B41*'Datos del Modelo'!O$52</f>
        <v>587433.55263157887</v>
      </c>
      <c r="M20" s="186"/>
      <c r="N20" s="186"/>
    </row>
    <row r="21" spans="2:14" ht="15.6" x14ac:dyDescent="0.25">
      <c r="B21" s="190"/>
      <c r="C21" s="190"/>
      <c r="D21" s="189">
        <f>'Datos del Modelo'!$G$8+1</f>
        <v>2027</v>
      </c>
      <c r="E21" s="188"/>
      <c r="F21" s="199">
        <f>F12*'Datos del Modelo'!G$49+(Datos!$B42*'Datos del Modelo'!G$52-Datos!$B41*'Datos del Modelo'!G$52)</f>
        <v>172643.40789473683</v>
      </c>
      <c r="G21" s="200"/>
      <c r="H21" s="199">
        <f>H12*'Datos del Modelo'!K$49+(Datos!$B42*'Datos del Modelo'!K$52-Datos!$B41*'Datos del Modelo'!K$52)</f>
        <v>324542.88157894736</v>
      </c>
      <c r="I21" s="200"/>
      <c r="J21" s="199">
        <f>J12*'Datos del Modelo'!M$49+(Datos!$B42*'Datos del Modelo'!M$52-Datos!$B41*'Datos del Modelo'!M$52)</f>
        <v>182190.25</v>
      </c>
      <c r="K21" s="200"/>
      <c r="L21" s="199">
        <f>L12*'Datos del Modelo'!O$49+(Datos!$B42*'Datos del Modelo'!O$52-Datos!$B41*'Datos del Modelo'!O$52)</f>
        <v>172643.40789473683</v>
      </c>
      <c r="M21" s="186"/>
      <c r="N21" s="186"/>
    </row>
    <row r="22" spans="2:14" ht="15.6" x14ac:dyDescent="0.25">
      <c r="B22" s="190"/>
      <c r="C22" s="190"/>
      <c r="D22" s="189">
        <f>'Datos del Modelo'!$G$8+2</f>
        <v>2028</v>
      </c>
      <c r="E22" s="188"/>
      <c r="F22" s="199">
        <f>F13*'Datos del Modelo'!G$49+(Datos!$B43*'Datos del Modelo'!G$52-Datos!$B42*'Datos del Modelo'!G$52)</f>
        <v>176096.27605263158</v>
      </c>
      <c r="G22" s="200"/>
      <c r="H22" s="199">
        <f>H13*'Datos del Modelo'!K$49+(Datos!$B43*'Datos del Modelo'!K$52-Datos!$B42*'Datos del Modelo'!K$52)</f>
        <v>331033.73921052628</v>
      </c>
      <c r="I22" s="200"/>
      <c r="J22" s="199">
        <f>J13*'Datos del Modelo'!M$49+(Datos!$B43*'Datos del Modelo'!M$52-Datos!$B42*'Datos del Modelo'!M$52)</f>
        <v>185834.05500000002</v>
      </c>
      <c r="K22" s="200"/>
      <c r="L22" s="199">
        <f>L13*'Datos del Modelo'!O$49+(Datos!$B43*'Datos del Modelo'!O$52-Datos!$B42*'Datos del Modelo'!O$52)</f>
        <v>176096.27605263158</v>
      </c>
      <c r="M22" s="186"/>
      <c r="N22" s="186"/>
    </row>
    <row r="23" spans="2:14" ht="15.6" x14ac:dyDescent="0.25">
      <c r="B23" s="190"/>
      <c r="C23" s="190"/>
      <c r="D23" s="189">
        <f>'Datos del Modelo'!$G$8+3</f>
        <v>2029</v>
      </c>
      <c r="E23" s="188"/>
      <c r="F23" s="199">
        <f>F14*'Datos del Modelo'!G$49+(Datos!$B44*'Datos del Modelo'!G$52-Datos!$B43*'Datos del Modelo'!G$52)</f>
        <v>179618.20157368414</v>
      </c>
      <c r="G23" s="200"/>
      <c r="H23" s="199">
        <f>H14*'Datos del Modelo'!K$49+(Datos!$B44*'Datos del Modelo'!K$52-Datos!$B43*'Datos del Modelo'!K$52)</f>
        <v>337654.41399473668</v>
      </c>
      <c r="I23" s="200"/>
      <c r="J23" s="199">
        <f>J14*'Datos del Modelo'!M$49+(Datos!$B44*'Datos del Modelo'!M$52-Datos!$B43*'Datos del Modelo'!M$52)</f>
        <v>189550.73609999995</v>
      </c>
      <c r="K23" s="200"/>
      <c r="L23" s="199">
        <f>L14*'Datos del Modelo'!O$49+(Datos!$B44*'Datos del Modelo'!O$52-Datos!$B43*'Datos del Modelo'!O$52)</f>
        <v>179618.20157368414</v>
      </c>
      <c r="M23" s="186"/>
      <c r="N23" s="186"/>
    </row>
    <row r="24" spans="2:14" ht="15.75" customHeight="1" x14ac:dyDescent="0.25">
      <c r="B24" s="190"/>
      <c r="C24" s="190"/>
      <c r="D24" s="189">
        <f>'Datos del Modelo'!$G$8+4</f>
        <v>2030</v>
      </c>
      <c r="E24" s="188"/>
      <c r="F24" s="199">
        <f>F15*'Datos del Modelo'!G$49+(Datos!$B45*'Datos del Modelo'!G$52-Datos!$B44*'Datos del Modelo'!G$52)</f>
        <v>183210.56560515787</v>
      </c>
      <c r="G24" s="200"/>
      <c r="H24" s="199">
        <f>H15*'Datos del Modelo'!K$49+(Datos!$B45*'Datos del Modelo'!K$52-Datos!$B44*'Datos del Modelo'!K$52)</f>
        <v>344407.50227463164</v>
      </c>
      <c r="I24" s="200"/>
      <c r="J24" s="199">
        <f>J15*'Datos del Modelo'!M$49+(Datos!$B45*'Datos del Modelo'!M$52-Datos!$B44*'Datos del Modelo'!M$52)</f>
        <v>193341.75082199997</v>
      </c>
      <c r="K24" s="200"/>
      <c r="L24" s="199">
        <f>L15*'Datos del Modelo'!O$49+(Datos!$B45*'Datos del Modelo'!O$52-Datos!$B44*'Datos del Modelo'!O$52)</f>
        <v>183210.56560515787</v>
      </c>
      <c r="M24" s="186"/>
      <c r="N24" s="186"/>
    </row>
    <row r="25" spans="2:14" ht="15" customHeight="1" x14ac:dyDescent="0.25">
      <c r="B25" s="190"/>
      <c r="C25" s="190"/>
      <c r="D25" s="197"/>
      <c r="E25" s="188"/>
      <c r="F25" s="206"/>
      <c r="G25" s="200"/>
      <c r="H25" s="206"/>
      <c r="I25" s="200"/>
      <c r="J25" s="206"/>
      <c r="K25" s="200"/>
      <c r="L25" s="206"/>
      <c r="M25" s="186"/>
      <c r="N25" s="186"/>
    </row>
    <row r="26" spans="2:14" s="203" customFormat="1" ht="42" customHeight="1" x14ac:dyDescent="0.25">
      <c r="B26" s="205"/>
      <c r="C26" s="205"/>
      <c r="D26" s="513" t="s">
        <v>150</v>
      </c>
      <c r="E26" s="507"/>
      <c r="F26" s="507"/>
      <c r="G26" s="507"/>
      <c r="H26" s="507"/>
      <c r="I26" s="507"/>
      <c r="J26" s="507"/>
      <c r="K26" s="507"/>
      <c r="L26" s="507"/>
      <c r="M26" s="204"/>
      <c r="N26" s="204"/>
    </row>
    <row r="27" spans="2:14" ht="7.95" customHeight="1" x14ac:dyDescent="0.25">
      <c r="B27" s="190"/>
      <c r="C27" s="190"/>
      <c r="D27" s="202"/>
      <c r="E27" s="194"/>
      <c r="F27" s="202"/>
      <c r="G27" s="194"/>
      <c r="H27" s="202"/>
      <c r="I27" s="194"/>
      <c r="J27" s="202"/>
      <c r="K27" s="194"/>
      <c r="L27" s="202"/>
      <c r="M27" s="201"/>
      <c r="N27" s="201"/>
    </row>
    <row r="28" spans="2:14" ht="15.6" x14ac:dyDescent="0.25">
      <c r="B28" s="190"/>
      <c r="C28" s="190"/>
      <c r="D28" s="189">
        <f>'Datos del Modelo'!$G$8</f>
        <v>2026</v>
      </c>
      <c r="E28" s="188"/>
      <c r="F28" s="199">
        <f>F20*'Datos del Modelo'!G$46</f>
        <v>8576529.8684210517</v>
      </c>
      <c r="G28" s="200"/>
      <c r="H28" s="199">
        <f>H20*'Datos del Modelo'!K$46</f>
        <v>12663721.184210526</v>
      </c>
      <c r="I28" s="200"/>
      <c r="J28" s="199">
        <f>J20*'Datos del Modelo'!M$46</f>
        <v>9267687.5</v>
      </c>
      <c r="K28" s="200"/>
      <c r="L28" s="199">
        <f>L20*'Datos del Modelo'!O$46</f>
        <v>8811503.2894736826</v>
      </c>
      <c r="M28" s="186"/>
      <c r="N28" s="186"/>
    </row>
    <row r="29" spans="2:14" ht="15.6" x14ac:dyDescent="0.25">
      <c r="B29" s="190"/>
      <c r="C29" s="190"/>
      <c r="D29" s="189">
        <f>'Datos del Modelo'!$G$8+1</f>
        <v>2027</v>
      </c>
      <c r="E29" s="188"/>
      <c r="F29" s="199">
        <f>F21*'Datos del Modelo'!G$46</f>
        <v>2520593.7552631577</v>
      </c>
      <c r="G29" s="200"/>
      <c r="H29" s="199">
        <f>H21*'Datos del Modelo'!K$46</f>
        <v>3829606.0026315791</v>
      </c>
      <c r="I29" s="200"/>
      <c r="J29" s="199">
        <f>J21*'Datos del Modelo'!M$46</f>
        <v>2732853.75</v>
      </c>
      <c r="K29" s="200"/>
      <c r="L29" s="199">
        <f>L21*'Datos del Modelo'!O$46</f>
        <v>2589651.1184210526</v>
      </c>
      <c r="M29" s="186"/>
      <c r="N29" s="186"/>
    </row>
    <row r="30" spans="2:14" ht="15.6" x14ac:dyDescent="0.25">
      <c r="B30" s="190"/>
      <c r="C30" s="190"/>
      <c r="D30" s="189">
        <f>'Datos del Modelo'!$G$8+2</f>
        <v>2028</v>
      </c>
      <c r="E30" s="188"/>
      <c r="F30" s="199">
        <f>F22*'Datos del Modelo'!G$46</f>
        <v>2571005.6303684209</v>
      </c>
      <c r="G30" s="200"/>
      <c r="H30" s="199">
        <f>H22*'Datos del Modelo'!K$46</f>
        <v>3906198.1226842105</v>
      </c>
      <c r="I30" s="200"/>
      <c r="J30" s="199">
        <f>J22*'Datos del Modelo'!M$46</f>
        <v>2787510.8250000002</v>
      </c>
      <c r="K30" s="200"/>
      <c r="L30" s="199">
        <f>L22*'Datos del Modelo'!O$46</f>
        <v>2641444.1407894739</v>
      </c>
      <c r="M30" s="186"/>
      <c r="N30" s="186"/>
    </row>
    <row r="31" spans="2:14" ht="15.6" x14ac:dyDescent="0.25">
      <c r="B31" s="190"/>
      <c r="C31" s="190"/>
      <c r="D31" s="189">
        <f>'Datos del Modelo'!$G$8+3</f>
        <v>2029</v>
      </c>
      <c r="E31" s="188"/>
      <c r="F31" s="199">
        <f>F23*'Datos del Modelo'!G$46</f>
        <v>2622425.7429757882</v>
      </c>
      <c r="G31" s="200"/>
      <c r="H31" s="199">
        <f>H23*'Datos del Modelo'!K$46</f>
        <v>3984322.085137893</v>
      </c>
      <c r="I31" s="200"/>
      <c r="J31" s="199">
        <f>J23*'Datos del Modelo'!M$46</f>
        <v>2843261.0414999994</v>
      </c>
      <c r="K31" s="200"/>
      <c r="L31" s="199">
        <f>L23*'Datos del Modelo'!O$46</f>
        <v>2694273.0236052619</v>
      </c>
      <c r="M31" s="186"/>
      <c r="N31" s="186"/>
    </row>
    <row r="32" spans="2:14" ht="15.6" x14ac:dyDescent="0.25">
      <c r="B32" s="190"/>
      <c r="C32" s="190"/>
      <c r="D32" s="189">
        <f>'Datos del Modelo'!$G$8+4</f>
        <v>2030</v>
      </c>
      <c r="E32" s="188"/>
      <c r="F32" s="199">
        <f>F24*'Datos del Modelo'!G$46</f>
        <v>2674874.2578353048</v>
      </c>
      <c r="G32" s="200"/>
      <c r="H32" s="199">
        <f>H24*'Datos del Modelo'!K$46</f>
        <v>4064008.5268406537</v>
      </c>
      <c r="I32" s="200"/>
      <c r="J32" s="199">
        <f>J24*'Datos del Modelo'!M$46</f>
        <v>2900126.2623299994</v>
      </c>
      <c r="K32" s="200"/>
      <c r="L32" s="199">
        <f>L24*'Datos del Modelo'!O$46</f>
        <v>2748158.4840773679</v>
      </c>
      <c r="M32" s="186"/>
      <c r="N32" s="186"/>
    </row>
    <row r="33" spans="2:14" ht="15" customHeight="1" x14ac:dyDescent="0.25">
      <c r="B33" s="186"/>
      <c r="C33" s="186"/>
      <c r="D33" s="186"/>
      <c r="E33" s="186"/>
      <c r="F33" s="186"/>
      <c r="G33" s="186"/>
      <c r="H33" s="186"/>
      <c r="I33" s="186"/>
      <c r="J33" s="186"/>
      <c r="K33" s="186"/>
      <c r="L33" s="186"/>
      <c r="M33" s="186"/>
      <c r="N33" s="186"/>
    </row>
    <row r="34" spans="2:14" ht="42" customHeight="1" x14ac:dyDescent="0.25">
      <c r="B34" s="190"/>
      <c r="C34" s="190"/>
      <c r="D34" s="507" t="s">
        <v>102</v>
      </c>
      <c r="E34" s="507"/>
      <c r="F34" s="507"/>
      <c r="G34" s="507"/>
      <c r="H34" s="507"/>
      <c r="I34" s="507"/>
      <c r="J34" s="507"/>
      <c r="K34" s="507"/>
      <c r="L34" s="507"/>
      <c r="M34" s="186"/>
      <c r="N34" s="186"/>
    </row>
    <row r="35" spans="2:14" ht="15.6" x14ac:dyDescent="0.25">
      <c r="B35" s="190"/>
      <c r="C35" s="190"/>
      <c r="D35" s="194"/>
      <c r="E35" s="194"/>
      <c r="F35" s="194"/>
      <c r="G35" s="194"/>
      <c r="H35" s="194"/>
      <c r="I35" s="194"/>
      <c r="J35" s="194"/>
      <c r="K35" s="194"/>
      <c r="L35" s="194"/>
      <c r="M35" s="186"/>
      <c r="N35" s="186"/>
    </row>
    <row r="36" spans="2:14" ht="31.2" x14ac:dyDescent="0.25">
      <c r="B36" s="190"/>
      <c r="C36" s="190"/>
      <c r="D36" s="193" t="s">
        <v>101</v>
      </c>
      <c r="E36" s="192"/>
      <c r="F36" s="348">
        <f>SUM(F37:F41)</f>
        <v>6604229.6170644425</v>
      </c>
      <c r="G36" s="191"/>
      <c r="H36" s="348">
        <f>SUM(H37:H41)</f>
        <v>12258568.761872904</v>
      </c>
      <c r="I36" s="191"/>
      <c r="J36" s="348">
        <f>SUM(J37:J41)</f>
        <v>6955823.1494120639</v>
      </c>
      <c r="K36" s="191"/>
      <c r="L36" s="348">
        <f>SUM(L37:L41)</f>
        <v>6604229.6170644425</v>
      </c>
      <c r="M36" s="186"/>
      <c r="N36" s="186"/>
    </row>
    <row r="37" spans="2:14" ht="15.6" x14ac:dyDescent="0.25">
      <c r="B37" s="190"/>
      <c r="C37" s="190"/>
      <c r="D37" s="189">
        <f>'Datos del Modelo'!$G$8</f>
        <v>2026</v>
      </c>
      <c r="E37" s="188"/>
      <c r="F37" s="349">
        <f>F20*('Datos del Modelo'!G$42+'Datos del Modelo'!G$42*'Datos del Modelo'!G$50+'Datos del Modelo'!G$42*'Datos del Modelo'!G$51)+(F11/'Datos del Modelo'!G$54*'Datos del Modelo'!G$53)+(F11*'Datos del Modelo'!$G$55)</f>
        <v>2985627.5052631577</v>
      </c>
      <c r="G37" s="196"/>
      <c r="H37" s="349">
        <f>H20*('Datos del Modelo'!K$42+'Datos del Modelo'!K$42*'Datos del Modelo'!K$50+'Datos del Modelo'!K$42*'Datos del Modelo'!K$51)+(H11/'Datos del Modelo'!K$54*'Datos del Modelo'!K$53)+(H11*'Datos del Modelo'!$K$55)</f>
        <v>5456024.6210526312</v>
      </c>
      <c r="I37" s="196"/>
      <c r="J37" s="349">
        <f>J20*('Datos del Modelo'!M$42+'Datos del Modelo'!M$42*'Datos del Modelo'!M$50+'Datos del Modelo'!M$42*'Datos del Modelo'!M$51)+(J11/'Datos del Modelo'!M$54*'Datos del Modelo'!M$53)+(J11*'Datos del Modelo'!$K$55)</f>
        <v>3138905.4</v>
      </c>
      <c r="K37" s="196"/>
      <c r="L37" s="349">
        <f>L20*('Datos del Modelo'!O$42+'Datos del Modelo'!O$42*'Datos del Modelo'!O$50+'Datos del Modelo'!O$42*'Datos del Modelo'!O$51)+(L11/'Datos del Modelo'!O$54*'Datos del Modelo'!O$53)+(L11*'Datos del Modelo'!$K$55)</f>
        <v>2985627.5052631577</v>
      </c>
      <c r="M37" s="186"/>
      <c r="N37" s="186"/>
    </row>
    <row r="38" spans="2:14" ht="15.6" x14ac:dyDescent="0.25">
      <c r="B38" s="190"/>
      <c r="C38" s="190"/>
      <c r="D38" s="189">
        <f>'Datos del Modelo'!$G$8+1</f>
        <v>2027</v>
      </c>
      <c r="E38" s="188"/>
      <c r="F38" s="349">
        <f>F21*('Datos del Modelo'!G$42+'Datos del Modelo'!G$42*'Datos del Modelo'!G$50+'Datos del Modelo'!G$42*'Datos del Modelo'!G$51)+(F12/'Datos del Modelo'!G$54*'Datos del Modelo'!G$53)+(F12*'Datos del Modelo'!$G$55)</f>
        <v>877958.82378947362</v>
      </c>
      <c r="G38" s="196"/>
      <c r="H38" s="349">
        <f>H21*('Datos del Modelo'!K$42+'Datos del Modelo'!K$42*'Datos del Modelo'!K$50+'Datos del Modelo'!K$42*'Datos del Modelo'!K$51)+(H12/'Datos del Modelo'!K$54*'Datos del Modelo'!K$53)+(H12*'Datos del Modelo'!$K$55)</f>
        <v>1650458.7871578946</v>
      </c>
      <c r="I38" s="196"/>
      <c r="J38" s="349">
        <f>J21*('Datos del Modelo'!M$42+'Datos del Modelo'!M$42*'Datos del Modelo'!M$50+'Datos del Modelo'!M$42*'Datos del Modelo'!M$51)+(J12/'Datos del Modelo'!M$54*'Datos del Modelo'!M$53)+(J12*'Datos del Modelo'!$K$55)</f>
        <v>926074.90800000005</v>
      </c>
      <c r="K38" s="196"/>
      <c r="L38" s="349">
        <f>L21*('Datos del Modelo'!O$42+'Datos del Modelo'!O$42*'Datos del Modelo'!O$50+'Datos del Modelo'!O$42*'Datos del Modelo'!O$51)+(L12/'Datos del Modelo'!O$54*'Datos del Modelo'!O$53)+(L12*'Datos del Modelo'!$K$55)</f>
        <v>877958.82378947362</v>
      </c>
      <c r="M38" s="186"/>
      <c r="N38" s="186"/>
    </row>
    <row r="39" spans="2:14" ht="15.6" x14ac:dyDescent="0.25">
      <c r="B39" s="190"/>
      <c r="C39" s="190"/>
      <c r="D39" s="189">
        <f>'Datos del Modelo'!$G$8+2</f>
        <v>2028</v>
      </c>
      <c r="E39" s="188"/>
      <c r="F39" s="349">
        <f>F22*('Datos del Modelo'!G$42+'Datos del Modelo'!G$42*'Datos del Modelo'!G$50+'Datos del Modelo'!G$42*'Datos del Modelo'!G$51)+(F13/'Datos del Modelo'!G$54*'Datos del Modelo'!G$53)+(F13*'Datos del Modelo'!$G$55)</f>
        <v>895518.00026526325</v>
      </c>
      <c r="G39" s="196"/>
      <c r="H39" s="349">
        <f>H22*('Datos del Modelo'!K$42+'Datos del Modelo'!K$42*'Datos del Modelo'!K$50+'Datos del Modelo'!K$42*'Datos del Modelo'!K$51)+(H13/'Datos del Modelo'!K$54*'Datos del Modelo'!K$53)+(H13*'Datos del Modelo'!$K$55)</f>
        <v>1683467.9629010523</v>
      </c>
      <c r="I39" s="196"/>
      <c r="J39" s="349">
        <f>J22*('Datos del Modelo'!M$42+'Datos del Modelo'!M$42*'Datos del Modelo'!M$50+'Datos del Modelo'!M$42*'Datos del Modelo'!M$51)+(J13/'Datos del Modelo'!M$54*'Datos del Modelo'!M$53)+(J13*'Datos del Modelo'!$K$55)</f>
        <v>944596.40616000013</v>
      </c>
      <c r="K39" s="196"/>
      <c r="L39" s="349">
        <f>L22*('Datos del Modelo'!O$42+'Datos del Modelo'!O$42*'Datos del Modelo'!O$50+'Datos del Modelo'!O$42*'Datos del Modelo'!O$51)+(L13/'Datos del Modelo'!O$54*'Datos del Modelo'!O$53)+(L13*'Datos del Modelo'!$K$55)</f>
        <v>895518.00026526325</v>
      </c>
      <c r="M39" s="186"/>
      <c r="N39" s="186"/>
    </row>
    <row r="40" spans="2:14" ht="15.6" x14ac:dyDescent="0.25">
      <c r="B40" s="190"/>
      <c r="C40" s="190"/>
      <c r="D40" s="189">
        <f>'Datos del Modelo'!$G$8+3</f>
        <v>2029</v>
      </c>
      <c r="E40" s="188"/>
      <c r="F40" s="349">
        <f>F23*('Datos del Modelo'!G$42+'Datos del Modelo'!G$42*'Datos del Modelo'!G$50+'Datos del Modelo'!G$42*'Datos del Modelo'!G$51)+(F14/'Datos del Modelo'!G$54*'Datos del Modelo'!G$53)+(F14*'Datos del Modelo'!$G$55)</f>
        <v>913428.36027056817</v>
      </c>
      <c r="G40" s="196"/>
      <c r="H40" s="349">
        <f>H23*('Datos del Modelo'!K$42+'Datos del Modelo'!K$42*'Datos del Modelo'!K$50+'Datos del Modelo'!K$42*'Datos del Modelo'!K$51)+(H14/'Datos del Modelo'!K$54*'Datos del Modelo'!K$53)+(H14*'Datos del Modelo'!$K$55)</f>
        <v>1717137.3221590726</v>
      </c>
      <c r="I40" s="196"/>
      <c r="J40" s="349">
        <f>J23*('Datos del Modelo'!M$42+'Datos del Modelo'!M$42*'Datos del Modelo'!M$50+'Datos del Modelo'!M$42*'Datos del Modelo'!M$51)+(J14/'Datos del Modelo'!M$54*'Datos del Modelo'!M$53)+(J14*'Datos del Modelo'!$K$55)</f>
        <v>963488.33428319986</v>
      </c>
      <c r="K40" s="196"/>
      <c r="L40" s="349">
        <f>L23*('Datos del Modelo'!O$42+'Datos del Modelo'!O$42*'Datos del Modelo'!O$50+'Datos del Modelo'!O$42*'Datos del Modelo'!O$51)+(L14/'Datos del Modelo'!O$54*'Datos del Modelo'!O$53)+(L14*'Datos del Modelo'!$K$55)</f>
        <v>913428.36027056817</v>
      </c>
      <c r="M40" s="186"/>
      <c r="N40" s="186"/>
    </row>
    <row r="41" spans="2:14" ht="15.6" x14ac:dyDescent="0.25">
      <c r="B41" s="190"/>
      <c r="C41" s="190"/>
      <c r="D41" s="189">
        <f>'Datos del Modelo'!$G$8+4</f>
        <v>2030</v>
      </c>
      <c r="E41" s="188"/>
      <c r="F41" s="349">
        <f>F24*('Datos del Modelo'!G$42+'Datos del Modelo'!G$42*'Datos del Modelo'!G$50+'Datos del Modelo'!G$42*'Datos del Modelo'!G$51)+(F15/'Datos del Modelo'!G$54*'Datos del Modelo'!G$53)+(F15*'Datos del Modelo'!$G$55)</f>
        <v>931696.92747597967</v>
      </c>
      <c r="G41" s="196"/>
      <c r="H41" s="349">
        <f>H24*('Datos del Modelo'!K$42+'Datos del Modelo'!K$42*'Datos del Modelo'!K$50+'Datos del Modelo'!K$42*'Datos del Modelo'!K$51)+(H15/'Datos del Modelo'!K$54*'Datos del Modelo'!K$53)+(H15*'Datos del Modelo'!$K$55)</f>
        <v>1751480.0686022553</v>
      </c>
      <c r="I41" s="196"/>
      <c r="J41" s="349">
        <f>J24*('Datos del Modelo'!M$42+'Datos del Modelo'!M$42*'Datos del Modelo'!M$50+'Datos del Modelo'!M$42*'Datos del Modelo'!M$51)+(J15/'Datos del Modelo'!M$54*'Datos del Modelo'!M$53)+(J15*'Datos del Modelo'!$K$55)</f>
        <v>982758.10096886393</v>
      </c>
      <c r="K41" s="196"/>
      <c r="L41" s="349">
        <f>L24*('Datos del Modelo'!O$42+'Datos del Modelo'!O$42*'Datos del Modelo'!O$50+'Datos del Modelo'!O$42*'Datos del Modelo'!O$51)+(L15/'Datos del Modelo'!O$54*'Datos del Modelo'!O$53)+(L15*'Datos del Modelo'!$K$55)</f>
        <v>931696.92747597967</v>
      </c>
      <c r="M41" s="186"/>
      <c r="N41" s="186"/>
    </row>
    <row r="42" spans="2:14" ht="15.6" x14ac:dyDescent="0.25">
      <c r="B42" s="190"/>
      <c r="C42" s="190"/>
      <c r="D42" s="197"/>
      <c r="E42" s="188"/>
      <c r="F42" s="195"/>
      <c r="G42" s="196"/>
      <c r="H42" s="195"/>
      <c r="I42" s="196"/>
      <c r="J42" s="195"/>
      <c r="K42" s="196"/>
      <c r="L42" s="195"/>
      <c r="M42" s="186"/>
      <c r="N42" s="186"/>
    </row>
    <row r="43" spans="2:14" ht="42" customHeight="1" x14ac:dyDescent="0.25">
      <c r="B43" s="190"/>
      <c r="C43" s="190"/>
      <c r="D43" s="508" t="s">
        <v>103</v>
      </c>
      <c r="E43" s="508"/>
      <c r="F43" s="508"/>
      <c r="G43" s="508"/>
      <c r="H43" s="508"/>
      <c r="I43" s="508"/>
      <c r="J43" s="508"/>
      <c r="K43" s="508"/>
      <c r="L43" s="508"/>
      <c r="M43" s="186"/>
      <c r="N43" s="186"/>
    </row>
    <row r="44" spans="2:14" ht="15.6" x14ac:dyDescent="0.25">
      <c r="B44" s="190"/>
      <c r="C44" s="190"/>
      <c r="D44" s="194"/>
      <c r="E44" s="194"/>
      <c r="F44" s="194"/>
      <c r="G44" s="194"/>
      <c r="H44" s="194"/>
      <c r="I44" s="194"/>
      <c r="J44" s="194"/>
      <c r="K44" s="194"/>
      <c r="L44" s="194"/>
      <c r="M44" s="186"/>
      <c r="N44" s="186"/>
    </row>
    <row r="45" spans="2:14" ht="31.2" x14ac:dyDescent="0.25">
      <c r="B45" s="190"/>
      <c r="C45" s="190"/>
      <c r="D45" s="193" t="s">
        <v>101</v>
      </c>
      <c r="E45" s="192"/>
      <c r="F45" s="348">
        <f>SUM(F46:F50)</f>
        <v>7801039.3580570845</v>
      </c>
      <c r="G45" s="191"/>
      <c r="H45" s="348">
        <f>SUM(H46:H50)</f>
        <v>14515432.117555916</v>
      </c>
      <c r="I45" s="191"/>
      <c r="J45" s="348">
        <f>SUM(J46:J50)</f>
        <v>8152632.8904047059</v>
      </c>
      <c r="K45" s="191"/>
      <c r="L45" s="348">
        <f>SUM(L46:L50)</f>
        <v>7801039.3580570845</v>
      </c>
      <c r="M45" s="186"/>
      <c r="N45" s="186"/>
    </row>
    <row r="46" spans="2:14" ht="15.6" x14ac:dyDescent="0.25">
      <c r="B46" s="190"/>
      <c r="C46" s="190"/>
      <c r="D46" s="189">
        <f>'Datos del Modelo'!$G$8</f>
        <v>2026</v>
      </c>
      <c r="E46" s="188"/>
      <c r="F46" s="350">
        <f>F37+SUM((Datos!B59+Datos!B65)*'Datos del Modelo'!G$61,(Datos!C59+Datos!C65)*'Datos del Modelo'!G$62,(Datos!D59+Datos!D65)*'Datos del Modelo'!G$63)+'Datos del Modelo'!G59</f>
        <v>3506427.5212631575</v>
      </c>
      <c r="G46" s="187"/>
      <c r="H46" s="350">
        <f>H37+SUM((Datos!E59+Datos!E65)*'Datos del Modelo'!K$61,(Datos!F59+Datos!F65)*'Datos del Modelo'!K$62,(Datos!G59+Datos!G65)*'Datos del Modelo'!K$63)+'Datos del Modelo'!K59</f>
        <v>6439032.1512026312</v>
      </c>
      <c r="I46" s="187"/>
      <c r="J46" s="350">
        <f>J37+SUM((Datos!H59+Datos!H65)*'Datos del Modelo'!M$61,(Datos!I59+Datos!I65)*'Datos del Modelo'!M$62,(Datos!J59+Datos!J65)*'Datos del Modelo'!M$63)+'Datos del Modelo'!M59</f>
        <v>3659705.4159999997</v>
      </c>
      <c r="K46" s="187"/>
      <c r="L46" s="350">
        <f>L37+SUM((Datos!K59+Datos!K65)*'Datos del Modelo'!O$61,(Datos!L59+Datos!L65)*'Datos del Modelo'!O$62,(Datos!M59+Datos!M65)*'Datos del Modelo'!O$63)+'Datos del Modelo'!O59</f>
        <v>3506427.5212631575</v>
      </c>
      <c r="M46" s="186"/>
      <c r="N46" s="186"/>
    </row>
    <row r="47" spans="2:14" ht="15.6" x14ac:dyDescent="0.25">
      <c r="B47" s="190"/>
      <c r="C47" s="190"/>
      <c r="D47" s="189">
        <f>'Datos del Modelo'!$G$8+1</f>
        <v>2027</v>
      </c>
      <c r="E47" s="188"/>
      <c r="F47" s="350">
        <f>F38+SUM(Datos!B60*'Datos del Modelo'!G$61,Datos!C60*'Datos del Modelo'!G$62,Datos!D60*'Datos del Modelo'!G$63)</f>
        <v>1041974.8401094736</v>
      </c>
      <c r="G47" s="187"/>
      <c r="H47" s="350">
        <f>H38+SUM(Datos!E60*'Datos del Modelo'!K$61,Datos!F60*'Datos del Modelo'!K$62,Datos!G60*'Datos del Modelo'!K$63)</f>
        <v>1959526.4679108947</v>
      </c>
      <c r="I47" s="187"/>
      <c r="J47" s="350">
        <f>J38+SUM(Datos!H60*'Datos del Modelo'!M$61,Datos!I60*'Datos del Modelo'!M$62,Datos!J60*'Datos del Modelo'!M$63)</f>
        <v>1090090.92432</v>
      </c>
      <c r="K47" s="187"/>
      <c r="L47" s="350">
        <f>L38+SUM(Datos!K60*'Datos del Modelo'!O$61,Datos!L60*'Datos del Modelo'!O$62,Datos!M60*'Datos del Modelo'!O$63)</f>
        <v>1041974.8401094736</v>
      </c>
      <c r="M47" s="186"/>
      <c r="N47" s="186"/>
    </row>
    <row r="48" spans="2:14" ht="15.6" x14ac:dyDescent="0.25">
      <c r="B48" s="190"/>
      <c r="C48" s="190"/>
      <c r="D48" s="189">
        <f>'Datos del Modelo'!$G$8+2</f>
        <v>2028</v>
      </c>
      <c r="E48" s="188"/>
      <c r="F48" s="350">
        <f>F39+SUM(Datos!B61*'Datos del Modelo'!G$61,Datos!C61*'Datos del Modelo'!G$62,Datos!D61*'Datos del Modelo'!G$63)</f>
        <v>1062814.3369116632</v>
      </c>
      <c r="G48" s="187"/>
      <c r="H48" s="350">
        <f>H39+SUM(Datos!E61*'Datos del Modelo'!K$61,Datos!F61*'Datos del Modelo'!K$62,Datos!G61*'Datos del Modelo'!K$63)</f>
        <v>1998716.9972691122</v>
      </c>
      <c r="I48" s="187"/>
      <c r="J48" s="350">
        <f>J39+SUM(Datos!H61*'Datos del Modelo'!M$61,Datos!I61*'Datos del Modelo'!M$62,Datos!J61*'Datos del Modelo'!M$63)</f>
        <v>1111892.7428064002</v>
      </c>
      <c r="K48" s="187"/>
      <c r="L48" s="350">
        <f>L39+SUM(Datos!K61*'Datos del Modelo'!O$61,Datos!L61*'Datos del Modelo'!O$62,Datos!M61*'Datos del Modelo'!O$63)</f>
        <v>1062814.3369116632</v>
      </c>
      <c r="M48" s="186"/>
      <c r="N48" s="186"/>
    </row>
    <row r="49" spans="2:14" ht="15.6" x14ac:dyDescent="0.25">
      <c r="B49" s="190"/>
      <c r="C49" s="190"/>
      <c r="D49" s="189">
        <f>'Datos del Modelo'!$G$8+3</f>
        <v>2029</v>
      </c>
      <c r="E49" s="188"/>
      <c r="F49" s="350">
        <f>F40+SUM(Datos!B62*'Datos del Modelo'!G$61,Datos!C62*'Datos del Modelo'!G$62,Datos!D62*'Datos del Modelo'!G$63)</f>
        <v>1084070.6236498961</v>
      </c>
      <c r="G49" s="187"/>
      <c r="H49" s="350">
        <f>H40+SUM(Datos!E62*'Datos del Modelo'!K$61,Datos!F62*'Datos del Modelo'!K$62,Datos!G62*'Datos del Modelo'!K$63)</f>
        <v>2038691.3372144937</v>
      </c>
      <c r="I49" s="187"/>
      <c r="J49" s="350">
        <f>J40+SUM(Datos!H62*'Datos del Modelo'!M$61,Datos!I62*'Datos del Modelo'!M$62,Datos!J62*'Datos del Modelo'!M$63)</f>
        <v>1134130.5976625278</v>
      </c>
      <c r="K49" s="187"/>
      <c r="L49" s="350">
        <f>L40+SUM(Datos!K62*'Datos del Modelo'!O$61,Datos!L62*'Datos del Modelo'!O$62,Datos!M62*'Datos del Modelo'!O$63)</f>
        <v>1084070.6236498961</v>
      </c>
      <c r="M49" s="186"/>
      <c r="N49" s="186"/>
    </row>
    <row r="50" spans="2:14" ht="15.6" x14ac:dyDescent="0.25">
      <c r="B50" s="190"/>
      <c r="C50" s="190"/>
      <c r="D50" s="189">
        <f>'Datos del Modelo'!$G$8+4</f>
        <v>2030</v>
      </c>
      <c r="E50" s="188"/>
      <c r="F50" s="350">
        <f>F41+SUM(Datos!B63*'Datos del Modelo'!G$61,Datos!C63*'Datos del Modelo'!G$62,Datos!D63*'Datos del Modelo'!G$63)</f>
        <v>1105752.0361228941</v>
      </c>
      <c r="G50" s="187"/>
      <c r="H50" s="350">
        <f>H41+SUM(Datos!E63*'Datos del Modelo'!K$61,Datos!F63*'Datos del Modelo'!K$62,Datos!G63*'Datos del Modelo'!K$63)</f>
        <v>2079465.1639587849</v>
      </c>
      <c r="I50" s="187"/>
      <c r="J50" s="350">
        <f>J41+SUM(Datos!H63*'Datos del Modelo'!M$61,Datos!I63*'Datos del Modelo'!M$62,Datos!J63*'Datos del Modelo'!M$63)</f>
        <v>1156813.2096157784</v>
      </c>
      <c r="K50" s="187"/>
      <c r="L50" s="350">
        <f>L41+SUM(Datos!K63*'Datos del Modelo'!O$61,Datos!L63*'Datos del Modelo'!O$62,Datos!M63*'Datos del Modelo'!O$63)</f>
        <v>1105752.0361228941</v>
      </c>
      <c r="M50" s="186"/>
      <c r="N50" s="186"/>
    </row>
    <row r="51" spans="2:14" x14ac:dyDescent="0.25">
      <c r="B51" s="186"/>
      <c r="C51" s="186"/>
      <c r="D51" s="186"/>
      <c r="E51" s="186"/>
      <c r="F51" s="186"/>
      <c r="G51" s="186"/>
      <c r="H51" s="186"/>
      <c r="I51" s="186"/>
      <c r="J51" s="186"/>
      <c r="K51" s="186"/>
      <c r="L51" s="186"/>
      <c r="M51" s="186"/>
      <c r="N51" s="186"/>
    </row>
  </sheetData>
  <sheetProtection algorithmName="SHA-512" hashValue="uCxaYZjkRrJlMgMTOCnvbB2q+FoJ8stGeiQ79/sLcgA4/3a1l6aplia6T4By3NDkDvUnyDhEGH/PSIXY+c73Cw==" saltValue="OP5vuZWMMAgiHLsiMIp0+w==" spinCount="100000" sheet="1" formatCells="0" formatColumns="0" formatRows="0" insertColumns="0" insertRows="0" insertHyperlinks="0" deleteColumns="0" deleteRows="0" sort="0" autoFilter="0" pivotTables="0"/>
  <mergeCells count="9">
    <mergeCell ref="D34:L34"/>
    <mergeCell ref="D43:L43"/>
    <mergeCell ref="B1:M1"/>
    <mergeCell ref="D3:L3"/>
    <mergeCell ref="D8:L8"/>
    <mergeCell ref="D17:L17"/>
    <mergeCell ref="D26:L26"/>
    <mergeCell ref="D4:L4"/>
    <mergeCell ref="A2:N2"/>
  </mergeCells>
  <conditionalFormatting sqref="F36 H36 J36">
    <cfRule type="colorScale" priority="3">
      <colorScale>
        <cfvo type="min"/>
        <cfvo type="percentile" val="50"/>
        <cfvo type="max"/>
        <color theme="6"/>
        <color rgb="FFDFE382"/>
        <color theme="3"/>
      </colorScale>
    </cfRule>
  </conditionalFormatting>
  <conditionalFormatting sqref="F45:K45">
    <cfRule type="colorScale" priority="5">
      <colorScale>
        <cfvo type="min"/>
        <cfvo type="max"/>
        <color theme="6"/>
        <color rgb="FFDFE382"/>
      </colorScale>
    </cfRule>
    <cfRule type="colorScale" priority="6">
      <colorScale>
        <cfvo type="min"/>
        <cfvo type="max"/>
        <color rgb="FFDFE382"/>
        <color rgb="FFFFC000"/>
      </colorScale>
    </cfRule>
    <cfRule type="colorScale" priority="7">
      <colorScale>
        <cfvo type="min"/>
        <cfvo type="percentile" val="50"/>
        <cfvo type="max"/>
        <color theme="6"/>
        <color theme="3"/>
        <color theme="3"/>
      </colorScale>
    </cfRule>
  </conditionalFormatting>
  <conditionalFormatting sqref="F45:L45">
    <cfRule type="colorScale" priority="8">
      <colorScale>
        <cfvo type="min"/>
        <cfvo type="max"/>
        <color theme="6"/>
        <color rgb="FFDFE382"/>
      </colorScale>
    </cfRule>
  </conditionalFormatting>
  <conditionalFormatting sqref="H36 F36 J36 L36">
    <cfRule type="colorScale" priority="2">
      <colorScale>
        <cfvo type="min"/>
        <cfvo type="percentile" val="50"/>
        <cfvo type="max"/>
        <color theme="6"/>
        <color rgb="FFDFE382"/>
        <color theme="3"/>
      </colorScale>
    </cfRule>
  </conditionalFormatting>
  <conditionalFormatting sqref="H45 F45 J45 L45">
    <cfRule type="colorScale" priority="1">
      <colorScale>
        <cfvo type="min"/>
        <cfvo type="percentile" val="50"/>
        <cfvo type="max"/>
        <color theme="6"/>
        <color rgb="FFDFE382"/>
        <color theme="3"/>
      </colorScale>
    </cfRule>
  </conditionalFormatting>
  <conditionalFormatting sqref="L36 J36 H36 F36">
    <cfRule type="colorScale" priority="4">
      <colorScale>
        <cfvo type="min"/>
        <cfvo type="max"/>
        <color theme="6"/>
        <color rgb="FFDFE382"/>
      </colorScale>
    </cfRule>
  </conditionalFormatting>
  <conditionalFormatting sqref="L45">
    <cfRule type="colorScale" priority="9">
      <colorScale>
        <cfvo type="min"/>
        <cfvo type="max"/>
        <color theme="6"/>
        <color rgb="FFDFE382"/>
      </colorScale>
    </cfRule>
    <cfRule type="colorScale" priority="10">
      <colorScale>
        <cfvo type="min"/>
        <cfvo type="max"/>
        <color rgb="FFDFE382"/>
        <color rgb="FFFFC000"/>
      </colorScale>
    </cfRule>
    <cfRule type="colorScale" priority="11">
      <colorScale>
        <cfvo type="min"/>
        <cfvo type="percentile" val="50"/>
        <cfvo type="max"/>
        <color theme="6"/>
        <color theme="3"/>
        <color theme="3"/>
      </colorScale>
    </cfRule>
  </conditionalFormatting>
  <printOptions horizontalCentered="1" verticalCentered="1"/>
  <pageMargins left="0.25" right="0.25"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M65"/>
  <sheetViews>
    <sheetView workbookViewId="0">
      <selection activeCell="A11" sqref="A11"/>
    </sheetView>
  </sheetViews>
  <sheetFormatPr defaultColWidth="8.77734375" defaultRowHeight="14.4" x14ac:dyDescent="0.3"/>
  <cols>
    <col min="1" max="1" width="52" customWidth="1"/>
    <col min="2" max="3" width="20.44140625" customWidth="1"/>
    <col min="4" max="4" width="40" bestFit="1" customWidth="1"/>
    <col min="5" max="27" width="20.44140625" customWidth="1"/>
  </cols>
  <sheetData>
    <row r="1" spans="1:6" x14ac:dyDescent="0.3">
      <c r="A1" s="3" t="s">
        <v>104</v>
      </c>
      <c r="B1" s="3" t="s">
        <v>105</v>
      </c>
      <c r="C1" s="3" t="s">
        <v>106</v>
      </c>
      <c r="D1" s="3" t="s">
        <v>107</v>
      </c>
      <c r="E1" s="3" t="s">
        <v>108</v>
      </c>
    </row>
    <row r="2" spans="1:6" x14ac:dyDescent="0.3">
      <c r="A2" s="3"/>
      <c r="B2" s="3"/>
      <c r="C2" s="3"/>
      <c r="D2" s="3"/>
    </row>
    <row r="3" spans="1:6" ht="28.8" x14ac:dyDescent="0.3">
      <c r="A3" s="7" t="s">
        <v>59</v>
      </c>
      <c r="B3" s="4">
        <v>2</v>
      </c>
      <c r="C3" s="2">
        <v>0.05</v>
      </c>
      <c r="D3" s="1">
        <v>14.6</v>
      </c>
      <c r="E3" t="s">
        <v>122</v>
      </c>
    </row>
    <row r="4" spans="1:6" ht="28.8" x14ac:dyDescent="0.3">
      <c r="A4" s="7" t="s">
        <v>60</v>
      </c>
      <c r="B4" s="4">
        <v>2</v>
      </c>
      <c r="C4" s="2">
        <v>0.05</v>
      </c>
      <c r="D4" s="1">
        <v>11.8</v>
      </c>
      <c r="E4" s="295">
        <v>3.5</v>
      </c>
    </row>
    <row r="5" spans="1:6" ht="28.8" x14ac:dyDescent="0.3">
      <c r="A5" s="7" t="s">
        <v>109</v>
      </c>
      <c r="B5" s="4">
        <v>2</v>
      </c>
      <c r="C5" s="2">
        <v>0.1</v>
      </c>
      <c r="D5" s="1">
        <v>4.8</v>
      </c>
      <c r="E5" t="s">
        <v>123</v>
      </c>
    </row>
    <row r="6" spans="1:6" ht="28.8" x14ac:dyDescent="0.3">
      <c r="A6" s="7" t="s">
        <v>61</v>
      </c>
      <c r="B6" s="4">
        <v>2</v>
      </c>
      <c r="C6" s="2">
        <v>0.05</v>
      </c>
      <c r="D6" s="1">
        <v>15</v>
      </c>
      <c r="E6" t="s">
        <v>124</v>
      </c>
    </row>
    <row r="7" spans="1:6" ht="28.8" x14ac:dyDescent="0.3">
      <c r="A7" s="7" t="s">
        <v>110</v>
      </c>
      <c r="B7" s="4" t="s">
        <v>111</v>
      </c>
      <c r="C7" s="2">
        <v>0.05</v>
      </c>
      <c r="D7" s="1">
        <v>15</v>
      </c>
      <c r="E7" t="s">
        <v>125</v>
      </c>
    </row>
    <row r="8" spans="1:6" x14ac:dyDescent="0.3">
      <c r="A8" s="249"/>
      <c r="B8" s="4"/>
      <c r="C8" s="2"/>
      <c r="D8" s="1"/>
      <c r="E8" s="8"/>
      <c r="F8" s="247"/>
    </row>
    <row r="9" spans="1:6" x14ac:dyDescent="0.3">
      <c r="A9" s="249"/>
      <c r="B9" s="4"/>
      <c r="C9" s="2"/>
      <c r="D9" s="1"/>
      <c r="E9" s="8"/>
      <c r="F9" s="247"/>
    </row>
    <row r="10" spans="1:6" x14ac:dyDescent="0.3">
      <c r="A10" s="246"/>
      <c r="B10" s="247"/>
    </row>
    <row r="12" spans="1:6" x14ac:dyDescent="0.3">
      <c r="A12" s="7"/>
    </row>
    <row r="14" spans="1:6" x14ac:dyDescent="0.3">
      <c r="D14" s="7"/>
    </row>
    <row r="15" spans="1:6" x14ac:dyDescent="0.3">
      <c r="A15" s="6"/>
      <c r="B15" s="218">
        <v>0</v>
      </c>
      <c r="D15" s="228"/>
      <c r="E15" s="229"/>
      <c r="F15" s="228"/>
    </row>
    <row r="16" spans="1:6" x14ac:dyDescent="0.3">
      <c r="B16" s="218">
        <v>0.05</v>
      </c>
      <c r="D16" s="228"/>
      <c r="E16" s="229"/>
      <c r="F16" s="228"/>
    </row>
    <row r="17" spans="2:9" x14ac:dyDescent="0.3">
      <c r="B17" s="218">
        <v>0.1</v>
      </c>
      <c r="D17" s="228"/>
      <c r="E17" s="229"/>
      <c r="F17" s="228"/>
    </row>
    <row r="18" spans="2:9" x14ac:dyDescent="0.3">
      <c r="B18" s="218">
        <v>0.15</v>
      </c>
      <c r="D18" s="228"/>
      <c r="E18" s="229"/>
      <c r="F18" s="228"/>
    </row>
    <row r="19" spans="2:9" x14ac:dyDescent="0.3">
      <c r="B19" s="218">
        <v>0.2</v>
      </c>
      <c r="D19" s="228"/>
      <c r="E19" s="229"/>
      <c r="F19" s="228"/>
    </row>
    <row r="20" spans="2:9" x14ac:dyDescent="0.3">
      <c r="B20" s="218">
        <v>0.25</v>
      </c>
      <c r="D20" s="228"/>
      <c r="E20" s="229"/>
      <c r="F20" s="228"/>
    </row>
    <row r="21" spans="2:9" x14ac:dyDescent="0.3">
      <c r="B21" s="218">
        <v>0.3</v>
      </c>
      <c r="D21" s="228"/>
      <c r="E21" s="229"/>
      <c r="F21" s="228"/>
    </row>
    <row r="22" spans="2:9" x14ac:dyDescent="0.3">
      <c r="B22" s="218">
        <v>0.35</v>
      </c>
      <c r="D22" s="228"/>
      <c r="E22" s="229"/>
      <c r="F22" s="228"/>
    </row>
    <row r="23" spans="2:9" x14ac:dyDescent="0.3">
      <c r="B23" s="218">
        <v>0.4</v>
      </c>
      <c r="D23" s="228"/>
      <c r="E23" s="229"/>
      <c r="F23" s="228"/>
      <c r="I23" s="218"/>
    </row>
    <row r="24" spans="2:9" x14ac:dyDescent="0.3">
      <c r="B24" s="218">
        <v>0.45</v>
      </c>
      <c r="D24" s="228"/>
      <c r="E24" s="229"/>
      <c r="F24" s="228"/>
      <c r="G24" s="231"/>
      <c r="H24" s="232"/>
      <c r="I24" s="218"/>
    </row>
    <row r="25" spans="2:9" x14ac:dyDescent="0.3">
      <c r="B25" s="218">
        <v>0.5</v>
      </c>
      <c r="D25" s="228"/>
      <c r="E25" s="229"/>
      <c r="F25" s="228"/>
      <c r="H25" s="233"/>
      <c r="I25" s="218"/>
    </row>
    <row r="26" spans="2:9" x14ac:dyDescent="0.3">
      <c r="B26" s="218">
        <v>0.55000000000000004</v>
      </c>
      <c r="D26" s="228"/>
      <c r="E26" s="229"/>
      <c r="F26" s="228"/>
      <c r="G26" s="231"/>
      <c r="H26" s="233"/>
      <c r="I26" s="218"/>
    </row>
    <row r="27" spans="2:9" x14ac:dyDescent="0.3">
      <c r="B27" s="218">
        <v>0.6</v>
      </c>
      <c r="D27" s="228"/>
      <c r="E27" s="229"/>
      <c r="F27" s="228"/>
      <c r="H27" s="233"/>
      <c r="I27" s="218"/>
    </row>
    <row r="28" spans="2:9" x14ac:dyDescent="0.3">
      <c r="B28" s="218">
        <v>0.65</v>
      </c>
      <c r="D28" s="228"/>
      <c r="E28" s="229"/>
      <c r="F28" s="228"/>
      <c r="G28" s="231"/>
      <c r="H28" s="233"/>
      <c r="I28" s="218"/>
    </row>
    <row r="29" spans="2:9" x14ac:dyDescent="0.3">
      <c r="B29" s="218">
        <v>0.7</v>
      </c>
      <c r="D29" s="228"/>
      <c r="E29" s="228"/>
      <c r="F29" s="228"/>
      <c r="H29" s="233"/>
      <c r="I29" s="218"/>
    </row>
    <row r="30" spans="2:9" x14ac:dyDescent="0.3">
      <c r="B30" s="218">
        <v>0.75</v>
      </c>
      <c r="D30" s="228"/>
      <c r="E30" s="228"/>
      <c r="F30" s="228"/>
      <c r="G30" s="231"/>
      <c r="H30" s="233"/>
      <c r="I30" s="218"/>
    </row>
    <row r="31" spans="2:9" x14ac:dyDescent="0.3">
      <c r="B31" s="218">
        <v>0.8</v>
      </c>
      <c r="D31" s="228"/>
      <c r="E31" s="228"/>
      <c r="F31" s="228"/>
      <c r="I31" s="218"/>
    </row>
    <row r="32" spans="2:9" x14ac:dyDescent="0.3">
      <c r="B32" s="218">
        <v>0.85</v>
      </c>
      <c r="D32" s="228"/>
      <c r="E32" s="228"/>
      <c r="F32" s="228"/>
    </row>
    <row r="33" spans="1:6" x14ac:dyDescent="0.3">
      <c r="B33" s="218">
        <v>0.9</v>
      </c>
      <c r="D33" s="228"/>
      <c r="E33" s="228"/>
      <c r="F33" s="228"/>
    </row>
    <row r="34" spans="1:6" x14ac:dyDescent="0.3">
      <c r="B34" s="218">
        <v>0.95</v>
      </c>
      <c r="D34" s="228"/>
      <c r="E34" s="228"/>
      <c r="F34" s="228"/>
    </row>
    <row r="35" spans="1:6" x14ac:dyDescent="0.3">
      <c r="B35" s="218">
        <v>1</v>
      </c>
      <c r="D35" s="228"/>
      <c r="E35" s="228"/>
    </row>
    <row r="36" spans="1:6" x14ac:dyDescent="0.3">
      <c r="D36" s="228"/>
    </row>
    <row r="37" spans="1:6" x14ac:dyDescent="0.3">
      <c r="D37" s="228"/>
    </row>
    <row r="38" spans="1:6" x14ac:dyDescent="0.3">
      <c r="D38" s="228"/>
    </row>
    <row r="40" spans="1:6" x14ac:dyDescent="0.3">
      <c r="A40" s="237" t="s">
        <v>112</v>
      </c>
      <c r="B40" s="238" t="str">
        <f>'Datos del Modelo'!G40</f>
        <v>CECOLIN
bivalente, 1 dosis/frasco, líquido</v>
      </c>
      <c r="C40" s="238" t="str">
        <f>'Datos del Modelo'!K40</f>
        <v>WALRINVAX 
bivalente, 1 dosis/frasco, líquido</v>
      </c>
      <c r="D40" s="238" t="str">
        <f>'Datos del Modelo'!M40</f>
        <v>GARDASIL4
tetravalente, 1 dosis/frasco, líquido</v>
      </c>
      <c r="E40" s="239" t="str">
        <f>'Datos del Modelo'!O40</f>
        <v>Opción totalmente personalizable - introduzca el nombre aquí</v>
      </c>
    </row>
    <row r="41" spans="1:6" x14ac:dyDescent="0.3">
      <c r="A41" s="240">
        <f>'Datos del Modelo'!$G$8</f>
        <v>2026</v>
      </c>
      <c r="B41" s="230">
        <f>IF('Datos del Modelo'!G$44=2,(('Datos del Modelo'!$G$10*(1+'Datos del Modelo'!$G$13)^($A41-'Datos del Modelo'!$G$8))*(SUM('Datos del Modelo'!$G$16*'Datos del Modelo'!$G$17,'Datos del Modelo'!$G$19*'Datos del Modelo'!$G$20,'Datos del Modelo'!$G$22*'Datos del Modelo'!$G$23))+('Datos del Modelo'!$G$10*(1+'Datos del Modelo'!$G$13)^($A41-'Datos del Modelo'!$G$8))*(SUM('Datos del Modelo'!$G$16*'Datos del Modelo'!$G$18,'Datos del Modelo'!$G$19*'Datos del Modelo'!$G$21,'Datos del Modelo'!$G$22*'Datos del Modelo'!$G$24)))+(('Datos del Modelo'!$G$11*(1+'Datos del Modelo'!$G$13)^($A41-'Datos del Modelo'!$G$8))*(SUM('Datos del Modelo'!$H$16*'Datos del Modelo'!$H$17,'Datos del Modelo'!$H$19*'Datos del Modelo'!$H$20,'Datos del Modelo'!$H$22*'Datos del Modelo'!$H$23))+('Datos del Modelo'!$G$11*(1+'Datos del Modelo'!$G$13)^($A41-'Datos del Modelo'!$G$8))*(SUM('Datos del Modelo'!$H$16*'Datos del Modelo'!$H$18,'Datos del Modelo'!$H$19*'Datos del Modelo'!$H$21,'Datos del Modelo'!$H$22*'Datos del Modelo'!$H$24)))+(('Datos del Modelo'!$G$12*(1+'Datos del Modelo'!$G$13)^($A41-'Datos del Modelo'!$G$8))*(SUM('Datos del Modelo'!$I$16*'Datos del Modelo'!$I$17,'Datos del Modelo'!$I$19*'Datos del Modelo'!$I$20,'Datos del Modelo'!$I$22*'Datos del Modelo'!$I$23))+('Datos del Modelo'!$G$12*(1+'Datos del Modelo'!$G$13)^($A41-'Datos del Modelo'!$G$8))*(SUM('Datos del Modelo'!$I$16*'Datos del Modelo'!$I$18,'Datos del Modelo'!$I$19*'Datos del Modelo'!$I$21,'Datos del Modelo'!$I$22*'Datos del Modelo'!$I$24))),('Datos del Modelo'!$G$10*(1+'Datos del Modelo'!$G$13)^($A41-'Datos del Modelo'!$G$8))*(SUM('Datos del Modelo'!$G$16*'Datos del Modelo'!$G$17,'Datos del Modelo'!$G$19*'Datos del Modelo'!$G$20,'Datos del Modelo'!$G$22*'Datos del Modelo'!$G$23))+('Datos del Modelo'!$G$11*(1+'Datos del Modelo'!$G$13)^($A41-'Datos del Modelo'!$G$8))*(SUM('Datos del Modelo'!$H$16*'Datos del Modelo'!$H$17,'Datos del Modelo'!$H$19*'Datos del Modelo'!$H$20,'Datos del Modelo'!$H$22*'Datos del Modelo'!$H$23))+('Datos del Modelo'!$G$12*(1+'Datos del Modelo'!$G$13)^($A41-'Datos del Modelo'!$G$8))*(SUM('Datos del Modelo'!$I$16*'Datos del Modelo'!$I$17,'Datos del Modelo'!$I$19*'Datos del Modelo'!$I$20,'Datos del Modelo'!$I$22*'Datos del Modelo'!$I$23)))</f>
        <v>160050</v>
      </c>
      <c r="C41" s="230">
        <f>IF('Datos del Modelo'!K$44=2,(('Datos del Modelo'!$G$10*(1+'Datos del Modelo'!$G$13)^($A41-'Datos del Modelo'!$G$8))*(SUM('Datos del Modelo'!$G$16*'Datos del Modelo'!$G$17,'Datos del Modelo'!$G$19*'Datos del Modelo'!$G$20,'Datos del Modelo'!$G$22*'Datos del Modelo'!$G$23))+('Datos del Modelo'!$G$10*(1+'Datos del Modelo'!$G$13)^($A41-'Datos del Modelo'!$G$8))*(SUM('Datos del Modelo'!$G$16*'Datos del Modelo'!$G$18,'Datos del Modelo'!$G$19*'Datos del Modelo'!$G$21,'Datos del Modelo'!$G$22*'Datos del Modelo'!$G$24)))+(('Datos del Modelo'!$G$11*(1+'Datos del Modelo'!$G$13)^($A41-'Datos del Modelo'!$G$8))*(SUM('Datos del Modelo'!$H$16*'Datos del Modelo'!$H$17,'Datos del Modelo'!$H$19*'Datos del Modelo'!$H$20,'Datos del Modelo'!$H$22*'Datos del Modelo'!$H$23))+('Datos del Modelo'!$G$11*(1+'Datos del Modelo'!$G$13)^($A41-'Datos del Modelo'!$G$8))*(SUM('Datos del Modelo'!$H$16*'Datos del Modelo'!$H$18,'Datos del Modelo'!$H$19*'Datos del Modelo'!$H$21,'Datos del Modelo'!$H$22*'Datos del Modelo'!$H$24)))+(('Datos del Modelo'!$G$12*(1+'Datos del Modelo'!$G$13)^($A41-'Datos del Modelo'!$G$8))*(SUM('Datos del Modelo'!$I$16*'Datos del Modelo'!$I$17,'Datos del Modelo'!$I$19*'Datos del Modelo'!$I$20,'Datos del Modelo'!$I$22*'Datos del Modelo'!$I$23))+('Datos del Modelo'!$G$12*(1+'Datos del Modelo'!$G$13)^($A41-'Datos del Modelo'!$G$8))*(SUM('Datos del Modelo'!$I$16*'Datos del Modelo'!$I$18,'Datos del Modelo'!$I$19*'Datos del Modelo'!$I$21,'Datos del Modelo'!$I$22*'Datos del Modelo'!$I$24))),('Datos del Modelo'!$G$10*(1+'Datos del Modelo'!$G$13)^($A41-'Datos del Modelo'!$G$8))*(SUM('Datos del Modelo'!$G$16*'Datos del Modelo'!$G$17,'Datos del Modelo'!$G$19*'Datos del Modelo'!$G$20,'Datos del Modelo'!$G$22*'Datos del Modelo'!$G$23))+('Datos del Modelo'!$G$11*(1+'Datos del Modelo'!$G$13)^($A41-'Datos del Modelo'!$G$8))*(SUM('Datos del Modelo'!$H$16*'Datos del Modelo'!$H$17,'Datos del Modelo'!$H$19*'Datos del Modelo'!$H$20,'Datos del Modelo'!$H$22*'Datos del Modelo'!$H$23))+('Datos del Modelo'!$G$12*(1+'Datos del Modelo'!$G$13)^($A41-'Datos del Modelo'!$G$8))*(SUM('Datos del Modelo'!$I$16*'Datos del Modelo'!$I$17,'Datos del Modelo'!$I$19*'Datos del Modelo'!$I$20,'Datos del Modelo'!$I$22*'Datos del Modelo'!$I$23)))</f>
        <v>301525</v>
      </c>
      <c r="D41" s="230">
        <f>IF('Datos del Modelo'!M$44=2,(('Datos del Modelo'!$G$10*(1+'Datos del Modelo'!$G$13)^($A41-'Datos del Modelo'!$G$8))*(SUM('Datos del Modelo'!$G$16*'Datos del Modelo'!$G$17,'Datos del Modelo'!$G$19*'Datos del Modelo'!$G$20,'Datos del Modelo'!$G$22*'Datos del Modelo'!$G$23))+('Datos del Modelo'!$G$10*(1+'Datos del Modelo'!$G$13)^($A41-'Datos del Modelo'!$G$8))*(SUM('Datos del Modelo'!$G$16*'Datos del Modelo'!$G$18,'Datos del Modelo'!$G$19*'Datos del Modelo'!$G$21,'Datos del Modelo'!$G$22*'Datos del Modelo'!$G$24)))+(('Datos del Modelo'!$G$11*(1+'Datos del Modelo'!$G$13)^($A41-'Datos del Modelo'!$G$8))*(SUM('Datos del Modelo'!$H$16*'Datos del Modelo'!$H$17,'Datos del Modelo'!$H$19*'Datos del Modelo'!$H$20,'Datos del Modelo'!$H$22*'Datos del Modelo'!$H$23))+('Datos del Modelo'!$G$11*(1+'Datos del Modelo'!$G$13)^($A41-'Datos del Modelo'!$G$8))*(SUM('Datos del Modelo'!$H$16*'Datos del Modelo'!$H$18,'Datos del Modelo'!$H$19*'Datos del Modelo'!$H$21,'Datos del Modelo'!$H$22*'Datos del Modelo'!$H$24)))+(('Datos del Modelo'!$G$12*(1+'Datos del Modelo'!$G$13)^($A41-'Datos del Modelo'!$G$8))*(SUM('Datos del Modelo'!$I$16*'Datos del Modelo'!$I$17,'Datos del Modelo'!$I$19*'Datos del Modelo'!$I$20,'Datos del Modelo'!$I$22*'Datos del Modelo'!$I$23))+('Datos del Modelo'!$G$12*(1+'Datos del Modelo'!$G$13)^($A41-'Datos del Modelo'!$G$8))*(SUM('Datos del Modelo'!$I$16*'Datos del Modelo'!$I$18,'Datos del Modelo'!$I$19*'Datos del Modelo'!$I$21,'Datos del Modelo'!$I$22*'Datos del Modelo'!$I$24))),('Datos del Modelo'!$G$10*(1+'Datos del Modelo'!$G$13)^($A41-'Datos del Modelo'!$G$8))*(SUM('Datos del Modelo'!$G$16*'Datos del Modelo'!$G$17,'Datos del Modelo'!$G$19*'Datos del Modelo'!$G$20,'Datos del Modelo'!$G$22*'Datos del Modelo'!$G$23))+('Datos del Modelo'!$G$11*(1+'Datos del Modelo'!$G$13)^($A41-'Datos del Modelo'!$G$8))*(SUM('Datos del Modelo'!$H$16*'Datos del Modelo'!$H$17,'Datos del Modelo'!$H$19*'Datos del Modelo'!$H$20,'Datos del Modelo'!$H$22*'Datos del Modelo'!$H$23))+('Datos del Modelo'!$G$12*(1+'Datos del Modelo'!$G$13)^($A41-'Datos del Modelo'!$G$8))*(SUM('Datos del Modelo'!$I$16*'Datos del Modelo'!$I$17,'Datos del Modelo'!$I$19*'Datos del Modelo'!$I$20,'Datos del Modelo'!$I$22*'Datos del Modelo'!$I$23)))</f>
        <v>160050</v>
      </c>
      <c r="E41" s="230">
        <f>IF('Datos del Modelo'!O$44=2,(('Datos del Modelo'!$G$10*(1+'Datos del Modelo'!$G$13)^($A41-'Datos del Modelo'!$G$8))*(SUM('Datos del Modelo'!$G$16*'Datos del Modelo'!$G$17,'Datos del Modelo'!$G$19*'Datos del Modelo'!$G$20,'Datos del Modelo'!$G$22*'Datos del Modelo'!$G$23))+('Datos del Modelo'!$G$10*(1+'Datos del Modelo'!$G$13)^($A41-'Datos del Modelo'!$G$8))*(SUM('Datos del Modelo'!$G$16*'Datos del Modelo'!$G$18,'Datos del Modelo'!$G$19*'Datos del Modelo'!$G$21,'Datos del Modelo'!$G$22*'Datos del Modelo'!$G$24)))+(('Datos del Modelo'!$G$11*(1+'Datos del Modelo'!$G$13)^($A41-'Datos del Modelo'!$G$8))*(SUM('Datos del Modelo'!$H$16*'Datos del Modelo'!$H$17,'Datos del Modelo'!$H$19*'Datos del Modelo'!$H$20,'Datos del Modelo'!$H$22*'Datos del Modelo'!$H$23))+('Datos del Modelo'!$G$11*(1+'Datos del Modelo'!$G$13)^($A41-'Datos del Modelo'!$G$8))*(SUM('Datos del Modelo'!$H$16*'Datos del Modelo'!$H$18,'Datos del Modelo'!$H$19*'Datos del Modelo'!$H$21,'Datos del Modelo'!$H$22*'Datos del Modelo'!$H$24)))+(('Datos del Modelo'!$G$12*(1+'Datos del Modelo'!$G$13)^($A41-'Datos del Modelo'!$G$8))*(SUM('Datos del Modelo'!$I$16*'Datos del Modelo'!$I$17,'Datos del Modelo'!$I$19*'Datos del Modelo'!$I$20,'Datos del Modelo'!$I$22*'Datos del Modelo'!$I$23))+('Datos del Modelo'!$G$12*(1+'Datos del Modelo'!$G$13)^($A41-'Datos del Modelo'!$G$8))*(SUM('Datos del Modelo'!$I$16*'Datos del Modelo'!$I$18,'Datos del Modelo'!$I$19*'Datos del Modelo'!$I$21,'Datos del Modelo'!$I$22*'Datos del Modelo'!$I$24))),('Datos del Modelo'!$G$10*(1+'Datos del Modelo'!$G$13)^($A41-'Datos del Modelo'!$G$8))*(SUM('Datos del Modelo'!$G$16*'Datos del Modelo'!$G$17,'Datos del Modelo'!$G$19*'Datos del Modelo'!$G$20,'Datos del Modelo'!$G$22*'Datos del Modelo'!$G$23))+('Datos del Modelo'!$G$11*(1+'Datos del Modelo'!$G$13)^($A41-'Datos del Modelo'!$G$8))*(SUM('Datos del Modelo'!$H$16*'Datos del Modelo'!$H$17,'Datos del Modelo'!$H$19*'Datos del Modelo'!$H$20,'Datos del Modelo'!$H$22*'Datos del Modelo'!$H$23))+('Datos del Modelo'!$G$12*(1+'Datos del Modelo'!$G$13)^($A41-'Datos del Modelo'!$G$8))*(SUM('Datos del Modelo'!$I$16*'Datos del Modelo'!$I$17,'Datos del Modelo'!$I$19*'Datos del Modelo'!$I$20,'Datos del Modelo'!$I$22*'Datos del Modelo'!$I$23)))</f>
        <v>160050</v>
      </c>
    </row>
    <row r="42" spans="1:6" x14ac:dyDescent="0.3">
      <c r="A42" s="240">
        <f>'Datos del Modelo'!$G$8+1</f>
        <v>2027</v>
      </c>
      <c r="B42" s="230">
        <f>IF('Datos del Modelo'!G$44=2,(('Datos del Modelo'!$G$10*(1+'Datos del Modelo'!$G$13)^($A42-'Datos del Modelo'!$G$8))*(SUM('Datos del Modelo'!$G$16*'Datos del Modelo'!$G$17,'Datos del Modelo'!$G$19*'Datos del Modelo'!$G$20,'Datos del Modelo'!$G$22*'Datos del Modelo'!$G$23))+('Datos del Modelo'!$G$10*(1+'Datos del Modelo'!$G$13)^($A42-'Datos del Modelo'!$G$8))*(SUM('Datos del Modelo'!$G$16*'Datos del Modelo'!$G$18,'Datos del Modelo'!$G$19*'Datos del Modelo'!$G$21,'Datos del Modelo'!$G$22*'Datos del Modelo'!$G$24)))+(('Datos del Modelo'!$G$11*(1+'Datos del Modelo'!$G$13)^($A42-'Datos del Modelo'!$G$8))*(SUM('Datos del Modelo'!$H$16*'Datos del Modelo'!$H$17,'Datos del Modelo'!$H$19*'Datos del Modelo'!$H$20,'Datos del Modelo'!$H$22*'Datos del Modelo'!$H$23))+('Datos del Modelo'!$G$11*(1+'Datos del Modelo'!$G$13)^($A42-'Datos del Modelo'!$G$8))*(SUM('Datos del Modelo'!$H$16*'Datos del Modelo'!$H$18,'Datos del Modelo'!$H$19*'Datos del Modelo'!$H$21,'Datos del Modelo'!$H$22*'Datos del Modelo'!$H$24)))+(('Datos del Modelo'!$G$12*(1+'Datos del Modelo'!$G$13)^($A42-'Datos del Modelo'!$G$8))*(SUM('Datos del Modelo'!$I$16*'Datos del Modelo'!$I$17,'Datos del Modelo'!$I$19*'Datos del Modelo'!$I$20,'Datos del Modelo'!$I$22*'Datos del Modelo'!$I$23))+('Datos del Modelo'!$G$12*(1+'Datos del Modelo'!$G$13)^($A42-'Datos del Modelo'!$G$8))*(SUM('Datos del Modelo'!$I$16*'Datos del Modelo'!$I$18,'Datos del Modelo'!$I$19*'Datos del Modelo'!$I$21,'Datos del Modelo'!$I$22*'Datos del Modelo'!$I$24))),('Datos del Modelo'!$G$10*(1+'Datos del Modelo'!$G$13)^($A42-'Datos del Modelo'!$G$8))*(SUM('Datos del Modelo'!$G$16*'Datos del Modelo'!$G$17,'Datos del Modelo'!$G$19*'Datos del Modelo'!$G$20,'Datos del Modelo'!$G$22*'Datos del Modelo'!$G$23))+('Datos del Modelo'!$G$11*(1+'Datos del Modelo'!$G$13)^($A42-'Datos del Modelo'!$G$8))*(SUM('Datos del Modelo'!$H$16*'Datos del Modelo'!$H$17,'Datos del Modelo'!$H$19*'Datos del Modelo'!$H$20,'Datos del Modelo'!$H$22*'Datos del Modelo'!$H$23))+('Datos del Modelo'!$G$12*(1+'Datos del Modelo'!$G$13)^($A42-'Datos del Modelo'!$G$8))*(SUM('Datos del Modelo'!$I$16*'Datos del Modelo'!$I$17,'Datos del Modelo'!$I$19*'Datos del Modelo'!$I$20,'Datos del Modelo'!$I$22*'Datos del Modelo'!$I$23)))</f>
        <v>163251</v>
      </c>
      <c r="C42" s="230">
        <f>IF('Datos del Modelo'!K$44=2,(('Datos del Modelo'!$G$10*(1+'Datos del Modelo'!$G$13)^($A42-'Datos del Modelo'!$G$8))*(SUM('Datos del Modelo'!$G$16*'Datos del Modelo'!$G$17,'Datos del Modelo'!$G$19*'Datos del Modelo'!$G$20,'Datos del Modelo'!$G$22*'Datos del Modelo'!$G$23))+('Datos del Modelo'!$G$10*(1+'Datos del Modelo'!$G$13)^($A42-'Datos del Modelo'!$G$8))*(SUM('Datos del Modelo'!$G$16*'Datos del Modelo'!$G$18,'Datos del Modelo'!$G$19*'Datos del Modelo'!$G$21,'Datos del Modelo'!$G$22*'Datos del Modelo'!$G$24)))+(('Datos del Modelo'!$G$11*(1+'Datos del Modelo'!$G$13)^($A42-'Datos del Modelo'!$G$8))*(SUM('Datos del Modelo'!$H$16*'Datos del Modelo'!$H$17,'Datos del Modelo'!$H$19*'Datos del Modelo'!$H$20,'Datos del Modelo'!$H$22*'Datos del Modelo'!$H$23))+('Datos del Modelo'!$G$11*(1+'Datos del Modelo'!$G$13)^($A42-'Datos del Modelo'!$G$8))*(SUM('Datos del Modelo'!$H$16*'Datos del Modelo'!$H$18,'Datos del Modelo'!$H$19*'Datos del Modelo'!$H$21,'Datos del Modelo'!$H$22*'Datos del Modelo'!$H$24)))+(('Datos del Modelo'!$G$12*(1+'Datos del Modelo'!$G$13)^($A42-'Datos del Modelo'!$G$8))*(SUM('Datos del Modelo'!$I$16*'Datos del Modelo'!$I$17,'Datos del Modelo'!$I$19*'Datos del Modelo'!$I$20,'Datos del Modelo'!$I$22*'Datos del Modelo'!$I$23))+('Datos del Modelo'!$G$12*(1+'Datos del Modelo'!$G$13)^($A42-'Datos del Modelo'!$G$8))*(SUM('Datos del Modelo'!$I$16*'Datos del Modelo'!$I$18,'Datos del Modelo'!$I$19*'Datos del Modelo'!$I$21,'Datos del Modelo'!$I$22*'Datos del Modelo'!$I$24))),('Datos del Modelo'!$G$10*(1+'Datos del Modelo'!$G$13)^($A42-'Datos del Modelo'!$G$8))*(SUM('Datos del Modelo'!$G$16*'Datos del Modelo'!$G$17,'Datos del Modelo'!$G$19*'Datos del Modelo'!$G$20,'Datos del Modelo'!$G$22*'Datos del Modelo'!$G$23))+('Datos del Modelo'!$G$11*(1+'Datos del Modelo'!$G$13)^($A42-'Datos del Modelo'!$G$8))*(SUM('Datos del Modelo'!$H$16*'Datos del Modelo'!$H$17,'Datos del Modelo'!$H$19*'Datos del Modelo'!$H$20,'Datos del Modelo'!$H$22*'Datos del Modelo'!$H$23))+('Datos del Modelo'!$G$12*(1+'Datos del Modelo'!$G$13)^($A42-'Datos del Modelo'!$G$8))*(SUM('Datos del Modelo'!$I$16*'Datos del Modelo'!$I$17,'Datos del Modelo'!$I$19*'Datos del Modelo'!$I$20,'Datos del Modelo'!$I$22*'Datos del Modelo'!$I$23)))</f>
        <v>307555.5</v>
      </c>
      <c r="D42" s="230">
        <f>IF('Datos del Modelo'!M$44=2,(('Datos del Modelo'!$G$10*(1+'Datos del Modelo'!$G$13)^($A42-'Datos del Modelo'!$G$8))*(SUM('Datos del Modelo'!$G$16*'Datos del Modelo'!$G$17,'Datos del Modelo'!$G$19*'Datos del Modelo'!$G$20,'Datos del Modelo'!$G$22*'Datos del Modelo'!$G$23))+('Datos del Modelo'!$G$10*(1+'Datos del Modelo'!$G$13)^($A42-'Datos del Modelo'!$G$8))*(SUM('Datos del Modelo'!$G$16*'Datos del Modelo'!$G$18,'Datos del Modelo'!$G$19*'Datos del Modelo'!$G$21,'Datos del Modelo'!$G$22*'Datos del Modelo'!$G$24)))+(('Datos del Modelo'!$G$11*(1+'Datos del Modelo'!$G$13)^($A42-'Datos del Modelo'!$G$8))*(SUM('Datos del Modelo'!$H$16*'Datos del Modelo'!$H$17,'Datos del Modelo'!$H$19*'Datos del Modelo'!$H$20,'Datos del Modelo'!$H$22*'Datos del Modelo'!$H$23))+('Datos del Modelo'!$G$11*(1+'Datos del Modelo'!$G$13)^($A42-'Datos del Modelo'!$G$8))*(SUM('Datos del Modelo'!$H$16*'Datos del Modelo'!$H$18,'Datos del Modelo'!$H$19*'Datos del Modelo'!$H$21,'Datos del Modelo'!$H$22*'Datos del Modelo'!$H$24)))+(('Datos del Modelo'!$G$12*(1+'Datos del Modelo'!$G$13)^($A42-'Datos del Modelo'!$G$8))*(SUM('Datos del Modelo'!$I$16*'Datos del Modelo'!$I$17,'Datos del Modelo'!$I$19*'Datos del Modelo'!$I$20,'Datos del Modelo'!$I$22*'Datos del Modelo'!$I$23))+('Datos del Modelo'!$G$12*(1+'Datos del Modelo'!$G$13)^($A42-'Datos del Modelo'!$G$8))*(SUM('Datos del Modelo'!$I$16*'Datos del Modelo'!$I$18,'Datos del Modelo'!$I$19*'Datos del Modelo'!$I$21,'Datos del Modelo'!$I$22*'Datos del Modelo'!$I$24))),('Datos del Modelo'!$G$10*(1+'Datos del Modelo'!$G$13)^($A42-'Datos del Modelo'!$G$8))*(SUM('Datos del Modelo'!$G$16*'Datos del Modelo'!$G$17,'Datos del Modelo'!$G$19*'Datos del Modelo'!$G$20,'Datos del Modelo'!$G$22*'Datos del Modelo'!$G$23))+('Datos del Modelo'!$G$11*(1+'Datos del Modelo'!$G$13)^($A42-'Datos del Modelo'!$G$8))*(SUM('Datos del Modelo'!$H$16*'Datos del Modelo'!$H$17,'Datos del Modelo'!$H$19*'Datos del Modelo'!$H$20,'Datos del Modelo'!$H$22*'Datos del Modelo'!$H$23))+('Datos del Modelo'!$G$12*(1+'Datos del Modelo'!$G$13)^($A42-'Datos del Modelo'!$G$8))*(SUM('Datos del Modelo'!$I$16*'Datos del Modelo'!$I$17,'Datos del Modelo'!$I$19*'Datos del Modelo'!$I$20,'Datos del Modelo'!$I$22*'Datos del Modelo'!$I$23)))</f>
        <v>163251</v>
      </c>
      <c r="E42" s="230">
        <f>IF('Datos del Modelo'!O$44=2,(('Datos del Modelo'!$G$10*(1+'Datos del Modelo'!$G$13)^($A42-'Datos del Modelo'!$G$8))*(SUM('Datos del Modelo'!$G$16*'Datos del Modelo'!$G$17,'Datos del Modelo'!$G$19*'Datos del Modelo'!$G$20,'Datos del Modelo'!$G$22*'Datos del Modelo'!$G$23))+('Datos del Modelo'!$G$10*(1+'Datos del Modelo'!$G$13)^($A42-'Datos del Modelo'!$G$8))*(SUM('Datos del Modelo'!$G$16*'Datos del Modelo'!$G$18,'Datos del Modelo'!$G$19*'Datos del Modelo'!$G$21,'Datos del Modelo'!$G$22*'Datos del Modelo'!$G$24)))+(('Datos del Modelo'!$G$11*(1+'Datos del Modelo'!$G$13)^($A42-'Datos del Modelo'!$G$8))*(SUM('Datos del Modelo'!$H$16*'Datos del Modelo'!$H$17,'Datos del Modelo'!$H$19*'Datos del Modelo'!$H$20,'Datos del Modelo'!$H$22*'Datos del Modelo'!$H$23))+('Datos del Modelo'!$G$11*(1+'Datos del Modelo'!$G$13)^($A42-'Datos del Modelo'!$G$8))*(SUM('Datos del Modelo'!$H$16*'Datos del Modelo'!$H$18,'Datos del Modelo'!$H$19*'Datos del Modelo'!$H$21,'Datos del Modelo'!$H$22*'Datos del Modelo'!$H$24)))+(('Datos del Modelo'!$G$12*(1+'Datos del Modelo'!$G$13)^($A42-'Datos del Modelo'!$G$8))*(SUM('Datos del Modelo'!$I$16*'Datos del Modelo'!$I$17,'Datos del Modelo'!$I$19*'Datos del Modelo'!$I$20,'Datos del Modelo'!$I$22*'Datos del Modelo'!$I$23))+('Datos del Modelo'!$G$12*(1+'Datos del Modelo'!$G$13)^($A42-'Datos del Modelo'!$G$8))*(SUM('Datos del Modelo'!$I$16*'Datos del Modelo'!$I$18,'Datos del Modelo'!$I$19*'Datos del Modelo'!$I$21,'Datos del Modelo'!$I$22*'Datos del Modelo'!$I$24))),('Datos del Modelo'!$G$10*(1+'Datos del Modelo'!$G$13)^($A42-'Datos del Modelo'!$G$8))*(SUM('Datos del Modelo'!$G$16*'Datos del Modelo'!$G$17,'Datos del Modelo'!$G$19*'Datos del Modelo'!$G$20,'Datos del Modelo'!$G$22*'Datos del Modelo'!$G$23))+('Datos del Modelo'!$G$11*(1+'Datos del Modelo'!$G$13)^($A42-'Datos del Modelo'!$G$8))*(SUM('Datos del Modelo'!$H$16*'Datos del Modelo'!$H$17,'Datos del Modelo'!$H$19*'Datos del Modelo'!$H$20,'Datos del Modelo'!$H$22*'Datos del Modelo'!$H$23))+('Datos del Modelo'!$G$12*(1+'Datos del Modelo'!$G$13)^($A42-'Datos del Modelo'!$G$8))*(SUM('Datos del Modelo'!$I$16*'Datos del Modelo'!$I$17,'Datos del Modelo'!$I$19*'Datos del Modelo'!$I$20,'Datos del Modelo'!$I$22*'Datos del Modelo'!$I$23)))</f>
        <v>163251</v>
      </c>
    </row>
    <row r="43" spans="1:6" x14ac:dyDescent="0.3">
      <c r="A43" s="240">
        <f>'Datos del Modelo'!$G$8+2</f>
        <v>2028</v>
      </c>
      <c r="B43" s="230">
        <f>IF('Datos del Modelo'!G$44=2,(('Datos del Modelo'!$G$10*(1+'Datos del Modelo'!$G$13)^($A43-'Datos del Modelo'!$G$8))*(SUM('Datos del Modelo'!$G$16*'Datos del Modelo'!$G$17,'Datos del Modelo'!$G$19*'Datos del Modelo'!$G$20,'Datos del Modelo'!$G$22*'Datos del Modelo'!$G$23))+('Datos del Modelo'!$G$10*(1+'Datos del Modelo'!$G$13)^($A43-'Datos del Modelo'!$G$8))*(SUM('Datos del Modelo'!$G$16*'Datos del Modelo'!$G$18,'Datos del Modelo'!$G$19*'Datos del Modelo'!$G$21,'Datos del Modelo'!$G$22*'Datos del Modelo'!$G$24)))+(('Datos del Modelo'!$G$11*(1+'Datos del Modelo'!$G$13)^($A43-'Datos del Modelo'!$G$8))*(SUM('Datos del Modelo'!$H$16*'Datos del Modelo'!$H$17,'Datos del Modelo'!$H$19*'Datos del Modelo'!$H$20,'Datos del Modelo'!$H$22*'Datos del Modelo'!$H$23))+('Datos del Modelo'!$G$11*(1+'Datos del Modelo'!$G$13)^($A43-'Datos del Modelo'!$G$8))*(SUM('Datos del Modelo'!$H$16*'Datos del Modelo'!$H$18,'Datos del Modelo'!$H$19*'Datos del Modelo'!$H$21,'Datos del Modelo'!$H$22*'Datos del Modelo'!$H$24)))+(('Datos del Modelo'!$G$12*(1+'Datos del Modelo'!$G$13)^($A43-'Datos del Modelo'!$G$8))*(SUM('Datos del Modelo'!$I$16*'Datos del Modelo'!$I$17,'Datos del Modelo'!$I$19*'Datos del Modelo'!$I$20,'Datos del Modelo'!$I$22*'Datos del Modelo'!$I$23))+('Datos del Modelo'!$G$12*(1+'Datos del Modelo'!$G$13)^($A43-'Datos del Modelo'!$G$8))*(SUM('Datos del Modelo'!$I$16*'Datos del Modelo'!$I$18,'Datos del Modelo'!$I$19*'Datos del Modelo'!$I$21,'Datos del Modelo'!$I$22*'Datos del Modelo'!$I$24))),('Datos del Modelo'!$G$10*(1+'Datos del Modelo'!$G$13)^($A43-'Datos del Modelo'!$G$8))*(SUM('Datos del Modelo'!$G$16*'Datos del Modelo'!$G$17,'Datos del Modelo'!$G$19*'Datos del Modelo'!$G$20,'Datos del Modelo'!$G$22*'Datos del Modelo'!$G$23))+('Datos del Modelo'!$G$11*(1+'Datos del Modelo'!$G$13)^($A43-'Datos del Modelo'!$G$8))*(SUM('Datos del Modelo'!$H$16*'Datos del Modelo'!$H$17,'Datos del Modelo'!$H$19*'Datos del Modelo'!$H$20,'Datos del Modelo'!$H$22*'Datos del Modelo'!$H$23))+('Datos del Modelo'!$G$12*(1+'Datos del Modelo'!$G$13)^($A43-'Datos del Modelo'!$G$8))*(SUM('Datos del Modelo'!$I$16*'Datos del Modelo'!$I$17,'Datos del Modelo'!$I$19*'Datos del Modelo'!$I$20,'Datos del Modelo'!$I$22*'Datos del Modelo'!$I$23)))</f>
        <v>166516.02000000002</v>
      </c>
      <c r="C43" s="230">
        <f>IF('Datos del Modelo'!K$44=2,(('Datos del Modelo'!$G$10*(1+'Datos del Modelo'!$G$13)^($A43-'Datos del Modelo'!$G$8))*(SUM('Datos del Modelo'!$G$16*'Datos del Modelo'!$G$17,'Datos del Modelo'!$G$19*'Datos del Modelo'!$G$20,'Datos del Modelo'!$G$22*'Datos del Modelo'!$G$23))+('Datos del Modelo'!$G$10*(1+'Datos del Modelo'!$G$13)^($A43-'Datos del Modelo'!$G$8))*(SUM('Datos del Modelo'!$G$16*'Datos del Modelo'!$G$18,'Datos del Modelo'!$G$19*'Datos del Modelo'!$G$21,'Datos del Modelo'!$G$22*'Datos del Modelo'!$G$24)))+(('Datos del Modelo'!$G$11*(1+'Datos del Modelo'!$G$13)^($A43-'Datos del Modelo'!$G$8))*(SUM('Datos del Modelo'!$H$16*'Datos del Modelo'!$H$17,'Datos del Modelo'!$H$19*'Datos del Modelo'!$H$20,'Datos del Modelo'!$H$22*'Datos del Modelo'!$H$23))+('Datos del Modelo'!$G$11*(1+'Datos del Modelo'!$G$13)^($A43-'Datos del Modelo'!$G$8))*(SUM('Datos del Modelo'!$H$16*'Datos del Modelo'!$H$18,'Datos del Modelo'!$H$19*'Datos del Modelo'!$H$21,'Datos del Modelo'!$H$22*'Datos del Modelo'!$H$24)))+(('Datos del Modelo'!$G$12*(1+'Datos del Modelo'!$G$13)^($A43-'Datos del Modelo'!$G$8))*(SUM('Datos del Modelo'!$I$16*'Datos del Modelo'!$I$17,'Datos del Modelo'!$I$19*'Datos del Modelo'!$I$20,'Datos del Modelo'!$I$22*'Datos del Modelo'!$I$23))+('Datos del Modelo'!$G$12*(1+'Datos del Modelo'!$G$13)^($A43-'Datos del Modelo'!$G$8))*(SUM('Datos del Modelo'!$I$16*'Datos del Modelo'!$I$18,'Datos del Modelo'!$I$19*'Datos del Modelo'!$I$21,'Datos del Modelo'!$I$22*'Datos del Modelo'!$I$24))),('Datos del Modelo'!$G$10*(1+'Datos del Modelo'!$G$13)^($A43-'Datos del Modelo'!$G$8))*(SUM('Datos del Modelo'!$G$16*'Datos del Modelo'!$G$17,'Datos del Modelo'!$G$19*'Datos del Modelo'!$G$20,'Datos del Modelo'!$G$22*'Datos del Modelo'!$G$23))+('Datos del Modelo'!$G$11*(1+'Datos del Modelo'!$G$13)^($A43-'Datos del Modelo'!$G$8))*(SUM('Datos del Modelo'!$H$16*'Datos del Modelo'!$H$17,'Datos del Modelo'!$H$19*'Datos del Modelo'!$H$20,'Datos del Modelo'!$H$22*'Datos del Modelo'!$H$23))+('Datos del Modelo'!$G$12*(1+'Datos del Modelo'!$G$13)^($A43-'Datos del Modelo'!$G$8))*(SUM('Datos del Modelo'!$I$16*'Datos del Modelo'!$I$17,'Datos del Modelo'!$I$19*'Datos del Modelo'!$I$20,'Datos del Modelo'!$I$22*'Datos del Modelo'!$I$23)))</f>
        <v>313706.61</v>
      </c>
      <c r="D43" s="230">
        <f>IF('Datos del Modelo'!M$44=2,(('Datos del Modelo'!$G$10*(1+'Datos del Modelo'!$G$13)^($A43-'Datos del Modelo'!$G$8))*(SUM('Datos del Modelo'!$G$16*'Datos del Modelo'!$G$17,'Datos del Modelo'!$G$19*'Datos del Modelo'!$G$20,'Datos del Modelo'!$G$22*'Datos del Modelo'!$G$23))+('Datos del Modelo'!$G$10*(1+'Datos del Modelo'!$G$13)^($A43-'Datos del Modelo'!$G$8))*(SUM('Datos del Modelo'!$G$16*'Datos del Modelo'!$G$18,'Datos del Modelo'!$G$19*'Datos del Modelo'!$G$21,'Datos del Modelo'!$G$22*'Datos del Modelo'!$G$24)))+(('Datos del Modelo'!$G$11*(1+'Datos del Modelo'!$G$13)^($A43-'Datos del Modelo'!$G$8))*(SUM('Datos del Modelo'!$H$16*'Datos del Modelo'!$H$17,'Datos del Modelo'!$H$19*'Datos del Modelo'!$H$20,'Datos del Modelo'!$H$22*'Datos del Modelo'!$H$23))+('Datos del Modelo'!$G$11*(1+'Datos del Modelo'!$G$13)^($A43-'Datos del Modelo'!$G$8))*(SUM('Datos del Modelo'!$H$16*'Datos del Modelo'!$H$18,'Datos del Modelo'!$H$19*'Datos del Modelo'!$H$21,'Datos del Modelo'!$H$22*'Datos del Modelo'!$H$24)))+(('Datos del Modelo'!$G$12*(1+'Datos del Modelo'!$G$13)^($A43-'Datos del Modelo'!$G$8))*(SUM('Datos del Modelo'!$I$16*'Datos del Modelo'!$I$17,'Datos del Modelo'!$I$19*'Datos del Modelo'!$I$20,'Datos del Modelo'!$I$22*'Datos del Modelo'!$I$23))+('Datos del Modelo'!$G$12*(1+'Datos del Modelo'!$G$13)^($A43-'Datos del Modelo'!$G$8))*(SUM('Datos del Modelo'!$I$16*'Datos del Modelo'!$I$18,'Datos del Modelo'!$I$19*'Datos del Modelo'!$I$21,'Datos del Modelo'!$I$22*'Datos del Modelo'!$I$24))),('Datos del Modelo'!$G$10*(1+'Datos del Modelo'!$G$13)^($A43-'Datos del Modelo'!$G$8))*(SUM('Datos del Modelo'!$G$16*'Datos del Modelo'!$G$17,'Datos del Modelo'!$G$19*'Datos del Modelo'!$G$20,'Datos del Modelo'!$G$22*'Datos del Modelo'!$G$23))+('Datos del Modelo'!$G$11*(1+'Datos del Modelo'!$G$13)^($A43-'Datos del Modelo'!$G$8))*(SUM('Datos del Modelo'!$H$16*'Datos del Modelo'!$H$17,'Datos del Modelo'!$H$19*'Datos del Modelo'!$H$20,'Datos del Modelo'!$H$22*'Datos del Modelo'!$H$23))+('Datos del Modelo'!$G$12*(1+'Datos del Modelo'!$G$13)^($A43-'Datos del Modelo'!$G$8))*(SUM('Datos del Modelo'!$I$16*'Datos del Modelo'!$I$17,'Datos del Modelo'!$I$19*'Datos del Modelo'!$I$20,'Datos del Modelo'!$I$22*'Datos del Modelo'!$I$23)))</f>
        <v>166516.02000000002</v>
      </c>
      <c r="E43" s="230">
        <f>IF('Datos del Modelo'!O$44=2,(('Datos del Modelo'!$G$10*(1+'Datos del Modelo'!$G$13)^($A43-'Datos del Modelo'!$G$8))*(SUM('Datos del Modelo'!$G$16*'Datos del Modelo'!$G$17,'Datos del Modelo'!$G$19*'Datos del Modelo'!$G$20,'Datos del Modelo'!$G$22*'Datos del Modelo'!$G$23))+('Datos del Modelo'!$G$10*(1+'Datos del Modelo'!$G$13)^($A43-'Datos del Modelo'!$G$8))*(SUM('Datos del Modelo'!$G$16*'Datos del Modelo'!$G$18,'Datos del Modelo'!$G$19*'Datos del Modelo'!$G$21,'Datos del Modelo'!$G$22*'Datos del Modelo'!$G$24)))+(('Datos del Modelo'!$G$11*(1+'Datos del Modelo'!$G$13)^($A43-'Datos del Modelo'!$G$8))*(SUM('Datos del Modelo'!$H$16*'Datos del Modelo'!$H$17,'Datos del Modelo'!$H$19*'Datos del Modelo'!$H$20,'Datos del Modelo'!$H$22*'Datos del Modelo'!$H$23))+('Datos del Modelo'!$G$11*(1+'Datos del Modelo'!$G$13)^($A43-'Datos del Modelo'!$G$8))*(SUM('Datos del Modelo'!$H$16*'Datos del Modelo'!$H$18,'Datos del Modelo'!$H$19*'Datos del Modelo'!$H$21,'Datos del Modelo'!$H$22*'Datos del Modelo'!$H$24)))+(('Datos del Modelo'!$G$12*(1+'Datos del Modelo'!$G$13)^($A43-'Datos del Modelo'!$G$8))*(SUM('Datos del Modelo'!$I$16*'Datos del Modelo'!$I$17,'Datos del Modelo'!$I$19*'Datos del Modelo'!$I$20,'Datos del Modelo'!$I$22*'Datos del Modelo'!$I$23))+('Datos del Modelo'!$G$12*(1+'Datos del Modelo'!$G$13)^($A43-'Datos del Modelo'!$G$8))*(SUM('Datos del Modelo'!$I$16*'Datos del Modelo'!$I$18,'Datos del Modelo'!$I$19*'Datos del Modelo'!$I$21,'Datos del Modelo'!$I$22*'Datos del Modelo'!$I$24))),('Datos del Modelo'!$G$10*(1+'Datos del Modelo'!$G$13)^($A43-'Datos del Modelo'!$G$8))*(SUM('Datos del Modelo'!$G$16*'Datos del Modelo'!$G$17,'Datos del Modelo'!$G$19*'Datos del Modelo'!$G$20,'Datos del Modelo'!$G$22*'Datos del Modelo'!$G$23))+('Datos del Modelo'!$G$11*(1+'Datos del Modelo'!$G$13)^($A43-'Datos del Modelo'!$G$8))*(SUM('Datos del Modelo'!$H$16*'Datos del Modelo'!$H$17,'Datos del Modelo'!$H$19*'Datos del Modelo'!$H$20,'Datos del Modelo'!$H$22*'Datos del Modelo'!$H$23))+('Datos del Modelo'!$G$12*(1+'Datos del Modelo'!$G$13)^($A43-'Datos del Modelo'!$G$8))*(SUM('Datos del Modelo'!$I$16*'Datos del Modelo'!$I$17,'Datos del Modelo'!$I$19*'Datos del Modelo'!$I$20,'Datos del Modelo'!$I$22*'Datos del Modelo'!$I$23)))</f>
        <v>166516.02000000002</v>
      </c>
    </row>
    <row r="44" spans="1:6" x14ac:dyDescent="0.3">
      <c r="A44" s="240">
        <f>'Datos del Modelo'!$G$8+3</f>
        <v>2029</v>
      </c>
      <c r="B44" s="230">
        <f>IF('Datos del Modelo'!G$44=2,(('Datos del Modelo'!$G$10*(1+'Datos del Modelo'!$G$13)^($A44-'Datos del Modelo'!$G$8))*(SUM('Datos del Modelo'!$G$16*'Datos del Modelo'!$G$17,'Datos del Modelo'!$G$19*'Datos del Modelo'!$G$20,'Datos del Modelo'!$G$22*'Datos del Modelo'!$G$23))+('Datos del Modelo'!$G$10*(1+'Datos del Modelo'!$G$13)^($A44-'Datos del Modelo'!$G$8))*(SUM('Datos del Modelo'!$G$16*'Datos del Modelo'!$G$18,'Datos del Modelo'!$G$19*'Datos del Modelo'!$G$21,'Datos del Modelo'!$G$22*'Datos del Modelo'!$G$24)))+(('Datos del Modelo'!$G$11*(1+'Datos del Modelo'!$G$13)^($A44-'Datos del Modelo'!$G$8))*(SUM('Datos del Modelo'!$H$16*'Datos del Modelo'!$H$17,'Datos del Modelo'!$H$19*'Datos del Modelo'!$H$20,'Datos del Modelo'!$H$22*'Datos del Modelo'!$H$23))+('Datos del Modelo'!$G$11*(1+'Datos del Modelo'!$G$13)^($A44-'Datos del Modelo'!$G$8))*(SUM('Datos del Modelo'!$H$16*'Datos del Modelo'!$H$18,'Datos del Modelo'!$H$19*'Datos del Modelo'!$H$21,'Datos del Modelo'!$H$22*'Datos del Modelo'!$H$24)))+(('Datos del Modelo'!$G$12*(1+'Datos del Modelo'!$G$13)^($A44-'Datos del Modelo'!$G$8))*(SUM('Datos del Modelo'!$I$16*'Datos del Modelo'!$I$17,'Datos del Modelo'!$I$19*'Datos del Modelo'!$I$20,'Datos del Modelo'!$I$22*'Datos del Modelo'!$I$23))+('Datos del Modelo'!$G$12*(1+'Datos del Modelo'!$G$13)^($A44-'Datos del Modelo'!$G$8))*(SUM('Datos del Modelo'!$I$16*'Datos del Modelo'!$I$18,'Datos del Modelo'!$I$19*'Datos del Modelo'!$I$21,'Datos del Modelo'!$I$22*'Datos del Modelo'!$I$24))),('Datos del Modelo'!$G$10*(1+'Datos del Modelo'!$G$13)^($A44-'Datos del Modelo'!$G$8))*(SUM('Datos del Modelo'!$G$16*'Datos del Modelo'!$G$17,'Datos del Modelo'!$G$19*'Datos del Modelo'!$G$20,'Datos del Modelo'!$G$22*'Datos del Modelo'!$G$23))+('Datos del Modelo'!$G$11*(1+'Datos del Modelo'!$G$13)^($A44-'Datos del Modelo'!$G$8))*(SUM('Datos del Modelo'!$H$16*'Datos del Modelo'!$H$17,'Datos del Modelo'!$H$19*'Datos del Modelo'!$H$20,'Datos del Modelo'!$H$22*'Datos del Modelo'!$H$23))+('Datos del Modelo'!$G$12*(1+'Datos del Modelo'!$G$13)^($A44-'Datos del Modelo'!$G$8))*(SUM('Datos del Modelo'!$I$16*'Datos del Modelo'!$I$17,'Datos del Modelo'!$I$19*'Datos del Modelo'!$I$20,'Datos del Modelo'!$I$22*'Datos del Modelo'!$I$23)))</f>
        <v>169846.34039999996</v>
      </c>
      <c r="C44" s="230">
        <f>IF('Datos del Modelo'!K$44=2,(('Datos del Modelo'!$G$10*(1+'Datos del Modelo'!$G$13)^($A44-'Datos del Modelo'!$G$8))*(SUM('Datos del Modelo'!$G$16*'Datos del Modelo'!$G$17,'Datos del Modelo'!$G$19*'Datos del Modelo'!$G$20,'Datos del Modelo'!$G$22*'Datos del Modelo'!$G$23))+('Datos del Modelo'!$G$10*(1+'Datos del Modelo'!$G$13)^($A44-'Datos del Modelo'!$G$8))*(SUM('Datos del Modelo'!$G$16*'Datos del Modelo'!$G$18,'Datos del Modelo'!$G$19*'Datos del Modelo'!$G$21,'Datos del Modelo'!$G$22*'Datos del Modelo'!$G$24)))+(('Datos del Modelo'!$G$11*(1+'Datos del Modelo'!$G$13)^($A44-'Datos del Modelo'!$G$8))*(SUM('Datos del Modelo'!$H$16*'Datos del Modelo'!$H$17,'Datos del Modelo'!$H$19*'Datos del Modelo'!$H$20,'Datos del Modelo'!$H$22*'Datos del Modelo'!$H$23))+('Datos del Modelo'!$G$11*(1+'Datos del Modelo'!$G$13)^($A44-'Datos del Modelo'!$G$8))*(SUM('Datos del Modelo'!$H$16*'Datos del Modelo'!$H$18,'Datos del Modelo'!$H$19*'Datos del Modelo'!$H$21,'Datos del Modelo'!$H$22*'Datos del Modelo'!$H$24)))+(('Datos del Modelo'!$G$12*(1+'Datos del Modelo'!$G$13)^($A44-'Datos del Modelo'!$G$8))*(SUM('Datos del Modelo'!$I$16*'Datos del Modelo'!$I$17,'Datos del Modelo'!$I$19*'Datos del Modelo'!$I$20,'Datos del Modelo'!$I$22*'Datos del Modelo'!$I$23))+('Datos del Modelo'!$G$12*(1+'Datos del Modelo'!$G$13)^($A44-'Datos del Modelo'!$G$8))*(SUM('Datos del Modelo'!$I$16*'Datos del Modelo'!$I$18,'Datos del Modelo'!$I$19*'Datos del Modelo'!$I$21,'Datos del Modelo'!$I$22*'Datos del Modelo'!$I$24))),('Datos del Modelo'!$G$10*(1+'Datos del Modelo'!$G$13)^($A44-'Datos del Modelo'!$G$8))*(SUM('Datos del Modelo'!$G$16*'Datos del Modelo'!$G$17,'Datos del Modelo'!$G$19*'Datos del Modelo'!$G$20,'Datos del Modelo'!$G$22*'Datos del Modelo'!$G$23))+('Datos del Modelo'!$G$11*(1+'Datos del Modelo'!$G$13)^($A44-'Datos del Modelo'!$G$8))*(SUM('Datos del Modelo'!$H$16*'Datos del Modelo'!$H$17,'Datos del Modelo'!$H$19*'Datos del Modelo'!$H$20,'Datos del Modelo'!$H$22*'Datos del Modelo'!$H$23))+('Datos del Modelo'!$G$12*(1+'Datos del Modelo'!$G$13)^($A44-'Datos del Modelo'!$G$8))*(SUM('Datos del Modelo'!$I$16*'Datos del Modelo'!$I$17,'Datos del Modelo'!$I$19*'Datos del Modelo'!$I$20,'Datos del Modelo'!$I$22*'Datos del Modelo'!$I$23)))</f>
        <v>319980.74219999992</v>
      </c>
      <c r="D44" s="230">
        <f>IF('Datos del Modelo'!M$44=2,(('Datos del Modelo'!$G$10*(1+'Datos del Modelo'!$G$13)^($A44-'Datos del Modelo'!$G$8))*(SUM('Datos del Modelo'!$G$16*'Datos del Modelo'!$G$17,'Datos del Modelo'!$G$19*'Datos del Modelo'!$G$20,'Datos del Modelo'!$G$22*'Datos del Modelo'!$G$23))+('Datos del Modelo'!$G$10*(1+'Datos del Modelo'!$G$13)^($A44-'Datos del Modelo'!$G$8))*(SUM('Datos del Modelo'!$G$16*'Datos del Modelo'!$G$18,'Datos del Modelo'!$G$19*'Datos del Modelo'!$G$21,'Datos del Modelo'!$G$22*'Datos del Modelo'!$G$24)))+(('Datos del Modelo'!$G$11*(1+'Datos del Modelo'!$G$13)^($A44-'Datos del Modelo'!$G$8))*(SUM('Datos del Modelo'!$H$16*'Datos del Modelo'!$H$17,'Datos del Modelo'!$H$19*'Datos del Modelo'!$H$20,'Datos del Modelo'!$H$22*'Datos del Modelo'!$H$23))+('Datos del Modelo'!$G$11*(1+'Datos del Modelo'!$G$13)^($A44-'Datos del Modelo'!$G$8))*(SUM('Datos del Modelo'!$H$16*'Datos del Modelo'!$H$18,'Datos del Modelo'!$H$19*'Datos del Modelo'!$H$21,'Datos del Modelo'!$H$22*'Datos del Modelo'!$H$24)))+(('Datos del Modelo'!$G$12*(1+'Datos del Modelo'!$G$13)^($A44-'Datos del Modelo'!$G$8))*(SUM('Datos del Modelo'!$I$16*'Datos del Modelo'!$I$17,'Datos del Modelo'!$I$19*'Datos del Modelo'!$I$20,'Datos del Modelo'!$I$22*'Datos del Modelo'!$I$23))+('Datos del Modelo'!$G$12*(1+'Datos del Modelo'!$G$13)^($A44-'Datos del Modelo'!$G$8))*(SUM('Datos del Modelo'!$I$16*'Datos del Modelo'!$I$18,'Datos del Modelo'!$I$19*'Datos del Modelo'!$I$21,'Datos del Modelo'!$I$22*'Datos del Modelo'!$I$24))),('Datos del Modelo'!$G$10*(1+'Datos del Modelo'!$G$13)^($A44-'Datos del Modelo'!$G$8))*(SUM('Datos del Modelo'!$G$16*'Datos del Modelo'!$G$17,'Datos del Modelo'!$G$19*'Datos del Modelo'!$G$20,'Datos del Modelo'!$G$22*'Datos del Modelo'!$G$23))+('Datos del Modelo'!$G$11*(1+'Datos del Modelo'!$G$13)^($A44-'Datos del Modelo'!$G$8))*(SUM('Datos del Modelo'!$H$16*'Datos del Modelo'!$H$17,'Datos del Modelo'!$H$19*'Datos del Modelo'!$H$20,'Datos del Modelo'!$H$22*'Datos del Modelo'!$H$23))+('Datos del Modelo'!$G$12*(1+'Datos del Modelo'!$G$13)^($A44-'Datos del Modelo'!$G$8))*(SUM('Datos del Modelo'!$I$16*'Datos del Modelo'!$I$17,'Datos del Modelo'!$I$19*'Datos del Modelo'!$I$20,'Datos del Modelo'!$I$22*'Datos del Modelo'!$I$23)))</f>
        <v>169846.34039999996</v>
      </c>
      <c r="E44" s="230">
        <f>IF('Datos del Modelo'!O$44=2,(('Datos del Modelo'!$G$10*(1+'Datos del Modelo'!$G$13)^($A44-'Datos del Modelo'!$G$8))*(SUM('Datos del Modelo'!$G$16*'Datos del Modelo'!$G$17,'Datos del Modelo'!$G$19*'Datos del Modelo'!$G$20,'Datos del Modelo'!$G$22*'Datos del Modelo'!$G$23))+('Datos del Modelo'!$G$10*(1+'Datos del Modelo'!$G$13)^($A44-'Datos del Modelo'!$G$8))*(SUM('Datos del Modelo'!$G$16*'Datos del Modelo'!$G$18,'Datos del Modelo'!$G$19*'Datos del Modelo'!$G$21,'Datos del Modelo'!$G$22*'Datos del Modelo'!$G$24)))+(('Datos del Modelo'!$G$11*(1+'Datos del Modelo'!$G$13)^($A44-'Datos del Modelo'!$G$8))*(SUM('Datos del Modelo'!$H$16*'Datos del Modelo'!$H$17,'Datos del Modelo'!$H$19*'Datos del Modelo'!$H$20,'Datos del Modelo'!$H$22*'Datos del Modelo'!$H$23))+('Datos del Modelo'!$G$11*(1+'Datos del Modelo'!$G$13)^($A44-'Datos del Modelo'!$G$8))*(SUM('Datos del Modelo'!$H$16*'Datos del Modelo'!$H$18,'Datos del Modelo'!$H$19*'Datos del Modelo'!$H$21,'Datos del Modelo'!$H$22*'Datos del Modelo'!$H$24)))+(('Datos del Modelo'!$G$12*(1+'Datos del Modelo'!$G$13)^($A44-'Datos del Modelo'!$G$8))*(SUM('Datos del Modelo'!$I$16*'Datos del Modelo'!$I$17,'Datos del Modelo'!$I$19*'Datos del Modelo'!$I$20,'Datos del Modelo'!$I$22*'Datos del Modelo'!$I$23))+('Datos del Modelo'!$G$12*(1+'Datos del Modelo'!$G$13)^($A44-'Datos del Modelo'!$G$8))*(SUM('Datos del Modelo'!$I$16*'Datos del Modelo'!$I$18,'Datos del Modelo'!$I$19*'Datos del Modelo'!$I$21,'Datos del Modelo'!$I$22*'Datos del Modelo'!$I$24))),('Datos del Modelo'!$G$10*(1+'Datos del Modelo'!$G$13)^($A44-'Datos del Modelo'!$G$8))*(SUM('Datos del Modelo'!$G$16*'Datos del Modelo'!$G$17,'Datos del Modelo'!$G$19*'Datos del Modelo'!$G$20,'Datos del Modelo'!$G$22*'Datos del Modelo'!$G$23))+('Datos del Modelo'!$G$11*(1+'Datos del Modelo'!$G$13)^($A44-'Datos del Modelo'!$G$8))*(SUM('Datos del Modelo'!$H$16*'Datos del Modelo'!$H$17,'Datos del Modelo'!$H$19*'Datos del Modelo'!$H$20,'Datos del Modelo'!$H$22*'Datos del Modelo'!$H$23))+('Datos del Modelo'!$G$12*(1+'Datos del Modelo'!$G$13)^($A44-'Datos del Modelo'!$G$8))*(SUM('Datos del Modelo'!$I$16*'Datos del Modelo'!$I$17,'Datos del Modelo'!$I$19*'Datos del Modelo'!$I$20,'Datos del Modelo'!$I$22*'Datos del Modelo'!$I$23)))</f>
        <v>169846.34039999996</v>
      </c>
    </row>
    <row r="45" spans="1:6" x14ac:dyDescent="0.3">
      <c r="A45" s="240">
        <f>'Datos del Modelo'!$G$8+4</f>
        <v>2030</v>
      </c>
      <c r="B45" s="230">
        <f>IF('Datos del Modelo'!G$44=2,(('Datos del Modelo'!$G$10*(1+'Datos del Modelo'!$G$13)^($A45-'Datos del Modelo'!$G$8))*(SUM('Datos del Modelo'!$G$16*'Datos del Modelo'!$G$17,'Datos del Modelo'!$G$19*'Datos del Modelo'!$G$20,'Datos del Modelo'!$G$22*'Datos del Modelo'!$G$23))+('Datos del Modelo'!$G$10*(1+'Datos del Modelo'!$G$13)^($A45-'Datos del Modelo'!$G$8))*(SUM('Datos del Modelo'!$G$16*'Datos del Modelo'!$G$18,'Datos del Modelo'!$G$19*'Datos del Modelo'!$G$21,'Datos del Modelo'!$G$22*'Datos del Modelo'!$G$24)))+(('Datos del Modelo'!$G$11*(1+'Datos del Modelo'!$G$13)^($A45-'Datos del Modelo'!$G$8))*(SUM('Datos del Modelo'!$H$16*'Datos del Modelo'!$H$17,'Datos del Modelo'!$H$19*'Datos del Modelo'!$H$20,'Datos del Modelo'!$H$22*'Datos del Modelo'!$H$23))+('Datos del Modelo'!$G$11*(1+'Datos del Modelo'!$G$13)^($A45-'Datos del Modelo'!$G$8))*(SUM('Datos del Modelo'!$H$16*'Datos del Modelo'!$H$18,'Datos del Modelo'!$H$19*'Datos del Modelo'!$H$21,'Datos del Modelo'!$H$22*'Datos del Modelo'!$H$24)))+(('Datos del Modelo'!$G$12*(1+'Datos del Modelo'!$G$13)^($A45-'Datos del Modelo'!$G$8))*(SUM('Datos del Modelo'!$I$16*'Datos del Modelo'!$I$17,'Datos del Modelo'!$I$19*'Datos del Modelo'!$I$20,'Datos del Modelo'!$I$22*'Datos del Modelo'!$I$23))+('Datos del Modelo'!$G$12*(1+'Datos del Modelo'!$G$13)^($A45-'Datos del Modelo'!$G$8))*(SUM('Datos del Modelo'!$I$16*'Datos del Modelo'!$I$18,'Datos del Modelo'!$I$19*'Datos del Modelo'!$I$21,'Datos del Modelo'!$I$22*'Datos del Modelo'!$I$24))),('Datos del Modelo'!$G$10*(1+'Datos del Modelo'!$G$13)^($A45-'Datos del Modelo'!$G$8))*(SUM('Datos del Modelo'!$G$16*'Datos del Modelo'!$G$17,'Datos del Modelo'!$G$19*'Datos del Modelo'!$G$20,'Datos del Modelo'!$G$22*'Datos del Modelo'!$G$23))+('Datos del Modelo'!$G$11*(1+'Datos del Modelo'!$G$13)^($A45-'Datos del Modelo'!$G$8))*(SUM('Datos del Modelo'!$H$16*'Datos del Modelo'!$H$17,'Datos del Modelo'!$H$19*'Datos del Modelo'!$H$20,'Datos del Modelo'!$H$22*'Datos del Modelo'!$H$23))+('Datos del Modelo'!$G$12*(1+'Datos del Modelo'!$G$13)^($A45-'Datos del Modelo'!$G$8))*(SUM('Datos del Modelo'!$I$16*'Datos del Modelo'!$I$17,'Datos del Modelo'!$I$19*'Datos del Modelo'!$I$20,'Datos del Modelo'!$I$22*'Datos del Modelo'!$I$23)))</f>
        <v>173243.26720799998</v>
      </c>
      <c r="C45" s="230">
        <f>IF('Datos del Modelo'!K$44=2,(('Datos del Modelo'!$G$10*(1+'Datos del Modelo'!$G$13)^($A45-'Datos del Modelo'!$G$8))*(SUM('Datos del Modelo'!$G$16*'Datos del Modelo'!$G$17,'Datos del Modelo'!$G$19*'Datos del Modelo'!$G$20,'Datos del Modelo'!$G$22*'Datos del Modelo'!$G$23))+('Datos del Modelo'!$G$10*(1+'Datos del Modelo'!$G$13)^($A45-'Datos del Modelo'!$G$8))*(SUM('Datos del Modelo'!$G$16*'Datos del Modelo'!$G$18,'Datos del Modelo'!$G$19*'Datos del Modelo'!$G$21,'Datos del Modelo'!$G$22*'Datos del Modelo'!$G$24)))+(('Datos del Modelo'!$G$11*(1+'Datos del Modelo'!$G$13)^($A45-'Datos del Modelo'!$G$8))*(SUM('Datos del Modelo'!$H$16*'Datos del Modelo'!$H$17,'Datos del Modelo'!$H$19*'Datos del Modelo'!$H$20,'Datos del Modelo'!$H$22*'Datos del Modelo'!$H$23))+('Datos del Modelo'!$G$11*(1+'Datos del Modelo'!$G$13)^($A45-'Datos del Modelo'!$G$8))*(SUM('Datos del Modelo'!$H$16*'Datos del Modelo'!$H$18,'Datos del Modelo'!$H$19*'Datos del Modelo'!$H$21,'Datos del Modelo'!$H$22*'Datos del Modelo'!$H$24)))+(('Datos del Modelo'!$G$12*(1+'Datos del Modelo'!$G$13)^($A45-'Datos del Modelo'!$G$8))*(SUM('Datos del Modelo'!$I$16*'Datos del Modelo'!$I$17,'Datos del Modelo'!$I$19*'Datos del Modelo'!$I$20,'Datos del Modelo'!$I$22*'Datos del Modelo'!$I$23))+('Datos del Modelo'!$G$12*(1+'Datos del Modelo'!$G$13)^($A45-'Datos del Modelo'!$G$8))*(SUM('Datos del Modelo'!$I$16*'Datos del Modelo'!$I$18,'Datos del Modelo'!$I$19*'Datos del Modelo'!$I$21,'Datos del Modelo'!$I$22*'Datos del Modelo'!$I$24))),('Datos del Modelo'!$G$10*(1+'Datos del Modelo'!$G$13)^($A45-'Datos del Modelo'!$G$8))*(SUM('Datos del Modelo'!$G$16*'Datos del Modelo'!$G$17,'Datos del Modelo'!$G$19*'Datos del Modelo'!$G$20,'Datos del Modelo'!$G$22*'Datos del Modelo'!$G$23))+('Datos del Modelo'!$G$11*(1+'Datos del Modelo'!$G$13)^($A45-'Datos del Modelo'!$G$8))*(SUM('Datos del Modelo'!$H$16*'Datos del Modelo'!$H$17,'Datos del Modelo'!$H$19*'Datos del Modelo'!$H$20,'Datos del Modelo'!$H$22*'Datos del Modelo'!$H$23))+('Datos del Modelo'!$G$12*(1+'Datos del Modelo'!$G$13)^($A45-'Datos del Modelo'!$G$8))*(SUM('Datos del Modelo'!$I$16*'Datos del Modelo'!$I$17,'Datos del Modelo'!$I$19*'Datos del Modelo'!$I$20,'Datos del Modelo'!$I$22*'Datos del Modelo'!$I$23)))</f>
        <v>326380.35704400006</v>
      </c>
      <c r="D45" s="230">
        <f>IF('Datos del Modelo'!M$44=2,(('Datos del Modelo'!$G$10*(1+'Datos del Modelo'!$G$13)^($A45-'Datos del Modelo'!$G$8))*(SUM('Datos del Modelo'!$G$16*'Datos del Modelo'!$G$17,'Datos del Modelo'!$G$19*'Datos del Modelo'!$G$20,'Datos del Modelo'!$G$22*'Datos del Modelo'!$G$23))+('Datos del Modelo'!$G$10*(1+'Datos del Modelo'!$G$13)^($A45-'Datos del Modelo'!$G$8))*(SUM('Datos del Modelo'!$G$16*'Datos del Modelo'!$G$18,'Datos del Modelo'!$G$19*'Datos del Modelo'!$G$21,'Datos del Modelo'!$G$22*'Datos del Modelo'!$G$24)))+(('Datos del Modelo'!$G$11*(1+'Datos del Modelo'!$G$13)^($A45-'Datos del Modelo'!$G$8))*(SUM('Datos del Modelo'!$H$16*'Datos del Modelo'!$H$17,'Datos del Modelo'!$H$19*'Datos del Modelo'!$H$20,'Datos del Modelo'!$H$22*'Datos del Modelo'!$H$23))+('Datos del Modelo'!$G$11*(1+'Datos del Modelo'!$G$13)^($A45-'Datos del Modelo'!$G$8))*(SUM('Datos del Modelo'!$H$16*'Datos del Modelo'!$H$18,'Datos del Modelo'!$H$19*'Datos del Modelo'!$H$21,'Datos del Modelo'!$H$22*'Datos del Modelo'!$H$24)))+(('Datos del Modelo'!$G$12*(1+'Datos del Modelo'!$G$13)^($A45-'Datos del Modelo'!$G$8))*(SUM('Datos del Modelo'!$I$16*'Datos del Modelo'!$I$17,'Datos del Modelo'!$I$19*'Datos del Modelo'!$I$20,'Datos del Modelo'!$I$22*'Datos del Modelo'!$I$23))+('Datos del Modelo'!$G$12*(1+'Datos del Modelo'!$G$13)^($A45-'Datos del Modelo'!$G$8))*(SUM('Datos del Modelo'!$I$16*'Datos del Modelo'!$I$18,'Datos del Modelo'!$I$19*'Datos del Modelo'!$I$21,'Datos del Modelo'!$I$22*'Datos del Modelo'!$I$24))),('Datos del Modelo'!$G$10*(1+'Datos del Modelo'!$G$13)^($A45-'Datos del Modelo'!$G$8))*(SUM('Datos del Modelo'!$G$16*'Datos del Modelo'!$G$17,'Datos del Modelo'!$G$19*'Datos del Modelo'!$G$20,'Datos del Modelo'!$G$22*'Datos del Modelo'!$G$23))+('Datos del Modelo'!$G$11*(1+'Datos del Modelo'!$G$13)^($A45-'Datos del Modelo'!$G$8))*(SUM('Datos del Modelo'!$H$16*'Datos del Modelo'!$H$17,'Datos del Modelo'!$H$19*'Datos del Modelo'!$H$20,'Datos del Modelo'!$H$22*'Datos del Modelo'!$H$23))+('Datos del Modelo'!$G$12*(1+'Datos del Modelo'!$G$13)^($A45-'Datos del Modelo'!$G$8))*(SUM('Datos del Modelo'!$I$16*'Datos del Modelo'!$I$17,'Datos del Modelo'!$I$19*'Datos del Modelo'!$I$20,'Datos del Modelo'!$I$22*'Datos del Modelo'!$I$23)))</f>
        <v>173243.26720799998</v>
      </c>
      <c r="E45" s="230">
        <f>IF('Datos del Modelo'!O$44=2,(('Datos del Modelo'!$G$10*(1+'Datos del Modelo'!$G$13)^($A45-'Datos del Modelo'!$G$8))*(SUM('Datos del Modelo'!$G$16*'Datos del Modelo'!$G$17,'Datos del Modelo'!$G$19*'Datos del Modelo'!$G$20,'Datos del Modelo'!$G$22*'Datos del Modelo'!$G$23))+('Datos del Modelo'!$G$10*(1+'Datos del Modelo'!$G$13)^($A45-'Datos del Modelo'!$G$8))*(SUM('Datos del Modelo'!$G$16*'Datos del Modelo'!$G$18,'Datos del Modelo'!$G$19*'Datos del Modelo'!$G$21,'Datos del Modelo'!$G$22*'Datos del Modelo'!$G$24)))+(('Datos del Modelo'!$G$11*(1+'Datos del Modelo'!$G$13)^($A45-'Datos del Modelo'!$G$8))*(SUM('Datos del Modelo'!$H$16*'Datos del Modelo'!$H$17,'Datos del Modelo'!$H$19*'Datos del Modelo'!$H$20,'Datos del Modelo'!$H$22*'Datos del Modelo'!$H$23))+('Datos del Modelo'!$G$11*(1+'Datos del Modelo'!$G$13)^($A45-'Datos del Modelo'!$G$8))*(SUM('Datos del Modelo'!$H$16*'Datos del Modelo'!$H$18,'Datos del Modelo'!$H$19*'Datos del Modelo'!$H$21,'Datos del Modelo'!$H$22*'Datos del Modelo'!$H$24)))+(('Datos del Modelo'!$G$12*(1+'Datos del Modelo'!$G$13)^($A45-'Datos del Modelo'!$G$8))*(SUM('Datos del Modelo'!$I$16*'Datos del Modelo'!$I$17,'Datos del Modelo'!$I$19*'Datos del Modelo'!$I$20,'Datos del Modelo'!$I$22*'Datos del Modelo'!$I$23))+('Datos del Modelo'!$G$12*(1+'Datos del Modelo'!$G$13)^($A45-'Datos del Modelo'!$G$8))*(SUM('Datos del Modelo'!$I$16*'Datos del Modelo'!$I$18,'Datos del Modelo'!$I$19*'Datos del Modelo'!$I$21,'Datos del Modelo'!$I$22*'Datos del Modelo'!$I$24))),('Datos del Modelo'!$G$10*(1+'Datos del Modelo'!$G$13)^($A45-'Datos del Modelo'!$G$8))*(SUM('Datos del Modelo'!$G$16*'Datos del Modelo'!$G$17,'Datos del Modelo'!$G$19*'Datos del Modelo'!$G$20,'Datos del Modelo'!$G$22*'Datos del Modelo'!$G$23))+('Datos del Modelo'!$G$11*(1+'Datos del Modelo'!$G$13)^($A45-'Datos del Modelo'!$G$8))*(SUM('Datos del Modelo'!$H$16*'Datos del Modelo'!$H$17,'Datos del Modelo'!$H$19*'Datos del Modelo'!$H$20,'Datos del Modelo'!$H$22*'Datos del Modelo'!$H$23))+('Datos del Modelo'!$G$12*(1+'Datos del Modelo'!$G$13)^($A45-'Datos del Modelo'!$G$8))*(SUM('Datos del Modelo'!$I$16*'Datos del Modelo'!$I$17,'Datos del Modelo'!$I$19*'Datos del Modelo'!$I$20,'Datos del Modelo'!$I$22*'Datos del Modelo'!$I$23)))</f>
        <v>173243.26720799998</v>
      </c>
    </row>
    <row r="46" spans="1:6" x14ac:dyDescent="0.3">
      <c r="A46" s="240" t="s">
        <v>113</v>
      </c>
    </row>
    <row r="47" spans="1:6" x14ac:dyDescent="0.3">
      <c r="A47" s="240">
        <f>'Datos del Modelo'!$G$8</f>
        <v>2026</v>
      </c>
      <c r="B47">
        <f>+IF('Datos del Modelo'!G$44=2,(('Datos del Modelo'!$G$25*SUM('Datos del Modelo'!$G$27*'Datos del Modelo'!$G$28,'Datos del Modelo'!$G$30*'Datos del Modelo'!$G$31,'Datos del Modelo'!$G$33*'Datos del Modelo'!$G$34))+('Datos del Modelo'!$G$25*SUM('Datos del Modelo'!$G$27*'Datos del Modelo'!$G$29,'Datos del Modelo'!$G$30*'Datos del Modelo'!$G$32,'Datos del Modelo'!$G$33*'Datos del Modelo'!$G$35))),('Datos del Modelo'!$G$25*SUM('Datos del Modelo'!$G$27*'Datos del Modelo'!$G$28,'Datos del Modelo'!$G$30*'Datos del Modelo'!$G$31,'Datos del Modelo'!$G$33*'Datos del Modelo'!$G$34)))</f>
        <v>360000</v>
      </c>
      <c r="C47">
        <f>+IF('Datos del Modelo'!K$44=2,(('Datos del Modelo'!$G$25*SUM('Datos del Modelo'!$G$27*'Datos del Modelo'!$G$28,'Datos del Modelo'!$G$30*'Datos del Modelo'!$G$31,'Datos del Modelo'!$G$33*'Datos del Modelo'!$G$34))+('Datos del Modelo'!$G$25*SUM('Datos del Modelo'!$G$27*'Datos del Modelo'!$G$29,'Datos del Modelo'!$G$30*'Datos del Modelo'!$G$32,'Datos del Modelo'!$G$33*'Datos del Modelo'!$G$35))),('Datos del Modelo'!$G$25*SUM('Datos del Modelo'!$G$27*'Datos del Modelo'!$G$28,'Datos del Modelo'!$G$30*'Datos del Modelo'!$G$31,'Datos del Modelo'!$G$33*'Datos del Modelo'!$G$34)))</f>
        <v>680000</v>
      </c>
      <c r="D47">
        <f>+IF('Datos del Modelo'!M$44=2,(('Datos del Modelo'!$G$25*SUM('Datos del Modelo'!$G$27*'Datos del Modelo'!$G$28,'Datos del Modelo'!$G$30*'Datos del Modelo'!$G$31,'Datos del Modelo'!$G$33*'Datos del Modelo'!$G$34))+('Datos del Modelo'!$G$25*SUM('Datos del Modelo'!$G$27*'Datos del Modelo'!$G$29,'Datos del Modelo'!$G$30*'Datos del Modelo'!$G$32,'Datos del Modelo'!$G$33*'Datos del Modelo'!$G$35))),('Datos del Modelo'!$G$25*SUM('Datos del Modelo'!$G$27*'Datos del Modelo'!$G$28,'Datos del Modelo'!$G$30*'Datos del Modelo'!$G$31,'Datos del Modelo'!$G$33*'Datos del Modelo'!$G$34)))</f>
        <v>360000</v>
      </c>
      <c r="E47">
        <f>+IF('Datos del Modelo'!O$44=2,(('Datos del Modelo'!$G$25*SUM('Datos del Modelo'!$G$27*'Datos del Modelo'!$G$28,'Datos del Modelo'!$G$30*'Datos del Modelo'!$G$31,'Datos del Modelo'!$G$33*'Datos del Modelo'!$G$34))+('Datos del Modelo'!$G$25*SUM('Datos del Modelo'!$G$27*'Datos del Modelo'!$G$29,'Datos del Modelo'!$G$30*'Datos del Modelo'!$G$32,'Datos del Modelo'!$G$33*'Datos del Modelo'!$G$35))),('Datos del Modelo'!$G$25*SUM('Datos del Modelo'!$G$27*'Datos del Modelo'!$G$28,'Datos del Modelo'!$G$30*'Datos del Modelo'!$G$31,'Datos del Modelo'!$G$33*'Datos del Modelo'!$G$34)))</f>
        <v>360000</v>
      </c>
    </row>
    <row r="48" spans="1:6" x14ac:dyDescent="0.3">
      <c r="A48" s="240" t="s">
        <v>114</v>
      </c>
      <c r="B48" s="230"/>
      <c r="E48" s="242"/>
    </row>
    <row r="49" spans="1:13" x14ac:dyDescent="0.3">
      <c r="A49" s="240">
        <f>'Datos del Modelo'!$G$8</f>
        <v>2026</v>
      </c>
      <c r="B49" s="230">
        <f>B41*('Datos del Modelo'!$G$49+'Datos del Modelo'!$G$52)</f>
        <v>208486.18421052632</v>
      </c>
      <c r="C49" s="230">
        <f>C41*('Datos del Modelo'!$K$49+'Datos del Modelo'!$K$52)</f>
        <v>392775.98684210522</v>
      </c>
      <c r="D49" s="230">
        <f>D41*('Datos del Modelo'!$M$49+'Datos del Modelo'!$M$52)</f>
        <v>217845.83333333334</v>
      </c>
      <c r="E49" s="241">
        <f>E41*('Datos del Modelo'!$O$49+'Datos del Modelo'!$O$52)</f>
        <v>208486.18421052632</v>
      </c>
    </row>
    <row r="50" spans="1:13" x14ac:dyDescent="0.3">
      <c r="A50" s="240">
        <f>'Datos del Modelo'!$G$8+1</f>
        <v>2027</v>
      </c>
      <c r="B50" s="230">
        <f>B42*('Datos del Modelo'!$G$49+'Datos del Modelo'!$G$52)-(B41*'Datos del Modelo'!$G$52)</f>
        <v>172643.40789473683</v>
      </c>
      <c r="C50" s="230">
        <f>C42*('Datos del Modelo'!$K$49+'Datos del Modelo'!$K$52)-(C41*'Datos del Modelo'!$K$52)</f>
        <v>325250.25657894736</v>
      </c>
      <c r="D50" s="230">
        <f>D42*('Datos del Modelo'!$M$49+'Datos del Modelo'!$M$52)-(D41*'Datos del Modelo'!$M$52)</f>
        <v>182190.25</v>
      </c>
      <c r="E50" s="241">
        <f>E42*('Datos del Modelo'!$O$49+'Datos del Modelo'!$O$52)-(E41*'Datos del Modelo'!$O$52)</f>
        <v>172643.40789473683</v>
      </c>
    </row>
    <row r="51" spans="1:13" x14ac:dyDescent="0.3">
      <c r="A51" s="240">
        <f>'Datos del Modelo'!$G$8+2</f>
        <v>2028</v>
      </c>
      <c r="B51" s="230">
        <f>B43*('Datos del Modelo'!$G$49+'Datos del Modelo'!$G$52)-(B42*'Datos del Modelo'!$G$52)</f>
        <v>176096.27605263158</v>
      </c>
      <c r="C51" s="230">
        <f>C43*('Datos del Modelo'!$K$49+'Datos del Modelo'!$K$52)-(C42*'Datos del Modelo'!$K$52)</f>
        <v>331755.26171052631</v>
      </c>
      <c r="D51" s="230">
        <f>D43*('Datos del Modelo'!$M$49+'Datos del Modelo'!$M$52)-(D42*'Datos del Modelo'!$M$52)</f>
        <v>185834.05500000002</v>
      </c>
      <c r="E51" s="241">
        <f>E43*('Datos del Modelo'!$O$49+'Datos del Modelo'!$O$52)-(E42*'Datos del Modelo'!$O$52)</f>
        <v>176096.27605263158</v>
      </c>
    </row>
    <row r="52" spans="1:13" x14ac:dyDescent="0.3">
      <c r="A52" s="240">
        <f>'Datos del Modelo'!$G$8+3</f>
        <v>2029</v>
      </c>
      <c r="B52" s="230">
        <f>B44*('Datos del Modelo'!$G$49+'Datos del Modelo'!$G$52)-(B43*'Datos del Modelo'!$G$52)</f>
        <v>179618.20157368414</v>
      </c>
      <c r="C52" s="230">
        <f>C44*('Datos del Modelo'!$K$49+'Datos del Modelo'!$K$52)-(C43*'Datos del Modelo'!$K$52)</f>
        <v>338390.36694473668</v>
      </c>
      <c r="D52" s="230">
        <f>D44*('Datos del Modelo'!$M$49+'Datos del Modelo'!$M$52)-(D43*'Datos del Modelo'!$M$52)</f>
        <v>189550.73609999995</v>
      </c>
      <c r="E52" s="241">
        <f>E44*('Datos del Modelo'!$O$49+'Datos del Modelo'!$O$52)-(E43*'Datos del Modelo'!$O$52)</f>
        <v>179618.20157368414</v>
      </c>
    </row>
    <row r="53" spans="1:13" x14ac:dyDescent="0.3">
      <c r="A53" s="240">
        <f>'Datos del Modelo'!$G$8+4</f>
        <v>2030</v>
      </c>
      <c r="B53" s="230">
        <f>B45*('Datos del Modelo'!$G$49+'Datos del Modelo'!$G$52)-(B44*'Datos del Modelo'!$G$52)</f>
        <v>183210.56560515787</v>
      </c>
      <c r="C53" s="230">
        <f>C45*('Datos del Modelo'!$K$49+'Datos del Modelo'!$K$52)-(C44*'Datos del Modelo'!$K$52)</f>
        <v>345158.17428363167</v>
      </c>
      <c r="D53" s="230">
        <f>D45*('Datos del Modelo'!$M$49+'Datos del Modelo'!$M$52)-(D44*'Datos del Modelo'!$M$52)</f>
        <v>193341.75082199997</v>
      </c>
      <c r="E53" s="241">
        <f>E45*('Datos del Modelo'!$O$49+'Datos del Modelo'!$O$52)-(E44*'Datos del Modelo'!$O$52)</f>
        <v>183210.56560515787</v>
      </c>
    </row>
    <row r="54" spans="1:13" x14ac:dyDescent="0.3">
      <c r="A54" s="240" t="s">
        <v>115</v>
      </c>
      <c r="E54" s="242"/>
    </row>
    <row r="55" spans="1:13" x14ac:dyDescent="0.3">
      <c r="A55" s="243">
        <f>'Datos del Modelo'!$G$8</f>
        <v>2026</v>
      </c>
      <c r="B55" s="244">
        <f>B47*'Datos del Modelo'!G49</f>
        <v>378947.36842105258</v>
      </c>
      <c r="C55" s="244">
        <f>C47*'Datos del Modelo'!K49</f>
        <v>715789.47368421045</v>
      </c>
      <c r="D55" s="244">
        <f>D47*'Datos del Modelo'!M49</f>
        <v>400000</v>
      </c>
      <c r="E55" s="245">
        <f>E47*'Datos del Modelo'!O49</f>
        <v>378947.36842105258</v>
      </c>
    </row>
    <row r="56" spans="1:13" x14ac:dyDescent="0.3">
      <c r="B56" s="230"/>
      <c r="C56" s="230"/>
      <c r="D56" s="230"/>
      <c r="E56" s="230"/>
    </row>
    <row r="57" spans="1:13" x14ac:dyDescent="0.3">
      <c r="A57" t="s">
        <v>116</v>
      </c>
      <c r="B57" t="str">
        <f>$B$40</f>
        <v>CECOLIN
bivalente, 1 dosis/frasco, líquido</v>
      </c>
      <c r="E57" t="str">
        <f>$C$40</f>
        <v>WALRINVAX 
bivalente, 1 dosis/frasco, líquido</v>
      </c>
      <c r="H57" t="str">
        <f>$D$40</f>
        <v>GARDASIL4
tetravalente, 1 dosis/frasco, líquido</v>
      </c>
      <c r="K57" t="str">
        <f>$E$40</f>
        <v>Opción totalmente personalizable - introduzca el nombre aquí</v>
      </c>
    </row>
    <row r="58" spans="1:13" x14ac:dyDescent="0.3">
      <c r="B58" t="s">
        <v>79</v>
      </c>
      <c r="C58" t="s">
        <v>80</v>
      </c>
      <c r="D58" t="s">
        <v>81</v>
      </c>
      <c r="E58" t="s">
        <v>79</v>
      </c>
      <c r="F58" t="s">
        <v>80</v>
      </c>
      <c r="G58" t="s">
        <v>81</v>
      </c>
      <c r="H58" t="s">
        <v>79</v>
      </c>
      <c r="I58" t="s">
        <v>80</v>
      </c>
      <c r="J58" t="s">
        <v>81</v>
      </c>
      <c r="K58" t="s">
        <v>79</v>
      </c>
      <c r="L58" t="s">
        <v>80</v>
      </c>
      <c r="M58" t="s">
        <v>81</v>
      </c>
    </row>
    <row r="59" spans="1:13" x14ac:dyDescent="0.3">
      <c r="A59">
        <f>'Datos del Modelo'!$G$8</f>
        <v>2026</v>
      </c>
      <c r="B59" s="230">
        <f>IF('Datos del Modelo'!G$44=2,(('Datos del Modelo'!$G$9*(1+'Datos del Modelo'!$G$13)^(Resultados!$D11-'Datos del Modelo'!$G$8))*('Datos del Modelo'!$G$16*'Datos del Modelo'!$G$17)+('Datos del Modelo'!$G$9*(1+'Datos del Modelo'!$G$13)^(Resultados!$D11-'Datos del Modelo'!$G$8))*('Datos del Modelo'!$G$16*'Datos del Modelo'!$G$18)),('Datos del Modelo'!$G$9*(1+'Datos del Modelo'!$G$13)^(Resultados!$D11-'Datos del Modelo'!$G$8))*('Datos del Modelo'!$G$16*'Datos del Modelo'!$G$17))</f>
        <v>112560.01119999998</v>
      </c>
      <c r="C59" s="230">
        <f>IF('Datos del Modelo'!G$44=2,(('Datos del Modelo'!$G$9*(1+'Datos del Modelo'!$G$13)^(Resultados!$D11-'Datos del Modelo'!$G$8))*('Datos del Modelo'!$G$19*'Datos del Modelo'!$G$20)+('Datos del Modelo'!$G$9*(1+'Datos del Modelo'!$G$13)^(Resultados!$D11-'Datos del Modelo'!$G$8))*('Datos del Modelo'!$G$19*'Datos del Modelo'!$G$21)),('Datos del Modelo'!$G$9*(1+'Datos del Modelo'!$G$13)^(Resultados!$D11-'Datos del Modelo'!$G$8))*('Datos del Modelo'!$G$19*'Datos del Modelo'!$G$20))</f>
        <v>24120.002399999998</v>
      </c>
      <c r="D59" s="230">
        <f>IF('Datos del Modelo'!G$44=2,(('Datos del Modelo'!$G$9*(1+'Datos del Modelo'!$G$13)^(Resultados!$D11-'Datos del Modelo'!$G$8))*('Datos del Modelo'!$G$22*'Datos del Modelo'!$G$23)+('Datos del Modelo'!$G$9*(1+'Datos del Modelo'!$G$13)^(Resultados!$D11-'Datos del Modelo'!$G$8))*('Datos del Modelo'!$G$22*'Datos del Modelo'!$G$24)),('Datos del Modelo'!$G$9*(1+'Datos del Modelo'!$G$13)^(Resultados!$D11-'Datos del Modelo'!$G$8))*('Datos del Modelo'!$G$22*'Datos del Modelo'!$G$23))</f>
        <v>24120.002399999998</v>
      </c>
      <c r="E59" s="230">
        <f>IF('Datos del Modelo'!K$44=2,(('Datos del Modelo'!$G$9*(1+'Datos del Modelo'!$G$13)^(Resultados!$D11-'Datos del Modelo'!$G$8))*('Datos del Modelo'!$G$16*'Datos del Modelo'!$G$17)+('Datos del Modelo'!$G$9*(1+'Datos del Modelo'!$G$13)^(Resultados!$D11-'Datos del Modelo'!$G$8))*('Datos del Modelo'!$G$16*'Datos del Modelo'!$G$18)),('Datos del Modelo'!$G$9*(1+'Datos del Modelo'!$G$13)^(Resultados!$D11-'Datos del Modelo'!$G$8))*('Datos del Modelo'!$G$16*'Datos del Modelo'!$G$17))</f>
        <v>211050.02099999995</v>
      </c>
      <c r="F59" s="230">
        <f>IF('Datos del Modelo'!K$44=2,(('Datos del Modelo'!$G$9*(1+'Datos del Modelo'!$G$13)^(Resultados!$D11-'Datos del Modelo'!$G$8))*('Datos del Modelo'!$G$19*'Datos del Modelo'!$G$20)+('Datos del Modelo'!$G$9*(1+'Datos del Modelo'!$G$13)^(Resultados!$D11-'Datos del Modelo'!$G$8))*('Datos del Modelo'!$G$19*'Datos del Modelo'!$G$21)),('Datos del Modelo'!$G$9*(1+'Datos del Modelo'!$G$13)^(Resultados!$D11-'Datos del Modelo'!$G$8))*('Datos del Modelo'!$G$19*'Datos del Modelo'!$G$20))</f>
        <v>45225.004499999995</v>
      </c>
      <c r="G59" s="230">
        <f>IF('Datos del Modelo'!K$44=2,(('Datos del Modelo'!$G$9*(1+'Datos del Modelo'!$G$13)^(Resultados!$D11-'Datos del Modelo'!$G$8))*('Datos del Modelo'!$G$22*'Datos del Modelo'!$G$23)+('Datos del Modelo'!$G$9*(1+'Datos del Modelo'!$G$13)^(Resultados!$D11-'Datos del Modelo'!$G$8))*('Datos del Modelo'!$G$22*'Datos del Modelo'!$G$24)),('Datos del Modelo'!$G$9*(1+'Datos del Modelo'!$G$13)^(Resultados!$D11-'Datos del Modelo'!$G$8))*('Datos del Modelo'!$G$22*'Datos del Modelo'!$G$23))</f>
        <v>46732.504649999995</v>
      </c>
      <c r="H59" s="230">
        <f>IF('Datos del Modelo'!M$44=2,(('Datos del Modelo'!$G$9*(1+'Datos del Modelo'!$G$13)^(Resultados!$D11-'Datos del Modelo'!$G$8))*('Datos del Modelo'!$G$16*'Datos del Modelo'!$G$17)+('Datos del Modelo'!$G$9*(1+'Datos del Modelo'!$G$13)^(Resultados!$D11-'Datos del Modelo'!$G$8))*('Datos del Modelo'!$G$16*'Datos del Modelo'!$G$18)),('Datos del Modelo'!$G$9*(1+'Datos del Modelo'!$G$13)^(Resultados!$D11-'Datos del Modelo'!$G$8))*('Datos del Modelo'!$G$16*'Datos del Modelo'!$G$17))</f>
        <v>112560.01119999998</v>
      </c>
      <c r="I59" s="230">
        <f>IF('Datos del Modelo'!M$44=2,(('Datos del Modelo'!$G$9*(1+'Datos del Modelo'!$G$13)^(Resultados!$D11-'Datos del Modelo'!$G$8))*('Datos del Modelo'!$G$19*'Datos del Modelo'!$G$20)+('Datos del Modelo'!$G$9*(1+'Datos del Modelo'!$G$13)^(Resultados!$D11-'Datos del Modelo'!$G$8))*('Datos del Modelo'!$G$19*'Datos del Modelo'!$G$21)),('Datos del Modelo'!$G$9*(1+'Datos del Modelo'!$G$13)^(Resultados!$D11-'Datos del Modelo'!$G$8))*('Datos del Modelo'!$G$19*'Datos del Modelo'!$G$20))</f>
        <v>24120.002399999998</v>
      </c>
      <c r="J59" s="230">
        <f>IF('Datos del Modelo'!M$44=2,(('Datos del Modelo'!$G$9*(1+'Datos del Modelo'!$G$13)^(Resultados!$D11-'Datos del Modelo'!$G$8))*('Datos del Modelo'!$G$22*'Datos del Modelo'!$G$23)+('Datos del Modelo'!$G$9*(1+'Datos del Modelo'!$G$13)^(Resultados!$D11-'Datos del Modelo'!$G$8))*('Datos del Modelo'!$G$22*'Datos del Modelo'!$G$24)),('Datos del Modelo'!$G$9*(1+'Datos del Modelo'!$G$13)^(Resultados!$D11-'Datos del Modelo'!$G$8))*('Datos del Modelo'!$G$22*'Datos del Modelo'!$G$23))</f>
        <v>24120.002399999998</v>
      </c>
      <c r="K59" s="230">
        <f>IF('Datos del Modelo'!O$44=2,(('Datos del Modelo'!$G$9*(1+'Datos del Modelo'!$G$13)^(Resultados!$D11-'Datos del Modelo'!$G$8))*('Datos del Modelo'!$G$16*'Datos del Modelo'!$G$17)+('Datos del Modelo'!$G$9*(1+'Datos del Modelo'!$G$13)^(Resultados!$D11-'Datos del Modelo'!$G$8))*('Datos del Modelo'!$G$16*'Datos del Modelo'!$G$18)),('Datos del Modelo'!$G$9*(1+'Datos del Modelo'!$G$13)^(Resultados!$D11-'Datos del Modelo'!$G$8))*('Datos del Modelo'!$G$16*'Datos del Modelo'!$G$17))</f>
        <v>112560.01119999998</v>
      </c>
      <c r="L59" s="230">
        <f>IF('Datos del Modelo'!O$44=2,(('Datos del Modelo'!$G$9*(1+'Datos del Modelo'!$G$13)^(Resultados!$D11-'Datos del Modelo'!$G$8))*('Datos del Modelo'!$G$19*'Datos del Modelo'!$G$20)+('Datos del Modelo'!$G$9*(1+'Datos del Modelo'!$G$13)^(Resultados!$D11-'Datos del Modelo'!$G$8))*('Datos del Modelo'!$G$19*'Datos del Modelo'!$G$21)),('Datos del Modelo'!$G$9*(1+'Datos del Modelo'!$G$13)^(Resultados!$D11-'Datos del Modelo'!$G$8))*('Datos del Modelo'!$G$19*'Datos del Modelo'!$G$20))</f>
        <v>24120.002399999998</v>
      </c>
      <c r="M59" s="230">
        <f>IF('Datos del Modelo'!O$44=2,(('Datos del Modelo'!$G$9*(1+'Datos del Modelo'!$G$13)^(Resultados!$D11-'Datos del Modelo'!$G$8))*('Datos del Modelo'!$G$22*'Datos del Modelo'!$G$23)+('Datos del Modelo'!$G$9*(1+'Datos del Modelo'!$G$13)^(Resultados!$D11-'Datos del Modelo'!$G$8))*('Datos del Modelo'!$G$22*'Datos del Modelo'!$G$24)),('Datos del Modelo'!$G$9*(1+'Datos del Modelo'!$G$13)^(Resultados!$D11-'Datos del Modelo'!$G$8))*('Datos del Modelo'!$G$22*'Datos del Modelo'!$G$23))</f>
        <v>24120.002399999998</v>
      </c>
    </row>
    <row r="60" spans="1:13" x14ac:dyDescent="0.3">
      <c r="A60">
        <f>'Datos del Modelo'!$G$8+1</f>
        <v>2027</v>
      </c>
      <c r="B60" s="230">
        <f>IF('Datos del Modelo'!G$44=2,(('Datos del Modelo'!$G$9*(1+'Datos del Modelo'!$G$13)^(Resultados!$D12-'Datos del Modelo'!$G$8))*('Datos del Modelo'!$G$16*'Datos del Modelo'!$G$17)+('Datos del Modelo'!$G$9*(1+'Datos del Modelo'!$G$13)^(Resultados!$D12-'Datos del Modelo'!$G$8))*('Datos del Modelo'!$G$16*'Datos del Modelo'!$G$18)),('Datos del Modelo'!$G$9*(1+'Datos del Modelo'!$G$13)^(Resultados!$D12-'Datos del Modelo'!$G$8))*('Datos del Modelo'!$G$16*'Datos del Modelo'!$G$17))</f>
        <v>114811.21142399998</v>
      </c>
      <c r="C60" s="230">
        <f>IF('Datos del Modelo'!G$44=2,(('Datos del Modelo'!$G$9*(1+'Datos del Modelo'!$G$13)^(Resultados!$D12-'Datos del Modelo'!$G$8))*('Datos del Modelo'!$G$19*'Datos del Modelo'!$G$20)+('Datos del Modelo'!$G$9*(1+'Datos del Modelo'!$G$13)^(Resultados!$D12-'Datos del Modelo'!$G$8))*('Datos del Modelo'!$G$19*'Datos del Modelo'!$G$21)),('Datos del Modelo'!$G$9*(1+'Datos del Modelo'!$G$13)^(Resultados!$D12-'Datos del Modelo'!$G$8))*('Datos del Modelo'!$G$19*'Datos del Modelo'!$G$20))</f>
        <v>24602.402447999997</v>
      </c>
      <c r="D60" s="230">
        <f>IF('Datos del Modelo'!G$44=2,(('Datos del Modelo'!$G$9*(1+'Datos del Modelo'!$G$13)^(Resultados!$D12-'Datos del Modelo'!$G$8))*('Datos del Modelo'!$G$22*'Datos del Modelo'!$G$23)+('Datos del Modelo'!$G$9*(1+'Datos del Modelo'!$G$13)^(Resultados!$D12-'Datos del Modelo'!$G$8))*('Datos del Modelo'!$G$22*'Datos del Modelo'!$G$24)),('Datos del Modelo'!$G$9*(1+'Datos del Modelo'!$G$13)^(Resultados!$D12-'Datos del Modelo'!$G$8))*('Datos del Modelo'!$G$22*'Datos del Modelo'!$G$23))</f>
        <v>24602.402447999997</v>
      </c>
      <c r="E60" s="230">
        <f>IF('Datos del Modelo'!K$44=2,(('Datos del Modelo'!$G$9*(1+'Datos del Modelo'!$G$13)^(Resultados!$D12-'Datos del Modelo'!$G$8))*('Datos del Modelo'!$G$16*'Datos del Modelo'!$G$17)+('Datos del Modelo'!$G$9*(1+'Datos del Modelo'!$G$13)^(Resultados!$D12-'Datos del Modelo'!$G$8))*('Datos del Modelo'!$G$16*'Datos del Modelo'!$G$18)),('Datos del Modelo'!$G$9*(1+'Datos del Modelo'!$G$13)^(Resultados!$D12-'Datos del Modelo'!$G$8))*('Datos del Modelo'!$G$16*'Datos del Modelo'!$G$17))</f>
        <v>215271.02141999995</v>
      </c>
      <c r="F60" s="230">
        <f>IF('Datos del Modelo'!K$44=2,(('Datos del Modelo'!$G$9*(1+'Datos del Modelo'!$G$13)^(Resultados!$D12-'Datos del Modelo'!$G$8))*('Datos del Modelo'!$G$19*'Datos del Modelo'!$G$20)+('Datos del Modelo'!$G$9*(1+'Datos del Modelo'!$G$13)^(Resultados!$D12-'Datos del Modelo'!$G$8))*('Datos del Modelo'!$G$19*'Datos del Modelo'!$G$21)),('Datos del Modelo'!$G$9*(1+'Datos del Modelo'!$G$13)^(Resultados!$D12-'Datos del Modelo'!$G$8))*('Datos del Modelo'!$G$19*'Datos del Modelo'!$G$20))</f>
        <v>46129.504589999997</v>
      </c>
      <c r="G60" s="230">
        <f>IF('Datos del Modelo'!K$44=2,(('Datos del Modelo'!$G$9*(1+'Datos del Modelo'!$G$13)^(Resultados!$D12-'Datos del Modelo'!$G$8))*('Datos del Modelo'!$G$22*'Datos del Modelo'!$G$23)+('Datos del Modelo'!$G$9*(1+'Datos del Modelo'!$G$13)^(Resultados!$D12-'Datos del Modelo'!$G$8))*('Datos del Modelo'!$G$22*'Datos del Modelo'!$G$24)),('Datos del Modelo'!$G$9*(1+'Datos del Modelo'!$G$13)^(Resultados!$D12-'Datos del Modelo'!$G$8))*('Datos del Modelo'!$G$22*'Datos del Modelo'!$G$23))</f>
        <v>47667.154742999992</v>
      </c>
      <c r="H60" s="230">
        <f>IF('Datos del Modelo'!M$44=2,(('Datos del Modelo'!$G$9*(1+'Datos del Modelo'!$G$13)^(Resultados!$D12-'Datos del Modelo'!$G$8))*('Datos del Modelo'!$G$16*'Datos del Modelo'!$G$17)+('Datos del Modelo'!$G$9*(1+'Datos del Modelo'!$G$13)^(Resultados!$D12-'Datos del Modelo'!$G$8))*('Datos del Modelo'!$G$16*'Datos del Modelo'!$G$18)),('Datos del Modelo'!$G$9*(1+'Datos del Modelo'!$G$13)^(Resultados!$D12-'Datos del Modelo'!$G$8))*('Datos del Modelo'!$G$16*'Datos del Modelo'!$G$17))</f>
        <v>114811.21142399998</v>
      </c>
      <c r="I60" s="230">
        <f>IF('Datos del Modelo'!M$44=2,(('Datos del Modelo'!$G$9*(1+'Datos del Modelo'!$G$13)^(Resultados!$D12-'Datos del Modelo'!$G$8))*('Datos del Modelo'!$G$19*'Datos del Modelo'!$G$20)+('Datos del Modelo'!$G$9*(1+'Datos del Modelo'!$G$13)^(Resultados!$D12-'Datos del Modelo'!$G$8))*('Datos del Modelo'!$G$19*'Datos del Modelo'!$G$21)),('Datos del Modelo'!$G$9*(1+'Datos del Modelo'!$G$13)^(Resultados!$D12-'Datos del Modelo'!$G$8))*('Datos del Modelo'!$G$19*'Datos del Modelo'!$G$20))</f>
        <v>24602.402447999997</v>
      </c>
      <c r="J60" s="230">
        <f>IF('Datos del Modelo'!M$44=2,(('Datos del Modelo'!$G$9*(1+'Datos del Modelo'!$G$13)^(Resultados!$D12-'Datos del Modelo'!$G$8))*('Datos del Modelo'!$G$22*'Datos del Modelo'!$G$23)+('Datos del Modelo'!$G$9*(1+'Datos del Modelo'!$G$13)^(Resultados!$D12-'Datos del Modelo'!$G$8))*('Datos del Modelo'!$G$22*'Datos del Modelo'!$G$24)),('Datos del Modelo'!$G$9*(1+'Datos del Modelo'!$G$13)^(Resultados!$D12-'Datos del Modelo'!$G$8))*('Datos del Modelo'!$G$22*'Datos del Modelo'!$G$23))</f>
        <v>24602.402447999997</v>
      </c>
      <c r="K60" s="230">
        <f>IF('Datos del Modelo'!O$44=2,(('Datos del Modelo'!$G$9*(1+'Datos del Modelo'!$G$13)^(Resultados!$D12-'Datos del Modelo'!$G$8))*('Datos del Modelo'!$G$16*'Datos del Modelo'!$G$17)+('Datos del Modelo'!$G$9*(1+'Datos del Modelo'!$G$13)^(Resultados!$D12-'Datos del Modelo'!$G$8))*('Datos del Modelo'!$G$16*'Datos del Modelo'!$G$18)),('Datos del Modelo'!$G$9*(1+'Datos del Modelo'!$G$13)^(Resultados!$D12-'Datos del Modelo'!$G$8))*('Datos del Modelo'!$G$16*'Datos del Modelo'!$G$17))</f>
        <v>114811.21142399998</v>
      </c>
      <c r="L60" s="230">
        <f>IF('Datos del Modelo'!O$44=2,(('Datos del Modelo'!$G$9*(1+'Datos del Modelo'!$G$13)^(Resultados!$D12-'Datos del Modelo'!$G$8))*('Datos del Modelo'!$G$19*'Datos del Modelo'!$G$20)+('Datos del Modelo'!$G$9*(1+'Datos del Modelo'!$G$13)^(Resultados!$D12-'Datos del Modelo'!$G$8))*('Datos del Modelo'!$G$19*'Datos del Modelo'!$G$21)),('Datos del Modelo'!$G$9*(1+'Datos del Modelo'!$G$13)^(Resultados!$D12-'Datos del Modelo'!$G$8))*('Datos del Modelo'!$G$19*'Datos del Modelo'!$G$20))</f>
        <v>24602.402447999997</v>
      </c>
      <c r="M60" s="230">
        <f>IF('Datos del Modelo'!O$44=2,(('Datos del Modelo'!$G$9*(1+'Datos del Modelo'!$G$13)^(Resultados!$D12-'Datos del Modelo'!$G$8))*('Datos del Modelo'!$G$22*'Datos del Modelo'!$G$23)+('Datos del Modelo'!$G$9*(1+'Datos del Modelo'!$G$13)^(Resultados!$D12-'Datos del Modelo'!$G$8))*('Datos del Modelo'!$G$22*'Datos del Modelo'!$G$24)),('Datos del Modelo'!$G$9*(1+'Datos del Modelo'!$G$13)^(Resultados!$D12-'Datos del Modelo'!$G$8))*('Datos del Modelo'!$G$22*'Datos del Modelo'!$G$23))</f>
        <v>24602.402447999997</v>
      </c>
    </row>
    <row r="61" spans="1:13" x14ac:dyDescent="0.3">
      <c r="A61">
        <f>'Datos del Modelo'!$G$8+2</f>
        <v>2028</v>
      </c>
      <c r="B61" s="230">
        <f>IF('Datos del Modelo'!G$44=2,(('Datos del Modelo'!$G$9*(1+'Datos del Modelo'!$G$13)^(Resultados!$D13-'Datos del Modelo'!$G$8))*('Datos del Modelo'!$G$16*'Datos del Modelo'!$G$17)+('Datos del Modelo'!$G$9*(1+'Datos del Modelo'!$G$13)^(Resultados!$D13-'Datos del Modelo'!$G$8))*('Datos del Modelo'!$G$16*'Datos del Modelo'!$G$18)),('Datos del Modelo'!$G$9*(1+'Datos del Modelo'!$G$13)^(Resultados!$D13-'Datos del Modelo'!$G$8))*('Datos del Modelo'!$G$16*'Datos del Modelo'!$G$17))</f>
        <v>117107.43565247998</v>
      </c>
      <c r="C61" s="230">
        <f>IF('Datos del Modelo'!G$44=2,(('Datos del Modelo'!$G$9*(1+'Datos del Modelo'!$G$13)^(Resultados!$D13-'Datos del Modelo'!$G$8))*('Datos del Modelo'!$G$19*'Datos del Modelo'!$G$20)+('Datos del Modelo'!$G$9*(1+'Datos del Modelo'!$G$13)^(Resultados!$D13-'Datos del Modelo'!$G$8))*('Datos del Modelo'!$G$19*'Datos del Modelo'!$G$21)),('Datos del Modelo'!$G$9*(1+'Datos del Modelo'!$G$13)^(Resultados!$D13-'Datos del Modelo'!$G$8))*('Datos del Modelo'!$G$19*'Datos del Modelo'!$G$20))</f>
        <v>25094.450496959998</v>
      </c>
      <c r="D61" s="230">
        <f>IF('Datos del Modelo'!G$44=2,(('Datos del Modelo'!$G$9*(1+'Datos del Modelo'!$G$13)^(Resultados!$D13-'Datos del Modelo'!$G$8))*('Datos del Modelo'!$G$22*'Datos del Modelo'!$G$23)+('Datos del Modelo'!$G$9*(1+'Datos del Modelo'!$G$13)^(Resultados!$D13-'Datos del Modelo'!$G$8))*('Datos del Modelo'!$G$22*'Datos del Modelo'!$G$24)),('Datos del Modelo'!$G$9*(1+'Datos del Modelo'!$G$13)^(Resultados!$D13-'Datos del Modelo'!$G$8))*('Datos del Modelo'!$G$22*'Datos del Modelo'!$G$23))</f>
        <v>25094.450496959998</v>
      </c>
      <c r="E61" s="230">
        <f>IF('Datos del Modelo'!K$44=2,(('Datos del Modelo'!$G$9*(1+'Datos del Modelo'!$G$13)^(Resultados!$D13-'Datos del Modelo'!$G$8))*('Datos del Modelo'!$G$16*'Datos del Modelo'!$G$17)+('Datos del Modelo'!$G$9*(1+'Datos del Modelo'!$G$13)^(Resultados!$D13-'Datos del Modelo'!$G$8))*('Datos del Modelo'!$G$16*'Datos del Modelo'!$G$18)),('Datos del Modelo'!$G$9*(1+'Datos del Modelo'!$G$13)^(Resultados!$D13-'Datos del Modelo'!$G$8))*('Datos del Modelo'!$G$16*'Datos del Modelo'!$G$17))</f>
        <v>219576.44184839996</v>
      </c>
      <c r="F61" s="230">
        <f>IF('Datos del Modelo'!K$44=2,(('Datos del Modelo'!$G$9*(1+'Datos del Modelo'!$G$13)^(Resultados!$D13-'Datos del Modelo'!$G$8))*('Datos del Modelo'!$G$19*'Datos del Modelo'!$G$20)+('Datos del Modelo'!$G$9*(1+'Datos del Modelo'!$G$13)^(Resultados!$D13-'Datos del Modelo'!$G$8))*('Datos del Modelo'!$G$19*'Datos del Modelo'!$G$21)),('Datos del Modelo'!$G$9*(1+'Datos del Modelo'!$G$13)^(Resultados!$D13-'Datos del Modelo'!$G$8))*('Datos del Modelo'!$G$19*'Datos del Modelo'!$G$20))</f>
        <v>47052.094681799994</v>
      </c>
      <c r="G61" s="230">
        <f>IF('Datos del Modelo'!K$44=2,(('Datos del Modelo'!$G$9*(1+'Datos del Modelo'!$G$13)^(Resultados!$D13-'Datos del Modelo'!$G$8))*('Datos del Modelo'!$G$22*'Datos del Modelo'!$G$23)+('Datos del Modelo'!$G$9*(1+'Datos del Modelo'!$G$13)^(Resultados!$D13-'Datos del Modelo'!$G$8))*('Datos del Modelo'!$G$22*'Datos del Modelo'!$G$24)),('Datos del Modelo'!$G$9*(1+'Datos del Modelo'!$G$13)^(Resultados!$D13-'Datos del Modelo'!$G$8))*('Datos del Modelo'!$G$22*'Datos del Modelo'!$G$23))</f>
        <v>48620.497837859992</v>
      </c>
      <c r="H61" s="230">
        <f>IF('Datos del Modelo'!M$44=2,(('Datos del Modelo'!$G$9*(1+'Datos del Modelo'!$G$13)^(Resultados!$D13-'Datos del Modelo'!$G$8))*('Datos del Modelo'!$G$16*'Datos del Modelo'!$G$17)+('Datos del Modelo'!$G$9*(1+'Datos del Modelo'!$G$13)^(Resultados!$D13-'Datos del Modelo'!$G$8))*('Datos del Modelo'!$G$16*'Datos del Modelo'!$G$18)),('Datos del Modelo'!$G$9*(1+'Datos del Modelo'!$G$13)^(Resultados!$D13-'Datos del Modelo'!$G$8))*('Datos del Modelo'!$G$16*'Datos del Modelo'!$G$17))</f>
        <v>117107.43565247998</v>
      </c>
      <c r="I61" s="230">
        <f>IF('Datos del Modelo'!M$44=2,(('Datos del Modelo'!$G$9*(1+'Datos del Modelo'!$G$13)^(Resultados!$D13-'Datos del Modelo'!$G$8))*('Datos del Modelo'!$G$19*'Datos del Modelo'!$G$20)+('Datos del Modelo'!$G$9*(1+'Datos del Modelo'!$G$13)^(Resultados!$D13-'Datos del Modelo'!$G$8))*('Datos del Modelo'!$G$19*'Datos del Modelo'!$G$21)),('Datos del Modelo'!$G$9*(1+'Datos del Modelo'!$G$13)^(Resultados!$D13-'Datos del Modelo'!$G$8))*('Datos del Modelo'!$G$19*'Datos del Modelo'!$G$20))</f>
        <v>25094.450496959998</v>
      </c>
      <c r="J61" s="230">
        <f>IF('Datos del Modelo'!M$44=2,(('Datos del Modelo'!$G$9*(1+'Datos del Modelo'!$G$13)^(Resultados!$D13-'Datos del Modelo'!$G$8))*('Datos del Modelo'!$G$22*'Datos del Modelo'!$G$23)+('Datos del Modelo'!$G$9*(1+'Datos del Modelo'!$G$13)^(Resultados!$D13-'Datos del Modelo'!$G$8))*('Datos del Modelo'!$G$22*'Datos del Modelo'!$G$24)),('Datos del Modelo'!$G$9*(1+'Datos del Modelo'!$G$13)^(Resultados!$D13-'Datos del Modelo'!$G$8))*('Datos del Modelo'!$G$22*'Datos del Modelo'!$G$23))</f>
        <v>25094.450496959998</v>
      </c>
      <c r="K61" s="230">
        <f>IF('Datos del Modelo'!O$44=2,(('Datos del Modelo'!$G$9*(1+'Datos del Modelo'!$G$13)^(Resultados!$D13-'Datos del Modelo'!$G$8))*('Datos del Modelo'!$G$16*'Datos del Modelo'!$G$17)+('Datos del Modelo'!$G$9*(1+'Datos del Modelo'!$G$13)^(Resultados!$D13-'Datos del Modelo'!$G$8))*('Datos del Modelo'!$G$16*'Datos del Modelo'!$G$18)),('Datos del Modelo'!$G$9*(1+'Datos del Modelo'!$G$13)^(Resultados!$D13-'Datos del Modelo'!$G$8))*('Datos del Modelo'!$G$16*'Datos del Modelo'!$G$17))</f>
        <v>117107.43565247998</v>
      </c>
      <c r="L61" s="230">
        <f>IF('Datos del Modelo'!O$44=2,(('Datos del Modelo'!$G$9*(1+'Datos del Modelo'!$G$13)^(Resultados!$D13-'Datos del Modelo'!$G$8))*('Datos del Modelo'!$G$19*'Datos del Modelo'!$G$20)+('Datos del Modelo'!$G$9*(1+'Datos del Modelo'!$G$13)^(Resultados!$D13-'Datos del Modelo'!$G$8))*('Datos del Modelo'!$G$19*'Datos del Modelo'!$G$21)),('Datos del Modelo'!$G$9*(1+'Datos del Modelo'!$G$13)^(Resultados!$D13-'Datos del Modelo'!$G$8))*('Datos del Modelo'!$G$19*'Datos del Modelo'!$G$20))</f>
        <v>25094.450496959998</v>
      </c>
      <c r="M61" s="230">
        <f>IF('Datos del Modelo'!O$44=2,(('Datos del Modelo'!$G$9*(1+'Datos del Modelo'!$G$13)^(Resultados!$D13-'Datos del Modelo'!$G$8))*('Datos del Modelo'!$G$22*'Datos del Modelo'!$G$23)+('Datos del Modelo'!$G$9*(1+'Datos del Modelo'!$G$13)^(Resultados!$D13-'Datos del Modelo'!$G$8))*('Datos del Modelo'!$G$22*'Datos del Modelo'!$G$24)),('Datos del Modelo'!$G$9*(1+'Datos del Modelo'!$G$13)^(Resultados!$D13-'Datos del Modelo'!$G$8))*('Datos del Modelo'!$G$22*'Datos del Modelo'!$G$23))</f>
        <v>25094.450496959998</v>
      </c>
    </row>
    <row r="62" spans="1:13" x14ac:dyDescent="0.3">
      <c r="A62">
        <f>'Datos del Modelo'!$G$8+3</f>
        <v>2029</v>
      </c>
      <c r="B62" s="230">
        <f>IF('Datos del Modelo'!G$44=2,(('Datos del Modelo'!$G$9*(1+'Datos del Modelo'!$G$13)^(Resultados!$D14-'Datos del Modelo'!$G$8))*('Datos del Modelo'!$G$16*'Datos del Modelo'!$G$17)+('Datos del Modelo'!$G$9*(1+'Datos del Modelo'!$G$13)^(Resultados!$D14-'Datos del Modelo'!$G$8))*('Datos del Modelo'!$G$16*'Datos del Modelo'!$G$18)),('Datos del Modelo'!$G$9*(1+'Datos del Modelo'!$G$13)^(Resultados!$D14-'Datos del Modelo'!$G$8))*('Datos del Modelo'!$G$16*'Datos del Modelo'!$G$17))</f>
        <v>119449.58436552958</v>
      </c>
      <c r="C62" s="230">
        <f>IF('Datos del Modelo'!G$44=2,(('Datos del Modelo'!$G$9*(1+'Datos del Modelo'!$G$13)^(Resultados!$D14-'Datos del Modelo'!$G$8))*('Datos del Modelo'!$G$19*'Datos del Modelo'!$G$20)+('Datos del Modelo'!$G$9*(1+'Datos del Modelo'!$G$13)^(Resultados!$D14-'Datos del Modelo'!$G$8))*('Datos del Modelo'!$G$19*'Datos del Modelo'!$G$21)),('Datos del Modelo'!$G$9*(1+'Datos del Modelo'!$G$13)^(Resultados!$D14-'Datos del Modelo'!$G$8))*('Datos del Modelo'!$G$19*'Datos del Modelo'!$G$20))</f>
        <v>25596.339506899196</v>
      </c>
      <c r="D62" s="230">
        <f>IF('Datos del Modelo'!G$44=2,(('Datos del Modelo'!$G$9*(1+'Datos del Modelo'!$G$13)^(Resultados!$D14-'Datos del Modelo'!$G$8))*('Datos del Modelo'!$G$22*'Datos del Modelo'!$G$23)+('Datos del Modelo'!$G$9*(1+'Datos del Modelo'!$G$13)^(Resultados!$D14-'Datos del Modelo'!$G$8))*('Datos del Modelo'!$G$22*'Datos del Modelo'!$G$24)),('Datos del Modelo'!$G$9*(1+'Datos del Modelo'!$G$13)^(Resultados!$D14-'Datos del Modelo'!$G$8))*('Datos del Modelo'!$G$22*'Datos del Modelo'!$G$23))</f>
        <v>25596.339506899196</v>
      </c>
      <c r="E62" s="230">
        <f>IF('Datos del Modelo'!K$44=2,(('Datos del Modelo'!$G$9*(1+'Datos del Modelo'!$G$13)^(Resultados!$D14-'Datos del Modelo'!$G$8))*('Datos del Modelo'!$G$16*'Datos del Modelo'!$G$17)+('Datos del Modelo'!$G$9*(1+'Datos del Modelo'!$G$13)^(Resultados!$D14-'Datos del Modelo'!$G$8))*('Datos del Modelo'!$G$16*'Datos del Modelo'!$G$18)),('Datos del Modelo'!$G$9*(1+'Datos del Modelo'!$G$13)^(Resultados!$D14-'Datos del Modelo'!$G$8))*('Datos del Modelo'!$G$16*'Datos del Modelo'!$G$17))</f>
        <v>223967.97068536794</v>
      </c>
      <c r="F62" s="230">
        <f>IF('Datos del Modelo'!K$44=2,(('Datos del Modelo'!$G$9*(1+'Datos del Modelo'!$G$13)^(Resultados!$D14-'Datos del Modelo'!$G$8))*('Datos del Modelo'!$G$19*'Datos del Modelo'!$G$20)+('Datos del Modelo'!$G$9*(1+'Datos del Modelo'!$G$13)^(Resultados!$D14-'Datos del Modelo'!$G$8))*('Datos del Modelo'!$G$19*'Datos del Modelo'!$G$21)),('Datos del Modelo'!$G$9*(1+'Datos del Modelo'!$G$13)^(Resultados!$D14-'Datos del Modelo'!$G$8))*('Datos del Modelo'!$G$19*'Datos del Modelo'!$G$20))</f>
        <v>47993.136575435987</v>
      </c>
      <c r="G62" s="230">
        <f>IF('Datos del Modelo'!K$44=2,(('Datos del Modelo'!$G$9*(1+'Datos del Modelo'!$G$13)^(Resultados!$D14-'Datos del Modelo'!$G$8))*('Datos del Modelo'!$G$22*'Datos del Modelo'!$G$23)+('Datos del Modelo'!$G$9*(1+'Datos del Modelo'!$G$13)^(Resultados!$D14-'Datos del Modelo'!$G$8))*('Datos del Modelo'!$G$22*'Datos del Modelo'!$G$24)),('Datos del Modelo'!$G$9*(1+'Datos del Modelo'!$G$13)^(Resultados!$D14-'Datos del Modelo'!$G$8))*('Datos del Modelo'!$G$22*'Datos del Modelo'!$G$23))</f>
        <v>49592.907794617189</v>
      </c>
      <c r="H62" s="230">
        <f>IF('Datos del Modelo'!M$44=2,(('Datos del Modelo'!$G$9*(1+'Datos del Modelo'!$G$13)^(Resultados!$D14-'Datos del Modelo'!$G$8))*('Datos del Modelo'!$G$16*'Datos del Modelo'!$G$17)+('Datos del Modelo'!$G$9*(1+'Datos del Modelo'!$G$13)^(Resultados!$D14-'Datos del Modelo'!$G$8))*('Datos del Modelo'!$G$16*'Datos del Modelo'!$G$18)),('Datos del Modelo'!$G$9*(1+'Datos del Modelo'!$G$13)^(Resultados!$D14-'Datos del Modelo'!$G$8))*('Datos del Modelo'!$G$16*'Datos del Modelo'!$G$17))</f>
        <v>119449.58436552958</v>
      </c>
      <c r="I62" s="230">
        <f>IF('Datos del Modelo'!M$44=2,(('Datos del Modelo'!$G$9*(1+'Datos del Modelo'!$G$13)^(Resultados!$D14-'Datos del Modelo'!$G$8))*('Datos del Modelo'!$G$19*'Datos del Modelo'!$G$20)+('Datos del Modelo'!$G$9*(1+'Datos del Modelo'!$G$13)^(Resultados!$D14-'Datos del Modelo'!$G$8))*('Datos del Modelo'!$G$19*'Datos del Modelo'!$G$21)),('Datos del Modelo'!$G$9*(1+'Datos del Modelo'!$G$13)^(Resultados!$D14-'Datos del Modelo'!$G$8))*('Datos del Modelo'!$G$19*'Datos del Modelo'!$G$20))</f>
        <v>25596.339506899196</v>
      </c>
      <c r="J62" s="230">
        <f>IF('Datos del Modelo'!M$44=2,(('Datos del Modelo'!$G$9*(1+'Datos del Modelo'!$G$13)^(Resultados!$D14-'Datos del Modelo'!$G$8))*('Datos del Modelo'!$G$22*'Datos del Modelo'!$G$23)+('Datos del Modelo'!$G$9*(1+'Datos del Modelo'!$G$13)^(Resultados!$D14-'Datos del Modelo'!$G$8))*('Datos del Modelo'!$G$22*'Datos del Modelo'!$G$24)),('Datos del Modelo'!$G$9*(1+'Datos del Modelo'!$G$13)^(Resultados!$D14-'Datos del Modelo'!$G$8))*('Datos del Modelo'!$G$22*'Datos del Modelo'!$G$23))</f>
        <v>25596.339506899196</v>
      </c>
      <c r="K62" s="230">
        <f>IF('Datos del Modelo'!O$44=2,(('Datos del Modelo'!$G$9*(1+'Datos del Modelo'!$G$13)^(Resultados!$D14-'Datos del Modelo'!$G$8))*('Datos del Modelo'!$G$16*'Datos del Modelo'!$G$17)+('Datos del Modelo'!$G$9*(1+'Datos del Modelo'!$G$13)^(Resultados!$D14-'Datos del Modelo'!$G$8))*('Datos del Modelo'!$G$16*'Datos del Modelo'!$G$18)),('Datos del Modelo'!$G$9*(1+'Datos del Modelo'!$G$13)^(Resultados!$D14-'Datos del Modelo'!$G$8))*('Datos del Modelo'!$G$16*'Datos del Modelo'!$G$17))</f>
        <v>119449.58436552958</v>
      </c>
      <c r="L62" s="230">
        <f>IF('Datos del Modelo'!O$44=2,(('Datos del Modelo'!$G$9*(1+'Datos del Modelo'!$G$13)^(Resultados!$D14-'Datos del Modelo'!$G$8))*('Datos del Modelo'!$G$19*'Datos del Modelo'!$G$20)+('Datos del Modelo'!$G$9*(1+'Datos del Modelo'!$G$13)^(Resultados!$D14-'Datos del Modelo'!$G$8))*('Datos del Modelo'!$G$19*'Datos del Modelo'!$G$21)),('Datos del Modelo'!$G$9*(1+'Datos del Modelo'!$G$13)^(Resultados!$D14-'Datos del Modelo'!$G$8))*('Datos del Modelo'!$G$19*'Datos del Modelo'!$G$20))</f>
        <v>25596.339506899196</v>
      </c>
      <c r="M62" s="230">
        <f>IF('Datos del Modelo'!O$44=2,(('Datos del Modelo'!$G$9*(1+'Datos del Modelo'!$G$13)^(Resultados!$D14-'Datos del Modelo'!$G$8))*('Datos del Modelo'!$G$22*'Datos del Modelo'!$G$23)+('Datos del Modelo'!$G$9*(1+'Datos del Modelo'!$G$13)^(Resultados!$D14-'Datos del Modelo'!$G$8))*('Datos del Modelo'!$G$22*'Datos del Modelo'!$G$24)),('Datos del Modelo'!$G$9*(1+'Datos del Modelo'!$G$13)^(Resultados!$D14-'Datos del Modelo'!$G$8))*('Datos del Modelo'!$G$22*'Datos del Modelo'!$G$23))</f>
        <v>25596.339506899196</v>
      </c>
    </row>
    <row r="63" spans="1:13" x14ac:dyDescent="0.3">
      <c r="A63">
        <f>'Datos del Modelo'!$G$8+4</f>
        <v>2030</v>
      </c>
      <c r="B63" s="230">
        <f>IF('Datos del Modelo'!G$44=2,(('Datos del Modelo'!$G$9*(1+'Datos del Modelo'!$G$13)^(Resultados!$D15-'Datos del Modelo'!$G$8))*('Datos del Modelo'!$G$16*'Datos del Modelo'!$G$17)+('Datos del Modelo'!$G$9*(1+'Datos del Modelo'!$G$13)^(Resultados!$D15-'Datos del Modelo'!$G$8))*('Datos del Modelo'!$G$16*'Datos del Modelo'!$G$18)),('Datos del Modelo'!$G$9*(1+'Datos del Modelo'!$G$13)^(Resultados!$D15-'Datos del Modelo'!$G$8))*('Datos del Modelo'!$G$16*'Datos del Modelo'!$G$17))</f>
        <v>121838.57605284017</v>
      </c>
      <c r="C63" s="230">
        <f>IF('Datos del Modelo'!G$44=2,(('Datos del Modelo'!$G$9*(1+'Datos del Modelo'!$G$13)^(Resultados!$D15-'Datos del Modelo'!$G$8))*('Datos del Modelo'!$G$19*'Datos del Modelo'!$G$20)+('Datos del Modelo'!$G$9*(1+'Datos del Modelo'!$G$13)^(Resultados!$D15-'Datos del Modelo'!$G$8))*('Datos del Modelo'!$G$19*'Datos del Modelo'!$G$21)),('Datos del Modelo'!$G$9*(1+'Datos del Modelo'!$G$13)^(Resultados!$D15-'Datos del Modelo'!$G$8))*('Datos del Modelo'!$G$19*'Datos del Modelo'!$G$20))</f>
        <v>26108.266297037182</v>
      </c>
      <c r="D63" s="230">
        <f>IF('Datos del Modelo'!G$44=2,(('Datos del Modelo'!$G$9*(1+'Datos del Modelo'!$G$13)^(Resultados!$D15-'Datos del Modelo'!$G$8))*('Datos del Modelo'!$G$22*'Datos del Modelo'!$G$23)+('Datos del Modelo'!$G$9*(1+'Datos del Modelo'!$G$13)^(Resultados!$D15-'Datos del Modelo'!$G$8))*('Datos del Modelo'!$G$22*'Datos del Modelo'!$G$24)),('Datos del Modelo'!$G$9*(1+'Datos del Modelo'!$G$13)^(Resultados!$D15-'Datos del Modelo'!$G$8))*('Datos del Modelo'!$G$22*'Datos del Modelo'!$G$23))</f>
        <v>26108.266297037182</v>
      </c>
      <c r="E63" s="230">
        <f>IF('Datos del Modelo'!K$44=2,(('Datos del Modelo'!$G$9*(1+'Datos del Modelo'!$G$13)^(Resultados!$D15-'Datos del Modelo'!$G$8))*('Datos del Modelo'!$G$16*'Datos del Modelo'!$G$17)+('Datos del Modelo'!$G$9*(1+'Datos del Modelo'!$G$13)^(Resultados!$D15-'Datos del Modelo'!$G$8))*('Datos del Modelo'!$G$16*'Datos del Modelo'!$G$18)),('Datos del Modelo'!$G$9*(1+'Datos del Modelo'!$G$13)^(Resultados!$D15-'Datos del Modelo'!$G$8))*('Datos del Modelo'!$G$16*'Datos del Modelo'!$G$17))</f>
        <v>228447.33009907533</v>
      </c>
      <c r="F63" s="230">
        <f>IF('Datos del Modelo'!K$44=2,(('Datos del Modelo'!$G$9*(1+'Datos del Modelo'!$G$13)^(Resultados!$D15-'Datos del Modelo'!$G$8))*('Datos del Modelo'!$G$19*'Datos del Modelo'!$G$20)+('Datos del Modelo'!$G$9*(1+'Datos del Modelo'!$G$13)^(Resultados!$D15-'Datos del Modelo'!$G$8))*('Datos del Modelo'!$G$19*'Datos del Modelo'!$G$21)),('Datos del Modelo'!$G$9*(1+'Datos del Modelo'!$G$13)^(Resultados!$D15-'Datos del Modelo'!$G$8))*('Datos del Modelo'!$G$19*'Datos del Modelo'!$G$20))</f>
        <v>48952.999306944715</v>
      </c>
      <c r="G63" s="230">
        <f>IF('Datos del Modelo'!K$44=2,(('Datos del Modelo'!$G$9*(1+'Datos del Modelo'!$G$13)^(Resultados!$D15-'Datos del Modelo'!$G$8))*('Datos del Modelo'!$G$22*'Datos del Modelo'!$G$23)+('Datos del Modelo'!$G$9*(1+'Datos del Modelo'!$G$13)^(Resultados!$D15-'Datos del Modelo'!$G$8))*('Datos del Modelo'!$G$22*'Datos del Modelo'!$G$24)),('Datos del Modelo'!$G$9*(1+'Datos del Modelo'!$G$13)^(Resultados!$D15-'Datos del Modelo'!$G$8))*('Datos del Modelo'!$G$22*'Datos del Modelo'!$G$23))</f>
        <v>50584.765950509536</v>
      </c>
      <c r="H63" s="230">
        <f>IF('Datos del Modelo'!M$44=2,(('Datos del Modelo'!$G$9*(1+'Datos del Modelo'!$G$13)^(Resultados!$D15-'Datos del Modelo'!$G$8))*('Datos del Modelo'!$G$16*'Datos del Modelo'!$G$17)+('Datos del Modelo'!$G$9*(1+'Datos del Modelo'!$G$13)^(Resultados!$D15-'Datos del Modelo'!$G$8))*('Datos del Modelo'!$G$16*'Datos del Modelo'!$G$18)),('Datos del Modelo'!$G$9*(1+'Datos del Modelo'!$G$13)^(Resultados!$D15-'Datos del Modelo'!$G$8))*('Datos del Modelo'!$G$16*'Datos del Modelo'!$G$17))</f>
        <v>121838.57605284017</v>
      </c>
      <c r="I63" s="230">
        <f>IF('Datos del Modelo'!M$44=2,(('Datos del Modelo'!$G$9*(1+'Datos del Modelo'!$G$13)^(Resultados!$D15-'Datos del Modelo'!$G$8))*('Datos del Modelo'!$G$19*'Datos del Modelo'!$G$20)+('Datos del Modelo'!$G$9*(1+'Datos del Modelo'!$G$13)^(Resultados!$D15-'Datos del Modelo'!$G$8))*('Datos del Modelo'!$G$19*'Datos del Modelo'!$G$21)),('Datos del Modelo'!$G$9*(1+'Datos del Modelo'!$G$13)^(Resultados!$D15-'Datos del Modelo'!$G$8))*('Datos del Modelo'!$G$19*'Datos del Modelo'!$G$20))</f>
        <v>26108.266297037182</v>
      </c>
      <c r="J63" s="230">
        <f>IF('Datos del Modelo'!M$44=2,(('Datos del Modelo'!$G$9*(1+'Datos del Modelo'!$G$13)^(Resultados!$D15-'Datos del Modelo'!$G$8))*('Datos del Modelo'!$G$22*'Datos del Modelo'!$G$23)+('Datos del Modelo'!$G$9*(1+'Datos del Modelo'!$G$13)^(Resultados!$D15-'Datos del Modelo'!$G$8))*('Datos del Modelo'!$G$22*'Datos del Modelo'!$G$24)),('Datos del Modelo'!$G$9*(1+'Datos del Modelo'!$G$13)^(Resultados!$D15-'Datos del Modelo'!$G$8))*('Datos del Modelo'!$G$22*'Datos del Modelo'!$G$23))</f>
        <v>26108.266297037182</v>
      </c>
      <c r="K63" s="230">
        <f>IF('Datos del Modelo'!O$44=2,(('Datos del Modelo'!$G$9*(1+'Datos del Modelo'!$G$13)^(Resultados!$D15-'Datos del Modelo'!$G$8))*('Datos del Modelo'!$G$16*'Datos del Modelo'!$G$17)+('Datos del Modelo'!$G$9*(1+'Datos del Modelo'!$G$13)^(Resultados!$D15-'Datos del Modelo'!$G$8))*('Datos del Modelo'!$G$16*'Datos del Modelo'!$G$18)),('Datos del Modelo'!$G$9*(1+'Datos del Modelo'!$G$13)^(Resultados!$D15-'Datos del Modelo'!$G$8))*('Datos del Modelo'!$G$16*'Datos del Modelo'!$G$17))</f>
        <v>121838.57605284017</v>
      </c>
      <c r="L63" s="230">
        <f>IF('Datos del Modelo'!O$44=2,(('Datos del Modelo'!$G$9*(1+'Datos del Modelo'!$G$13)^(Resultados!$D15-'Datos del Modelo'!$G$8))*('Datos del Modelo'!$G$19*'Datos del Modelo'!$G$20)+('Datos del Modelo'!$G$9*(1+'Datos del Modelo'!$G$13)^(Resultados!$D15-'Datos del Modelo'!$G$8))*('Datos del Modelo'!$G$19*'Datos del Modelo'!$G$21)),('Datos del Modelo'!$G$9*(1+'Datos del Modelo'!$G$13)^(Resultados!$D15-'Datos del Modelo'!$G$8))*('Datos del Modelo'!$G$19*'Datos del Modelo'!$G$20))</f>
        <v>26108.266297037182</v>
      </c>
      <c r="M63" s="230">
        <f>IF('Datos del Modelo'!O$44=2,(('Datos del Modelo'!$G$9*(1+'Datos del Modelo'!$G$13)^(Resultados!$D15-'Datos del Modelo'!$G$8))*('Datos del Modelo'!$G$22*'Datos del Modelo'!$G$23)+('Datos del Modelo'!$G$9*(1+'Datos del Modelo'!$G$13)^(Resultados!$D15-'Datos del Modelo'!$G$8))*('Datos del Modelo'!$G$22*'Datos del Modelo'!$G$24)),('Datos del Modelo'!$G$9*(1+'Datos del Modelo'!$G$13)^(Resultados!$D15-'Datos del Modelo'!$G$8))*('Datos del Modelo'!$G$22*'Datos del Modelo'!$G$23))</f>
        <v>26108.266297037182</v>
      </c>
    </row>
    <row r="64" spans="1:13" x14ac:dyDescent="0.3">
      <c r="A64" s="240" t="s">
        <v>117</v>
      </c>
    </row>
    <row r="65" spans="1:13" x14ac:dyDescent="0.3">
      <c r="A65" s="240">
        <f>'Datos del Modelo'!$G$8</f>
        <v>2026</v>
      </c>
      <c r="B65">
        <f>IF('Datos del Modelo'!G$44=2,(('Datos del Modelo'!$G$25*'Datos del Modelo'!$G$27*'Datos del Modelo'!$G$28)+('Datos del Modelo'!$G$25*'Datos del Modelo'!$G$27*'Datos del Modelo'!$G$29)),('Datos del Modelo'!$G$25*'Datos del Modelo'!$G$27*'Datos del Modelo'!$G$28))</f>
        <v>324000</v>
      </c>
      <c r="C65">
        <f>IF('Datos del Modelo'!G$44=2,(('Datos del Modelo'!$G$25*'Datos del Modelo'!$G$30*'Datos del Modelo'!$G$31)+('Datos del Modelo'!$G$25*'Datos del Modelo'!$G$30*'Datos del Modelo'!$G$32)),('Datos del Modelo'!$G$25*'Datos del Modelo'!$G$30*'Datos del Modelo'!$G$31))</f>
        <v>36000</v>
      </c>
      <c r="D65">
        <f>IF('Datos del Modelo'!G$44=2,(('Datos del Modelo'!$G$25*'Datos del Modelo'!$G$33*'Datos del Modelo'!$G$34)+('Datos del Modelo'!$G$25*'Datos del Modelo'!$G$33*'Datos del Modelo'!$G$35)),('Datos del Modelo'!$G$25*'Datos del Modelo'!$G$33*'Datos del Modelo'!$G$34))</f>
        <v>0</v>
      </c>
      <c r="E65">
        <f>IF('Datos del Modelo'!K$44=2,(('Datos del Modelo'!$G$25*'Datos del Modelo'!$G$27*'Datos del Modelo'!$G$28)+('Datos del Modelo'!$G$25*'Datos del Modelo'!$G$27*'Datos del Modelo'!$G$29)),('Datos del Modelo'!$G$25*'Datos del Modelo'!$G$27*'Datos del Modelo'!$G$28))</f>
        <v>612000</v>
      </c>
      <c r="F65">
        <f>IF('Datos del Modelo'!K$44=2,(('Datos del Modelo'!$G$25*'Datos del Modelo'!$G$30*'Datos del Modelo'!$G$31)+('Datos del Modelo'!$G$25*'Datos del Modelo'!$G$30*'Datos del Modelo'!$G$32)),('Datos del Modelo'!$G$25*'Datos del Modelo'!$G$30*'Datos del Modelo'!$G$31))</f>
        <v>68000</v>
      </c>
      <c r="G65">
        <f>IF('Datos del Modelo'!K$44=2,(('Datos del Modelo'!$G$25*'Datos del Modelo'!$G$33*'Datos del Modelo'!$G$34)+('Datos del Modelo'!$G$25*'Datos del Modelo'!$G$33*'Datos del Modelo'!$G$35)),('Datos del Modelo'!$G$25*'Datos del Modelo'!$G$33*'Datos del Modelo'!$G$34))</f>
        <v>0</v>
      </c>
      <c r="H65">
        <f>IF('Datos del Modelo'!M$44=2,(('Datos del Modelo'!$G$25*'Datos del Modelo'!$G$27*'Datos del Modelo'!$G$28)+('Datos del Modelo'!$G$25*'Datos del Modelo'!$G$27*'Datos del Modelo'!$G$29)),('Datos del Modelo'!$G$25*'Datos del Modelo'!$G$27*'Datos del Modelo'!$G$28))</f>
        <v>324000</v>
      </c>
      <c r="I65">
        <f>IF('Datos del Modelo'!M$44=2,(('Datos del Modelo'!$G$25*'Datos del Modelo'!$G$30*'Datos del Modelo'!$G$31)+('Datos del Modelo'!$G$25*'Datos del Modelo'!$G$30*'Datos del Modelo'!$G$32)),('Datos del Modelo'!$G$25*'Datos del Modelo'!$G$30*'Datos del Modelo'!$G$31))</f>
        <v>36000</v>
      </c>
      <c r="J65">
        <f>IF('Datos del Modelo'!M$44=2,(('Datos del Modelo'!$G$25*'Datos del Modelo'!$G$33*'Datos del Modelo'!$G$34)+('Datos del Modelo'!$G$25*'Datos del Modelo'!$G$33*'Datos del Modelo'!$G$35)),('Datos del Modelo'!$G$25*'Datos del Modelo'!$G$33*'Datos del Modelo'!$G$34))</f>
        <v>0</v>
      </c>
      <c r="K65">
        <f>IF('Datos del Modelo'!O$44=2,(('Datos del Modelo'!$G$25*'Datos del Modelo'!$G$27*'Datos del Modelo'!$G$28)+('Datos del Modelo'!$G$25*'Datos del Modelo'!$G$27*'Datos del Modelo'!$G$29)),('Datos del Modelo'!$G$25*'Datos del Modelo'!$G$27*'Datos del Modelo'!$G$28))</f>
        <v>324000</v>
      </c>
      <c r="L65">
        <f>IF('Datos del Modelo'!O$44=2,(('Datos del Modelo'!$G$25*'Datos del Modelo'!$G$30*'Datos del Modelo'!$G$31)+('Datos del Modelo'!$G$25*'Datos del Modelo'!$G$30*'Datos del Modelo'!$G$32)),('Datos del Modelo'!$G$25*'Datos del Modelo'!$G$30*'Datos del Modelo'!$G$31))</f>
        <v>36000</v>
      </c>
      <c r="M65">
        <f>IF('Datos del Modelo'!O$44=2,(('Datos del Modelo'!$G$25*'Datos del Modelo'!$G$33*'Datos del Modelo'!$G$34)+('Datos del Modelo'!$G$25*'Datos del Modelo'!$G$33*'Datos del Modelo'!$G$35)),('Datos del Modelo'!$G$25*'Datos del Modelo'!$G$33*'Datos del Modelo'!$G$34))</f>
        <v>0</v>
      </c>
    </row>
  </sheetData>
  <phoneticPr fontId="77" type="noConversion"/>
  <pageMargins left="0.7" right="0.7" top="0.75" bottom="0.75" header="0.3" footer="0.3"/>
  <pageSetup paperSize="9" orientation="portrait" r:id="rId1"/>
  <headerFooter>
    <oddHeader>&amp;L&amp;&amp;«Calibri»Clasificado como interno#</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A1738-9013-4C85-9AD3-9D6F1A1E81DD}">
  <sheetPr codeName="Sheet3"/>
  <dimension ref="A1:C2"/>
  <sheetViews>
    <sheetView workbookViewId="0">
      <selection activeCell="G7" sqref="G7"/>
    </sheetView>
  </sheetViews>
  <sheetFormatPr defaultColWidth="8.77734375" defaultRowHeight="14.4" x14ac:dyDescent="0.3"/>
  <cols>
    <col min="1" max="1" width="10.44140625" bestFit="1" customWidth="1"/>
    <col min="2" max="2" width="10.44140625" style="274" bestFit="1" customWidth="1"/>
  </cols>
  <sheetData>
    <row r="1" spans="1:3" x14ac:dyDescent="0.3">
      <c r="A1" t="s">
        <v>118</v>
      </c>
      <c r="B1" s="274" t="s">
        <v>119</v>
      </c>
      <c r="C1" t="s">
        <v>120</v>
      </c>
    </row>
    <row r="2" spans="1:3" x14ac:dyDescent="0.3">
      <c r="A2" s="273">
        <v>1</v>
      </c>
      <c r="B2" s="274">
        <v>45946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89426CD6990C48B571977008B5B929" ma:contentTypeVersion="13" ma:contentTypeDescription="Create a new document." ma:contentTypeScope="" ma:versionID="0e01c7bc96b6eed3db98ed54fdc55eb5">
  <xsd:schema xmlns:xsd="http://www.w3.org/2001/XMLSchema" xmlns:xs="http://www.w3.org/2001/XMLSchema" xmlns:p="http://schemas.microsoft.com/office/2006/metadata/properties" xmlns:ns3="6825cbcc-075a-4232-9296-e9bac03f9e0c" xmlns:ns4="6f211968-1ce9-4ce8-bc32-9c87e03ae60e" targetNamespace="http://schemas.microsoft.com/office/2006/metadata/properties" ma:root="true" ma:fieldsID="3d38f0102057625f23cc481bc4af9216" ns3:_="" ns4:_="">
    <xsd:import namespace="6825cbcc-075a-4232-9296-e9bac03f9e0c"/>
    <xsd:import namespace="6f211968-1ce9-4ce8-bc32-9c87e03ae60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25cbcc-075a-4232-9296-e9bac03f9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211968-1ce9-4ce8-bc32-9c87e03ae60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9E5AC5-64B2-4B7B-9D75-A7C00E9C1AC0}">
  <ds:schemaRefs>
    <ds:schemaRef ds:uri="http://schemas.microsoft.com/sharepoint/v3/contenttype/forms"/>
  </ds:schemaRefs>
</ds:datastoreItem>
</file>

<file path=customXml/itemProps2.xml><?xml version="1.0" encoding="utf-8"?>
<ds:datastoreItem xmlns:ds="http://schemas.openxmlformats.org/officeDocument/2006/customXml" ds:itemID="{6A564C82-A93A-469E-A667-E6054C7D7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25cbcc-075a-4232-9296-e9bac03f9e0c"/>
    <ds:schemaRef ds:uri="6f211968-1ce9-4ce8-bc32-9c87e03ae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C1983F-F266-4005-8EC6-D5065FD7537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INSTRUCCIONES</vt:lpstr>
      <vt:lpstr>Datos del Modelo</vt:lpstr>
      <vt:lpstr>Panel</vt:lpstr>
      <vt:lpstr>Resultados</vt:lpstr>
      <vt:lpstr>Datos</vt:lpstr>
      <vt:lpstr>Version</vt:lpstr>
      <vt:lpstr>'Datos del Modelo'!Print_Area</vt:lpstr>
      <vt:lpstr>Panel!Print_Area</vt:lpstr>
      <vt:lpstr>Resultados!Print_Area</vt:lpstr>
    </vt:vector>
  </TitlesOfParts>
  <Manager/>
  <Company>PATH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Allison Clifford</cp:lastModifiedBy>
  <cp:revision/>
  <dcterms:created xsi:type="dcterms:W3CDTF">2018-05-24T13:25:57Z</dcterms:created>
  <dcterms:modified xsi:type="dcterms:W3CDTF">2026-01-29T21:57:26Z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5e72d3-b6ef-4c9c-b371-eb3c79f627ee_Enabled">
    <vt:lpwstr>true</vt:lpwstr>
  </property>
  <property fmtid="{D5CDD505-2E9C-101B-9397-08002B2CF9AE}" pid="3" name="MSIP_Label_8f5e72d3-b6ef-4c9c-b371-eb3c79f627ee_SetDate">
    <vt:lpwstr>2019-12-04T11:02:07Z</vt:lpwstr>
  </property>
  <property fmtid="{D5CDD505-2E9C-101B-9397-08002B2CF9AE}" pid="4" name="MSIP_Label_8f5e72d3-b6ef-4c9c-b371-eb3c79f627ee_Method">
    <vt:lpwstr>Privileged</vt:lpwstr>
  </property>
  <property fmtid="{D5CDD505-2E9C-101B-9397-08002B2CF9AE}" pid="5" name="MSIP_Label_8f5e72d3-b6ef-4c9c-b371-eb3c79f627ee_Name">
    <vt:lpwstr>8f5e72d3-b6ef-4c9c-b371-eb3c79f627ee</vt:lpwstr>
  </property>
  <property fmtid="{D5CDD505-2E9C-101B-9397-08002B2CF9AE}" pid="6" name="MSIP_Label_8f5e72d3-b6ef-4c9c-b371-eb3c79f627ee_SiteId">
    <vt:lpwstr>1de6d9f3-0daf-4df6-b9d6-5959f16f6118</vt:lpwstr>
  </property>
  <property fmtid="{D5CDD505-2E9C-101B-9397-08002B2CF9AE}" pid="7" name="MSIP_Label_8f5e72d3-b6ef-4c9c-b371-eb3c79f627ee_ActionId">
    <vt:lpwstr>b8e400df-7c36-45f2-9454-000070304384</vt:lpwstr>
  </property>
  <property fmtid="{D5CDD505-2E9C-101B-9397-08002B2CF9AE}" pid="8" name="MSIP_Label_8f5e72d3-b6ef-4c9c-b371-eb3c79f627ee_ContentBits">
    <vt:lpwstr>1</vt:lpwstr>
  </property>
  <property fmtid="{D5CDD505-2E9C-101B-9397-08002B2CF9AE}" pid="9" name="ContentTypeId">
    <vt:lpwstr>0x010100AC89426CD6990C48B571977008B5B929</vt:lpwstr>
  </property>
</Properties>
</file>