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newhouse\Box Sync\Pneumococcal Vaccine Project\PCV cost calculator\French versions\"/>
    </mc:Choice>
  </mc:AlternateContent>
  <xr:revisionPtr revIDLastSave="0" documentId="13_ncr:1_{9C664C8A-2ED1-4DE3-9622-8058027E96C7}" xr6:coauthVersionLast="45" xr6:coauthVersionMax="45" xr10:uidLastSave="{00000000-0000-0000-0000-000000000000}"/>
  <workbookProtection workbookAlgorithmName="SHA-512" workbookHashValue="GD2aW3ptokRhrC4tHLgN3REPM7N0n3xvGykyJZGpYRFe1WIe3LoN+KeJUiXA6olyykx+BCdJARK+lpU1julZdg==" workbookSaltValue="1foRdaefu/TqjxhK/TifFA==" workbookSpinCount="100000" lockStructure="1"/>
  <bookViews>
    <workbookView xWindow="-110" yWindow="-110" windowWidth="19420" windowHeight="10420" xr2:uid="{00000000-000D-0000-FFFF-FFFF00000000}"/>
  </bookViews>
  <sheets>
    <sheet name="INSTRUCTIONS" sheetId="10" r:id="rId1"/>
    <sheet name="Saisie des données" sheetId="2" r:id="rId2"/>
    <sheet name="Résultats" sheetId="9" r:id="rId3"/>
    <sheet name="Graphiques" sheetId="6" r:id="rId4"/>
    <sheet name="Vaccine options" sheetId="3" state="hidden" r:id="rId5"/>
    <sheet name="Version" sheetId="12" state="hidden" r:id="rId6"/>
    <sheet name="DPP" sheetId="11" state="hidden" r:id="rId7"/>
  </sheets>
  <definedNames>
    <definedName name="_xlnm.Print_Area" localSheetId="2">Résultats!$A$1:$J$96</definedName>
    <definedName name="_xlnm.Print_Area" localSheetId="1">'Saisie des données'!$A$1:$N$64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 l="1"/>
  <c r="Y32" i="2" l="1"/>
  <c r="U32" i="2"/>
  <c r="Q32" i="2"/>
  <c r="L32" i="2"/>
  <c r="H32" i="2"/>
  <c r="D32" i="2"/>
  <c r="D42" i="2" l="1"/>
  <c r="D38" i="2"/>
  <c r="D44" i="2"/>
  <c r="D41" i="2"/>
  <c r="D37" i="2"/>
  <c r="D43" i="2"/>
  <c r="D39" i="2"/>
  <c r="D40" i="2"/>
  <c r="D35" i="2"/>
  <c r="D36" i="2"/>
  <c r="Y33" i="2"/>
  <c r="Y41" i="2" l="1"/>
  <c r="Y37" i="2"/>
  <c r="Y44" i="2"/>
  <c r="Y40" i="2"/>
  <c r="Y36" i="2"/>
  <c r="Y38" i="2"/>
  <c r="Y43" i="2"/>
  <c r="Y39" i="2"/>
  <c r="Y35" i="2"/>
  <c r="Y42" i="2"/>
  <c r="Y45" i="2"/>
  <c r="U45" i="2"/>
  <c r="Q45" i="2"/>
  <c r="L45" i="2"/>
  <c r="H45" i="2"/>
  <c r="D45" i="2"/>
  <c r="Z48" i="2" l="1"/>
  <c r="Y47" i="2" s="1"/>
  <c r="Y49" i="2" s="1"/>
  <c r="Y46" i="2"/>
  <c r="X44" i="2"/>
  <c r="X43" i="2"/>
  <c r="X42" i="2"/>
  <c r="X41" i="2"/>
  <c r="X40" i="2"/>
  <c r="X39" i="2"/>
  <c r="X38" i="2"/>
  <c r="X37" i="2"/>
  <c r="X36" i="2"/>
  <c r="X35" i="2"/>
  <c r="V48" i="2"/>
  <c r="U47" i="2" s="1"/>
  <c r="U49" i="2" s="1"/>
  <c r="U46" i="2"/>
  <c r="T44" i="2"/>
  <c r="T43" i="2"/>
  <c r="T42" i="2"/>
  <c r="T41" i="2"/>
  <c r="T40" i="2"/>
  <c r="T39" i="2"/>
  <c r="T38" i="2"/>
  <c r="T37" i="2"/>
  <c r="T36" i="2"/>
  <c r="T35" i="2"/>
  <c r="U33" i="2"/>
  <c r="R48" i="2"/>
  <c r="Q47" i="2" s="1"/>
  <c r="Q49" i="2" s="1"/>
  <c r="Q46" i="2"/>
  <c r="P44" i="2"/>
  <c r="P43" i="2"/>
  <c r="P42" i="2"/>
  <c r="P41" i="2"/>
  <c r="P40" i="2"/>
  <c r="P39" i="2"/>
  <c r="P38" i="2"/>
  <c r="P37" i="2"/>
  <c r="P36" i="2"/>
  <c r="P35" i="2"/>
  <c r="Q33" i="2"/>
  <c r="M48" i="2"/>
  <c r="L47" i="2" s="1"/>
  <c r="L49" i="2" s="1"/>
  <c r="L46" i="2"/>
  <c r="K44" i="2"/>
  <c r="K43" i="2"/>
  <c r="K42" i="2"/>
  <c r="K41" i="2"/>
  <c r="K40" i="2"/>
  <c r="K39" i="2"/>
  <c r="K38" i="2"/>
  <c r="K37" i="2"/>
  <c r="K36" i="2"/>
  <c r="K35" i="2"/>
  <c r="L33" i="2"/>
  <c r="H33" i="2"/>
  <c r="I48" i="2"/>
  <c r="H47" i="2" s="1"/>
  <c r="H49" i="2" s="1"/>
  <c r="H46" i="2"/>
  <c r="G44" i="2"/>
  <c r="G43" i="2"/>
  <c r="G42" i="2"/>
  <c r="G41" i="2"/>
  <c r="G40" i="2"/>
  <c r="G39" i="2"/>
  <c r="G38" i="2"/>
  <c r="G37" i="2"/>
  <c r="G36" i="2"/>
  <c r="G35" i="2"/>
  <c r="E48" i="2"/>
  <c r="D47" i="2" s="1"/>
  <c r="D49" i="2" s="1"/>
  <c r="D46" i="2"/>
  <c r="L42" i="2" l="1"/>
  <c r="L38" i="2"/>
  <c r="L41" i="2"/>
  <c r="L37" i="2"/>
  <c r="L43" i="2"/>
  <c r="L35" i="2"/>
  <c r="L44" i="2"/>
  <c r="L40" i="2"/>
  <c r="L36" i="2"/>
  <c r="L39" i="2"/>
  <c r="H40" i="2"/>
  <c r="H43" i="2"/>
  <c r="H39" i="2"/>
  <c r="H35" i="2"/>
  <c r="H37" i="2"/>
  <c r="H44" i="2"/>
  <c r="H42" i="2"/>
  <c r="H38" i="2"/>
  <c r="H41" i="2"/>
  <c r="H36" i="2"/>
  <c r="Q44" i="2"/>
  <c r="Q40" i="2"/>
  <c r="Q36" i="2"/>
  <c r="Q43" i="2"/>
  <c r="Q39" i="2"/>
  <c r="Q35" i="2"/>
  <c r="Q37" i="2"/>
  <c r="Q42" i="2"/>
  <c r="Q38" i="2"/>
  <c r="Q41" i="2"/>
  <c r="U38" i="2"/>
  <c r="U43" i="2"/>
  <c r="U39" i="2"/>
  <c r="U42" i="2"/>
  <c r="U37" i="2"/>
  <c r="U40" i="2"/>
  <c r="U41" i="2"/>
  <c r="U36" i="2"/>
  <c r="U44" i="2"/>
  <c r="U35" i="2"/>
  <c r="Q41" i="11"/>
  <c r="Q40" i="11"/>
  <c r="Q39" i="11"/>
  <c r="Q38" i="11"/>
  <c r="Q37" i="11"/>
  <c r="L20" i="11"/>
  <c r="L23" i="11" s="1"/>
  <c r="I20" i="11"/>
  <c r="I23" i="11" s="1"/>
  <c r="H20" i="11"/>
  <c r="H23" i="11" s="1"/>
  <c r="F20" i="11"/>
  <c r="F23" i="11" s="1"/>
  <c r="C20" i="11"/>
  <c r="C23" i="11" s="1"/>
  <c r="R11" i="9" l="1"/>
  <c r="R12" i="9"/>
  <c r="R13" i="9"/>
  <c r="R14" i="9"/>
  <c r="R15" i="9"/>
  <c r="R16" i="9"/>
  <c r="R17" i="9"/>
  <c r="R18" i="9"/>
  <c r="R19" i="9"/>
  <c r="O11" i="9"/>
  <c r="O12" i="9"/>
  <c r="O13" i="9"/>
  <c r="O14" i="9"/>
  <c r="O15" i="9"/>
  <c r="O16" i="9"/>
  <c r="O17" i="9"/>
  <c r="O18" i="9"/>
  <c r="O19" i="9"/>
  <c r="R10" i="9"/>
  <c r="O10" i="9"/>
  <c r="L11" i="9"/>
  <c r="L12" i="9"/>
  <c r="L13" i="9"/>
  <c r="L14" i="9"/>
  <c r="L15" i="9"/>
  <c r="L16" i="9"/>
  <c r="L17" i="9"/>
  <c r="L18" i="9"/>
  <c r="L19" i="9"/>
  <c r="L10" i="9"/>
  <c r="H11" i="9"/>
  <c r="H12" i="9"/>
  <c r="H13" i="9"/>
  <c r="H14" i="9"/>
  <c r="H15" i="9"/>
  <c r="H16" i="9"/>
  <c r="H17" i="9"/>
  <c r="H18" i="9"/>
  <c r="H19" i="9"/>
  <c r="H10" i="9"/>
  <c r="E11" i="9"/>
  <c r="E12" i="9"/>
  <c r="E13" i="9"/>
  <c r="E14" i="9"/>
  <c r="E15" i="9"/>
  <c r="E16" i="9"/>
  <c r="E17" i="9"/>
  <c r="E18" i="9"/>
  <c r="E19" i="9"/>
  <c r="E10" i="9"/>
  <c r="B11" i="9"/>
  <c r="B12" i="9"/>
  <c r="B13" i="9"/>
  <c r="B14" i="9"/>
  <c r="B15" i="9"/>
  <c r="B16" i="9"/>
  <c r="B17" i="9"/>
  <c r="B18" i="9"/>
  <c r="B19" i="9"/>
  <c r="B10" i="9"/>
  <c r="R42" i="9"/>
  <c r="R41" i="9"/>
  <c r="R40" i="9"/>
  <c r="R39" i="9"/>
  <c r="R38" i="9"/>
  <c r="R37" i="9"/>
  <c r="R36" i="9"/>
  <c r="R35" i="9"/>
  <c r="R34" i="9"/>
  <c r="R33" i="9"/>
  <c r="O42" i="9"/>
  <c r="O41" i="9"/>
  <c r="O40" i="9"/>
  <c r="O39" i="9"/>
  <c r="O38" i="9"/>
  <c r="O37" i="9"/>
  <c r="O36" i="9"/>
  <c r="O35" i="9"/>
  <c r="O34" i="9"/>
  <c r="O33" i="9"/>
  <c r="L42" i="9"/>
  <c r="L41" i="9"/>
  <c r="L40" i="9"/>
  <c r="L39" i="9"/>
  <c r="L38" i="9"/>
  <c r="L37" i="9"/>
  <c r="L36" i="9"/>
  <c r="L35" i="9"/>
  <c r="L34" i="9"/>
  <c r="L33" i="9"/>
  <c r="H42" i="9"/>
  <c r="H41" i="9"/>
  <c r="H40" i="9"/>
  <c r="H39" i="9"/>
  <c r="H38" i="9"/>
  <c r="H37" i="9"/>
  <c r="H36" i="9"/>
  <c r="H35" i="9"/>
  <c r="H34" i="9"/>
  <c r="H33" i="9"/>
  <c r="E42" i="9"/>
  <c r="E41" i="9"/>
  <c r="E40" i="9"/>
  <c r="E39" i="9"/>
  <c r="E38" i="9"/>
  <c r="E37" i="9"/>
  <c r="E36" i="9"/>
  <c r="E35" i="9"/>
  <c r="E34" i="9"/>
  <c r="E33" i="9"/>
  <c r="B42" i="9"/>
  <c r="B41" i="9"/>
  <c r="B40" i="9"/>
  <c r="B39" i="9"/>
  <c r="B38" i="9"/>
  <c r="B37" i="9"/>
  <c r="B36" i="9"/>
  <c r="B35" i="9"/>
  <c r="B34" i="9"/>
  <c r="B33" i="9"/>
  <c r="I22" i="2"/>
  <c r="I21" i="2"/>
  <c r="I20" i="2"/>
  <c r="I19" i="2"/>
  <c r="I18" i="2"/>
  <c r="I17" i="2"/>
  <c r="I16" i="2"/>
  <c r="I15" i="2"/>
  <c r="I14" i="2"/>
  <c r="I13" i="2"/>
  <c r="E79" i="9"/>
  <c r="X63" i="2"/>
  <c r="T63" i="2"/>
  <c r="P63" i="2"/>
  <c r="K63" i="2"/>
  <c r="G63" i="2"/>
  <c r="C63" i="2"/>
  <c r="C44" i="2"/>
  <c r="C43" i="2"/>
  <c r="C42" i="2"/>
  <c r="C41" i="2"/>
  <c r="C40" i="2"/>
  <c r="C39" i="2"/>
  <c r="C38" i="2"/>
  <c r="C37" i="2"/>
  <c r="C36" i="2"/>
  <c r="C35" i="2"/>
  <c r="R95" i="9"/>
  <c r="O95" i="9"/>
  <c r="L95" i="9"/>
  <c r="R94" i="9"/>
  <c r="O94" i="9"/>
  <c r="L94" i="9"/>
  <c r="R93" i="9"/>
  <c r="O93" i="9"/>
  <c r="L93" i="9"/>
  <c r="R92" i="9"/>
  <c r="O92" i="9"/>
  <c r="L92" i="9"/>
  <c r="R91" i="9"/>
  <c r="O91" i="9"/>
  <c r="L91" i="9"/>
  <c r="R90" i="9"/>
  <c r="O90" i="9"/>
  <c r="L90" i="9"/>
  <c r="R89" i="9"/>
  <c r="O89" i="9"/>
  <c r="L89" i="9"/>
  <c r="R88" i="9"/>
  <c r="O88" i="9"/>
  <c r="L88" i="9"/>
  <c r="R87" i="9"/>
  <c r="O87" i="9"/>
  <c r="L87" i="9"/>
  <c r="R86" i="9"/>
  <c r="O86" i="9"/>
  <c r="L86" i="9"/>
  <c r="R83" i="9"/>
  <c r="O83" i="9"/>
  <c r="L83" i="9"/>
  <c r="R82" i="9"/>
  <c r="O82" i="9"/>
  <c r="L82" i="9"/>
  <c r="R81" i="9"/>
  <c r="O81" i="9"/>
  <c r="L81" i="9"/>
  <c r="R80" i="9"/>
  <c r="O80" i="9"/>
  <c r="L80" i="9"/>
  <c r="R79" i="9"/>
  <c r="O79" i="9"/>
  <c r="L79" i="9"/>
  <c r="R78" i="9"/>
  <c r="O78" i="9"/>
  <c r="L78" i="9"/>
  <c r="R77" i="9"/>
  <c r="O77" i="9"/>
  <c r="L77" i="9"/>
  <c r="R76" i="9"/>
  <c r="O76" i="9"/>
  <c r="L76" i="9"/>
  <c r="R75" i="9"/>
  <c r="O75" i="9"/>
  <c r="L75" i="9"/>
  <c r="R74" i="9"/>
  <c r="O74" i="9"/>
  <c r="L74" i="9"/>
  <c r="R69" i="9"/>
  <c r="O69" i="9"/>
  <c r="L69" i="9"/>
  <c r="R68" i="9"/>
  <c r="O68" i="9"/>
  <c r="L68" i="9"/>
  <c r="R67" i="9"/>
  <c r="O67" i="9"/>
  <c r="L67" i="9"/>
  <c r="R66" i="9"/>
  <c r="O66" i="9"/>
  <c r="L66" i="9"/>
  <c r="R65" i="9"/>
  <c r="O65" i="9"/>
  <c r="L65" i="9"/>
  <c r="R64" i="9"/>
  <c r="O64" i="9"/>
  <c r="L64" i="9"/>
  <c r="R63" i="9"/>
  <c r="O63" i="9"/>
  <c r="L63" i="9"/>
  <c r="R62" i="9"/>
  <c r="O62" i="9"/>
  <c r="L62" i="9"/>
  <c r="R61" i="9"/>
  <c r="O61" i="9"/>
  <c r="L61" i="9"/>
  <c r="R60" i="9"/>
  <c r="O60" i="9"/>
  <c r="L60" i="9"/>
  <c r="R57" i="9"/>
  <c r="O57" i="9"/>
  <c r="L57" i="9"/>
  <c r="R56" i="9"/>
  <c r="O56" i="9"/>
  <c r="L56" i="9"/>
  <c r="R55" i="9"/>
  <c r="O55" i="9"/>
  <c r="L55" i="9"/>
  <c r="R54" i="9"/>
  <c r="O54" i="9"/>
  <c r="L54" i="9"/>
  <c r="R53" i="9"/>
  <c r="O53" i="9"/>
  <c r="L53" i="9"/>
  <c r="R52" i="9"/>
  <c r="O52" i="9"/>
  <c r="L52" i="9"/>
  <c r="R51" i="9"/>
  <c r="O51" i="9"/>
  <c r="L51" i="9"/>
  <c r="R50" i="9"/>
  <c r="O50" i="9"/>
  <c r="L50" i="9"/>
  <c r="R49" i="9"/>
  <c r="O49" i="9"/>
  <c r="L49" i="9"/>
  <c r="R48" i="9"/>
  <c r="O48" i="9"/>
  <c r="L48" i="9"/>
  <c r="R31" i="9"/>
  <c r="O31" i="9"/>
  <c r="L31" i="9"/>
  <c r="R30" i="9"/>
  <c r="O30" i="9"/>
  <c r="L30" i="9"/>
  <c r="R29" i="9"/>
  <c r="O29" i="9"/>
  <c r="L29" i="9"/>
  <c r="R28" i="9"/>
  <c r="O28" i="9"/>
  <c r="L28" i="9"/>
  <c r="R27" i="9"/>
  <c r="O27" i="9"/>
  <c r="L27" i="9"/>
  <c r="R26" i="9"/>
  <c r="O26" i="9"/>
  <c r="L26" i="9"/>
  <c r="R25" i="9"/>
  <c r="O25" i="9"/>
  <c r="L25" i="9"/>
  <c r="R24" i="9"/>
  <c r="O24" i="9"/>
  <c r="L24" i="9"/>
  <c r="R23" i="9"/>
  <c r="O23" i="9"/>
  <c r="L23" i="9"/>
  <c r="R22" i="9"/>
  <c r="O22" i="9"/>
  <c r="L22" i="9"/>
  <c r="R5" i="9"/>
  <c r="O5" i="9"/>
  <c r="L5" i="9"/>
  <c r="H5" i="9"/>
  <c r="E5" i="9"/>
  <c r="B5" i="9"/>
  <c r="H95" i="9"/>
  <c r="E95" i="9"/>
  <c r="B95" i="9"/>
  <c r="H94" i="9"/>
  <c r="E94" i="9"/>
  <c r="B94" i="9"/>
  <c r="H93" i="9"/>
  <c r="E93" i="9"/>
  <c r="B93" i="9"/>
  <c r="H92" i="9"/>
  <c r="E92" i="9"/>
  <c r="B92" i="9"/>
  <c r="H91" i="9"/>
  <c r="E91" i="9"/>
  <c r="B91" i="9"/>
  <c r="H90" i="9"/>
  <c r="E90" i="9"/>
  <c r="B90" i="9"/>
  <c r="H89" i="9"/>
  <c r="E89" i="9"/>
  <c r="B89" i="9"/>
  <c r="H88" i="9"/>
  <c r="E88" i="9"/>
  <c r="B88" i="9"/>
  <c r="H87" i="9"/>
  <c r="E87" i="9"/>
  <c r="B87" i="9"/>
  <c r="H86" i="9"/>
  <c r="E86" i="9"/>
  <c r="B86" i="9"/>
  <c r="H83" i="9"/>
  <c r="E83" i="9"/>
  <c r="B83" i="9"/>
  <c r="H82" i="9"/>
  <c r="E82" i="9"/>
  <c r="B82" i="9"/>
  <c r="H81" i="9"/>
  <c r="E81" i="9"/>
  <c r="B81" i="9"/>
  <c r="H80" i="9"/>
  <c r="E80" i="9"/>
  <c r="B80" i="9"/>
  <c r="H79" i="9"/>
  <c r="B79" i="9"/>
  <c r="H78" i="9"/>
  <c r="E78" i="9"/>
  <c r="B78" i="9"/>
  <c r="H77" i="9"/>
  <c r="E77" i="9"/>
  <c r="B77" i="9"/>
  <c r="H76" i="9"/>
  <c r="E76" i="9"/>
  <c r="B76" i="9"/>
  <c r="H75" i="9"/>
  <c r="E75" i="9"/>
  <c r="B75" i="9"/>
  <c r="H74" i="9"/>
  <c r="E74" i="9"/>
  <c r="B74" i="9"/>
  <c r="H69" i="9"/>
  <c r="E69" i="9"/>
  <c r="B69" i="9"/>
  <c r="H68" i="9"/>
  <c r="E68" i="9"/>
  <c r="B68" i="9"/>
  <c r="H67" i="9"/>
  <c r="E67" i="9"/>
  <c r="B67" i="9"/>
  <c r="H66" i="9"/>
  <c r="E66" i="9"/>
  <c r="B66" i="9"/>
  <c r="H65" i="9"/>
  <c r="E65" i="9"/>
  <c r="B65" i="9"/>
  <c r="H64" i="9"/>
  <c r="E64" i="9"/>
  <c r="B64" i="9"/>
  <c r="H63" i="9"/>
  <c r="E63" i="9"/>
  <c r="B63" i="9"/>
  <c r="H62" i="9"/>
  <c r="E62" i="9"/>
  <c r="B62" i="9"/>
  <c r="H61" i="9"/>
  <c r="E61" i="9"/>
  <c r="B61" i="9"/>
  <c r="H60" i="9"/>
  <c r="E60" i="9"/>
  <c r="B60" i="9"/>
  <c r="H57" i="9"/>
  <c r="E57" i="9"/>
  <c r="B57" i="9"/>
  <c r="H56" i="9"/>
  <c r="E56" i="9"/>
  <c r="B56" i="9"/>
  <c r="H55" i="9"/>
  <c r="E55" i="9"/>
  <c r="B55" i="9"/>
  <c r="H54" i="9"/>
  <c r="E54" i="9"/>
  <c r="B54" i="9"/>
  <c r="H53" i="9"/>
  <c r="E53" i="9"/>
  <c r="B53" i="9"/>
  <c r="H52" i="9"/>
  <c r="E52" i="9"/>
  <c r="B52" i="9"/>
  <c r="H51" i="9"/>
  <c r="E51" i="9"/>
  <c r="B51" i="9"/>
  <c r="H50" i="9"/>
  <c r="E50" i="9"/>
  <c r="B50" i="9"/>
  <c r="H49" i="9"/>
  <c r="E49" i="9"/>
  <c r="B49" i="9"/>
  <c r="H48" i="9"/>
  <c r="E48" i="9"/>
  <c r="B48" i="9"/>
  <c r="H31" i="9"/>
  <c r="E31" i="9"/>
  <c r="B31" i="9"/>
  <c r="H30" i="9"/>
  <c r="E30" i="9"/>
  <c r="B30" i="9"/>
  <c r="H29" i="9"/>
  <c r="E29" i="9"/>
  <c r="B29" i="9"/>
  <c r="H28" i="9"/>
  <c r="E28" i="9"/>
  <c r="B28" i="9"/>
  <c r="H27" i="9"/>
  <c r="E27" i="9"/>
  <c r="B27" i="9"/>
  <c r="H26" i="9"/>
  <c r="E26" i="9"/>
  <c r="B26" i="9"/>
  <c r="H25" i="9"/>
  <c r="E25" i="9"/>
  <c r="B25" i="9"/>
  <c r="H24" i="9"/>
  <c r="E24" i="9"/>
  <c r="B24" i="9"/>
  <c r="H23" i="9"/>
  <c r="E23" i="9"/>
  <c r="B23" i="9"/>
  <c r="H22" i="9"/>
  <c r="E22" i="9"/>
  <c r="B22" i="9"/>
  <c r="S13" i="9" l="1"/>
  <c r="S25" i="9" s="1"/>
  <c r="C17" i="9"/>
  <c r="C29" i="9" s="1"/>
  <c r="C13" i="9"/>
  <c r="C25" i="9" s="1"/>
  <c r="S19" i="9"/>
  <c r="S31" i="9" s="1"/>
  <c r="P10" i="9"/>
  <c r="P22" i="9" s="1"/>
  <c r="P17" i="9"/>
  <c r="P29" i="9" s="1"/>
  <c r="P19" i="9"/>
  <c r="P31" i="9" s="1"/>
  <c r="P13" i="9"/>
  <c r="P25" i="9" s="1"/>
  <c r="P18" i="9"/>
  <c r="P30" i="9" s="1"/>
  <c r="P14" i="9"/>
  <c r="P26" i="9" s="1"/>
  <c r="S15" i="9"/>
  <c r="S27" i="9" s="1"/>
  <c r="C18" i="9"/>
  <c r="C30" i="9" s="1"/>
  <c r="F11" i="9"/>
  <c r="F23" i="9" s="1"/>
  <c r="S11" i="9"/>
  <c r="S23" i="9" s="1"/>
  <c r="I11" i="9"/>
  <c r="P11" i="9"/>
  <c r="P23" i="9" s="1"/>
  <c r="I15" i="9"/>
  <c r="I27" i="9" s="1"/>
  <c r="F16" i="9"/>
  <c r="F28" i="9" s="1"/>
  <c r="I17" i="9"/>
  <c r="I29" i="9" s="1"/>
  <c r="C14" i="9"/>
  <c r="C26" i="9" s="1"/>
  <c r="F10" i="9"/>
  <c r="F22" i="9" s="1"/>
  <c r="F17" i="9"/>
  <c r="F29" i="9" s="1"/>
  <c r="I13" i="9"/>
  <c r="I25" i="9" s="1"/>
  <c r="M19" i="9"/>
  <c r="M31" i="9" s="1"/>
  <c r="P15" i="9"/>
  <c r="P27" i="9" s="1"/>
  <c r="S17" i="9"/>
  <c r="S29" i="9" s="1"/>
  <c r="F18" i="9"/>
  <c r="F30" i="9" s="1"/>
  <c r="F13" i="9"/>
  <c r="F25" i="9" s="1"/>
  <c r="I10" i="9"/>
  <c r="I22" i="9" s="1"/>
  <c r="I18" i="9"/>
  <c r="I30" i="9" s="1"/>
  <c r="M17" i="9"/>
  <c r="M29" i="9" s="1"/>
  <c r="M15" i="9"/>
  <c r="M27" i="9" s="1"/>
  <c r="M13" i="9"/>
  <c r="M25" i="9" s="1"/>
  <c r="S10" i="9"/>
  <c r="S22" i="9" s="1"/>
  <c r="P16" i="9"/>
  <c r="P28" i="9" s="1"/>
  <c r="P12" i="9"/>
  <c r="P24" i="9" s="1"/>
  <c r="C11" i="9"/>
  <c r="C23" i="9" s="1"/>
  <c r="F14" i="9"/>
  <c r="F26" i="9" s="1"/>
  <c r="F12" i="9"/>
  <c r="F24" i="9" s="1"/>
  <c r="I16" i="9"/>
  <c r="I28" i="9" s="1"/>
  <c r="I14" i="9"/>
  <c r="I26" i="9" s="1"/>
  <c r="M10" i="9"/>
  <c r="M22" i="9" s="1"/>
  <c r="M18" i="9"/>
  <c r="M30" i="9" s="1"/>
  <c r="S18" i="9"/>
  <c r="S30" i="9" s="1"/>
  <c r="S16" i="9"/>
  <c r="S28" i="9" s="1"/>
  <c r="S14" i="9"/>
  <c r="S26" i="9" s="1"/>
  <c r="S12" i="9"/>
  <c r="S24" i="9" s="1"/>
  <c r="F15" i="9"/>
  <c r="F27" i="9" s="1"/>
  <c r="I19" i="9"/>
  <c r="I31" i="9" s="1"/>
  <c r="I12" i="9"/>
  <c r="I24" i="9" s="1"/>
  <c r="M16" i="9"/>
  <c r="M28" i="9" s="1"/>
  <c r="M14" i="9"/>
  <c r="M26" i="9" s="1"/>
  <c r="M12" i="9"/>
  <c r="M24" i="9" s="1"/>
  <c r="M11" i="9"/>
  <c r="M23" i="9" s="1"/>
  <c r="C12" i="9"/>
  <c r="C24" i="9" s="1"/>
  <c r="C16" i="9"/>
  <c r="C28" i="9" s="1"/>
  <c r="C10" i="9"/>
  <c r="C15" i="9"/>
  <c r="C27" i="9" s="1"/>
  <c r="C19" i="9"/>
  <c r="C31" i="9" s="1"/>
  <c r="F19" i="9"/>
  <c r="F31" i="9" s="1"/>
  <c r="C54" i="9" l="1"/>
  <c r="C80" i="9"/>
  <c r="C92" i="9" s="1"/>
  <c r="F53" i="9"/>
  <c r="F65" i="9" s="1"/>
  <c r="F79" i="9"/>
  <c r="F91" i="9" s="1"/>
  <c r="I54" i="9"/>
  <c r="I66" i="9" s="1"/>
  <c r="I80" i="9"/>
  <c r="I92" i="9" s="1"/>
  <c r="P50" i="9"/>
  <c r="P62" i="9" s="1"/>
  <c r="P76" i="9"/>
  <c r="P88" i="9" s="1"/>
  <c r="F77" i="9"/>
  <c r="F89" i="9" s="1"/>
  <c r="F51" i="9"/>
  <c r="F63" i="9" s="1"/>
  <c r="C78" i="9"/>
  <c r="C90" i="9" s="1"/>
  <c r="C52" i="9"/>
  <c r="C64" i="9" s="1"/>
  <c r="C41" i="9"/>
  <c r="C82" i="9"/>
  <c r="C94" i="9" s="1"/>
  <c r="C56" i="9"/>
  <c r="C68" i="9" s="1"/>
  <c r="S83" i="9"/>
  <c r="S95" i="9" s="1"/>
  <c r="S57" i="9"/>
  <c r="S69" i="9" s="1"/>
  <c r="C76" i="9"/>
  <c r="C88" i="9" s="1"/>
  <c r="C50" i="9"/>
  <c r="C62" i="9" s="1"/>
  <c r="S50" i="9"/>
  <c r="S62" i="9" s="1"/>
  <c r="S76" i="9"/>
  <c r="S88" i="9" s="1"/>
  <c r="F35" i="9"/>
  <c r="F76" i="9"/>
  <c r="F88" i="9" s="1"/>
  <c r="F50" i="9"/>
  <c r="F62" i="9" s="1"/>
  <c r="M40" i="9"/>
  <c r="M55" i="9"/>
  <c r="M67" i="9" s="1"/>
  <c r="M81" i="9"/>
  <c r="M93" i="9" s="1"/>
  <c r="I51" i="9"/>
  <c r="I63" i="9" s="1"/>
  <c r="I77" i="9"/>
  <c r="I89" i="9" s="1"/>
  <c r="S53" i="9"/>
  <c r="S65" i="9" s="1"/>
  <c r="S79" i="9"/>
  <c r="S91" i="9" s="1"/>
  <c r="C77" i="9"/>
  <c r="C89" i="9" s="1"/>
  <c r="C51" i="9"/>
  <c r="C63" i="9" s="1"/>
  <c r="M75" i="9"/>
  <c r="M49" i="9"/>
  <c r="M61" i="9" s="1"/>
  <c r="I50" i="9"/>
  <c r="I62" i="9" s="1"/>
  <c r="I76" i="9"/>
  <c r="I88" i="9" s="1"/>
  <c r="S78" i="9"/>
  <c r="S90" i="9" s="1"/>
  <c r="S52" i="9"/>
  <c r="S64" i="9" s="1"/>
  <c r="M48" i="9"/>
  <c r="M60" i="9" s="1"/>
  <c r="M74" i="9"/>
  <c r="M86" i="9" s="1"/>
  <c r="F78" i="9"/>
  <c r="F90" i="9" s="1"/>
  <c r="F52" i="9"/>
  <c r="F64" i="9" s="1"/>
  <c r="S48" i="9"/>
  <c r="S74" i="9"/>
  <c r="I82" i="9"/>
  <c r="I94" i="9" s="1"/>
  <c r="I56" i="9"/>
  <c r="I68" i="9" s="1"/>
  <c r="S55" i="9"/>
  <c r="S67" i="9" s="1"/>
  <c r="S81" i="9"/>
  <c r="S93" i="9" s="1"/>
  <c r="F40" i="9"/>
  <c r="F81" i="9"/>
  <c r="F93" i="9" s="1"/>
  <c r="F55" i="9"/>
  <c r="F67" i="9" s="1"/>
  <c r="F80" i="9"/>
  <c r="F92" i="9" s="1"/>
  <c r="F54" i="9"/>
  <c r="F66" i="9" s="1"/>
  <c r="S75" i="9"/>
  <c r="S87" i="9" s="1"/>
  <c r="S49" i="9"/>
  <c r="S61" i="9" s="1"/>
  <c r="P52" i="9"/>
  <c r="P64" i="9" s="1"/>
  <c r="P78" i="9"/>
  <c r="P90" i="9" s="1"/>
  <c r="P40" i="9"/>
  <c r="P55" i="9"/>
  <c r="P67" i="9" s="1"/>
  <c r="P81" i="9"/>
  <c r="P93" i="9" s="1"/>
  <c r="C55" i="9"/>
  <c r="C67" i="9" s="1"/>
  <c r="C81" i="9"/>
  <c r="C93" i="9" s="1"/>
  <c r="F83" i="9"/>
  <c r="F95" i="9" s="1"/>
  <c r="F57" i="9"/>
  <c r="F69" i="9" s="1"/>
  <c r="M78" i="9"/>
  <c r="M90" i="9" s="1"/>
  <c r="M52" i="9"/>
  <c r="M64" i="9" s="1"/>
  <c r="S82" i="9"/>
  <c r="S94" i="9" s="1"/>
  <c r="S56" i="9"/>
  <c r="S68" i="9" s="1"/>
  <c r="M79" i="9"/>
  <c r="M91" i="9" s="1"/>
  <c r="M53" i="9"/>
  <c r="M65" i="9" s="1"/>
  <c r="M83" i="9"/>
  <c r="M95" i="9" s="1"/>
  <c r="M57" i="9"/>
  <c r="M69" i="9" s="1"/>
  <c r="P75" i="9"/>
  <c r="P87" i="9" s="1"/>
  <c r="P49" i="9"/>
  <c r="P61" i="9" s="1"/>
  <c r="P51" i="9"/>
  <c r="P63" i="9" s="1"/>
  <c r="P77" i="9"/>
  <c r="P89" i="9" s="1"/>
  <c r="C83" i="9"/>
  <c r="C95" i="9" s="1"/>
  <c r="C57" i="9"/>
  <c r="C69" i="9" s="1"/>
  <c r="M54" i="9"/>
  <c r="M66" i="9" s="1"/>
  <c r="M80" i="9"/>
  <c r="M92" i="9" s="1"/>
  <c r="M82" i="9"/>
  <c r="M94" i="9" s="1"/>
  <c r="M56" i="9"/>
  <c r="M68" i="9" s="1"/>
  <c r="P54" i="9"/>
  <c r="P66" i="9" s="1"/>
  <c r="P80" i="9"/>
  <c r="P92" i="9" s="1"/>
  <c r="F41" i="9"/>
  <c r="F82" i="9"/>
  <c r="F94" i="9" s="1"/>
  <c r="F56" i="9"/>
  <c r="F68" i="9" s="1"/>
  <c r="I40" i="9"/>
  <c r="I55" i="9"/>
  <c r="I67" i="9" s="1"/>
  <c r="I81" i="9"/>
  <c r="I93" i="9" s="1"/>
  <c r="P42" i="9"/>
  <c r="P83" i="9"/>
  <c r="P95" i="9" s="1"/>
  <c r="P57" i="9"/>
  <c r="P69" i="9" s="1"/>
  <c r="C53" i="9"/>
  <c r="C65" i="9" s="1"/>
  <c r="C79" i="9"/>
  <c r="C91" i="9" s="1"/>
  <c r="M50" i="9"/>
  <c r="M62" i="9" s="1"/>
  <c r="M76" i="9"/>
  <c r="M88" i="9" s="1"/>
  <c r="I83" i="9"/>
  <c r="I95" i="9" s="1"/>
  <c r="I57" i="9"/>
  <c r="I69" i="9" s="1"/>
  <c r="S80" i="9"/>
  <c r="S92" i="9" s="1"/>
  <c r="S54" i="9"/>
  <c r="S66" i="9" s="1"/>
  <c r="I78" i="9"/>
  <c r="I90" i="9" s="1"/>
  <c r="I52" i="9"/>
  <c r="I64" i="9" s="1"/>
  <c r="C49" i="9"/>
  <c r="C61" i="9" s="1"/>
  <c r="C75" i="9"/>
  <c r="C87" i="9" s="1"/>
  <c r="M51" i="9"/>
  <c r="M63" i="9" s="1"/>
  <c r="M77" i="9"/>
  <c r="M89" i="9" s="1"/>
  <c r="I48" i="9"/>
  <c r="I60" i="9" s="1"/>
  <c r="I74" i="9"/>
  <c r="I86" i="9" s="1"/>
  <c r="P38" i="9"/>
  <c r="P79" i="9"/>
  <c r="P91" i="9" s="1"/>
  <c r="P53" i="9"/>
  <c r="P65" i="9" s="1"/>
  <c r="F48" i="9"/>
  <c r="F74" i="9"/>
  <c r="I53" i="9"/>
  <c r="I65" i="9" s="1"/>
  <c r="I79" i="9"/>
  <c r="I91" i="9" s="1"/>
  <c r="F75" i="9"/>
  <c r="F87" i="9" s="1"/>
  <c r="F49" i="9"/>
  <c r="F61" i="9" s="1"/>
  <c r="P41" i="9"/>
  <c r="P82" i="9"/>
  <c r="P94" i="9" s="1"/>
  <c r="P56" i="9"/>
  <c r="P68" i="9" s="1"/>
  <c r="P33" i="9"/>
  <c r="P74" i="9"/>
  <c r="P86" i="9" s="1"/>
  <c r="P48" i="9"/>
  <c r="P60" i="9" s="1"/>
  <c r="S51" i="9"/>
  <c r="S63" i="9" s="1"/>
  <c r="S77" i="9"/>
  <c r="S89" i="9" s="1"/>
  <c r="P37" i="9"/>
  <c r="I42" i="9"/>
  <c r="I9" i="9"/>
  <c r="I23" i="9"/>
  <c r="M9" i="9"/>
  <c r="C36" i="9"/>
  <c r="P34" i="9"/>
  <c r="P21" i="9"/>
  <c r="I38" i="9"/>
  <c r="S40" i="9"/>
  <c r="P39" i="9"/>
  <c r="P36" i="9"/>
  <c r="S35" i="9"/>
  <c r="F38" i="9"/>
  <c r="F37" i="9"/>
  <c r="F34" i="9"/>
  <c r="C34" i="9"/>
  <c r="M35" i="9"/>
  <c r="I39" i="9"/>
  <c r="I33" i="9"/>
  <c r="M39" i="9"/>
  <c r="I35" i="9"/>
  <c r="P35" i="9"/>
  <c r="F36" i="9"/>
  <c r="M33" i="9"/>
  <c r="S9" i="9"/>
  <c r="P9" i="9"/>
  <c r="C40" i="9"/>
  <c r="C37" i="9"/>
  <c r="F39" i="9"/>
  <c r="I36" i="9"/>
  <c r="M36" i="9"/>
  <c r="M34" i="9"/>
  <c r="C38" i="9"/>
  <c r="F33" i="9"/>
  <c r="F21" i="9"/>
  <c r="M38" i="9"/>
  <c r="M21" i="9"/>
  <c r="I37" i="9"/>
  <c r="S34" i="9"/>
  <c r="S37" i="9"/>
  <c r="S38" i="9"/>
  <c r="S39" i="9"/>
  <c r="S36" i="9"/>
  <c r="M37" i="9"/>
  <c r="C39" i="9"/>
  <c r="C66" i="9"/>
  <c r="S41" i="9"/>
  <c r="S42" i="9"/>
  <c r="F42" i="9"/>
  <c r="C35" i="9"/>
  <c r="M41" i="9"/>
  <c r="C42" i="9"/>
  <c r="C22" i="9"/>
  <c r="C9" i="9"/>
  <c r="F9" i="9"/>
  <c r="S33" i="9"/>
  <c r="S21" i="9"/>
  <c r="M42" i="9"/>
  <c r="I41" i="9"/>
  <c r="C48" i="9" l="1"/>
  <c r="C74" i="9"/>
  <c r="I75" i="9"/>
  <c r="I87" i="9" s="1"/>
  <c r="I85" i="9" s="1"/>
  <c r="I49" i="9"/>
  <c r="I61" i="9" s="1"/>
  <c r="I59" i="9" s="1"/>
  <c r="I21" i="9"/>
  <c r="I34" i="9"/>
  <c r="P85" i="9"/>
  <c r="P59" i="9"/>
  <c r="P73" i="9"/>
  <c r="P47" i="9"/>
  <c r="S60" i="9"/>
  <c r="S59" i="9" s="1"/>
  <c r="S47" i="9"/>
  <c r="S86" i="9"/>
  <c r="S85" i="9" s="1"/>
  <c r="S73" i="9"/>
  <c r="C33" i="9"/>
  <c r="C21" i="9"/>
  <c r="M47" i="9"/>
  <c r="F47" i="9"/>
  <c r="F60" i="9"/>
  <c r="F59" i="9" s="1"/>
  <c r="M59" i="9"/>
  <c r="F86" i="9"/>
  <c r="F85" i="9" s="1"/>
  <c r="F73" i="9"/>
  <c r="M87" i="9"/>
  <c r="M85" i="9" s="1"/>
  <c r="M73" i="9"/>
  <c r="I47" i="9" l="1"/>
  <c r="I73" i="9"/>
  <c r="C86" i="9"/>
  <c r="C85" i="9" s="1"/>
  <c r="C73" i="9"/>
  <c r="C60" i="9"/>
  <c r="C59" i="9" s="1"/>
  <c r="C4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tc={71D6E3CF-BB7E-4CEA-BA00-03223B6EE05A}</author>
  </authors>
  <commentList>
    <comment ref="A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Overall, this looks good. Have you already field-tested it, or in some way gathered user-feedback? If not, it may be useful to get input after launch, to help refine it as/if needed;</t>
      </text>
    </comment>
  </commentList>
</comments>
</file>

<file path=xl/sharedStrings.xml><?xml version="1.0" encoding="utf-8"?>
<sst xmlns="http://schemas.openxmlformats.org/spreadsheetml/2006/main" count="680" uniqueCount="288">
  <si>
    <t xml:space="preserve">Calculateur du coût du vaccin pneumococcique conjugué </t>
  </si>
  <si>
    <t>Manuel d'utilisation</t>
  </si>
  <si>
    <r>
      <rPr>
        <sz val="11"/>
        <color rgb="FF000000"/>
        <rFont val="Calibri"/>
        <family val="2"/>
        <scheme val="minor"/>
      </rPr>
      <t>Si vous avez des questions ou si vous avez besoin d’aide, contactez l’équipe Health Economics &amp; Outcomes Research de PATH :</t>
    </r>
    <r>
      <rPr>
        <sz val="11"/>
        <color rgb="FF000000"/>
        <rFont val="Calibri"/>
        <family val="2"/>
        <scheme val="minor"/>
      </rPr>
      <t xml:space="preserve"> </t>
    </r>
    <r>
      <rPr>
        <u/>
        <sz val="11"/>
        <color rgb="FF000000"/>
        <rFont val="Calibri"/>
        <family val="2"/>
        <scheme val="minor"/>
      </rPr>
      <t>HEOR@path.org</t>
    </r>
  </si>
  <si>
    <t>Version 1.5</t>
  </si>
  <si>
    <r>
      <rPr>
        <sz val="11"/>
        <color rgb="FF000000"/>
        <rFont val="Calibri"/>
        <family val="2"/>
        <scheme val="minor"/>
      </rPr>
      <t xml:space="preserve">Le </t>
    </r>
    <r>
      <rPr>
        <b/>
        <sz val="11"/>
        <color rgb="FF000000"/>
        <rFont val="Calibri"/>
        <family val="2"/>
        <scheme val="minor"/>
      </rPr>
      <t>calculateur du coût du vaccin pneumococcique conjugué (VPC)</t>
    </r>
    <r>
      <rPr>
        <sz val="11"/>
        <color rgb="FF000000"/>
        <rFont val="Calibri"/>
        <family val="2"/>
        <scheme val="minor"/>
      </rPr>
      <t xml:space="preserve"> est un outil simple d'évaluation et de comparaison des coûts des programmes de vaccination VPC pour chaque vaccin disponible sur le marché mondial.</t>
    </r>
    <r>
      <rPr>
        <sz val="11"/>
        <color theme="1"/>
        <rFont val="Calibri"/>
        <family val="2"/>
        <scheme val="minor"/>
      </rPr>
      <t xml:space="preserve"> </t>
    </r>
    <r>
      <rPr>
        <sz val="11"/>
        <color theme="1"/>
        <rFont val="Calibri"/>
        <family val="2"/>
        <scheme val="minor"/>
      </rPr>
      <t>L'objectif de cet outil est d'aider les responsables politiques, au niveau national, à comparer les différents VPC et à estimer les coûts des programmes de vaccination, en explorant jusqu'à six options de vaccination différentes à la fois.</t>
    </r>
    <r>
      <rPr>
        <sz val="11"/>
        <color theme="1"/>
        <rFont val="Calibri"/>
        <family val="2"/>
        <scheme val="minor"/>
      </rPr>
      <t xml:space="preserve"> </t>
    </r>
    <r>
      <rPr>
        <sz val="11"/>
        <color theme="1"/>
        <rFont val="Calibri"/>
        <family val="2"/>
        <scheme val="minor"/>
      </rPr>
      <t>L'outil est accessible à tout pays souhaitant comparer les coûts des différents VPC, que le pays soit ou non éligible au cofinancement de Gavi, l’Alliance du vaccin.</t>
    </r>
    <r>
      <rPr>
        <sz val="11"/>
        <color theme="1"/>
        <rFont val="Calibri"/>
        <family val="2"/>
        <scheme val="minor"/>
      </rPr>
      <t xml:space="preserve"> </t>
    </r>
  </si>
  <si>
    <t>L'outil se compose de trois feuilles de calcul :</t>
  </si>
  <si>
    <r>
      <rPr>
        <sz val="11"/>
        <color theme="1"/>
        <rFont val="Calibri"/>
        <family val="2"/>
        <scheme val="minor"/>
      </rPr>
      <t>1.</t>
    </r>
    <r>
      <rPr>
        <sz val="7"/>
        <color theme="1"/>
        <rFont val="Times New Roman"/>
        <family val="1"/>
      </rPr>
      <t xml:space="preserve">      </t>
    </r>
    <r>
      <rPr>
        <b/>
        <sz val="11"/>
        <color theme="1"/>
        <rFont val="Calibri"/>
        <family val="2"/>
        <scheme val="minor"/>
      </rPr>
      <t>Feuille de calcul</t>
    </r>
    <r>
      <rPr>
        <sz val="11"/>
        <color theme="1"/>
        <rFont val="Calibri"/>
        <family val="2"/>
        <scheme val="minor"/>
      </rPr>
      <t xml:space="preserve"> </t>
    </r>
    <r>
      <rPr>
        <b/>
        <sz val="11"/>
        <color theme="1"/>
        <rFont val="Calibri"/>
        <family val="2"/>
        <scheme val="minor"/>
      </rPr>
      <t>Saisie des données</t>
    </r>
    <r>
      <rPr>
        <sz val="11"/>
        <color theme="1"/>
        <rFont val="Calibri"/>
        <family val="2"/>
        <scheme val="minor"/>
      </rPr>
      <t>, dans laquelle l'utilisateur décide des vaccins à comparer et adapte la saisie des données en fonction du contexte du pays.</t>
    </r>
  </si>
  <si>
    <r>
      <rPr>
        <sz val="11"/>
        <color theme="1"/>
        <rFont val="Calibri"/>
        <family val="2"/>
        <scheme val="minor"/>
      </rPr>
      <t>2.</t>
    </r>
    <r>
      <rPr>
        <sz val="7"/>
        <color theme="1"/>
        <rFont val="Times New Roman"/>
        <family val="1"/>
      </rPr>
      <t xml:space="preserve">      </t>
    </r>
    <r>
      <rPr>
        <b/>
        <sz val="11"/>
        <color theme="1"/>
        <rFont val="Calibri"/>
        <family val="2"/>
        <scheme val="minor"/>
      </rPr>
      <t>Feuille de calcul</t>
    </r>
    <r>
      <rPr>
        <sz val="11"/>
        <color theme="1"/>
        <rFont val="Calibri"/>
        <family val="2"/>
        <scheme val="minor"/>
      </rPr>
      <t xml:space="preserve"> </t>
    </r>
    <r>
      <rPr>
        <b/>
        <sz val="11"/>
        <color theme="1"/>
        <rFont val="Calibri"/>
        <family val="2"/>
        <scheme val="minor"/>
      </rPr>
      <t>Résultats</t>
    </r>
    <r>
      <rPr>
        <sz val="11"/>
        <color theme="1"/>
        <rFont val="Calibri"/>
        <family val="2"/>
        <scheme val="minor"/>
      </rPr>
      <t>, qui présente les prévisions de coûts.</t>
    </r>
  </si>
  <si>
    <r>
      <rPr>
        <sz val="11"/>
        <color theme="1"/>
        <rFont val="Calibri"/>
        <family val="2"/>
        <scheme val="minor"/>
      </rPr>
      <t>3.</t>
    </r>
    <r>
      <rPr>
        <sz val="7"/>
        <color theme="1"/>
        <rFont val="Times New Roman"/>
        <family val="1"/>
      </rPr>
      <t xml:space="preserve">      </t>
    </r>
    <r>
      <rPr>
        <b/>
        <sz val="11"/>
        <color theme="1"/>
        <rFont val="Calibri"/>
        <family val="2"/>
        <scheme val="minor"/>
      </rPr>
      <t>Feuille de calcul</t>
    </r>
    <r>
      <rPr>
        <sz val="11"/>
        <color theme="1"/>
        <rFont val="Calibri"/>
        <family val="2"/>
        <scheme val="minor"/>
      </rPr>
      <t xml:space="preserve"> </t>
    </r>
    <r>
      <rPr>
        <b/>
        <sz val="11"/>
        <color theme="1"/>
        <rFont val="Calibri"/>
        <family val="2"/>
        <scheme val="minor"/>
      </rPr>
      <t>Graphiques</t>
    </r>
    <r>
      <rPr>
        <sz val="11"/>
        <color theme="1"/>
        <rFont val="Calibri"/>
        <family val="2"/>
        <scheme val="minor"/>
      </rPr>
      <t>, qui présente ces résultats sous forme de graphiques.</t>
    </r>
  </si>
  <si>
    <r>
      <rPr>
        <b/>
        <sz val="11"/>
        <color rgb="FFFF0000"/>
        <rFont val="Calibri"/>
        <family val="2"/>
        <scheme val="minor"/>
      </rPr>
      <t>Clause de non-responsabilité :</t>
    </r>
    <r>
      <rPr>
        <b/>
        <sz val="11"/>
        <color rgb="FFFF0000"/>
        <rFont val="Calibri"/>
        <family val="2"/>
        <scheme val="minor"/>
      </rPr>
      <t xml:space="preserve"> </t>
    </r>
    <r>
      <rPr>
        <sz val="11"/>
        <color rgb="FFFF0000"/>
        <rFont val="Calibri"/>
        <family val="2"/>
        <scheme val="minor"/>
      </rPr>
      <t>Le calculateur du coût du vaccin pneumococcique conjugué est un outil visant à éclairer la prise de décisions relative à l'introduction de vaccins et le choix des produits.</t>
    </r>
    <r>
      <rPr>
        <sz val="11"/>
        <color rgb="FFFF0000"/>
        <rFont val="Calibri"/>
        <family val="2"/>
        <scheme val="minor"/>
      </rPr>
      <t xml:space="preserve"> </t>
    </r>
    <r>
      <rPr>
        <sz val="11"/>
        <color rgb="FFFF0000"/>
        <rFont val="Calibri"/>
        <family val="2"/>
        <scheme val="minor"/>
      </rPr>
      <t>Il est important de noter que les coûts ne constituent qu'une partie de la réflexion et que, pour prendre leur décision concernant l'introduction de nouveaux vaccins ou le choix des produits, les parties prenantes doivent toujours tenir compte d'autres éléments de réflexion.</t>
    </r>
    <r>
      <rPr>
        <sz val="11"/>
        <color rgb="FFFF0000"/>
        <rFont val="Calibri"/>
        <family val="2"/>
        <scheme val="minor"/>
      </rPr>
      <t xml:space="preserve"> </t>
    </r>
    <r>
      <rPr>
        <sz val="11"/>
        <color rgb="FFFF0000"/>
        <rFont val="Calibri"/>
        <family val="2"/>
        <scheme val="minor"/>
      </rPr>
      <t xml:space="preserve">Ce modèle propose un aperçu des coûts </t>
    </r>
    <r>
      <rPr>
        <b/>
        <sz val="11"/>
        <color rgb="FFFF0000"/>
        <rFont val="Calibri"/>
        <family val="2"/>
        <scheme val="minor"/>
      </rPr>
      <t>potentiels</t>
    </r>
    <r>
      <rPr>
        <sz val="11"/>
        <color rgb="FFFF0000"/>
        <rFont val="Calibri"/>
        <family val="2"/>
        <scheme val="minor"/>
      </rPr>
      <t xml:space="preserve"> relatifs aux différents produits et ne saurait remplacer une planification budgétaire détaillée une fois le produit sélectionné.</t>
    </r>
  </si>
  <si>
    <r>
      <rPr>
        <b/>
        <sz val="11"/>
        <color theme="1"/>
        <rFont val="Calibri"/>
        <family val="2"/>
        <scheme val="minor"/>
      </rPr>
      <t>Feuille de calcul Saisie des données</t>
    </r>
    <r>
      <rPr>
        <sz val="11"/>
        <color theme="1"/>
        <rFont val="Calibri"/>
        <family val="2"/>
        <scheme val="minor"/>
      </rPr>
      <t xml:space="preserve"> </t>
    </r>
  </si>
  <si>
    <t>Étape 1 : Programme de vaccination</t>
  </si>
  <si>
    <t>Saisissez les données relatives à l'année de référence (début) que vous souhaitez étudier, en gardant à l'esprit qu'il s'agira de la première année de la période couverte par le programme, à savoir 10 ans. Saisissez les informations requises sur votre population cible, ainsi que le taux de croissance annuel de la population.</t>
  </si>
  <si>
    <t>Saisissez les informations relatives à la couverture vaccinale prévue pour les doses 1, 2 et 3. Vous pouvez utiliser les estimations de couverture vaccinale de votre activité de surveillance du programme de vaccination pour les antigènes administrés en même temps que le VPC. Vous pouvez également décider d'utiliser les objectifs d'estimation de la couverture ou les estimations de couverture attendues. Cela aura une incidence sur le nombre de doses requises pour soutenir les activités de vaccination VPC.</t>
  </si>
  <si>
    <t>Étape 2 : Cofinancement et soutien financier</t>
  </si>
  <si>
    <t>Dans cette partie, indiquez si votre pays se trouve actuellement dans la phase d'autofinancement initial Gavi ou dans une autre phase de transition. Si votre pays n'est pas éligible au cofinancement de Gavi, saisissez la valeur « 100 % », ce qui signifie que votre pays prend en charge le coût total de l'achat des vaccins.</t>
  </si>
  <si>
    <t xml:space="preserve">Enfin, saisissez le montant du soutien financier auquel votre pays est éligible, soit pour une subvention à l’introduction des vaccins Gavi (SIV), soit pour une subvention au changement de produit Gavi (SC). Un encadré expliquant comment calculer la SIV ou la SC figure sur la droite de la feuille de calcul. Pour plus d'informations, vous pouvez également consulter les lignes directrices de Gavi en matière de soutien financier.  </t>
  </si>
  <si>
    <t>Lignes directrices de Gavi</t>
  </si>
  <si>
    <t>Étape 3 : Options de vaccination VPC</t>
  </si>
  <si>
    <t>Sous-section Coût des vaccins</t>
  </si>
  <si>
    <r>
      <rPr>
        <sz val="11"/>
        <color theme="1"/>
        <rFont val="Calibri"/>
        <family val="2"/>
        <scheme val="minor"/>
      </rPr>
      <t>L'outil vous permet de comparer jusqu'à six options de vaccination différentes à la fois.</t>
    </r>
    <r>
      <rPr>
        <sz val="11"/>
        <color theme="1"/>
        <rFont val="Calibri"/>
        <family val="2"/>
        <scheme val="minor"/>
      </rPr>
      <t xml:space="preserve"> </t>
    </r>
    <r>
      <rPr>
        <sz val="11"/>
        <color theme="1"/>
        <rFont val="Calibri"/>
        <family val="2"/>
        <scheme val="minor"/>
      </rPr>
      <t>Utilisez le menu déroulant pour sélectionner les produits à comparer.</t>
    </r>
    <r>
      <rPr>
        <sz val="11"/>
        <color theme="1"/>
        <rFont val="Calibri"/>
        <family val="2"/>
        <scheme val="minor"/>
      </rPr>
      <t xml:space="preserve"> </t>
    </r>
    <r>
      <rPr>
        <sz val="11"/>
        <color theme="1"/>
        <rFont val="Calibri"/>
        <family val="2"/>
        <scheme val="minor"/>
      </rPr>
      <t>À chaque sélection, l'ensemble des données par défaut relatives aux produits seront automatiquement renseignées dans les lignes ci-dessous.</t>
    </r>
    <r>
      <rPr>
        <sz val="11"/>
        <color theme="1"/>
        <rFont val="Calibri"/>
        <family val="2"/>
        <scheme val="minor"/>
      </rPr>
      <t xml:space="preserve"> </t>
    </r>
    <r>
      <rPr>
        <sz val="11"/>
        <color theme="1"/>
        <rFont val="Calibri"/>
        <family val="2"/>
        <scheme val="minor"/>
      </rPr>
      <t xml:space="preserve">L'ensemble des caractéristiques des vaccins sont issues des Profils Détaillés des Produits (PDP) </t>
    </r>
    <r>
      <rPr>
        <sz val="11"/>
        <color rgb="FF000000"/>
        <rFont val="Calibri"/>
        <family val="2"/>
        <scheme val="minor"/>
      </rPr>
      <t xml:space="preserve">de Gavi, </t>
    </r>
    <r>
      <rPr>
        <sz val="11"/>
        <color theme="1"/>
        <rFont val="Calibri"/>
        <family val="2"/>
        <scheme val="minor"/>
      </rPr>
      <t>y compris le prix par dose, le nombre de doses prévues et le taux de perte.</t>
    </r>
  </si>
  <si>
    <t>Profils Détaillés des Produits de Gavi</t>
  </si>
  <si>
    <t>Pour les pays non éligibles au cofinancement de Gavi, indiquez le prix que vous pouvez obtenir pour chaque option de vaccination. Des informations sur les prix payés par les autres pays figurent dans la base de données MI4A de l’OMS.</t>
  </si>
  <si>
    <t>Base de données relative aux achats de vaccins MI4A de l’OMS</t>
  </si>
  <si>
    <t>Pour plus d’informations sur les VPC, reportez-vous à la note de synthèse de l’OMS.</t>
  </si>
  <si>
    <t>Note de synthèse sur les VPC</t>
  </si>
  <si>
    <t>Il est impossible de modifier le montant du cofinancement annuel par dose car il est calculé en fonction du prix du vaccin et de la part de cofinancement indiqués à l'Étape 2.</t>
  </si>
  <si>
    <t>Adaptez ensuite les données suivantes en fonction des informations disponibles au niveau local :</t>
  </si>
  <si>
    <r>
      <rPr>
        <sz val="11"/>
        <color theme="1"/>
        <rFont val="Symbol"/>
        <family val="1"/>
        <charset val="2"/>
      </rPr>
      <t>·</t>
    </r>
    <r>
      <rPr>
        <sz val="11"/>
        <color theme="1"/>
        <rFont val="Symbol"/>
        <family val="1"/>
        <charset val="2"/>
      </rPr>
      <t xml:space="preserve"> </t>
    </r>
    <r>
      <rPr>
        <i/>
        <sz val="11"/>
        <color theme="1"/>
        <rFont val="Calibri"/>
        <family val="2"/>
        <scheme val="minor"/>
      </rPr>
      <t>Taux de perte :</t>
    </r>
    <r>
      <rPr>
        <sz val="11"/>
        <color theme="1"/>
        <rFont val="Calibri"/>
        <family val="2"/>
        <scheme val="minor"/>
      </rPr>
      <t xml:space="preserve"> </t>
    </r>
    <r>
      <rPr>
        <sz val="11"/>
        <color theme="1"/>
        <rFont val="Calibri"/>
        <family val="2"/>
        <scheme val="minor"/>
      </rPr>
      <t>bien que l'outil extraie les informations standard pour chaque produit, vous pouvez modifier ce champ et saisir les données tirées du programme de vaccination de votre pays.</t>
    </r>
  </si>
  <si>
    <r>
      <rPr>
        <sz val="11"/>
        <color theme="1"/>
        <rFont val="Symbol"/>
        <family val="1"/>
        <charset val="2"/>
      </rPr>
      <t>·</t>
    </r>
    <r>
      <rPr>
        <sz val="11"/>
        <color theme="1"/>
        <rFont val="Symbol"/>
        <family val="1"/>
        <charset val="2"/>
      </rPr>
      <t xml:space="preserve"> </t>
    </r>
    <r>
      <rPr>
        <i/>
        <sz val="11"/>
        <color theme="1"/>
        <rFont val="Calibri"/>
        <family val="2"/>
        <scheme val="minor"/>
      </rPr>
      <t>Traitement à l'échelle internationale :</t>
    </r>
    <r>
      <rPr>
        <sz val="11"/>
        <color theme="1"/>
        <rFont val="Calibri"/>
        <family val="2"/>
        <scheme val="minor"/>
      </rPr>
      <t xml:space="preserve"> </t>
    </r>
    <r>
      <rPr>
        <sz val="11"/>
        <color theme="1"/>
        <rFont val="Calibri"/>
        <family val="2"/>
        <scheme val="minor"/>
      </rPr>
      <t>il s'agit des frais courants de l'UNICEF, qui couvrent les services d'achat.</t>
    </r>
    <r>
      <rPr>
        <sz val="11"/>
        <color theme="1"/>
        <rFont val="Calibri"/>
        <family val="2"/>
        <scheme val="minor"/>
      </rPr>
      <t xml:space="preserve"> </t>
    </r>
    <r>
      <rPr>
        <sz val="11"/>
        <color theme="1"/>
        <rFont val="Calibri"/>
        <family val="2"/>
        <scheme val="minor"/>
      </rPr>
      <t>Ils sont exprimés en pourcentage du prix du vaccin.</t>
    </r>
    <r>
      <rPr>
        <sz val="11"/>
        <color theme="1"/>
        <rFont val="Calibri"/>
        <family val="2"/>
        <scheme val="minor"/>
      </rPr>
      <t xml:space="preserve"> </t>
    </r>
    <r>
      <rPr>
        <sz val="11"/>
        <color theme="1"/>
        <rFont val="Calibri"/>
        <family val="2"/>
        <scheme val="minor"/>
      </rPr>
      <t>Les taux standard figurent sur le site Web de l'UNICEF.</t>
    </r>
  </si>
  <si>
    <t>Site Web de l'UNICEF - Frais de traitement</t>
  </si>
  <si>
    <r>
      <rPr>
        <sz val="11"/>
        <color theme="1"/>
        <rFont val="Symbol"/>
        <family val="1"/>
        <charset val="2"/>
      </rPr>
      <t>·</t>
    </r>
    <r>
      <rPr>
        <sz val="7"/>
        <color theme="1"/>
        <rFont val="Times New Roman"/>
        <family val="1"/>
      </rPr>
      <t xml:space="preserve"> </t>
    </r>
    <r>
      <rPr>
        <i/>
        <sz val="11"/>
        <color theme="1"/>
        <rFont val="Calibri"/>
        <family val="2"/>
        <scheme val="minor"/>
      </rPr>
      <t>Transport international :</t>
    </r>
    <r>
      <rPr>
        <sz val="11"/>
        <color theme="1"/>
        <rFont val="Calibri"/>
        <family val="2"/>
        <scheme val="minor"/>
      </rPr>
      <t xml:space="preserve"> </t>
    </r>
    <r>
      <rPr>
        <sz val="11"/>
        <color theme="1"/>
        <rFont val="Calibri"/>
        <family val="2"/>
        <scheme val="minor"/>
      </rPr>
      <t>cela correspond aux coûts d'expédition à l'échelle internationale, exprimé en pourcentage du prix du vaccin.</t>
    </r>
    <r>
      <rPr>
        <sz val="11"/>
        <color theme="1"/>
        <rFont val="Calibri"/>
        <family val="2"/>
        <scheme val="minor"/>
      </rPr>
      <t xml:space="preserve"> </t>
    </r>
    <r>
      <rPr>
        <sz val="11"/>
        <color theme="1"/>
        <rFont val="Calibri"/>
        <family val="2"/>
        <scheme val="minor"/>
      </rPr>
      <t>Le bureau local de l'UNICEF peut peut-être vous communiquer des informations de nature contextuelle pour vous aider à définir cette valeur, à l'aide de données tirées de factures et d'expéditions antérieures.</t>
    </r>
  </si>
  <si>
    <t>Site Web de l'UNICEF - Données de tarification</t>
  </si>
  <si>
    <r>
      <rPr>
        <sz val="11"/>
        <color theme="1"/>
        <rFont val="Symbol"/>
        <family val="1"/>
        <charset val="2"/>
      </rPr>
      <t>·</t>
    </r>
    <r>
      <rPr>
        <sz val="7"/>
        <color theme="1"/>
        <rFont val="Times New Roman"/>
        <family val="1"/>
      </rPr>
      <t> </t>
    </r>
    <r>
      <rPr>
        <i/>
        <sz val="11"/>
        <color theme="1"/>
        <rFont val="Calibri"/>
        <family val="2"/>
        <scheme val="minor"/>
      </rPr>
      <t>Prix des seringues :</t>
    </r>
    <r>
      <rPr>
        <sz val="11"/>
        <color theme="1"/>
        <rFont val="Calibri"/>
        <family val="2"/>
        <scheme val="minor"/>
      </rPr>
      <t xml:space="preserve"> </t>
    </r>
    <r>
      <rPr>
        <sz val="11"/>
        <color theme="1"/>
        <rFont val="Calibri"/>
        <family val="2"/>
        <scheme val="minor"/>
      </rPr>
      <t>saisissez le prix des seringues utilisées au cours des activités de vaccination VPC.</t>
    </r>
    <r>
      <rPr>
        <sz val="11"/>
        <color theme="1"/>
        <rFont val="Calibri"/>
        <family val="2"/>
        <scheme val="minor"/>
      </rPr>
      <t xml:space="preserve"> </t>
    </r>
    <r>
      <rPr>
        <sz val="11"/>
        <color theme="1"/>
        <rFont val="Calibri"/>
        <family val="2"/>
        <scheme val="minor"/>
      </rPr>
      <t>Les prix standard figurent sur le site Web de l'UNICEF.</t>
    </r>
  </si>
  <si>
    <t xml:space="preserve">Les autres données à saisir sur cette feuille de calcul ont trait aux coûts des programmes de vaccination. </t>
  </si>
  <si>
    <t>Coûts des programmes de vaccination</t>
  </si>
  <si>
    <t>Après adaptation des données saisies pour chaque option de vaccination à comparer, vous êtes prêt à passer à la feuille de calcul Résultats.</t>
  </si>
  <si>
    <t>Feuille de calcul Résultats</t>
  </si>
  <si>
    <t>La feuille de calcul Résultats présente des informations sur les coûts, sur un an et sur une période de 10 ans, selon les deux perspectives décrites ci-dessus et pour chaque option de vaccination présentée dans la feuille de calcul Saisie des données.</t>
  </si>
  <si>
    <t>Les résultats sont répartis en trois sous-sections :</t>
  </si>
  <si>
    <r>
      <rPr>
        <sz val="11"/>
        <color theme="1"/>
        <rFont val="Calibri"/>
        <family val="2"/>
        <scheme val="minor"/>
      </rPr>
      <t>1.</t>
    </r>
    <r>
      <rPr>
        <sz val="7"/>
        <color theme="1"/>
        <rFont val="Times New Roman"/>
        <family val="1"/>
      </rPr>
      <t xml:space="preserve">      </t>
    </r>
    <r>
      <rPr>
        <u/>
        <sz val="11"/>
        <color theme="1"/>
        <rFont val="Calibri"/>
        <family val="2"/>
        <scheme val="minor"/>
      </rPr>
      <t>Programme de vaccination</t>
    </r>
  </si>
  <si>
    <t xml:space="preserve">Cette section exprime les résultats en nombre de doses administrées et de nombre de doses nécessaires pour le programme de vaccination VPC. Le nombre de doses nécessaires est égal au nombre de doses administrées auquel on ajoute le nombre de doses perdues. Cette section propose également le calcul des besoins sur un an et sur une période de 10 ans quant au volume de la chaîne du froid, soit, pour chaque vaccin, le volume de la chaîne du froid par dose multiplié par le nombre total de doses requises. Veuillez noter que ce volume total ne constitue qu'une estimation dans la mesure où il varie en fonction du nombre d'expéditions de vaccins par an et du système de distribution des vaccins du pays. </t>
  </si>
  <si>
    <r>
      <rPr>
        <sz val="11"/>
        <color theme="1"/>
        <rFont val="Calibri"/>
        <family val="2"/>
        <scheme val="minor"/>
      </rPr>
      <t>2.</t>
    </r>
    <r>
      <rPr>
        <sz val="7"/>
        <color theme="1"/>
        <rFont val="Times New Roman"/>
        <family val="1"/>
      </rPr>
      <t xml:space="preserve">      </t>
    </r>
    <r>
      <rPr>
        <u/>
        <sz val="11"/>
        <color theme="1"/>
        <rFont val="Calibri"/>
        <family val="2"/>
        <scheme val="minor"/>
      </rPr>
      <t>Coûts pour le pays</t>
    </r>
  </si>
  <si>
    <r>
      <rPr>
        <sz val="11"/>
        <color theme="1"/>
        <rFont val="Calibri"/>
        <family val="2"/>
        <scheme val="minor"/>
      </rPr>
      <t>3.</t>
    </r>
    <r>
      <rPr>
        <sz val="7"/>
        <color theme="1"/>
        <rFont val="Times New Roman"/>
        <family val="1"/>
      </rPr>
      <t xml:space="preserve">      </t>
    </r>
    <r>
      <rPr>
        <u/>
        <sz val="11"/>
        <color theme="1"/>
        <rFont val="Calibri"/>
        <family val="2"/>
        <scheme val="minor"/>
      </rPr>
      <t>Coûts pour le pays et coûts pour Gavi</t>
    </r>
    <r>
      <rPr>
        <sz val="11"/>
        <color rgb="FF000000"/>
        <rFont val="Calibri"/>
        <family val="2"/>
        <scheme val="minor"/>
      </rPr>
      <t xml:space="preserve"> </t>
    </r>
  </si>
  <si>
    <r>
      <rPr>
        <sz val="11"/>
        <color theme="1"/>
        <rFont val="Calibri"/>
        <family val="2"/>
        <scheme val="minor"/>
      </rPr>
      <t>Cette section présente les coût</t>
    </r>
    <r>
      <rPr>
        <sz val="11"/>
        <color rgb="FF000000"/>
        <rFont val="Calibri"/>
        <family val="2"/>
        <scheme val="minor"/>
      </rPr>
      <t>s</t>
    </r>
    <r>
      <rPr>
        <sz val="11"/>
        <color theme="1"/>
        <rFont val="Calibri"/>
        <family val="2"/>
        <scheme val="minor"/>
      </rPr>
      <t xml:space="preserve"> du point de vue du pays et selon la perspective Gavi (et elle ne concerne que les pays éligibles au cofinancement de Gavi).</t>
    </r>
    <r>
      <rPr>
        <sz val="11"/>
        <color theme="1"/>
        <rFont val="Calibri"/>
        <family val="2"/>
        <scheme val="minor"/>
      </rPr>
      <t xml:space="preserve"> </t>
    </r>
    <r>
      <rPr>
        <sz val="11"/>
        <color theme="1"/>
        <rFont val="Calibri"/>
        <family val="2"/>
        <scheme val="minor"/>
      </rPr>
      <t>Les sous-catégories sont semblables à celles de la sous-section relative aux coûts pour le pays.</t>
    </r>
  </si>
  <si>
    <r>
      <rPr>
        <b/>
        <sz val="11"/>
        <color theme="1"/>
        <rFont val="Calibri"/>
        <family val="2"/>
        <scheme val="minor"/>
      </rPr>
      <t>Remarque :</t>
    </r>
    <r>
      <rPr>
        <sz val="11"/>
        <color theme="1"/>
        <rFont val="Calibri"/>
        <family val="2"/>
        <scheme val="minor"/>
      </rPr>
      <t xml:space="preserve"> </t>
    </r>
    <r>
      <rPr>
        <sz val="11"/>
        <color theme="1"/>
        <rFont val="Calibri"/>
        <family val="2"/>
        <scheme val="minor"/>
      </rPr>
      <t>la mise en forme conditionnelle est utilisée dans les sous-sections 2 et 3 pour mettre en évidence les cellules présentant les coûts sur 10 ans, de l'option de vaccination la plus économique (en vert foncé) à l'option de vaccination la plus coûteuse (en jaune)</t>
    </r>
    <r>
      <rPr>
        <b/>
        <sz val="11"/>
        <color theme="1"/>
        <rFont val="Calibri"/>
        <family val="2"/>
        <scheme val="minor"/>
      </rPr>
      <t>.</t>
    </r>
  </si>
  <si>
    <t>Feuille de calcul Graphiques</t>
  </si>
  <si>
    <t>La feuille de calcul Graphiques propose une représentation graphique des résultats présentés sur la feuille de calcul précédente. Les mêmes perspectives et sous-catégories y sont présentées. Après réalisation de votre première analyse, si vous apportez des modifications à la feuille de calcul Saisie des données, les feuilles de calcul Résultats et Graphiques sont automatiquement mises à jour pour tenir compte des nouveaux résultats.</t>
  </si>
  <si>
    <t>Formules de calcul utilisées dans l'outil de comparaison des coûts*</t>
  </si>
  <si>
    <r>
      <rPr>
        <u/>
        <sz val="11"/>
        <color theme="1"/>
        <rFont val="Calibri"/>
        <family val="2"/>
        <scheme val="minor"/>
      </rPr>
      <t>Nombre de doses administrées</t>
    </r>
    <r>
      <rPr>
        <sz val="11"/>
        <color theme="1"/>
        <rFont val="Calibri"/>
        <family val="2"/>
        <scheme val="minor"/>
      </rPr>
      <t> = Cohorte de naissance x couverture Dose 1 + cohorte de naissance x couverture Dose 2 + cohorte de naissance x couverture Dose 3</t>
    </r>
  </si>
  <si>
    <r>
      <rPr>
        <u/>
        <sz val="11"/>
        <color theme="1"/>
        <rFont val="Calibri"/>
        <family val="2"/>
        <scheme val="minor"/>
      </rPr>
      <t>Nombre total de doses nécessaires</t>
    </r>
    <r>
      <rPr>
        <sz val="11"/>
        <color theme="1"/>
        <rFont val="Calibri"/>
        <family val="2"/>
        <scheme val="minor"/>
      </rPr>
      <t xml:space="preserve"> = Nombre de doses administrées x facteur de perte</t>
    </r>
  </si>
  <si>
    <r>
      <rPr>
        <u/>
        <sz val="11"/>
        <color theme="1"/>
        <rFont val="Calibri"/>
        <family val="2"/>
        <scheme val="minor"/>
      </rPr>
      <t>Volume total requis de la chaîne du froid</t>
    </r>
    <r>
      <rPr>
        <sz val="11"/>
        <color theme="1"/>
        <rFont val="Calibri"/>
        <family val="2"/>
        <scheme val="minor"/>
      </rPr>
      <t xml:space="preserve"> = Volume de la chaîne du froid par dose en cm</t>
    </r>
    <r>
      <rPr>
        <vertAlign val="superscript"/>
        <sz val="11"/>
        <color theme="1"/>
        <rFont val="Calibri"/>
        <family val="2"/>
        <scheme val="minor"/>
      </rPr>
      <t>3</t>
    </r>
    <r>
      <rPr>
        <sz val="11"/>
        <color theme="1"/>
        <rFont val="Calibri"/>
        <family val="2"/>
        <scheme val="minor"/>
      </rPr>
      <t xml:space="preserve"> x nombre total de doses nécessaires</t>
    </r>
  </si>
  <si>
    <r>
      <rPr>
        <u/>
        <sz val="11"/>
        <color theme="1"/>
        <rFont val="Calibri"/>
        <family val="2"/>
        <scheme val="minor"/>
      </rPr>
      <t>Facteur de perte</t>
    </r>
    <r>
      <rPr>
        <sz val="11"/>
        <color theme="1"/>
        <rFont val="Calibri"/>
        <family val="2"/>
        <scheme val="minor"/>
      </rPr>
      <t xml:space="preserve"> = (1 / (1 - taux de perte))</t>
    </r>
  </si>
  <si>
    <r>
      <rPr>
        <u/>
        <sz val="11"/>
        <color theme="1"/>
        <rFont val="Calibri"/>
        <family val="2"/>
        <scheme val="minor"/>
      </rPr>
      <t>Coût du programme de vaccination (coût pour le pays)</t>
    </r>
    <r>
      <rPr>
        <sz val="11"/>
        <color theme="1"/>
        <rFont val="Calibri"/>
        <family val="2"/>
        <scheme val="minor"/>
      </rPr>
      <t xml:space="preserve"> = Coût du vaccin + nombre de doses administrées x coût supplémentaire d'administration par dose + coûts d'introduction ou de changement - SIV ou SC (uniquement pour l'année 1)</t>
    </r>
  </si>
  <si>
    <r>
      <rPr>
        <u/>
        <sz val="11"/>
        <color theme="1"/>
        <rFont val="Calibri"/>
        <family val="2"/>
        <scheme val="minor"/>
      </rPr>
      <t>Coût du programme de vaccination (coût pour le pays + coût pour Gavi)</t>
    </r>
    <r>
      <rPr>
        <sz val="11"/>
        <color theme="1"/>
        <rFont val="Calibri"/>
        <family val="2"/>
        <scheme val="minor"/>
      </rPr>
      <t xml:space="preserve"> = Coût du vaccin + nombre de doses administrées x coût supplémentaire d'administration par dose + coûts d'introduction ou de changement (uniquement pour l'année 1)</t>
    </r>
  </si>
  <si>
    <t xml:space="preserve">* x = multiplié par </t>
  </si>
  <si>
    <t>Version 1.5 / 9 septembre 2020</t>
  </si>
  <si>
    <t>Calculateur du coût du vaccin pneumococcique conjugué</t>
  </si>
  <si>
    <r>
      <rPr>
        <sz val="10"/>
        <color theme="1"/>
        <rFont val="Calibri"/>
        <family val="2"/>
        <scheme val="minor"/>
      </rPr>
      <t>Si vous avez des questions ou si vous avez besoin d'aide, contactez l'équipe Health Economics &amp; Outcomes Research de PATH :</t>
    </r>
    <r>
      <rPr>
        <sz val="10"/>
        <color theme="1"/>
        <rFont val="Calibri"/>
        <family val="2"/>
        <scheme val="minor"/>
      </rPr>
      <t xml:space="preserve"> </t>
    </r>
    <r>
      <rPr>
        <u/>
        <sz val="10"/>
        <color theme="1"/>
        <rFont val="Calibri"/>
        <family val="2"/>
        <scheme val="minor"/>
      </rPr>
      <t>HEOR@path.org</t>
    </r>
  </si>
  <si>
    <t>Un outil simple d'évaluation et de comparaison des coûts des programmes de vaccination VPC pour chaque VPC disponible sur le marché mondial.</t>
  </si>
  <si>
    <t>Le calculateur du coût du vaccin pneumococcique conjugué est un outil qui aide les pays à comparer les produits et les coûts estimés des programmes de vaccination axés sur différents VPC, en explorant jusqu'à six options de vaccination différentes à la fois. L'outil calcule les coûts sur un an et sur une période totale de 10 ans. L'utilisateur doit saisir des données dans toutes les cellules à fond jaune. Lorsqu'elles sont disponibles, les données par défaut sont déjà saisies, accompagnées de leur origine. Les données par défaut ne s'appliquent qu'aux pays actuellement éligibles au cofinancement de Gavi. Les pays qui ne sont pas éligibles au soutien de Gavi doivent confirmer individuellement toutes les données saisies. L'outil génère des prévisions de coûts en fonction des meilleures informations actuellement disponibles pour chaque vaccin. L'ensemble des coûts sont exprimés en dollars US et, en cas de paiement en devise locale, une conversion doit être effectuée avant la saisie des valeurs dans les champs adéquats.</t>
  </si>
  <si>
    <r>
      <rPr>
        <b/>
        <sz val="16"/>
        <color rgb="FFFF0000"/>
        <rFont val="Calibri"/>
        <family val="2"/>
        <scheme val="minor"/>
      </rPr>
      <t>ÉTAPE 2</t>
    </r>
    <r>
      <rPr>
        <b/>
        <sz val="16"/>
        <color theme="1"/>
        <rFont val="Calibri"/>
        <family val="2"/>
        <scheme val="minor"/>
      </rPr>
      <t> :</t>
    </r>
    <r>
      <rPr>
        <b/>
        <sz val="16"/>
        <color theme="1"/>
        <rFont val="Calibri"/>
        <family val="2"/>
        <scheme val="minor"/>
      </rPr>
      <t xml:space="preserve"> </t>
    </r>
    <r>
      <rPr>
        <b/>
        <sz val="16"/>
        <color theme="1"/>
        <rFont val="Calibri"/>
        <family val="2"/>
        <scheme val="minor"/>
      </rPr>
      <t>COFINANCEMENT ET SOUTIEN FINANCIER</t>
    </r>
  </si>
  <si>
    <t>Phase de transition Gavi : veuillez sélectionner l'option appropriée dans le menu déroulant sur la droite</t>
  </si>
  <si>
    <t>Autre phase de transition</t>
  </si>
  <si>
    <t>Si vous avez sélectionné « Autre phase de transition », renseignez la part de cofinancement du pays ci-dessous</t>
  </si>
  <si>
    <r>
      <rPr>
        <b/>
        <i/>
        <sz val="10"/>
        <color theme="1"/>
        <rFont val="Calibri"/>
        <family val="2"/>
        <scheme val="minor"/>
      </rPr>
      <t xml:space="preserve">Calcul de la subvention à l’introduction des vaccins Gavi (SIV)
</t>
    </r>
    <r>
      <rPr>
        <i/>
        <sz val="10"/>
        <color theme="1"/>
        <rFont val="Calibri"/>
        <family val="2"/>
        <scheme val="minor"/>
      </rPr>
      <t>Le calcul de la SIV dépend de la phase de transition Gavi dans laquelle se trouve le pays :</t>
    </r>
    <r>
      <rPr>
        <i/>
        <sz val="10"/>
        <color theme="1"/>
        <rFont val="Calibri"/>
        <family val="2"/>
        <scheme val="minor"/>
      </rPr>
      <t xml:space="preserve">
</t>
    </r>
    <r>
      <rPr>
        <i/>
        <u/>
        <sz val="10"/>
        <color theme="1"/>
        <rFont val="Calibri"/>
        <family val="2"/>
        <scheme val="minor"/>
      </rPr>
      <t>Pays se trouvant dans la phase d'autofinancement initial</t>
    </r>
    <r>
      <rPr>
        <i/>
        <sz val="10"/>
        <color theme="1"/>
        <rFont val="Calibri"/>
        <family val="2"/>
        <scheme val="minor"/>
      </rPr>
      <t> :</t>
    </r>
    <r>
      <rPr>
        <i/>
        <sz val="10"/>
        <color theme="1"/>
        <rFont val="Calibri"/>
        <family val="2"/>
        <scheme val="minor"/>
      </rPr>
      <t xml:space="preserve"> </t>
    </r>
    <r>
      <rPr>
        <i/>
        <sz val="10"/>
        <color theme="1"/>
        <rFont val="Calibri"/>
        <family val="2"/>
        <scheme val="minor"/>
      </rPr>
      <t>0,80 $ par nourrisson dans la cohorte de naissance* pendant l'année d'introduction, ou montant forfaitaire de 100 000 $, le plus élevé des deux montants étant retenu.</t>
    </r>
    <r>
      <rPr>
        <i/>
        <sz val="10"/>
        <color theme="1"/>
        <rFont val="Calibri"/>
        <family val="2"/>
        <scheme val="minor"/>
      </rPr>
      <t xml:space="preserve"> 
</t>
    </r>
    <r>
      <rPr>
        <i/>
        <u/>
        <sz val="10"/>
        <color theme="1"/>
        <rFont val="Calibri"/>
        <family val="2"/>
        <scheme val="minor"/>
      </rPr>
      <t>Pays se trouvant dans la phase de transition préparatoire</t>
    </r>
    <r>
      <rPr>
        <i/>
        <sz val="10"/>
        <color theme="1"/>
        <rFont val="Calibri"/>
        <family val="2"/>
        <scheme val="minor"/>
      </rPr>
      <t> :</t>
    </r>
    <r>
      <rPr>
        <i/>
        <sz val="10"/>
        <color theme="1"/>
        <rFont val="Calibri"/>
        <family val="2"/>
        <scheme val="minor"/>
      </rPr>
      <t xml:space="preserve"> </t>
    </r>
    <r>
      <rPr>
        <i/>
        <sz val="10"/>
        <color theme="1"/>
        <rFont val="Calibri"/>
        <family val="2"/>
        <scheme val="minor"/>
      </rPr>
      <t>0,70 $ par nourrisson dans la cohorte de naissance* pendant l'année d'introduction, ou montant forfaitaire de 100 000 $, le plus élevé des deux montants étant retenu.</t>
    </r>
    <r>
      <rPr>
        <i/>
        <sz val="10"/>
        <color theme="1"/>
        <rFont val="Calibri"/>
        <family val="2"/>
        <scheme val="minor"/>
      </rPr>
      <t xml:space="preserve">
</t>
    </r>
    <r>
      <rPr>
        <i/>
        <u/>
        <sz val="10"/>
        <color theme="1"/>
        <rFont val="Calibri"/>
        <family val="2"/>
        <scheme val="minor"/>
      </rPr>
      <t>Pays se trouvant dans la phase de transition accélérée</t>
    </r>
    <r>
      <rPr>
        <i/>
        <sz val="10"/>
        <color theme="1"/>
        <rFont val="Calibri"/>
        <family val="2"/>
        <scheme val="minor"/>
      </rPr>
      <t> :</t>
    </r>
    <r>
      <rPr>
        <i/>
        <sz val="10"/>
        <color theme="1"/>
        <rFont val="Calibri"/>
        <family val="2"/>
        <scheme val="minor"/>
      </rPr>
      <t xml:space="preserve"> </t>
    </r>
    <r>
      <rPr>
        <i/>
        <sz val="10"/>
        <color theme="1"/>
        <rFont val="Calibri"/>
        <family val="2"/>
        <scheme val="minor"/>
      </rPr>
      <t>0,60 $ par nourrisson dans la cohorte de naissance* pendant l'année d'introduction, ou montant forfaitaire de 100 000 $, le plus élevé des deux montants étant retenu.</t>
    </r>
    <r>
      <rPr>
        <i/>
        <sz val="10"/>
        <color theme="1"/>
        <rFont val="Calibri"/>
        <family val="2"/>
        <scheme val="minor"/>
      </rPr>
      <t xml:space="preserve"> 
</t>
    </r>
    <r>
      <rPr>
        <b/>
        <i/>
        <sz val="10"/>
        <color theme="1"/>
        <rFont val="Calibri"/>
        <family val="2"/>
        <scheme val="minor"/>
      </rPr>
      <t xml:space="preserve">Calcul </t>
    </r>
    <r>
      <rPr>
        <b/>
        <i/>
        <sz val="10"/>
        <color rgb="FF000000"/>
        <rFont val="Calibri"/>
        <family val="2"/>
        <scheme val="minor"/>
      </rPr>
      <t>de la subvention au changement de</t>
    </r>
    <r>
      <rPr>
        <b/>
        <i/>
        <sz val="10"/>
        <color theme="1"/>
        <rFont val="Calibri"/>
        <family val="2"/>
        <scheme val="minor"/>
      </rPr>
      <t xml:space="preserve"> produit Gavi (SC)</t>
    </r>
    <r>
      <rPr>
        <i/>
        <sz val="10"/>
        <color theme="1"/>
        <rFont val="Calibri"/>
        <family val="2"/>
        <scheme val="minor"/>
      </rPr>
      <t xml:space="preserve">
Le calcul de la SC est identique pour tous les pays. Il correspond à 0,25 $ par nourrisson dans la cohorte de naissance.*</t>
    </r>
    <r>
      <rPr>
        <i/>
        <sz val="10"/>
        <color theme="1"/>
        <rFont val="Calibri"/>
        <family val="2"/>
        <scheme val="minor"/>
      </rPr>
      <t xml:space="preserve">
</t>
    </r>
    <r>
      <rPr>
        <i/>
        <sz val="10"/>
        <color theme="1"/>
        <rFont val="Calibri"/>
        <family val="2"/>
        <scheme val="minor"/>
      </rPr>
      <t>*Cohorte de naissance = naissances vivantes pendant l'année d'introduction</t>
    </r>
    <r>
      <rPr>
        <i/>
        <sz val="10"/>
        <color theme="1"/>
        <rFont val="Calibri"/>
        <family val="2"/>
        <scheme val="minor"/>
      </rPr>
      <t xml:space="preserve">
</t>
    </r>
  </si>
  <si>
    <r>
      <rPr>
        <b/>
        <sz val="12"/>
        <color theme="1"/>
        <rFont val="Calibri"/>
        <family val="2"/>
        <scheme val="minor"/>
      </rPr>
      <t>Part de cofinan</t>
    </r>
    <r>
      <rPr>
        <b/>
        <sz val="12"/>
        <color rgb="FF000000"/>
        <rFont val="Calibri"/>
        <family val="2"/>
        <scheme val="minor"/>
      </rPr>
      <t>c</t>
    </r>
    <r>
      <rPr>
        <b/>
        <sz val="12"/>
        <color theme="1"/>
        <rFont val="Calibri"/>
        <family val="2"/>
        <scheme val="minor"/>
      </rPr>
      <t>ement du pays</t>
    </r>
    <r>
      <rPr>
        <b/>
        <sz val="12"/>
        <color theme="1"/>
        <rFont val="Calibri"/>
        <family val="2"/>
        <scheme val="minor"/>
      </rPr>
      <t xml:space="preserve"> </t>
    </r>
  </si>
  <si>
    <t xml:space="preserve">
&gt;&gt;&gt;&gt;&gt;&gt;&gt;&gt;  COMMENCER ICI &gt;&gt;&gt;&gt;&gt;&gt;&gt;</t>
  </si>
  <si>
    <r>
      <rPr>
        <b/>
        <sz val="16"/>
        <color rgb="FFFF0000"/>
        <rFont val="Calibri"/>
        <family val="2"/>
        <scheme val="minor"/>
      </rPr>
      <t>ÉTAPE 1</t>
    </r>
    <r>
      <rPr>
        <b/>
        <sz val="16"/>
        <color theme="1"/>
        <rFont val="Calibri"/>
        <family val="2"/>
        <scheme val="minor"/>
      </rPr>
      <t> :</t>
    </r>
    <r>
      <rPr>
        <b/>
        <sz val="16"/>
        <color theme="1"/>
        <rFont val="Calibri"/>
        <family val="2"/>
        <scheme val="minor"/>
      </rPr>
      <t xml:space="preserve"> </t>
    </r>
    <r>
      <rPr>
        <b/>
        <sz val="16"/>
        <color theme="1"/>
        <rFont val="Calibri"/>
        <family val="2"/>
        <scheme val="minor"/>
      </rPr>
      <t>PROGRAMME DE VACCINATION</t>
    </r>
  </si>
  <si>
    <t>Année de référence (début)</t>
  </si>
  <si>
    <t>Population cible</t>
  </si>
  <si>
    <t>enfants par an</t>
  </si>
  <si>
    <t>Croissance annuelle de la population</t>
  </si>
  <si>
    <t>%</t>
  </si>
  <si>
    <t>Couverture vaccinale attendue, dose 1</t>
  </si>
  <si>
    <t>couverture annuelle</t>
  </si>
  <si>
    <t>Couverture vaccinale attendue, dose 2</t>
  </si>
  <si>
    <t>Couverture vaccinale attendue, dose 3</t>
  </si>
  <si>
    <t>Subvention à l'introduction des vaccins Gavi (SIV) ou subvention au changement de produit Gavi (SC)</t>
  </si>
  <si>
    <t>Les SIV et les SC sont des subventions ponctuelles accordées par Gavi pour compenser une part des coûts relatifs à l'introduction d'un nouveau vaccin ou au changement de vaccin. Pour bénéficier de conseils concernant les calculs, reportez-vous à l'encadré sur le côté.</t>
  </si>
  <si>
    <r>
      <rPr>
        <b/>
        <sz val="16"/>
        <color rgb="FFFF0000"/>
        <rFont val="Calibri"/>
        <family val="2"/>
        <scheme val="minor"/>
      </rPr>
      <t>ÉTAPE 3</t>
    </r>
    <r>
      <rPr>
        <b/>
        <sz val="16"/>
        <color theme="1"/>
        <rFont val="Calibri"/>
        <family val="2"/>
        <scheme val="minor"/>
      </rPr>
      <t> :</t>
    </r>
    <r>
      <rPr>
        <b/>
        <sz val="16"/>
        <color theme="1"/>
        <rFont val="Calibri"/>
        <family val="2"/>
        <scheme val="minor"/>
      </rPr>
      <t xml:space="preserve"> </t>
    </r>
    <r>
      <rPr>
        <b/>
        <sz val="16"/>
        <color theme="1"/>
        <rFont val="Calibri"/>
        <family val="2"/>
        <scheme val="minor"/>
      </rPr>
      <t>OPTIONS DE VACCINATION VPC</t>
    </r>
    <r>
      <rPr>
        <b/>
        <sz val="16"/>
        <color theme="1"/>
        <rFont val="Calibri"/>
        <family val="2"/>
        <scheme val="minor"/>
      </rPr>
      <t xml:space="preserve">                                                                               </t>
    </r>
  </si>
  <si>
    <t>OPTIONS SUPPLÉMENTAIRES</t>
  </si>
  <si>
    <t>Pour consulter le profil détaillé des vaccins, consultez le</t>
  </si>
  <si>
    <t>site Web de Gavi</t>
  </si>
  <si>
    <t>Pour plus d'informations sur le prix des vaccins pour les pays non éligibles au cofinancement de Gavi :</t>
  </si>
  <si>
    <t>COÛT DU VACCIN</t>
  </si>
  <si>
    <t>OPTION 1</t>
  </si>
  <si>
    <t>OPTION 2</t>
  </si>
  <si>
    <t>OPTION 3</t>
  </si>
  <si>
    <t>OPTION 4</t>
  </si>
  <si>
    <t>OPTION 5</t>
  </si>
  <si>
    <t>OPTION 6</t>
  </si>
  <si>
    <t>Vaccin et présentation retenus &gt;&gt;&gt;</t>
  </si>
  <si>
    <t>Synflorix, décavalent, 4 doses/solution liquide en flacon</t>
  </si>
  <si>
    <t>PNEUMOSIL, décavalent, 5 doses/solution liquide en flacon</t>
  </si>
  <si>
    <t>PNEUMOSIL, décavalent, 1 dose/solution liquide en flacon</t>
  </si>
  <si>
    <t>Prevenar 13, 13-valent, 1 dose/solution liquide en flacon</t>
  </si>
  <si>
    <t>Prevenar 13, 13-valent, 4 doses/solution liquide en flacon</t>
  </si>
  <si>
    <t>Synflorix, décavalent, 1 dose/solution liquide en flacon</t>
  </si>
  <si>
    <t>Prix par dose</t>
  </si>
  <si>
    <t>Commentaires</t>
  </si>
  <si>
    <t>Montant du cofinancement par dose</t>
  </si>
  <si>
    <t>-</t>
  </si>
  <si>
    <t>Nombre de doses prévues</t>
  </si>
  <si>
    <r>
      <rPr>
        <b/>
        <sz val="12"/>
        <color theme="1"/>
        <rFont val="Calibri"/>
        <family val="2"/>
        <scheme val="minor"/>
      </rPr>
      <t>Volume de la chaîne du froid par dose (en cm</t>
    </r>
    <r>
      <rPr>
        <b/>
        <vertAlign val="superscript"/>
        <sz val="12"/>
        <color theme="1"/>
        <rFont val="Calibri"/>
        <family val="2"/>
        <scheme val="minor"/>
      </rPr>
      <t>3</t>
    </r>
    <r>
      <rPr>
        <b/>
        <sz val="12"/>
        <color theme="1"/>
        <rFont val="Calibri"/>
        <family val="2"/>
        <scheme val="minor"/>
      </rPr>
      <t>)</t>
    </r>
  </si>
  <si>
    <t>Taux de perte</t>
  </si>
  <si>
    <t>D'après les Profils Détaillés des Produits (PDP) de Gavi, le taux de perte de cette présentation est estimé à environ</t>
  </si>
  <si>
    <t>Facteur de perte</t>
  </si>
  <si>
    <t>Traitement à l'échelle internationale</t>
  </si>
  <si>
    <t>en % du prix du vaccin</t>
  </si>
  <si>
    <t>Transport international</t>
  </si>
  <si>
    <t>prix par défaut communiqué par l'UNICEF</t>
  </si>
  <si>
    <t>Nbre de doses par réceptacle de sécurité</t>
  </si>
  <si>
    <t>Prix des seringues</t>
  </si>
  <si>
    <t>COÛTS DES PROGRAMMES DE VACCINATION</t>
  </si>
  <si>
    <t>Coûts ponctuels d'introduction ou de changement de vaccin</t>
  </si>
  <si>
    <t>montant forfaitaire ou budget pour la première année</t>
  </si>
  <si>
    <t>Coût supplémentaire d'administration par dose</t>
  </si>
  <si>
    <t>IDCC</t>
  </si>
  <si>
    <t>RÉSULTATS</t>
  </si>
  <si>
    <t>RÉSULTATS POUR LES OPTIONS SUPPLÉMENTAIRES</t>
  </si>
  <si>
    <t>La mise en forme conditionnelle met en évidence les cellules présentant les coûts sur 10 ans, de l'option de vaccination la plus économique (en vert foncé) à l'option de vaccination la plus coûteuse (en jaune).</t>
  </si>
  <si>
    <t>PROGRAMME DE VACCINATION</t>
  </si>
  <si>
    <t>Nombre de doses administrées</t>
  </si>
  <si>
    <t>Total
pour 10 ans</t>
  </si>
  <si>
    <r>
      <rPr>
        <b/>
        <sz val="12"/>
        <color theme="1"/>
        <rFont val="Calibri"/>
        <family val="2"/>
        <scheme val="minor"/>
      </rPr>
      <t xml:space="preserve">Nombre total de doses requises
</t>
    </r>
    <r>
      <rPr>
        <i/>
        <sz val="10"/>
        <color theme="1"/>
        <rFont val="Calibri"/>
        <family val="2"/>
        <scheme val="minor"/>
      </rPr>
      <t>doses perdues comprises</t>
    </r>
  </si>
  <si>
    <r>
      <rPr>
        <b/>
        <sz val="12"/>
        <color theme="1"/>
        <rFont val="Calibri"/>
        <family val="2"/>
        <scheme val="minor"/>
      </rPr>
      <t>Volume total requis de la chaîne du froid*
en cm</t>
    </r>
    <r>
      <rPr>
        <b/>
        <vertAlign val="superscript"/>
        <sz val="12"/>
        <color theme="1"/>
        <rFont val="Calibri"/>
        <family val="2"/>
        <scheme val="minor"/>
      </rPr>
      <t>3</t>
    </r>
  </si>
  <si>
    <t>*Le volume total requis de la chaîne du froid correspond au volume d’une année complète d’approvisionnement en vaccins. Le nombre d'expéditions de vaccins par an, ainsi que le système de distribution et de stockage au niveau des provinces/régions/districts doivent être pris en compte dans l’estimation de l’espace requis pour la chaîne du froid.</t>
  </si>
  <si>
    <t>COÛT POUR LE PAYS</t>
  </si>
  <si>
    <r>
      <rPr>
        <b/>
        <sz val="12"/>
        <color theme="1"/>
        <rFont val="Calibri"/>
        <family val="2"/>
        <scheme val="minor"/>
      </rPr>
      <t xml:space="preserve">Coût du vaccin
</t>
    </r>
    <r>
      <rPr>
        <i/>
        <sz val="10"/>
        <color theme="1"/>
        <rFont val="Calibri"/>
        <family val="2"/>
        <scheme val="minor"/>
      </rPr>
      <t>Coût d'achat du vaccin et du matériel</t>
    </r>
  </si>
  <si>
    <r>
      <rPr>
        <b/>
        <sz val="12"/>
        <color theme="1"/>
        <rFont val="Calibri"/>
        <family val="2"/>
        <scheme val="minor"/>
      </rPr>
      <t xml:space="preserve">Coût du programme de vaccination
</t>
    </r>
    <r>
      <rPr>
        <i/>
        <sz val="10"/>
        <color theme="1"/>
        <rFont val="Calibri"/>
        <family val="2"/>
        <scheme val="minor"/>
      </rPr>
      <t>Coût du vaccin + coûts supplémentaires du système de santé</t>
    </r>
  </si>
  <si>
    <t>COÛT POUR LE PAYS + COÛT POUR GAVI</t>
  </si>
  <si>
    <t>Récapitulatif des résultats pour la période de 10 ans</t>
  </si>
  <si>
    <t>Résultats annuels</t>
  </si>
  <si>
    <t>L'échelle de l'axe des ordonnées diffère d'une figure à l'autre.</t>
  </si>
  <si>
    <t>Vaccin et présentation</t>
  </si>
  <si>
    <t>Doses prévues</t>
  </si>
  <si>
    <t>Perte</t>
  </si>
  <si>
    <r>
      <t>Volume de la chaîne du froid (cm</t>
    </r>
    <r>
      <rPr>
        <b/>
        <vertAlign val="superscript"/>
        <sz val="11"/>
        <color theme="1"/>
        <rFont val="Calibri"/>
        <family val="2"/>
        <scheme val="minor"/>
      </rPr>
      <t>3</t>
    </r>
    <r>
      <rPr>
        <b/>
        <sz val="11"/>
        <color theme="1"/>
        <rFont val="Calibri"/>
        <family val="2"/>
        <scheme val="minor"/>
      </rPr>
      <t>) par dose</t>
    </r>
  </si>
  <si>
    <t>?</t>
  </si>
  <si>
    <t>Phase de transition Gavi</t>
  </si>
  <si>
    <t>Phase d'autofinancement initial</t>
  </si>
  <si>
    <t>ON THE                              MENU</t>
  </si>
  <si>
    <t>OTHER PREQUALIFIED VACCINES NOT ON THE GAVI MENU</t>
  </si>
  <si>
    <t>The vaccines listed below are not offered by Gavi and are not listed in the country application portal.   The vaccines listed in this section are provided for information only.   The DPPs will be updated on a fixed schedule (approximately every 6 months) or with more frequency if required.</t>
  </si>
  <si>
    <t xml:space="preserve">The vaccines listed below are currently offered by Gavi and listed in the country application portal.   
</t>
  </si>
  <si>
    <r>
      <t>Vaccine group</t>
    </r>
    <r>
      <rPr>
        <vertAlign val="superscript"/>
        <sz val="14"/>
        <color indexed="8"/>
        <rFont val="Calibri"/>
        <family val="2"/>
      </rPr>
      <t xml:space="preserve">1 </t>
    </r>
  </si>
  <si>
    <t>Pneumococcal conjugate vaccine (PCV)</t>
  </si>
  <si>
    <r>
      <t>Vaccine type</t>
    </r>
    <r>
      <rPr>
        <vertAlign val="superscript"/>
        <sz val="14"/>
        <color indexed="8"/>
        <rFont val="Calibri"/>
        <family val="2"/>
      </rPr>
      <t xml:space="preserve">1 </t>
    </r>
  </si>
  <si>
    <t>Pneumococcal conjugate vaccine, 10 valent</t>
  </si>
  <si>
    <t xml:space="preserve">Pneumococcal conjugate vaccine, 13 valent </t>
  </si>
  <si>
    <r>
      <t>Serotypes</t>
    </r>
    <r>
      <rPr>
        <vertAlign val="superscript"/>
        <sz val="14"/>
        <color indexed="8"/>
        <rFont val="Calibri"/>
        <family val="2"/>
      </rPr>
      <t>1</t>
    </r>
  </si>
  <si>
    <t>1, 4, 5, 6B, 7F, 9V, 14, 18C, 19F and 23F</t>
  </si>
  <si>
    <t>1, 5, 6A, 6B, 7F, 9V, 14, 19A, 19F, 23F</t>
  </si>
  <si>
    <t xml:space="preserve">1, 3, 4, 5, 6A, 6B, 7F, 9V, 14, 18C, 19A, 19F, 23F </t>
  </si>
  <si>
    <r>
      <t>Manufacturer</t>
    </r>
    <r>
      <rPr>
        <b/>
        <vertAlign val="superscript"/>
        <sz val="14"/>
        <color indexed="8"/>
        <rFont val="Calibri"/>
        <family val="2"/>
      </rPr>
      <t>1</t>
    </r>
  </si>
  <si>
    <t>GlaxoSmithKline</t>
  </si>
  <si>
    <t>Serum Institute of India Ltd.</t>
  </si>
  <si>
    <t>Pfizer</t>
  </si>
  <si>
    <r>
      <t>Vaccine trade name</t>
    </r>
    <r>
      <rPr>
        <b/>
        <vertAlign val="superscript"/>
        <sz val="14"/>
        <color indexed="8"/>
        <rFont val="Calibri"/>
        <family val="2"/>
      </rPr>
      <t>1</t>
    </r>
  </si>
  <si>
    <t>Synflorix</t>
  </si>
  <si>
    <t>Pneumosil</t>
  </si>
  <si>
    <t>Prevenar 13</t>
  </si>
  <si>
    <r>
      <t>Country of manufacture</t>
    </r>
    <r>
      <rPr>
        <vertAlign val="superscript"/>
        <sz val="14"/>
        <color indexed="8"/>
        <rFont val="Calibri"/>
        <family val="2"/>
      </rPr>
      <t>1</t>
    </r>
  </si>
  <si>
    <t>Belgium</t>
  </si>
  <si>
    <t>India</t>
  </si>
  <si>
    <t>UK</t>
  </si>
  <si>
    <r>
      <t>National regulatory agency</t>
    </r>
    <r>
      <rPr>
        <vertAlign val="superscript"/>
        <sz val="14"/>
        <color indexed="8"/>
        <rFont val="Calibri"/>
        <family val="2"/>
      </rPr>
      <t>1</t>
    </r>
  </si>
  <si>
    <t>European Medicines Agency (EMA)</t>
  </si>
  <si>
    <t>DCGI (India)</t>
  </si>
  <si>
    <r>
      <t>Presentation (doses per container, primary container type, pharmaceutical form)</t>
    </r>
    <r>
      <rPr>
        <b/>
        <vertAlign val="superscript"/>
        <sz val="14"/>
        <color indexed="8"/>
        <rFont val="Calibri"/>
        <family val="2"/>
      </rPr>
      <t>1</t>
    </r>
  </si>
  <si>
    <t>PCV10, 2 doses/vial, liquid****</t>
  </si>
  <si>
    <t>PCV10, 4 doses/vial, liquid</t>
  </si>
  <si>
    <t>PCV10, 5 doses/vial, liquid</t>
  </si>
  <si>
    <t>PCV13, 1 dose/vial, liquid</t>
  </si>
  <si>
    <t>PCV13, 4 doses/vial, liquid</t>
  </si>
  <si>
    <t>1 dose vial, liquid</t>
  </si>
  <si>
    <r>
      <t>Product availability 2020</t>
    </r>
    <r>
      <rPr>
        <vertAlign val="superscript"/>
        <sz val="14"/>
        <color indexed="8"/>
        <rFont val="Calibri"/>
        <family val="2"/>
      </rPr>
      <t>2</t>
    </r>
  </si>
  <si>
    <t>not available</t>
  </si>
  <si>
    <t>needs planning</t>
  </si>
  <si>
    <t>TBD</t>
  </si>
  <si>
    <t>n/a</t>
  </si>
  <si>
    <t>Routine and/or campaign</t>
  </si>
  <si>
    <t>routine</t>
  </si>
  <si>
    <r>
      <t>WHO recommended vaccine schedule</t>
    </r>
    <r>
      <rPr>
        <vertAlign val="superscript"/>
        <sz val="14"/>
        <color indexed="8"/>
        <rFont val="Calibri"/>
        <family val="2"/>
      </rPr>
      <t>3</t>
    </r>
  </si>
  <si>
    <t>3  doses</t>
  </si>
  <si>
    <t>3 doses</t>
  </si>
  <si>
    <r>
      <t>2020 price per dose (USD)</t>
    </r>
    <r>
      <rPr>
        <vertAlign val="superscript"/>
        <sz val="14"/>
        <color indexed="8"/>
        <rFont val="Calibri"/>
        <family val="2"/>
      </rPr>
      <t>4</t>
    </r>
  </si>
  <si>
    <t>Doses per fully immunised person</t>
  </si>
  <si>
    <r>
      <t xml:space="preserve">2020 price per fully immunised person (USD) </t>
    </r>
    <r>
      <rPr>
        <vertAlign val="superscript"/>
        <sz val="14"/>
        <color indexed="8"/>
        <rFont val="Calibri"/>
        <family val="2"/>
      </rPr>
      <t>4</t>
    </r>
  </si>
  <si>
    <r>
      <t>Indicative wastage rate</t>
    </r>
    <r>
      <rPr>
        <vertAlign val="superscript"/>
        <sz val="14"/>
        <color indexed="8"/>
        <rFont val="Calibri"/>
        <family val="2"/>
      </rPr>
      <t>5</t>
    </r>
  </si>
  <si>
    <r>
      <t>Country specific actual wastage rate (</t>
    </r>
    <r>
      <rPr>
        <b/>
        <sz val="14"/>
        <color indexed="8"/>
        <rFont val="Calibri"/>
        <family val="2"/>
      </rPr>
      <t>input required</t>
    </r>
    <r>
      <rPr>
        <sz val="14"/>
        <color indexed="8"/>
        <rFont val="Calibri"/>
        <family val="2"/>
      </rPr>
      <t>)</t>
    </r>
    <r>
      <rPr>
        <vertAlign val="superscript"/>
        <sz val="14"/>
        <color indexed="8"/>
        <rFont val="Calibri"/>
        <family val="2"/>
      </rPr>
      <t>4</t>
    </r>
  </si>
  <si>
    <r>
      <t>2020 wastage adjusted price per fully immunised person (USD)</t>
    </r>
    <r>
      <rPr>
        <vertAlign val="superscript"/>
        <sz val="14"/>
        <color indexed="8"/>
        <rFont val="Calibri"/>
        <family val="2"/>
      </rPr>
      <t>4</t>
    </r>
  </si>
  <si>
    <r>
      <t>WHO PQ-date</t>
    </r>
    <r>
      <rPr>
        <vertAlign val="superscript"/>
        <sz val="14"/>
        <color indexed="8"/>
        <rFont val="Calibri"/>
        <family val="2"/>
      </rPr>
      <t>1</t>
    </r>
  </si>
  <si>
    <t>Prequalification expected in Q1 2020</t>
  </si>
  <si>
    <r>
      <t>Administration</t>
    </r>
    <r>
      <rPr>
        <vertAlign val="superscript"/>
        <sz val="14"/>
        <color indexed="8"/>
        <rFont val="Calibri"/>
        <family val="2"/>
      </rPr>
      <t>1</t>
    </r>
  </si>
  <si>
    <t>intramuscular</t>
  </si>
  <si>
    <r>
      <t>Secondary packaging</t>
    </r>
    <r>
      <rPr>
        <vertAlign val="superscript"/>
        <sz val="14"/>
        <color indexed="8"/>
        <rFont val="Calibri"/>
        <family val="2"/>
      </rPr>
      <t>1</t>
    </r>
  </si>
  <si>
    <t>carton of 100 vials</t>
  </si>
  <si>
    <t>carton of 300 vials</t>
  </si>
  <si>
    <r>
      <rPr>
        <sz val="14"/>
        <color indexed="55"/>
        <rFont val="Calibri"/>
        <family val="2"/>
      </rPr>
      <t>carton of 25 vials</t>
    </r>
    <r>
      <rPr>
        <sz val="14"/>
        <color indexed="8"/>
        <rFont val="Calibri"/>
        <family val="2"/>
      </rPr>
      <t xml:space="preserve">
carton of 50 vials *</t>
    </r>
  </si>
  <si>
    <r>
      <rPr>
        <sz val="14"/>
        <color indexed="55"/>
        <rFont val="Calibri"/>
        <family val="2"/>
      </rPr>
      <t>carton of 25 vials</t>
    </r>
    <r>
      <rPr>
        <sz val="14"/>
        <color indexed="8"/>
        <rFont val="Calibri"/>
        <family val="2"/>
      </rPr>
      <t xml:space="preserve">
</t>
    </r>
    <r>
      <rPr>
        <sz val="14"/>
        <rFont val="Calibri"/>
        <family val="2"/>
      </rPr>
      <t>carton of 50 vials</t>
    </r>
    <r>
      <rPr>
        <sz val="14"/>
        <color indexed="55"/>
        <rFont val="Calibri"/>
        <family val="2"/>
      </rPr>
      <t xml:space="preserve"> *</t>
    </r>
  </si>
  <si>
    <t>carton of 1 vial
carton of 10 vials
carton of 100 vials</t>
  </si>
  <si>
    <r>
      <t>Shelf-life</t>
    </r>
    <r>
      <rPr>
        <vertAlign val="superscript"/>
        <sz val="14"/>
        <color indexed="8"/>
        <rFont val="Calibri"/>
        <family val="2"/>
      </rPr>
      <t>1</t>
    </r>
  </si>
  <si>
    <t>48 months at 2 - 8 °C</t>
  </si>
  <si>
    <t>36 months at 2 - 8 °C</t>
  </si>
  <si>
    <t>36 months at  2 - 8 °C</t>
  </si>
  <si>
    <r>
      <t>Cold chain volume per dose (cm</t>
    </r>
    <r>
      <rPr>
        <vertAlign val="superscript"/>
        <sz val="14"/>
        <color indexed="8"/>
        <rFont val="Calibri"/>
        <family val="2"/>
      </rPr>
      <t>3</t>
    </r>
    <r>
      <rPr>
        <sz val="14"/>
        <color indexed="8"/>
        <rFont val="Calibri"/>
        <family val="2"/>
      </rPr>
      <t>)</t>
    </r>
    <r>
      <rPr>
        <vertAlign val="superscript"/>
        <sz val="14"/>
        <color indexed="8"/>
        <rFont val="Calibri"/>
        <family val="2"/>
      </rPr>
      <t>1</t>
    </r>
  </si>
  <si>
    <r>
      <t>4.8 cm</t>
    </r>
    <r>
      <rPr>
        <vertAlign val="superscript"/>
        <sz val="14"/>
        <color indexed="8"/>
        <rFont val="Calibri"/>
        <family val="2"/>
      </rPr>
      <t>3</t>
    </r>
  </si>
  <si>
    <r>
      <t>2.4 cm</t>
    </r>
    <r>
      <rPr>
        <sz val="14"/>
        <color indexed="8"/>
        <rFont val="Calibri"/>
        <family val="2"/>
      </rPr>
      <t>³</t>
    </r>
  </si>
  <si>
    <r>
      <t>3.5 cm</t>
    </r>
    <r>
      <rPr>
        <sz val="14"/>
        <color theme="1"/>
        <rFont val="Calibri"/>
        <family val="2"/>
      </rPr>
      <t>³</t>
    </r>
  </si>
  <si>
    <r>
      <t>12 cm</t>
    </r>
    <r>
      <rPr>
        <vertAlign val="superscript"/>
        <sz val="14"/>
        <color indexed="8"/>
        <rFont val="Calibri"/>
        <family val="2"/>
      </rPr>
      <t>3</t>
    </r>
    <r>
      <rPr>
        <sz val="14"/>
        <color indexed="8"/>
        <rFont val="Calibri"/>
        <family val="2"/>
      </rPr>
      <t>*</t>
    </r>
  </si>
  <si>
    <r>
      <t>3.5 cm</t>
    </r>
    <r>
      <rPr>
        <sz val="14"/>
        <color indexed="8"/>
        <rFont val="Calibri"/>
        <family val="2"/>
      </rPr>
      <t>³</t>
    </r>
    <r>
      <rPr>
        <sz val="14"/>
        <color indexed="8"/>
        <rFont val="Calibri"/>
        <family val="2"/>
      </rPr>
      <t>*</t>
    </r>
  </si>
  <si>
    <r>
      <t>carton of 1 vial : 58 cm</t>
    </r>
    <r>
      <rPr>
        <vertAlign val="superscript"/>
        <sz val="14"/>
        <color indexed="8"/>
        <rFont val="Calibri"/>
        <family val="2"/>
      </rPr>
      <t>3</t>
    </r>
    <r>
      <rPr>
        <sz val="14"/>
        <color indexed="8"/>
        <rFont val="Calibri"/>
        <family val="2"/>
      </rPr>
      <t xml:space="preserve">
carton of 10 vials : 11.5 cm</t>
    </r>
    <r>
      <rPr>
        <vertAlign val="superscript"/>
        <sz val="14"/>
        <color indexed="8"/>
        <rFont val="Calibri"/>
        <family val="2"/>
      </rPr>
      <t>3</t>
    </r>
    <r>
      <rPr>
        <sz val="14"/>
        <color indexed="8"/>
        <rFont val="Calibri"/>
        <family val="2"/>
      </rPr>
      <t xml:space="preserve">
carton of 100 vials :10 cm</t>
    </r>
    <r>
      <rPr>
        <vertAlign val="superscript"/>
        <sz val="14"/>
        <color indexed="8"/>
        <rFont val="Calibri"/>
        <family val="2"/>
      </rPr>
      <t>3</t>
    </r>
  </si>
  <si>
    <r>
      <t>Cold chain volume per fully immunised person  (cm³)</t>
    </r>
    <r>
      <rPr>
        <sz val="14"/>
        <rFont val="Calibri"/>
        <family val="2"/>
      </rPr>
      <t xml:space="preserve">¹ </t>
    </r>
  </si>
  <si>
    <r>
      <t>14.4 cm</t>
    </r>
    <r>
      <rPr>
        <vertAlign val="superscript"/>
        <sz val="14"/>
        <rFont val="Calibri"/>
        <family val="2"/>
      </rPr>
      <t>3</t>
    </r>
  </si>
  <si>
    <r>
      <t>7.2 cm</t>
    </r>
    <r>
      <rPr>
        <sz val="14"/>
        <rFont val="Calibri"/>
        <family val="2"/>
      </rPr>
      <t>³</t>
    </r>
  </si>
  <si>
    <r>
      <t>10.5 cm</t>
    </r>
    <r>
      <rPr>
        <sz val="14"/>
        <rFont val="Calibri"/>
        <family val="2"/>
      </rPr>
      <t>³</t>
    </r>
  </si>
  <si>
    <r>
      <t>36 cm</t>
    </r>
    <r>
      <rPr>
        <vertAlign val="superscript"/>
        <sz val="14"/>
        <rFont val="Calibri"/>
        <family val="2"/>
      </rPr>
      <t>3</t>
    </r>
    <r>
      <rPr>
        <sz val="14"/>
        <rFont val="Calibri"/>
        <family val="2"/>
      </rPr>
      <t>*</t>
    </r>
  </si>
  <si>
    <t>10.5 cm³</t>
  </si>
  <si>
    <t xml:space="preserve">Cold chain volume per fully immunised person  (cm³)¹ </t>
  </si>
  <si>
    <r>
      <t xml:space="preserve">Wastage adjusted cold chain volume per fully immunised person  (cm³)¹ </t>
    </r>
    <r>
      <rPr>
        <sz val="14"/>
        <rFont val="Calibri"/>
        <family val="2"/>
      </rPr>
      <t xml:space="preserve">⁵ </t>
    </r>
  </si>
  <si>
    <r>
      <t>16.0 cm</t>
    </r>
    <r>
      <rPr>
        <vertAlign val="superscript"/>
        <sz val="14"/>
        <rFont val="Calibri"/>
        <family val="2"/>
      </rPr>
      <t>3</t>
    </r>
  </si>
  <si>
    <r>
      <t>8.0 cm</t>
    </r>
    <r>
      <rPr>
        <sz val="14"/>
        <rFont val="Calibri"/>
        <family val="2"/>
      </rPr>
      <t>³</t>
    </r>
  </si>
  <si>
    <r>
      <t>11.67 cm</t>
    </r>
    <r>
      <rPr>
        <sz val="14"/>
        <rFont val="Calibri"/>
        <family val="2"/>
      </rPr>
      <t>³</t>
    </r>
  </si>
  <si>
    <r>
      <t>37.89 cm</t>
    </r>
    <r>
      <rPr>
        <vertAlign val="superscript"/>
        <sz val="14"/>
        <rFont val="Calibri"/>
        <family val="2"/>
      </rPr>
      <t>3</t>
    </r>
    <r>
      <rPr>
        <sz val="14"/>
        <rFont val="Calibri"/>
        <family val="2"/>
      </rPr>
      <t>*</t>
    </r>
  </si>
  <si>
    <t>11.67 cm³</t>
  </si>
  <si>
    <t xml:space="preserve">Wastage adjusted cold chain volume per fully immunised person  (cm³)¹ ⁵ </t>
  </si>
  <si>
    <r>
      <t>Vaccine vial monitor type</t>
    </r>
    <r>
      <rPr>
        <vertAlign val="superscript"/>
        <sz val="14"/>
        <color indexed="8"/>
        <rFont val="Calibri"/>
        <family val="2"/>
      </rPr>
      <t>1</t>
    </r>
  </si>
  <si>
    <t xml:space="preserve">Type 30 </t>
  </si>
  <si>
    <t>Type 30</t>
  </si>
  <si>
    <r>
      <t>Handling open vials</t>
    </r>
    <r>
      <rPr>
        <vertAlign val="superscript"/>
        <sz val="14"/>
        <color indexed="8"/>
        <rFont val="Calibri"/>
        <family val="2"/>
      </rPr>
      <t>1</t>
    </r>
  </si>
  <si>
    <t>WHO recommends that opened vials of 
this vaccine should be discarded 6 hours after opening or at the end of the immunization session, whichever comes first.**</t>
  </si>
  <si>
    <t>WHO recommends that opened vials of this vaccine may be kept for use in subsequent immunization sessions (up to a maximum of 28 days) provided the conditions outlined in the WHO Policy Statement: The use of opened multi-dose vials of vaccine in subsequent immunization sessions are met.***</t>
  </si>
  <si>
    <t>28 days from the withdrawal of the first injection if held at 2 to 8°C</t>
  </si>
  <si>
    <t>WHO recommends that opened vials of this vaccine may be kept for use in subsequent immunization sessions (up to a maximum of 28 days) provided the conditions outlined in the WHO Policy Statement. The use of opened multi-dose vials of vaccine in subsequent immunization sessions are met.***</t>
  </si>
  <si>
    <t>Controlled Temperature Chain (CTC)¹</t>
  </si>
  <si>
    <r>
      <t>WHO PQ link</t>
    </r>
    <r>
      <rPr>
        <vertAlign val="superscript"/>
        <sz val="14"/>
        <color indexed="8"/>
        <rFont val="Calibri"/>
        <family val="2"/>
      </rPr>
      <t>1</t>
    </r>
  </si>
  <si>
    <t>https://extranet.who.int/gavi/PQ_Web/PreviewVaccine.aspx?nav=0&amp;ID=198</t>
  </si>
  <si>
    <t>https://extranet.who.int/gavi/PQ_Web/PreviewVaccine.aspx?nav=0&amp;ID=341</t>
  </si>
  <si>
    <t>https://extranet.who.int/gavi/PQ_Web/PreviewVaccine.aspx?nav=0&amp;ID=221</t>
  </si>
  <si>
    <t>https://extranet.who.int/gavi/PQ_Web/PreviewVaccine.aspx?nav=0&amp;ID=317</t>
  </si>
  <si>
    <t>https://extranet.who.int/gavi/PQ_Web/PreviewVaccine.aspx?nav=0&amp;ID=191</t>
  </si>
  <si>
    <r>
      <t>Remarks WHO</t>
    </r>
    <r>
      <rPr>
        <vertAlign val="superscript"/>
        <sz val="14"/>
        <color indexed="8"/>
        <rFont val="Calibri"/>
        <family val="2"/>
      </rPr>
      <t>1</t>
    </r>
  </si>
  <si>
    <t xml:space="preserve">A two dose preservative-free liquid presentation is  a novel presentation for UN supported EPI programmes. Therefore its use requires specific training for immunization staff and it will undergo formal post-introduction monitoring.** </t>
  </si>
  <si>
    <t>Notes</t>
  </si>
  <si>
    <t>1 Source: WHO PQ webpage: WHO updates these webpages as new information on products becomes available. Please refer to these pages (WHO PQ link) for the most up-to-date information. For presentations not yet WHO prequalified, data is based on discussions with manufacturers and partners in 2019.</t>
  </si>
  <si>
    <t>2 Source: UNICEF PRODUCT MENU FOR VACCINES SUPPLIED BY UNICEF FOR GAVI, THE VACCINE ALLIANCE (https://www.unicef.org/supply/files/Product_Menu_Jan_2020.pdf)</t>
  </si>
  <si>
    <t>3 Source: WHO position paper: http://www.who.int/immunization/documents/positionpapers/en/</t>
  </si>
  <si>
    <t xml:space="preserve">4 Source: Gavi Secretariat, see definitions tab for details </t>
  </si>
  <si>
    <t>5 Source: Review of WHO vaccine wastage rate tool, 2019</t>
  </si>
  <si>
    <t>* This secondary packaging is procured for Gavi countries by UNICEF. For this presentation, the secondary packaging without an asterisk in grey font is not procured on behalf of Gavi.</t>
  </si>
  <si>
    <t>**For more information see: http://www.who.int/immunization_standards/vaccine_quality/synflorix_pqnote_2dose_2012/en/ 
and http://www.who.int/immunization_standards/vaccine_quality/synflorix_pqnote/en/</t>
  </si>
  <si>
    <t>*** For more information see: https://extranet.who.int/gavi/PQ_Web/</t>
  </si>
  <si>
    <t>**** Presentation no longer available starting 2020. Last doses will be shipped in 2019</t>
  </si>
  <si>
    <t>Version 1.0</t>
  </si>
  <si>
    <t>Date</t>
  </si>
  <si>
    <t>Change</t>
  </si>
  <si>
    <t>Adaptation from RV tool</t>
  </si>
  <si>
    <t>Version 1.1</t>
  </si>
  <si>
    <t>Added syringes in model inputs, calculation of vaccine costs and formulas
Added Pneumosil 1 dose vial
Added link to WHO/MI4A database
Added link to WHO PCV Position paper
Added a disclaimer re: cold chain volume in model inputs sheet</t>
  </si>
  <si>
    <t>Version 1.2</t>
  </si>
  <si>
    <t>Incoporated feedback from HQ review
Remove reference to negative cold chain</t>
  </si>
  <si>
    <t>Version 1.3</t>
  </si>
  <si>
    <t>Incorporated feedback from Gail Rodgers and Emily Nickels
Updated PCv product data with latest PCV product profile slide deck from Gavi</t>
  </si>
  <si>
    <t>Version 1.4</t>
  </si>
  <si>
    <t>Remove Synflorix 2 dose vial as not produced anymore
Open the cells related to vaccine price/co fi so that non Gavi countries could indicate their own non-Gavi price</t>
  </si>
  <si>
    <t>Version 1.5</t>
  </si>
  <si>
    <t>Incorporated feedback from HQ review (Debbie A)</t>
  </si>
  <si>
    <t>L'outil calcule les coûts sur un an et sur une période totale de 10 ans. L'estimation du coût des vaccins (achat des vaccins et du matériel nécessaire, expéditions internationales) et des coûts des programmes de vaccination (coûts des vaccins et coûts d'administration) est présentée selon deux perspectives : (1) selon le pays (2) et selon une perspective combinée pays + Gavi (qui ne s’applique qu’aux pays éligibles au cofinancement de Gavi). Le point de vue du pays représente uniquement les dépenses imputées sur le budget national, tandis que la perspective combinée pays + Gavi représente également le cofinancement, par Gavi, des vaccins et des subventions. L'ensemble des coûts sont exprimés en dollars US et, en cas de paiement en devise locale, une conversion doit être effectuée avant la saisie des valeurs dans les champs adéquats.</t>
  </si>
  <si>
    <t xml:space="preserve">Sur cette feuille de calcul, l'utilisateur doit saisir des données dans toutes les cellules à fond jaune. Lorsqu'elles sont disponibles, les données par défaut sont déjà saisies, accompagnées de leur source. Les données par défaut ne s'appliquent qu'aux pays actuellement éligibles au cofinancement de Gavi. Les pays qui ne sont pas éligibles au soutien de Gavi doivent confirmer individuellement toutes les données saisies. Il convient d'effectuer les trois étapes ci-dessous afin d'obtenir des résultats. </t>
  </si>
  <si>
    <t>Si votre pays se trouve dans la phase d'autofinancement initial Gavi, les calculs du cofinancement seront automatiques. Le montant du cofinancement apparaîtra pour chaque dose, conformément aux directives de Gavi (soit 0,20 $ par dose).</t>
  </si>
  <si>
    <t>Si votre pays se trouve dans une autre phase de transition Gavi (transition préparatoire ou transition accélérée), saisissez la part de cofinancement de votre pays pour chacune des 10 années. Si vous ne connaissez pas la part de cofinancement de votre pays, contactez votre responsable pays (Senior Country Manager).</t>
  </si>
  <si>
    <r>
      <t>·</t>
    </r>
    <r>
      <rPr>
        <sz val="7"/>
        <color theme="1"/>
        <rFont val="Times New Roman"/>
        <family val="1"/>
      </rPr>
      <t> </t>
    </r>
    <r>
      <rPr>
        <i/>
        <sz val="11"/>
        <color theme="1"/>
        <rFont val="Calibri"/>
        <family val="2"/>
        <scheme val="minor"/>
      </rPr>
      <t>Prix des boîtes de sécurité :</t>
    </r>
    <r>
      <rPr>
        <sz val="11"/>
        <color theme="1"/>
        <rFont val="Calibri"/>
        <family val="2"/>
        <scheme val="minor"/>
      </rPr>
      <t xml:space="preserve"> saisissez le prix des boîtes de sécurité utilisés au cours des activités de vaccination VPC. Les prix standard figurent sur le site Web de l'UNICEF.</t>
    </r>
  </si>
  <si>
    <r>
      <t>·</t>
    </r>
    <r>
      <rPr>
        <sz val="7"/>
        <color theme="1"/>
        <rFont val="Times New Roman"/>
        <family val="1"/>
      </rPr>
      <t xml:space="preserve"> </t>
    </r>
    <r>
      <rPr>
        <i/>
        <sz val="11"/>
        <color theme="1"/>
        <rFont val="Calibri"/>
        <family val="2"/>
        <scheme val="minor"/>
      </rPr>
      <t>Volume des boîtes de sécurité :</t>
    </r>
    <r>
      <rPr>
        <sz val="11"/>
        <color theme="1"/>
        <rFont val="Calibri"/>
        <family val="2"/>
        <scheme val="minor"/>
      </rPr>
      <t xml:space="preserve"> nombre de doses qu'un réceptacle peut contenir. Cette valeur est importante pour le calcul du nombre de boîtes nécessaires pour les activités de vaccination VPC.</t>
    </r>
  </si>
  <si>
    <t>Immunization Delivery Cost Catalogue</t>
  </si>
  <si>
    <r>
      <t>Cette section présente les coût</t>
    </r>
    <r>
      <rPr>
        <sz val="11"/>
        <color rgb="FF000000"/>
        <rFont val="Calibri"/>
        <family val="2"/>
        <scheme val="minor"/>
      </rPr>
      <t>s</t>
    </r>
    <r>
      <rPr>
        <sz val="11"/>
        <color theme="1"/>
        <rFont val="Calibri"/>
        <family val="2"/>
        <scheme val="minor"/>
      </rPr>
      <t xml:space="preserve"> du point de vue du pays.</t>
    </r>
    <r>
      <rPr>
        <sz val="11"/>
        <color theme="1"/>
        <rFont val="Calibri"/>
        <family val="2"/>
        <scheme val="minor"/>
      </rPr>
      <t xml:space="preserve"> </t>
    </r>
    <r>
      <rPr>
        <sz val="11"/>
        <color theme="1"/>
        <rFont val="Calibri"/>
        <family val="2"/>
        <scheme val="minor"/>
      </rPr>
      <t>Le coût vaccinal, qui correspond à l'achat du vaccin et des produits de base, est fourni séparément à partir du coût total du programme de vaccination, qui inclut le coût du vaccin et les coûts supplémentaires du système de santé.</t>
    </r>
  </si>
  <si>
    <r>
      <t>Coût du vaccin (pour le pays)</t>
    </r>
    <r>
      <rPr>
        <sz val="11"/>
        <color theme="1"/>
        <rFont val="Calibri"/>
        <family val="2"/>
        <scheme val="minor"/>
      </rPr>
      <t xml:space="preserve"> = Nombre total de doses nécessaires x (montant du cofinancement par dose + montant du cofinancement par dose x traitement à l'échelle internationale + montant du cofinancement par dose x transport international) + (nombre de doses administrées / volume de la boîte de sécurité x prix de la boîte de sécurité) + (nombre de doses administrées x prix de la seringue)</t>
    </r>
  </si>
  <si>
    <r>
      <t>Coût du vaccin (coût pour le pays + coût pour Gavi)</t>
    </r>
    <r>
      <rPr>
        <sz val="11"/>
        <color theme="1"/>
        <rFont val="Calibri"/>
        <family val="2"/>
        <scheme val="minor"/>
      </rPr>
      <t xml:space="preserve"> = Nombre total de doses nécessaires x (prix du vaccin par dose + prix du vaccin par dose x traitement à l'échelle internationale + prix du vaccin par dose x transport international) + (nombre de doses administrées / volume de la boîte de sécurité x prix de la boîte de sécurité) + (nombre de doses administrées x prix de la seringue)</t>
    </r>
  </si>
  <si>
    <r>
      <t xml:space="preserve">Veillez à compléter toutes les informations requises, sous cet onglet, pour les trois étapes suivantes </t>
    </r>
    <r>
      <rPr>
        <u/>
        <sz val="10.5"/>
        <color theme="1"/>
        <rFont val="Calibri"/>
        <family val="2"/>
        <scheme val="minor"/>
      </rPr>
      <t>avant</t>
    </r>
    <r>
      <rPr>
        <sz val="10.5"/>
        <color theme="1"/>
        <rFont val="Calibri"/>
        <family val="2"/>
        <scheme val="minor"/>
      </rPr>
      <t xml:space="preserve"> de passer à l'onglet </t>
    </r>
    <r>
      <rPr>
        <b/>
        <sz val="10.5"/>
        <color theme="1"/>
        <rFont val="Calibri"/>
        <family val="2"/>
        <scheme val="minor"/>
      </rPr>
      <t>Résultats</t>
    </r>
    <r>
      <rPr>
        <sz val="10.5"/>
        <color theme="1"/>
        <rFont val="Calibri"/>
        <family val="2"/>
        <scheme val="minor"/>
      </rPr>
      <t xml:space="preserve"> :
- Étape 1 : Programme de vaccination 
- Étape 2 : Cofinancement et soutien financier
- Étape 3 : Options de vaccination VPC
</t>
    </r>
    <r>
      <rPr>
        <b/>
        <i/>
        <u/>
        <sz val="10.5"/>
        <color rgb="FFFF0000"/>
        <rFont val="Calibri"/>
        <family val="2"/>
        <scheme val="minor"/>
      </rPr>
      <t>Avertissement</t>
    </r>
    <r>
      <rPr>
        <sz val="10.5"/>
        <color theme="1"/>
        <rFont val="Calibri"/>
        <family val="2"/>
        <scheme val="minor"/>
      </rPr>
      <t xml:space="preserve">
</t>
    </r>
    <r>
      <rPr>
        <i/>
        <sz val="10.5"/>
        <color rgb="FFFF0000"/>
        <rFont val="Calibri"/>
        <family val="2"/>
        <scheme val="minor"/>
      </rPr>
      <t xml:space="preserve">Le calculateur du coût du vaccin pneumococcique conjugué est un outil visant à éclairer la prise de décisions relative à l'introduction de vaccins et le choix des produits. Il est important de noter que les coûts ne constituent qu'une partie de la réflexion et que, pour prendre leur décision concernant l'introduction de nouveaux vaccins ou le choix des produits, les parties prenantes doivent toujours tenir compte d'autres éléments de réflexion. Ce modèle propose un aperçu des coûts </t>
    </r>
    <r>
      <rPr>
        <b/>
        <i/>
        <sz val="10.5"/>
        <color rgb="FFFF0000"/>
        <rFont val="Calibri"/>
        <family val="2"/>
        <scheme val="minor"/>
      </rPr>
      <t>potentiels</t>
    </r>
    <r>
      <rPr>
        <i/>
        <sz val="10.5"/>
        <color rgb="FFFF0000"/>
        <rFont val="Calibri"/>
        <family val="2"/>
        <scheme val="minor"/>
      </rPr>
      <t xml:space="preserve"> relatifs aux différents produits et ne saurait remplacer une planification budgétaire détaillée une fois le produit sélectionné. </t>
    </r>
  </si>
  <si>
    <t>% du prix du vaccin par dose ou « fraction du prix »
Inutilisé si vous avez sélectionné « Phase d'autofinancement initial » ci-dessus
Si vous ne connaissez pas la part de cofinancement de votre pays, contactez votre responsable pays.
Les pays non éligibles au cofinancement de Gavi doivent indiquer 100 % pour toutes les années.
Si votre pays doit passer de l'autofinancement initial à la transition préparatoire pendant la période de 10 ans, contactez l'équipe à l'adresse HEOR@path.org pour savoir comment configurer le modèle.</t>
  </si>
  <si>
    <t>COÛTS DU PROGRAMME DE VACCINATION</t>
  </si>
  <si>
    <t>Les coûts du programme de vaccination comprennent le coût du vaccin et les coûts supplémentaires du système de santé. Les coûts supplémentaires du système de santé désignent toutes les dépenses autres que les coûts directs des vaccins et des fournitures vaccinales. Les coûts supplémentaires du système de santé doivent inclure toutes les dépenses nécessaires relatives au personnel, aux indemnités journalières et aux indemnités de déplacement, aux équipements de la chaîne du froid, aux véhicules, au transport et au carburant, à la gestion du programme, à la formation et au renforcement des capacités, à la mobilisation sociale et aux activités de sensibilisation, à la surveillance de la maladie et aux activités relatives aux événements indésirables après la vaccination et à la gestion des pertes. Les coûts déjà engagés par le système de vaccination (coûts partagés) doivent être exclus. Par exemple, le coût du transport du vaccin VPC ne doit pas être inclus si ce dernier est transporté avec d'autres vaccins. Tout autre trajet supplémentaire potentiellement nécessaire doit être inclus.</t>
  </si>
  <si>
    <t xml:space="preserve">$ par dose administrée ;
origine potentielle des données : le catalogue Immunization Delivery Cost Catalogue (IDCC) dont le lien est indiqué ci-dessous </t>
  </si>
  <si>
    <t>Volume des boîtes de sécurité</t>
  </si>
  <si>
    <t>Prix des boîtes de sécurité</t>
  </si>
  <si>
    <t xml:space="preserve">Dans l’outil vous avez la possibilité d’entrer séparément les coûts d’introduction ou de changement de produit et les autres coûts d’administration. Pour chaque vaccin comparé, saisissez le montant prévu dans le budget pour couvrir les coûts d'introduction de vaccins ou de changement de produit. Cela concerne uniquement les coûts de départ, tels que les dépenses relatives à la microplanification, à la formation ou à la communication. Il s'agit généralement des dépenses effectuées au cours de la première année uniquement en vue de lancer le programme de vaccination VPC ou de changer de vaccin. </t>
  </si>
  <si>
    <t>Toutes les autres dépenses courantes doivent apparaître dans le coût supplémentaire d'administration par dose pour chaque vaccin comparé. Cette valeur peut varier d'un produit à l'autre selon la présentation du produit, les besoins en matière de stockage et la facilité d'administration. Vous accéderez aux données relatives au coût d'administration par dose, provenant de différentes études et de divers pays, dans le catalogue Immunization Delivery Cost Catalogue (IDCC, catalogue des coûts d'administration des vaccins).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</si>
</sst>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409]#,##0.00"/>
    <numFmt numFmtId="167" formatCode="_(* #,##0_);_(* \(#,##0\);_(* &quot;-&quot;??_);_(@_)"/>
    <numFmt numFmtId="168" formatCode="0.0%"/>
    <numFmt numFmtId="169" formatCode="#,##0&quot;$&quot;"/>
    <numFmt numFmtId="170" formatCode="#,##0.00&quot;$&quot;_);\(#,##0.00&quot;$&quot;\)"/>
    <numFmt numFmtId="171" formatCode="#,##0.00&quot;$&quot;"/>
  </numFmts>
  <fonts count="72"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sz val="10"/>
      <color theme="1"/>
      <name val="Calibri"/>
      <family val="2"/>
      <scheme val="minor"/>
    </font>
    <font>
      <b/>
      <sz val="20"/>
      <color theme="1"/>
      <name val="Calibri"/>
      <family val="2"/>
      <scheme val="minor"/>
    </font>
    <font>
      <sz val="14"/>
      <name val="Calibri"/>
      <family val="2"/>
    </font>
    <font>
      <u/>
      <sz val="11"/>
      <color rgb="FF0000FF"/>
      <name val="Calibri"/>
      <family val="2"/>
      <scheme val="minor"/>
    </font>
    <font>
      <i/>
      <sz val="11"/>
      <color theme="1"/>
      <name val="Calibri"/>
      <family val="2"/>
      <scheme val="minor"/>
    </font>
    <font>
      <i/>
      <sz val="14"/>
      <color theme="1"/>
      <name val="Calibri"/>
      <family val="2"/>
      <scheme val="minor"/>
    </font>
    <font>
      <b/>
      <sz val="18"/>
      <color theme="1"/>
      <name val="Calibri"/>
      <family val="2"/>
      <scheme val="minor"/>
    </font>
    <font>
      <sz val="12"/>
      <color theme="1"/>
      <name val="Calibri"/>
      <family val="2"/>
      <scheme val="minor"/>
    </font>
    <font>
      <b/>
      <sz val="12"/>
      <color rgb="FFFF0000"/>
      <name val="Calibri"/>
      <family val="2"/>
      <scheme val="minor"/>
    </font>
    <font>
      <b/>
      <sz val="14"/>
      <color rgb="FFFF0000"/>
      <name val="Calibri"/>
      <family val="2"/>
      <scheme val="minor"/>
    </font>
    <font>
      <b/>
      <sz val="11"/>
      <name val="Calibri"/>
      <family val="2"/>
      <scheme val="minor"/>
    </font>
    <font>
      <sz val="11"/>
      <name val="Calibri"/>
      <family val="2"/>
      <scheme val="minor"/>
    </font>
    <font>
      <i/>
      <sz val="10"/>
      <name val="Calibri"/>
      <family val="2"/>
      <scheme val="minor"/>
    </font>
    <font>
      <b/>
      <sz val="12"/>
      <color theme="1"/>
      <name val="Calibri"/>
      <family val="2"/>
      <scheme val="minor"/>
    </font>
    <font>
      <b/>
      <sz val="12"/>
      <name val="Calibri"/>
      <family val="2"/>
      <scheme val="minor"/>
    </font>
    <font>
      <b/>
      <sz val="14"/>
      <name val="Calibri"/>
      <family val="2"/>
      <scheme val="minor"/>
    </font>
    <font>
      <i/>
      <sz val="11"/>
      <name val="Calibri"/>
      <family val="2"/>
      <scheme val="minor"/>
    </font>
    <font>
      <b/>
      <sz val="16"/>
      <color theme="1"/>
      <name val="Calibri"/>
      <family val="2"/>
      <scheme val="minor"/>
    </font>
    <font>
      <b/>
      <sz val="16"/>
      <color rgb="FFFF0000"/>
      <name val="Calibri"/>
      <family val="2"/>
      <scheme val="minor"/>
    </font>
    <font>
      <i/>
      <sz val="12"/>
      <color theme="1"/>
      <name val="Calibri"/>
      <family val="2"/>
      <scheme val="minor"/>
    </font>
    <font>
      <sz val="12"/>
      <name val="Calibri"/>
      <family val="2"/>
      <scheme val="minor"/>
    </font>
    <font>
      <i/>
      <sz val="12"/>
      <name val="Calibri"/>
      <family val="2"/>
      <scheme val="minor"/>
    </font>
    <font>
      <b/>
      <i/>
      <sz val="10"/>
      <color theme="1"/>
      <name val="Calibri"/>
      <family val="2"/>
      <scheme val="minor"/>
    </font>
    <font>
      <i/>
      <u/>
      <sz val="10"/>
      <color theme="1"/>
      <name val="Calibri"/>
      <family val="2"/>
      <scheme val="minor"/>
    </font>
    <font>
      <i/>
      <sz val="14"/>
      <name val="Calibri"/>
      <family val="2"/>
      <scheme val="minor"/>
    </font>
    <font>
      <sz val="10"/>
      <color theme="1"/>
      <name val="Calibri"/>
      <family val="2"/>
      <scheme val="minor"/>
    </font>
    <font>
      <u/>
      <sz val="10"/>
      <color theme="1"/>
      <name val="Calibri"/>
      <family val="2"/>
      <scheme val="minor"/>
    </font>
    <font>
      <u/>
      <sz val="14"/>
      <color rgb="FF0000FF"/>
      <name val="Calibri"/>
      <family val="2"/>
      <scheme val="minor"/>
    </font>
    <font>
      <b/>
      <vertAlign val="superscript"/>
      <sz val="12"/>
      <color theme="1"/>
      <name val="Calibri"/>
      <family val="2"/>
      <scheme val="minor"/>
    </font>
    <font>
      <sz val="11"/>
      <color rgb="FFFF0000"/>
      <name val="Calibri"/>
      <family val="2"/>
      <scheme val="minor"/>
    </font>
    <font>
      <b/>
      <sz val="22"/>
      <color rgb="FF000000"/>
      <name val="Calibri"/>
      <family val="2"/>
      <scheme val="minor"/>
    </font>
    <font>
      <sz val="16"/>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u/>
      <sz val="11"/>
      <color theme="1"/>
      <name val="Calibri"/>
      <family val="2"/>
      <scheme val="minor"/>
    </font>
    <font>
      <sz val="11"/>
      <color theme="1"/>
      <name val="Symbol"/>
      <family val="1"/>
      <charset val="2"/>
    </font>
    <font>
      <vertAlign val="superscript"/>
      <sz val="11"/>
      <color theme="1"/>
      <name val="Calibri"/>
      <family val="2"/>
      <scheme val="minor"/>
    </font>
    <font>
      <b/>
      <sz val="11"/>
      <color rgb="FFFF0000"/>
      <name val="Calibri"/>
      <family val="2"/>
      <scheme val="minor"/>
    </font>
    <font>
      <u/>
      <sz val="11"/>
      <color rgb="FF000000"/>
      <name val="Calibri"/>
      <family val="2"/>
      <scheme val="minor"/>
    </font>
    <font>
      <i/>
      <sz val="11"/>
      <color rgb="FF000000"/>
      <name val="Calibri"/>
      <family val="2"/>
      <scheme val="minor"/>
    </font>
    <font>
      <b/>
      <sz val="24"/>
      <color rgb="FF00B050"/>
      <name val="Calibri"/>
      <family val="2"/>
      <scheme val="minor"/>
    </font>
    <font>
      <b/>
      <sz val="24"/>
      <color rgb="FFFF0000"/>
      <name val="Calibri"/>
      <family val="2"/>
      <scheme val="minor"/>
    </font>
    <font>
      <sz val="14"/>
      <color theme="1"/>
      <name val="Calibri"/>
      <family val="2"/>
      <scheme val="minor"/>
    </font>
    <font>
      <vertAlign val="superscript"/>
      <sz val="14"/>
      <color indexed="8"/>
      <name val="Calibri"/>
      <family val="2"/>
    </font>
    <font>
      <b/>
      <vertAlign val="superscript"/>
      <sz val="14"/>
      <color indexed="8"/>
      <name val="Calibri"/>
      <family val="2"/>
    </font>
    <font>
      <b/>
      <sz val="14"/>
      <color indexed="8"/>
      <name val="Calibri"/>
      <family val="2"/>
    </font>
    <font>
      <sz val="14"/>
      <color indexed="8"/>
      <name val="Calibri"/>
      <family val="2"/>
    </font>
    <font>
      <sz val="14"/>
      <color indexed="55"/>
      <name val="Calibri"/>
      <family val="2"/>
    </font>
    <font>
      <sz val="14"/>
      <color theme="1"/>
      <name val="Calibri"/>
      <family val="2"/>
    </font>
    <font>
      <sz val="14"/>
      <name val="Calibri"/>
      <family val="2"/>
      <scheme val="minor"/>
    </font>
    <font>
      <vertAlign val="superscript"/>
      <sz val="14"/>
      <name val="Calibri"/>
      <family val="2"/>
    </font>
    <font>
      <u/>
      <sz val="14"/>
      <color theme="10"/>
      <name val="Calibri"/>
      <family val="2"/>
      <scheme val="minor"/>
    </font>
    <font>
      <u/>
      <sz val="16"/>
      <color theme="10"/>
      <name val="Calibri"/>
      <family val="2"/>
      <scheme val="minor"/>
    </font>
    <font>
      <i/>
      <u/>
      <sz val="11"/>
      <color theme="1"/>
      <name val="Calibri"/>
      <family val="2"/>
      <scheme val="minor"/>
    </font>
    <font>
      <i/>
      <u/>
      <sz val="11"/>
      <color rgb="FF000000"/>
      <name val="Calibri"/>
      <family val="2"/>
      <scheme val="minor"/>
    </font>
    <font>
      <b/>
      <i/>
      <sz val="12"/>
      <color theme="1"/>
      <name val="Calibri"/>
      <family val="2"/>
      <scheme val="minor"/>
    </font>
    <font>
      <b/>
      <i/>
      <sz val="10"/>
      <color rgb="FF000000"/>
      <name val="Calibri"/>
      <family val="2"/>
      <scheme val="minor"/>
    </font>
    <font>
      <b/>
      <sz val="12"/>
      <color rgb="FF000000"/>
      <name val="Calibri"/>
      <family val="2"/>
      <scheme val="minor"/>
    </font>
    <font>
      <b/>
      <vertAlign val="superscript"/>
      <sz val="11"/>
      <color theme="1"/>
      <name val="Calibri"/>
      <family val="2"/>
      <scheme val="minor"/>
    </font>
    <font>
      <sz val="10.5"/>
      <color theme="1"/>
      <name val="Calibri"/>
      <family val="2"/>
      <scheme val="minor"/>
    </font>
    <font>
      <u/>
      <sz val="10.5"/>
      <color theme="1"/>
      <name val="Calibri"/>
      <family val="2"/>
      <scheme val="minor"/>
    </font>
    <font>
      <b/>
      <sz val="10.5"/>
      <color theme="1"/>
      <name val="Calibri"/>
      <family val="2"/>
      <scheme val="minor"/>
    </font>
    <font>
      <b/>
      <i/>
      <u/>
      <sz val="10.5"/>
      <color rgb="FFFF0000"/>
      <name val="Calibri"/>
      <family val="2"/>
      <scheme val="minor"/>
    </font>
    <font>
      <i/>
      <sz val="10.5"/>
      <color rgb="FFFF0000"/>
      <name val="Calibri"/>
      <family val="2"/>
      <scheme val="minor"/>
    </font>
    <font>
      <b/>
      <i/>
      <sz val="10.5"/>
      <color rgb="FFFF0000"/>
      <name val="Calibri"/>
      <family val="2"/>
      <scheme val="minor"/>
    </font>
    <font>
      <i/>
      <sz val="8"/>
      <color theme="1"/>
      <name val="Calibri"/>
      <family val="2"/>
      <scheme val="minor"/>
    </font>
    <font>
      <sz val="7"/>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rgb="FFFFFF00"/>
      </top>
      <bottom style="medium">
        <color rgb="FFFFFF00"/>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499984740745262"/>
      </right>
      <top/>
      <bottom/>
      <diagonal/>
    </border>
    <border>
      <left style="thin">
        <color indexed="64"/>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medium">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style="medium">
        <color indexed="64"/>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medium">
        <color indexed="64"/>
      </right>
      <top style="thin">
        <color theme="0" tint="-0.14996795556505021"/>
      </top>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rgb="FFFFFF00"/>
      </bottom>
      <diagonal/>
    </border>
    <border>
      <left/>
      <right/>
      <top style="thin">
        <color theme="0" tint="-0.14996795556505021"/>
      </top>
      <bottom style="medium">
        <color rgb="FFFFFF00"/>
      </bottom>
      <diagonal/>
    </border>
    <border>
      <left/>
      <right style="thin">
        <color indexed="64"/>
      </right>
      <top style="thin">
        <color theme="0" tint="-0.14996795556505021"/>
      </top>
      <bottom style="medium">
        <color rgb="FFFFFF00"/>
      </bottom>
      <diagonal/>
    </border>
    <border>
      <left style="thin">
        <color indexed="64"/>
      </left>
      <right/>
      <top style="thin">
        <color theme="0" tint="-0.14996795556505021"/>
      </top>
      <bottom style="medium">
        <color rgb="FFFFFF00"/>
      </bottom>
      <diagonal/>
    </border>
    <border>
      <left/>
      <right style="medium">
        <color indexed="64"/>
      </right>
      <top style="thin">
        <color theme="0" tint="-0.14996795556505021"/>
      </top>
      <bottom style="medium">
        <color rgb="FFFFFF00"/>
      </bottom>
      <diagonal/>
    </border>
    <border>
      <left style="medium">
        <color indexed="64"/>
      </left>
      <right style="medium">
        <color indexed="64"/>
      </right>
      <top style="thin">
        <color theme="0" tint="-0.14996795556505021"/>
      </top>
      <bottom/>
      <diagonal/>
    </border>
    <border>
      <left style="medium">
        <color indexed="64"/>
      </left>
      <right/>
      <top style="medium">
        <color rgb="FFFFFF00"/>
      </top>
      <bottom style="medium">
        <color rgb="FFFFFF00"/>
      </bottom>
      <diagonal/>
    </border>
    <border>
      <left/>
      <right/>
      <top style="medium">
        <color rgb="FFFFFF00"/>
      </top>
      <bottom style="medium">
        <color rgb="FFFFFF00"/>
      </bottom>
      <diagonal/>
    </border>
    <border>
      <left/>
      <right style="thin">
        <color indexed="64"/>
      </right>
      <top style="medium">
        <color rgb="FFFFFF00"/>
      </top>
      <bottom style="medium">
        <color rgb="FFFFFF00"/>
      </bottom>
      <diagonal/>
    </border>
    <border>
      <left/>
      <right style="medium">
        <color indexed="64"/>
      </right>
      <top style="medium">
        <color rgb="FFFFFF00"/>
      </top>
      <bottom style="medium">
        <color rgb="FFFFFF00"/>
      </bottom>
      <diagonal/>
    </border>
    <border>
      <left style="medium">
        <color indexed="64"/>
      </left>
      <right/>
      <top style="medium">
        <color rgb="FFFFFF00"/>
      </top>
      <bottom style="thin">
        <color theme="0" tint="-0.14996795556505021"/>
      </bottom>
      <diagonal/>
    </border>
    <border>
      <left/>
      <right/>
      <top style="medium">
        <color rgb="FFFFFF00"/>
      </top>
      <bottom style="thin">
        <color theme="0" tint="-0.14996795556505021"/>
      </bottom>
      <diagonal/>
    </border>
    <border>
      <left/>
      <right style="thin">
        <color indexed="64"/>
      </right>
      <top style="medium">
        <color rgb="FFFFFF00"/>
      </top>
      <bottom style="thin">
        <color theme="0" tint="-0.14996795556505021"/>
      </bottom>
      <diagonal/>
    </border>
    <border>
      <left style="thin">
        <color indexed="64"/>
      </left>
      <right/>
      <top style="medium">
        <color rgb="FFFFFF00"/>
      </top>
      <bottom style="thin">
        <color theme="0" tint="-0.14996795556505021"/>
      </bottom>
      <diagonal/>
    </border>
    <border>
      <left/>
      <right style="medium">
        <color indexed="64"/>
      </right>
      <top style="medium">
        <color rgb="FFFFFF00"/>
      </top>
      <bottom style="thin">
        <color theme="0" tint="-0.14996795556505021"/>
      </bottom>
      <diagonal/>
    </border>
    <border>
      <left style="medium">
        <color indexed="64"/>
      </left>
      <right style="medium">
        <color indexed="64"/>
      </right>
      <top/>
      <bottom style="thin">
        <color theme="0" tint="-0.14996795556505021"/>
      </bottom>
      <diagonal/>
    </border>
    <border>
      <left style="medium">
        <color indexed="64"/>
      </left>
      <right style="medium">
        <color indexed="64"/>
      </right>
      <top/>
      <bottom/>
      <diagonal/>
    </border>
    <border>
      <left style="medium">
        <color indexed="64"/>
      </left>
      <right style="medium">
        <color indexed="64"/>
      </right>
      <top style="thin">
        <color theme="0" tint="-0.14996795556505021"/>
      </top>
      <bottom style="thin">
        <color theme="0" tint="-0.14993743705557422"/>
      </bottom>
      <diagonal/>
    </border>
    <border>
      <left style="medium">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style="medium">
        <color indexed="64"/>
      </right>
      <top style="thin">
        <color theme="0" tint="-0.14993743705557422"/>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cellStyleXfs>
  <cellXfs count="391">
    <xf numFmtId="0" fontId="0" fillId="0" borderId="0" xfId="0"/>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0" xfId="0" applyFont="1" applyAlignment="1">
      <alignment horizontal="center" vertical="center"/>
    </xf>
    <xf numFmtId="37" fontId="0" fillId="0" borderId="0" xfId="1" applyNumberFormat="1" applyFont="1" applyAlignment="1">
      <alignment horizontal="center" vertical="center"/>
    </xf>
    <xf numFmtId="9" fontId="0" fillId="0" borderId="0" xfId="0" applyNumberFormat="1" applyAlignment="1">
      <alignment horizontal="center"/>
    </xf>
    <xf numFmtId="0" fontId="10" fillId="4" borderId="0" xfId="0" applyFont="1" applyFill="1"/>
    <xf numFmtId="0" fontId="0" fillId="4" borderId="0" xfId="0" applyFill="1"/>
    <xf numFmtId="0" fontId="20" fillId="4" borderId="0" xfId="0" applyFont="1" applyFill="1" applyAlignment="1">
      <alignment vertical="center"/>
    </xf>
    <xf numFmtId="0" fontId="3" fillId="4" borderId="0" xfId="0" applyFont="1" applyFill="1"/>
    <xf numFmtId="0" fontId="0" fillId="0" borderId="0" xfId="0" applyAlignment="1">
      <alignment horizontal="left" vertical="center"/>
    </xf>
    <xf numFmtId="0" fontId="0" fillId="5" borderId="0" xfId="0" applyFill="1" applyAlignment="1" applyProtection="1">
      <alignment horizontal="center" vertical="center"/>
      <protection hidden="1"/>
    </xf>
    <xf numFmtId="0" fontId="29" fillId="5" borderId="0" xfId="0" applyFont="1" applyFill="1" applyAlignment="1" applyProtection="1">
      <alignment horizontal="left" vertical="center"/>
      <protection hidden="1"/>
    </xf>
    <xf numFmtId="0" fontId="0" fillId="5" borderId="15" xfId="0"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5" fillId="5" borderId="0" xfId="0" applyFont="1" applyFill="1" applyAlignment="1" applyProtection="1">
      <alignment horizontal="left" vertical="center"/>
      <protection hidden="1"/>
    </xf>
    <xf numFmtId="0" fontId="0" fillId="5" borderId="0" xfId="0" applyFill="1" applyAlignment="1" applyProtection="1">
      <alignment vertical="center" wrapText="1"/>
      <protection hidden="1"/>
    </xf>
    <xf numFmtId="0" fontId="9" fillId="5" borderId="0" xfId="0" applyFont="1" applyFill="1" applyAlignment="1" applyProtection="1">
      <alignment horizontal="left" vertical="center"/>
      <protection hidden="1"/>
    </xf>
    <xf numFmtId="0" fontId="0" fillId="5" borderId="12"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3" fillId="5" borderId="0" xfId="0" applyFont="1" applyFill="1" applyBorder="1" applyAlignment="1" applyProtection="1">
      <alignment vertical="center"/>
      <protection hidden="1"/>
    </xf>
    <xf numFmtId="0" fontId="31" fillId="5" borderId="8" xfId="3" applyFont="1" applyFill="1" applyBorder="1" applyAlignment="1" applyProtection="1">
      <alignment horizontal="center" vertical="center"/>
      <protection hidden="1"/>
    </xf>
    <xf numFmtId="0" fontId="0" fillId="5" borderId="0" xfId="0" applyFont="1" applyFill="1" applyBorder="1" applyAlignment="1" applyProtection="1">
      <alignment vertical="center" wrapText="1"/>
      <protection hidden="1"/>
    </xf>
    <xf numFmtId="0" fontId="17" fillId="3" borderId="1" xfId="0" applyFont="1" applyFill="1" applyBorder="1" applyAlignment="1" applyProtection="1">
      <alignment vertical="center" wrapText="1"/>
      <protection hidden="1"/>
    </xf>
    <xf numFmtId="0" fontId="12" fillId="5" borderId="15" xfId="0" applyFont="1" applyFill="1" applyBorder="1" applyAlignment="1" applyProtection="1">
      <alignment vertical="center"/>
      <protection hidden="1"/>
    </xf>
    <xf numFmtId="0" fontId="1" fillId="5" borderId="0" xfId="0" applyFont="1" applyFill="1" applyBorder="1" applyAlignment="1" applyProtection="1">
      <alignment vertical="center" wrapText="1"/>
      <protection hidden="1"/>
    </xf>
    <xf numFmtId="9" fontId="0" fillId="5" borderId="0" xfId="0" applyNumberForma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wrapText="1"/>
      <protection hidden="1"/>
    </xf>
    <xf numFmtId="0" fontId="11" fillId="5" borderId="0" xfId="0" applyFont="1" applyFill="1" applyAlignment="1" applyProtection="1">
      <alignment vertical="center" wrapText="1"/>
      <protection hidden="1"/>
    </xf>
    <xf numFmtId="0" fontId="11" fillId="5" borderId="15" xfId="0" applyFont="1" applyFill="1" applyBorder="1" applyAlignment="1" applyProtection="1">
      <alignment vertical="center" wrapText="1"/>
      <protection hidden="1"/>
    </xf>
    <xf numFmtId="0" fontId="17" fillId="3" borderId="1"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18" fillId="3" borderId="1" xfId="0" applyFont="1" applyFill="1" applyBorder="1" applyAlignment="1" applyProtection="1">
      <alignment horizontal="center" vertical="center" wrapText="1"/>
      <protection hidden="1"/>
    </xf>
    <xf numFmtId="0" fontId="25" fillId="3" borderId="1" xfId="0" applyFont="1" applyFill="1" applyBorder="1" applyAlignment="1" applyProtection="1">
      <alignment horizontal="center" vertical="center" wrapText="1"/>
      <protection hidden="1"/>
    </xf>
    <xf numFmtId="0" fontId="0" fillId="5" borderId="15" xfId="0" applyFill="1" applyBorder="1" applyAlignment="1" applyProtection="1">
      <alignment vertical="center" wrapText="1"/>
      <protection hidden="1"/>
    </xf>
    <xf numFmtId="165" fontId="0" fillId="5" borderId="0" xfId="0" applyNumberFormat="1" applyFill="1" applyBorder="1" applyAlignment="1" applyProtection="1">
      <alignment horizontal="center" vertical="center"/>
      <protection hidden="1"/>
    </xf>
    <xf numFmtId="0" fontId="7" fillId="5" borderId="0" xfId="3" applyFill="1" applyAlignment="1" applyProtection="1">
      <alignment horizontal="center" vertical="center"/>
      <protection hidden="1"/>
    </xf>
    <xf numFmtId="0" fontId="0" fillId="5" borderId="0" xfId="0" applyFill="1" applyBorder="1" applyAlignment="1" applyProtection="1">
      <alignment vertical="center" wrapText="1"/>
      <protection hidden="1"/>
    </xf>
    <xf numFmtId="0" fontId="14" fillId="5" borderId="0" xfId="0" applyFont="1" applyFill="1" applyBorder="1" applyAlignment="1" applyProtection="1">
      <alignment horizontal="center" vertical="center" wrapText="1"/>
      <protection hidden="1"/>
    </xf>
    <xf numFmtId="9" fontId="15" fillId="5" borderId="0" xfId="2" applyNumberFormat="1"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wrapText="1"/>
      <protection hidden="1"/>
    </xf>
    <xf numFmtId="0" fontId="17" fillId="5" borderId="0" xfId="0" applyFont="1" applyFill="1" applyBorder="1" applyAlignment="1" applyProtection="1">
      <alignment horizontal="center" vertical="center" wrapText="1"/>
      <protection hidden="1"/>
    </xf>
    <xf numFmtId="4" fontId="11" fillId="3" borderId="1" xfId="0" applyNumberFormat="1" applyFont="1"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1" fontId="11" fillId="3" borderId="1" xfId="2" applyNumberFormat="1" applyFont="1" applyFill="1" applyBorder="1" applyAlignment="1" applyProtection="1">
      <alignment horizontal="center" vertical="center"/>
      <protection hidden="1"/>
    </xf>
    <xf numFmtId="4" fontId="11" fillId="3" borderId="1" xfId="2" applyNumberFormat="1" applyFont="1" applyFill="1" applyBorder="1" applyAlignment="1" applyProtection="1">
      <alignment horizontal="center" vertical="center"/>
      <protection hidden="1"/>
    </xf>
    <xf numFmtId="0" fontId="0" fillId="5" borderId="0" xfId="0" applyFill="1" applyAlignment="1" applyProtection="1">
      <alignment horizontal="center" vertical="center" wrapText="1"/>
      <protection hidden="1"/>
    </xf>
    <xf numFmtId="0" fontId="3"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0" fontId="23" fillId="3" borderId="8"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vertical="center" wrapText="1"/>
      <protection hidden="1"/>
    </xf>
    <xf numFmtId="164" fontId="11" fillId="2" borderId="14" xfId="0" applyNumberFormat="1" applyFont="1" applyFill="1" applyBorder="1" applyAlignment="1" applyProtection="1">
      <alignment horizontal="center" vertical="center"/>
      <protection hidden="1"/>
    </xf>
    <xf numFmtId="0" fontId="7" fillId="3" borderId="9" xfId="3" applyFill="1" applyBorder="1" applyAlignment="1" applyProtection="1">
      <alignment horizontal="center" vertical="center" wrapText="1"/>
      <protection hidden="1"/>
    </xf>
    <xf numFmtId="164" fontId="11" fillId="2" borderId="10" xfId="0" applyNumberFormat="1" applyFont="1" applyFill="1" applyBorder="1" applyAlignment="1" applyProtection="1">
      <alignment horizontal="center" vertical="center"/>
      <protection hidden="1"/>
    </xf>
    <xf numFmtId="0" fontId="7" fillId="3" borderId="10" xfId="3" applyFill="1" applyBorder="1" applyAlignment="1" applyProtection="1">
      <alignment horizontal="center" vertical="center" wrapText="1"/>
      <protection hidden="1"/>
    </xf>
    <xf numFmtId="164" fontId="11" fillId="2" borderId="9"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164" fontId="0" fillId="5" borderId="0" xfId="0" applyNumberForma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locked="0"/>
    </xf>
    <xf numFmtId="3" fontId="11" fillId="2" borderId="1" xfId="0" applyNumberFormat="1" applyFont="1" applyFill="1" applyBorder="1" applyAlignment="1" applyProtection="1">
      <alignment horizontal="center" vertical="center"/>
      <protection locked="0"/>
    </xf>
    <xf numFmtId="9" fontId="11" fillId="2" borderId="1" xfId="2" applyFont="1" applyFill="1" applyBorder="1" applyAlignment="1" applyProtection="1">
      <alignment horizontal="center" vertical="center"/>
      <protection locked="0"/>
    </xf>
    <xf numFmtId="9" fontId="24" fillId="2" borderId="1" xfId="2" applyNumberFormat="1" applyFont="1" applyFill="1" applyBorder="1" applyAlignment="1" applyProtection="1">
      <alignment horizontal="center" vertical="center"/>
      <protection locked="0"/>
    </xf>
    <xf numFmtId="0" fontId="11" fillId="2" borderId="1" xfId="0" applyFont="1" applyFill="1" applyBorder="1" applyAlignment="1" applyProtection="1">
      <alignment vertical="center" wrapText="1"/>
      <protection locked="0"/>
    </xf>
    <xf numFmtId="9" fontId="11" fillId="2" borderId="1" xfId="0" applyNumberFormat="1" applyFont="1" applyFill="1" applyBorder="1" applyAlignment="1" applyProtection="1">
      <alignment horizontal="center" vertical="center"/>
      <protection locked="0"/>
    </xf>
    <xf numFmtId="168" fontId="11" fillId="2" borderId="1" xfId="2" applyNumberFormat="1" applyFont="1" applyFill="1" applyBorder="1" applyAlignment="1" applyProtection="1">
      <alignment horizontal="center" vertical="center"/>
      <protection locked="0"/>
    </xf>
    <xf numFmtId="1" fontId="11" fillId="2" borderId="1" xfId="2" applyNumberFormat="1" applyFont="1" applyFill="1" applyBorder="1" applyAlignment="1" applyProtection="1">
      <alignment horizontal="center" vertical="center"/>
      <protection locked="0"/>
    </xf>
    <xf numFmtId="165" fontId="11" fillId="2" borderId="8" xfId="0" applyNumberFormat="1" applyFont="1" applyFill="1" applyBorder="1" applyAlignment="1" applyProtection="1">
      <alignment horizontal="center" vertical="center" wrapText="1"/>
      <protection locked="0"/>
    </xf>
    <xf numFmtId="0" fontId="0" fillId="3" borderId="21" xfId="0" applyFill="1" applyBorder="1" applyAlignment="1" applyProtection="1">
      <alignment horizontal="center" vertical="center"/>
      <protection hidden="1"/>
    </xf>
    <xf numFmtId="0" fontId="0" fillId="3" borderId="0" xfId="0" applyFill="1" applyProtection="1">
      <protection hidden="1"/>
    </xf>
    <xf numFmtId="0" fontId="10" fillId="3" borderId="12"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23" fillId="3" borderId="1" xfId="0" applyFont="1" applyFill="1" applyBorder="1" applyAlignment="1" applyProtection="1">
      <alignment horizontal="right" vertical="center" wrapText="1"/>
      <protection hidden="1"/>
    </xf>
    <xf numFmtId="3" fontId="11" fillId="3" borderId="1" xfId="0" applyNumberFormat="1"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167" fontId="11" fillId="3" borderId="0" xfId="4" applyNumberFormat="1" applyFont="1" applyFill="1" applyAlignment="1" applyProtection="1">
      <alignment horizontal="center" vertical="center"/>
      <protection hidden="1"/>
    </xf>
    <xf numFmtId="0" fontId="11" fillId="3" borderId="0" xfId="0" applyFont="1" applyFill="1" applyBorder="1" applyAlignment="1" applyProtection="1">
      <alignment horizontal="center" vertical="center"/>
      <protection hidden="1"/>
    </xf>
    <xf numFmtId="0" fontId="0" fillId="3" borderId="23" xfId="0" applyFill="1" applyBorder="1" applyAlignment="1" applyProtection="1">
      <alignment horizontal="center" vertical="center"/>
      <protection hidden="1"/>
    </xf>
    <xf numFmtId="0" fontId="23" fillId="3" borderId="25" xfId="0" applyFont="1" applyFill="1" applyBorder="1" applyAlignment="1" applyProtection="1">
      <alignment horizontal="right" vertical="center" wrapText="1"/>
      <protection hidden="1"/>
    </xf>
    <xf numFmtId="0" fontId="0" fillId="3" borderId="22" xfId="0" applyFill="1" applyBorder="1" applyAlignment="1" applyProtection="1">
      <alignment horizontal="center" vertical="center"/>
      <protection hidden="1"/>
    </xf>
    <xf numFmtId="0" fontId="23" fillId="3" borderId="24" xfId="0" applyFont="1" applyFill="1" applyBorder="1" applyAlignment="1" applyProtection="1">
      <alignment horizontal="right" vertical="center" wrapText="1"/>
      <protection hidden="1"/>
    </xf>
    <xf numFmtId="0" fontId="23" fillId="3" borderId="10" xfId="0" applyFont="1" applyFill="1" applyBorder="1" applyAlignment="1" applyProtection="1">
      <alignment horizontal="right" vertical="center" wrapText="1"/>
      <protection hidden="1"/>
    </xf>
    <xf numFmtId="0" fontId="8" fillId="3" borderId="0" xfId="0" applyFont="1" applyFill="1" applyBorder="1" applyAlignment="1" applyProtection="1">
      <alignment horizontal="right" vertical="center" wrapText="1"/>
      <protection hidden="1"/>
    </xf>
    <xf numFmtId="165" fontId="0" fillId="3" borderId="0" xfId="0" applyNumberFormat="1" applyFill="1" applyBorder="1" applyAlignment="1" applyProtection="1">
      <alignment horizontal="center" vertical="center"/>
      <protection hidden="1"/>
    </xf>
    <xf numFmtId="0" fontId="23" fillId="3" borderId="8" xfId="0" applyFont="1" applyFill="1" applyBorder="1" applyAlignment="1" applyProtection="1">
      <alignment horizontal="center" vertical="center" wrapText="1"/>
      <protection hidden="1"/>
    </xf>
    <xf numFmtId="0" fontId="23" fillId="3" borderId="10" xfId="0" applyFont="1" applyFill="1" applyBorder="1" applyAlignment="1" applyProtection="1">
      <alignment horizontal="center" vertical="center" wrapText="1"/>
      <protection hidden="1"/>
    </xf>
    <xf numFmtId="2" fontId="11" fillId="3" borderId="1" xfId="2" applyNumberFormat="1" applyFont="1" applyFill="1" applyBorder="1" applyAlignment="1" applyProtection="1">
      <alignment horizontal="center" vertical="center"/>
      <protection hidden="1"/>
    </xf>
    <xf numFmtId="0" fontId="4" fillId="3" borderId="8" xfId="0" applyFont="1" applyFill="1" applyBorder="1" applyAlignment="1" applyProtection="1">
      <alignment horizontal="right" vertical="center" wrapText="1"/>
      <protection hidden="1"/>
    </xf>
    <xf numFmtId="9" fontId="29" fillId="3" borderId="10" xfId="2" applyFont="1" applyFill="1" applyBorder="1" applyAlignment="1" applyProtection="1">
      <alignment horizontal="right" vertical="center"/>
    </xf>
    <xf numFmtId="0" fontId="34" fillId="3" borderId="0" xfId="0" applyFont="1" applyFill="1" applyBorder="1" applyAlignment="1">
      <alignment vertical="center" wrapText="1"/>
    </xf>
    <xf numFmtId="0" fontId="0" fillId="3" borderId="0" xfId="0" applyFill="1" applyBorder="1" applyAlignment="1">
      <alignment vertical="center" wrapText="1"/>
    </xf>
    <xf numFmtId="0" fontId="35" fillId="3" borderId="0" xfId="0" applyFont="1" applyFill="1" applyBorder="1" applyAlignment="1">
      <alignment vertical="center" wrapText="1"/>
    </xf>
    <xf numFmtId="0" fontId="36" fillId="3" borderId="0" xfId="0" applyFont="1" applyFill="1" applyBorder="1" applyAlignment="1">
      <alignment horizontal="center" vertical="center" wrapText="1"/>
    </xf>
    <xf numFmtId="0" fontId="44" fillId="3" borderId="0" xfId="0" applyFont="1" applyFill="1" applyBorder="1" applyAlignment="1">
      <alignment horizontal="right" vertical="center" wrapText="1"/>
    </xf>
    <xf numFmtId="0" fontId="36" fillId="3" borderId="0" xfId="0" applyFont="1" applyFill="1" applyBorder="1" applyAlignment="1">
      <alignment vertical="center" wrapText="1"/>
    </xf>
    <xf numFmtId="0" fontId="36" fillId="3" borderId="0" xfId="0" applyFont="1" applyFill="1" applyBorder="1" applyAlignment="1">
      <alignment horizontal="right" vertical="center" wrapText="1"/>
    </xf>
    <xf numFmtId="0" fontId="1" fillId="3" borderId="0" xfId="0" applyFont="1" applyFill="1" applyBorder="1" applyAlignment="1">
      <alignment vertical="center" wrapText="1"/>
    </xf>
    <xf numFmtId="0" fontId="39" fillId="3" borderId="0" xfId="0" applyFont="1" applyFill="1" applyBorder="1" applyAlignment="1">
      <alignment horizontal="left" vertical="center" wrapText="1" indent="1"/>
    </xf>
    <xf numFmtId="0" fontId="0" fillId="3" borderId="0" xfId="0" applyFill="1" applyBorder="1" applyAlignment="1">
      <alignment horizontal="left" vertical="center" wrapText="1" indent="1"/>
    </xf>
    <xf numFmtId="0" fontId="40" fillId="3" borderId="0" xfId="0" applyFont="1" applyFill="1" applyBorder="1" applyAlignment="1">
      <alignment horizontal="left" vertical="center" wrapText="1" indent="2"/>
    </xf>
    <xf numFmtId="0" fontId="1" fillId="3" borderId="0" xfId="0" applyFont="1" applyFill="1" applyBorder="1" applyAlignment="1">
      <alignment horizontal="left" vertical="center" wrapText="1" indent="1"/>
    </xf>
    <xf numFmtId="0" fontId="39" fillId="3" borderId="0" xfId="0" applyFont="1" applyFill="1" applyBorder="1" applyAlignment="1">
      <alignment vertical="center" wrapText="1"/>
    </xf>
    <xf numFmtId="0" fontId="42" fillId="3" borderId="0" xfId="0" applyFont="1" applyFill="1" applyBorder="1" applyAlignment="1">
      <alignment horizontal="center" vertical="center" wrapText="1"/>
    </xf>
    <xf numFmtId="0" fontId="7" fillId="3" borderId="0" xfId="3" applyFill="1" applyBorder="1" applyAlignment="1">
      <alignment horizontal="left" indent="5"/>
    </xf>
    <xf numFmtId="0" fontId="40" fillId="3" borderId="0" xfId="0" applyFont="1" applyFill="1" applyBorder="1" applyAlignment="1">
      <alignment horizontal="left" vertical="center" indent="2"/>
    </xf>
    <xf numFmtId="0" fontId="45" fillId="0" borderId="0" xfId="0" applyFont="1" applyFill="1" applyAlignment="1">
      <alignment horizontal="left"/>
    </xf>
    <xf numFmtId="0" fontId="0" fillId="6" borderId="0" xfId="0" applyFill="1"/>
    <xf numFmtId="0" fontId="47" fillId="0" borderId="0" xfId="0" applyFont="1"/>
    <xf numFmtId="0" fontId="47" fillId="0" borderId="0" xfId="0" applyFont="1" applyFill="1"/>
    <xf numFmtId="0" fontId="47" fillId="6" borderId="0" xfId="0" applyFont="1" applyFill="1"/>
    <xf numFmtId="0" fontId="47" fillId="0" borderId="0" xfId="0" applyFont="1" applyAlignment="1">
      <alignment horizontal="left" vertical="top" wrapText="1"/>
    </xf>
    <xf numFmtId="0" fontId="47" fillId="0" borderId="0" xfId="0" applyFont="1" applyAlignment="1">
      <alignment wrapText="1"/>
    </xf>
    <xf numFmtId="0" fontId="47" fillId="0" borderId="26" xfId="0" applyFont="1" applyBorder="1" applyAlignment="1">
      <alignment wrapText="1"/>
    </xf>
    <xf numFmtId="0" fontId="47" fillId="0" borderId="27" xfId="0" applyFont="1" applyBorder="1" applyAlignment="1">
      <alignment horizontal="left" vertical="center"/>
    </xf>
    <xf numFmtId="0" fontId="47" fillId="7" borderId="27" xfId="0" applyFont="1" applyFill="1" applyBorder="1" applyAlignment="1">
      <alignment horizontal="left" vertical="center"/>
    </xf>
    <xf numFmtId="0" fontId="47" fillId="7" borderId="30" xfId="0" applyFont="1" applyFill="1" applyBorder="1" applyAlignment="1">
      <alignment horizontal="center" vertical="center"/>
    </xf>
    <xf numFmtId="0" fontId="47" fillId="0" borderId="31" xfId="0" applyFont="1" applyBorder="1" applyAlignment="1">
      <alignment horizontal="left" vertical="center"/>
    </xf>
    <xf numFmtId="0" fontId="47" fillId="0" borderId="0" xfId="0" applyFont="1" applyFill="1" applyBorder="1" applyAlignment="1">
      <alignment horizontal="center" vertical="center"/>
    </xf>
    <xf numFmtId="0" fontId="47" fillId="7" borderId="31" xfId="0" applyFont="1" applyFill="1" applyBorder="1" applyAlignment="1">
      <alignment horizontal="left" vertical="center"/>
    </xf>
    <xf numFmtId="0" fontId="47" fillId="7" borderId="37" xfId="0" applyFont="1" applyFill="1" applyBorder="1" applyAlignment="1">
      <alignment horizontal="center" vertical="center"/>
    </xf>
    <xf numFmtId="0" fontId="47" fillId="0" borderId="40" xfId="0" applyFont="1" applyBorder="1" applyAlignment="1">
      <alignment horizontal="center" vertical="center"/>
    </xf>
    <xf numFmtId="0" fontId="47" fillId="7" borderId="42" xfId="0" applyFont="1" applyFill="1" applyBorder="1" applyAlignment="1">
      <alignment horizontal="center" vertical="center"/>
    </xf>
    <xf numFmtId="0" fontId="3" fillId="0" borderId="31" xfId="0" applyFont="1" applyBorder="1" applyAlignment="1">
      <alignment horizontal="left" vertical="center"/>
    </xf>
    <xf numFmtId="2" fontId="3" fillId="0" borderId="40" xfId="0" applyNumberFormat="1" applyFont="1" applyBorder="1" applyAlignment="1">
      <alignment horizontal="center" vertical="center"/>
    </xf>
    <xf numFmtId="0" fontId="3" fillId="7" borderId="31" xfId="0" applyFont="1" applyFill="1" applyBorder="1" applyAlignment="1">
      <alignment horizontal="left" vertical="center"/>
    </xf>
    <xf numFmtId="2" fontId="3" fillId="7" borderId="42" xfId="0" applyNumberFormat="1" applyFont="1" applyFill="1" applyBorder="1" applyAlignment="1">
      <alignment horizontal="center" vertical="center"/>
    </xf>
    <xf numFmtId="0" fontId="3" fillId="0" borderId="40"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3" fillId="7" borderId="42" xfId="0" applyFont="1" applyFill="1" applyBorder="1" applyAlignment="1">
      <alignment horizontal="center" vertical="center" wrapText="1"/>
    </xf>
    <xf numFmtId="2" fontId="47" fillId="0" borderId="40" xfId="0" applyNumberFormat="1" applyFont="1" applyBorder="1" applyAlignment="1">
      <alignment horizontal="center" vertical="center"/>
    </xf>
    <xf numFmtId="0" fontId="3" fillId="0" borderId="0" xfId="0" applyFont="1" applyFill="1" applyBorder="1" applyAlignment="1">
      <alignment horizontal="center" vertical="center" wrapText="1"/>
    </xf>
    <xf numFmtId="2" fontId="47" fillId="7" borderId="42" xfId="0" applyNumberFormat="1" applyFont="1" applyFill="1" applyBorder="1" applyAlignment="1">
      <alignment horizontal="center" vertical="center"/>
    </xf>
    <xf numFmtId="0" fontId="47" fillId="0" borderId="48" xfId="0" applyFont="1" applyBorder="1" applyAlignment="1">
      <alignment horizontal="center" vertical="center" wrapText="1"/>
    </xf>
    <xf numFmtId="2" fontId="47" fillId="0" borderId="0" xfId="0" applyNumberFormat="1" applyFont="1" applyFill="1" applyBorder="1" applyAlignment="1">
      <alignment horizontal="center" vertical="center"/>
    </xf>
    <xf numFmtId="0" fontId="47" fillId="7" borderId="42"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4" xfId="0" applyFont="1" applyBorder="1" applyAlignment="1">
      <alignment horizontal="center" vertical="center"/>
    </xf>
    <xf numFmtId="0" fontId="47" fillId="0" borderId="0" xfId="0" applyFont="1" applyFill="1" applyBorder="1" applyAlignment="1">
      <alignment horizontal="center" vertical="center" wrapText="1"/>
    </xf>
    <xf numFmtId="0" fontId="3" fillId="7" borderId="31" xfId="0" applyFont="1" applyFill="1" applyBorder="1" applyAlignment="1">
      <alignment horizontal="left" vertical="center" wrapText="1"/>
    </xf>
    <xf numFmtId="0" fontId="3" fillId="7" borderId="42" xfId="0" applyFont="1" applyFill="1" applyBorder="1" applyAlignment="1">
      <alignment horizontal="center" vertical="center"/>
    </xf>
    <xf numFmtId="0" fontId="47" fillId="0" borderId="31" xfId="0" applyFont="1" applyBorder="1" applyAlignment="1">
      <alignment horizontal="left" vertical="center" wrapText="1"/>
    </xf>
    <xf numFmtId="0" fontId="3" fillId="0" borderId="0" xfId="0" applyFont="1" applyFill="1" applyBorder="1" applyAlignment="1">
      <alignment horizontal="center" vertical="center"/>
    </xf>
    <xf numFmtId="0" fontId="47" fillId="7" borderId="31" xfId="0" applyFont="1" applyFill="1" applyBorder="1" applyAlignment="1">
      <alignment horizontal="left" vertical="center" wrapText="1"/>
    </xf>
    <xf numFmtId="0" fontId="47" fillId="0" borderId="45" xfId="0" applyFont="1" applyBorder="1" applyAlignment="1">
      <alignment horizontal="left" vertical="center" wrapText="1"/>
    </xf>
    <xf numFmtId="0" fontId="47" fillId="7" borderId="45" xfId="0" applyFont="1" applyFill="1" applyBorder="1" applyAlignment="1">
      <alignment horizontal="left" vertical="center" wrapText="1"/>
    </xf>
    <xf numFmtId="0" fontId="47" fillId="0" borderId="40" xfId="0" applyFont="1" applyBorder="1" applyAlignment="1">
      <alignment horizontal="center" vertical="center" wrapText="1"/>
    </xf>
    <xf numFmtId="0" fontId="47" fillId="0" borderId="45" xfId="0" applyFont="1" applyBorder="1" applyAlignment="1">
      <alignment wrapText="1"/>
    </xf>
    <xf numFmtId="166" fontId="47" fillId="0" borderId="40" xfId="0" applyNumberFormat="1" applyFont="1" applyBorder="1" applyAlignment="1">
      <alignment horizontal="center" vertical="center"/>
    </xf>
    <xf numFmtId="0" fontId="47" fillId="7" borderId="45" xfId="0" applyFont="1" applyFill="1" applyBorder="1" applyAlignment="1">
      <alignment wrapText="1"/>
    </xf>
    <xf numFmtId="1" fontId="47" fillId="0" borderId="40" xfId="0" applyNumberFormat="1" applyFont="1" applyBorder="1" applyAlignment="1">
      <alignment horizontal="center" wrapText="1"/>
    </xf>
    <xf numFmtId="166" fontId="47" fillId="0" borderId="0" xfId="0" applyNumberFormat="1" applyFont="1" applyFill="1" applyBorder="1" applyAlignment="1">
      <alignment horizontal="center" vertical="center"/>
    </xf>
    <xf numFmtId="1" fontId="47" fillId="7" borderId="42" xfId="0" applyNumberFormat="1" applyFont="1" applyFill="1" applyBorder="1" applyAlignment="1">
      <alignment horizontal="center" vertical="center"/>
    </xf>
    <xf numFmtId="12" fontId="47" fillId="0" borderId="31" xfId="0" applyNumberFormat="1" applyFont="1" applyBorder="1" applyAlignment="1">
      <alignment horizontal="left" vertical="center"/>
    </xf>
    <xf numFmtId="1" fontId="47" fillId="0" borderId="0" xfId="0" applyNumberFormat="1" applyFont="1" applyFill="1" applyBorder="1" applyAlignment="1">
      <alignment horizontal="center" wrapText="1"/>
    </xf>
    <xf numFmtId="12" fontId="47" fillId="7" borderId="31" xfId="0" applyNumberFormat="1" applyFont="1" applyFill="1" applyBorder="1" applyAlignment="1">
      <alignment horizontal="left" vertical="center"/>
    </xf>
    <xf numFmtId="9" fontId="47" fillId="0" borderId="58" xfId="0" applyNumberFormat="1" applyFont="1" applyBorder="1" applyAlignment="1">
      <alignment horizontal="center" vertical="center"/>
    </xf>
    <xf numFmtId="2" fontId="47" fillId="7" borderId="59" xfId="0" applyNumberFormat="1" applyFont="1" applyFill="1" applyBorder="1" applyAlignment="1">
      <alignment horizontal="center" vertical="center"/>
    </xf>
    <xf numFmtId="9" fontId="47" fillId="8" borderId="63" xfId="0" applyNumberFormat="1" applyFont="1" applyFill="1" applyBorder="1" applyAlignment="1" applyProtection="1">
      <alignment horizontal="center" vertical="center"/>
      <protection locked="0"/>
    </xf>
    <xf numFmtId="9" fontId="47" fillId="0" borderId="0" xfId="0" applyNumberFormat="1" applyFont="1" applyFill="1" applyBorder="1" applyAlignment="1">
      <alignment horizontal="center" vertical="center"/>
    </xf>
    <xf numFmtId="9" fontId="47" fillId="7" borderId="42" xfId="0" applyNumberFormat="1" applyFont="1" applyFill="1" applyBorder="1" applyAlignment="1">
      <alignment horizontal="center" vertical="center"/>
    </xf>
    <xf numFmtId="166" fontId="47" fillId="0" borderId="68" xfId="0" applyNumberFormat="1" applyFont="1" applyBorder="1" applyAlignment="1">
      <alignment horizontal="center" vertical="center"/>
    </xf>
    <xf numFmtId="9" fontId="47" fillId="0" borderId="0" xfId="0" applyNumberFormat="1" applyFont="1" applyFill="1" applyBorder="1" applyAlignment="1" applyProtection="1">
      <alignment horizontal="center" vertical="center"/>
      <protection locked="0"/>
    </xf>
    <xf numFmtId="166" fontId="47" fillId="7" borderId="69" xfId="0" applyNumberFormat="1" applyFont="1" applyFill="1" applyBorder="1" applyAlignment="1">
      <alignment horizontal="center" vertical="center"/>
    </xf>
    <xf numFmtId="14" fontId="47" fillId="0" borderId="40" xfId="0" applyNumberFormat="1" applyFont="1" applyBorder="1" applyAlignment="1">
      <alignment horizontal="center" vertical="center"/>
    </xf>
    <xf numFmtId="14" fontId="47" fillId="7" borderId="42" xfId="0" applyNumberFormat="1" applyFont="1" applyFill="1" applyBorder="1" applyAlignment="1">
      <alignment horizontal="center" vertical="center"/>
    </xf>
    <xf numFmtId="14" fontId="47" fillId="0" borderId="0" xfId="0" applyNumberFormat="1" applyFont="1" applyFill="1" applyBorder="1" applyAlignment="1">
      <alignment horizontal="center" vertical="center"/>
    </xf>
    <xf numFmtId="0" fontId="54" fillId="0" borderId="31" xfId="0" applyFont="1" applyBorder="1" applyAlignment="1">
      <alignment horizontal="left" vertical="center"/>
    </xf>
    <xf numFmtId="0" fontId="54" fillId="0" borderId="40" xfId="0" applyFont="1" applyBorder="1" applyAlignment="1">
      <alignment horizontal="center" vertical="center"/>
    </xf>
    <xf numFmtId="0" fontId="54" fillId="0" borderId="31" xfId="0" applyFont="1" applyBorder="1" applyAlignment="1">
      <alignment horizontal="left" vertical="center" wrapText="1"/>
    </xf>
    <xf numFmtId="0" fontId="47" fillId="0" borderId="42" xfId="0" applyFont="1" applyBorder="1" applyAlignment="1">
      <alignment horizontal="left" vertical="center"/>
    </xf>
    <xf numFmtId="0" fontId="47" fillId="0" borderId="42" xfId="0" applyFont="1" applyBorder="1" applyAlignment="1">
      <alignment horizontal="left" vertical="center" wrapText="1"/>
    </xf>
    <xf numFmtId="0" fontId="57" fillId="7" borderId="70" xfId="3" applyFont="1" applyFill="1" applyBorder="1" applyAlignment="1">
      <alignment horizontal="center" vertical="center" wrapText="1"/>
    </xf>
    <xf numFmtId="0" fontId="47" fillId="7" borderId="71" xfId="0" applyFont="1" applyFill="1" applyBorder="1" applyAlignment="1">
      <alignment horizontal="left" vertical="center" wrapText="1"/>
    </xf>
    <xf numFmtId="0" fontId="47" fillId="7" borderId="71" xfId="0" applyFont="1" applyFill="1" applyBorder="1" applyAlignment="1">
      <alignment horizontal="center" vertical="center" wrapText="1"/>
    </xf>
    <xf numFmtId="0" fontId="47" fillId="0" borderId="72" xfId="0" applyFont="1" applyBorder="1" applyAlignment="1">
      <alignment horizontal="left" vertical="center" wrapText="1"/>
    </xf>
    <xf numFmtId="0" fontId="47" fillId="0" borderId="75" xfId="0" applyFont="1" applyBorder="1" applyAlignment="1">
      <alignment horizontal="center" vertical="center" wrapText="1"/>
    </xf>
    <xf numFmtId="0" fontId="47" fillId="7" borderId="77" xfId="0" applyFont="1" applyFill="1" applyBorder="1" applyAlignment="1">
      <alignment horizontal="left" vertical="center" wrapText="1"/>
    </xf>
    <xf numFmtId="0" fontId="47" fillId="7" borderId="77" xfId="0" applyFont="1" applyFill="1" applyBorder="1" applyAlignment="1">
      <alignment horizontal="center" vertical="center" wrapText="1"/>
    </xf>
    <xf numFmtId="0" fontId="47" fillId="6" borderId="0" xfId="0" applyFont="1" applyFill="1" applyAlignment="1">
      <alignment vertical="top"/>
    </xf>
    <xf numFmtId="0" fontId="47" fillId="0" borderId="0" xfId="0" applyFont="1" applyAlignment="1">
      <alignment vertical="top"/>
    </xf>
    <xf numFmtId="0" fontId="47" fillId="0" borderId="0" xfId="0" applyFont="1" applyFill="1" applyAlignment="1">
      <alignment vertical="top"/>
    </xf>
    <xf numFmtId="0" fontId="47" fillId="0" borderId="0" xfId="0" applyFont="1" applyFill="1" applyAlignment="1">
      <alignment horizontal="left" vertical="top"/>
    </xf>
    <xf numFmtId="0" fontId="0" fillId="0" borderId="0" xfId="0" applyFill="1"/>
    <xf numFmtId="15" fontId="0" fillId="0" borderId="0" xfId="0" applyNumberFormat="1"/>
    <xf numFmtId="0" fontId="0" fillId="0" borderId="0" xfId="0" applyAlignment="1">
      <alignment wrapText="1"/>
    </xf>
    <xf numFmtId="0" fontId="7" fillId="3" borderId="0" xfId="3" applyFill="1" applyBorder="1" applyAlignment="1">
      <alignment horizontal="left" vertical="center" wrapText="1" indent="5"/>
    </xf>
    <xf numFmtId="0" fontId="23" fillId="3" borderId="0" xfId="0" applyFont="1" applyFill="1" applyBorder="1" applyAlignment="1" applyProtection="1">
      <alignment horizontal="right" vertical="center" wrapText="1"/>
      <protection hidden="1"/>
    </xf>
    <xf numFmtId="3" fontId="11" fillId="3" borderId="0" xfId="0" applyNumberFormat="1" applyFont="1" applyFill="1" applyBorder="1" applyAlignment="1" applyProtection="1">
      <alignment horizontal="center" vertical="center"/>
      <protection hidden="1"/>
    </xf>
    <xf numFmtId="0" fontId="23" fillId="3" borderId="2" xfId="0" applyFont="1" applyFill="1" applyBorder="1" applyAlignment="1" applyProtection="1">
      <alignment horizontal="right" vertical="center" wrapText="1"/>
      <protection hidden="1"/>
    </xf>
    <xf numFmtId="0" fontId="58" fillId="3" borderId="0" xfId="0" applyFont="1" applyFill="1" applyBorder="1" applyAlignment="1">
      <alignment horizontal="left" vertical="center" wrapText="1" indent="1"/>
    </xf>
    <xf numFmtId="0" fontId="59" fillId="3" borderId="0" xfId="0" applyFont="1" applyFill="1" applyBorder="1" applyAlignment="1">
      <alignment horizontal="left" vertical="center" wrapText="1" indent="1"/>
    </xf>
    <xf numFmtId="7" fontId="11" fillId="3" borderId="1" xfId="1" applyNumberFormat="1" applyFont="1" applyFill="1" applyBorder="1" applyAlignment="1" applyProtection="1">
      <alignment horizontal="center" vertical="center"/>
      <protection locked="0" hidden="1"/>
    </xf>
    <xf numFmtId="0" fontId="1" fillId="0" borderId="0" xfId="0" applyFont="1" applyAlignment="1">
      <alignment horizontal="center" vertical="center" wrapText="1"/>
    </xf>
    <xf numFmtId="0" fontId="0" fillId="0" borderId="0" xfId="0" applyAlignment="1">
      <alignment horizontal="center" vertical="center" wrapText="1"/>
    </xf>
    <xf numFmtId="0" fontId="60" fillId="3" borderId="1" xfId="0" applyFont="1" applyFill="1" applyBorder="1" applyAlignment="1" applyProtection="1">
      <alignment horizontal="center" vertical="center" wrapText="1"/>
      <protection hidden="1"/>
    </xf>
    <xf numFmtId="0" fontId="15" fillId="3" borderId="0" xfId="0" applyFont="1" applyFill="1" applyAlignment="1">
      <alignment horizontal="left" vertical="center" wrapText="1" indent="1"/>
    </xf>
    <xf numFmtId="0" fontId="70" fillId="3" borderId="4" xfId="0" applyFont="1" applyFill="1" applyBorder="1" applyAlignment="1" applyProtection="1">
      <alignment horizontal="center" vertical="center" wrapText="1"/>
      <protection hidden="1"/>
    </xf>
    <xf numFmtId="0" fontId="70" fillId="3" borderId="1" xfId="0" applyFont="1" applyFill="1" applyBorder="1" applyAlignment="1" applyProtection="1">
      <alignment horizontal="center" vertical="center" wrapText="1"/>
      <protection hidden="1"/>
    </xf>
    <xf numFmtId="169" fontId="11" fillId="2" borderId="1" xfId="0" applyNumberFormat="1" applyFont="1" applyFill="1" applyBorder="1" applyAlignment="1" applyProtection="1">
      <alignment horizontal="center" vertical="center"/>
      <protection locked="0"/>
    </xf>
    <xf numFmtId="170" fontId="11" fillId="3" borderId="1" xfId="1" applyNumberFormat="1" applyFont="1" applyFill="1" applyBorder="1" applyAlignment="1" applyProtection="1">
      <alignment horizontal="center" vertical="center"/>
      <protection locked="0" hidden="1"/>
    </xf>
    <xf numFmtId="171" fontId="11" fillId="2" borderId="1" xfId="2" applyNumberFormat="1" applyFont="1" applyFill="1" applyBorder="1" applyAlignment="1" applyProtection="1">
      <alignment horizontal="center" vertical="center"/>
      <protection locked="0"/>
    </xf>
    <xf numFmtId="169" fontId="11" fillId="2" borderId="8" xfId="0" applyNumberFormat="1" applyFont="1" applyFill="1" applyBorder="1" applyAlignment="1" applyProtection="1">
      <alignment horizontal="center" vertical="center" wrapText="1"/>
      <protection locked="0"/>
    </xf>
    <xf numFmtId="171" fontId="11" fillId="2" borderId="8" xfId="0" applyNumberFormat="1" applyFont="1" applyFill="1" applyBorder="1" applyAlignment="1" applyProtection="1">
      <alignment horizontal="center" vertical="center"/>
      <protection locked="0"/>
    </xf>
    <xf numFmtId="171" fontId="0" fillId="0" borderId="0" xfId="0" applyNumberFormat="1" applyAlignment="1">
      <alignment horizontal="center" vertical="center"/>
    </xf>
    <xf numFmtId="169" fontId="11" fillId="3" borderId="1" xfId="0" applyNumberFormat="1" applyFont="1" applyFill="1" applyBorder="1" applyAlignment="1" applyProtection="1">
      <alignment horizontal="center" vertical="center"/>
      <protection hidden="1"/>
    </xf>
    <xf numFmtId="169" fontId="24" fillId="3" borderId="1" xfId="0" applyNumberFormat="1" applyFont="1" applyFill="1" applyBorder="1" applyAlignment="1" applyProtection="1">
      <alignment horizontal="center" vertical="center"/>
      <protection hidden="1"/>
    </xf>
    <xf numFmtId="169" fontId="24" fillId="3" borderId="4" xfId="0" applyNumberFormat="1" applyFont="1" applyFill="1" applyBorder="1" applyAlignment="1" applyProtection="1">
      <alignment horizontal="center" vertical="center"/>
      <protection hidden="1"/>
    </xf>
    <xf numFmtId="171" fontId="11" fillId="3" borderId="1" xfId="0" applyNumberFormat="1" applyFont="1" applyFill="1" applyBorder="1" applyAlignment="1" applyProtection="1">
      <alignment horizontal="center" vertical="center"/>
      <protection hidden="1"/>
    </xf>
    <xf numFmtId="0" fontId="7" fillId="5" borderId="0" xfId="3" applyFill="1" applyAlignment="1" applyProtection="1">
      <alignment horizontal="left"/>
      <protection hidden="1"/>
    </xf>
    <xf numFmtId="0" fontId="0" fillId="5" borderId="2" xfId="0" applyFont="1" applyFill="1" applyBorder="1" applyAlignment="1" applyProtection="1">
      <alignment horizontal="left" vertical="center" wrapText="1"/>
      <protection hidden="1"/>
    </xf>
    <xf numFmtId="0" fontId="0" fillId="5" borderId="12" xfId="0" applyFont="1" applyFill="1" applyBorder="1" applyAlignment="1" applyProtection="1">
      <alignment horizontal="left" vertical="center" wrapText="1"/>
      <protection hidden="1"/>
    </xf>
    <xf numFmtId="9" fontId="11" fillId="2" borderId="11" xfId="2" applyFont="1" applyFill="1" applyBorder="1" applyAlignment="1" applyProtection="1">
      <alignment horizontal="center" vertical="center"/>
      <protection locked="0"/>
    </xf>
    <xf numFmtId="9" fontId="11" fillId="2" borderId="16" xfId="2"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wrapText="1"/>
      <protection hidden="1"/>
    </xf>
    <xf numFmtId="0" fontId="17" fillId="3" borderId="10"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right" vertical="center"/>
      <protection hidden="1"/>
    </xf>
    <xf numFmtId="0" fontId="13" fillId="3" borderId="17" xfId="0" applyFont="1" applyFill="1" applyBorder="1" applyAlignment="1" applyProtection="1">
      <alignment horizontal="right" vertical="center"/>
      <protection hidden="1"/>
    </xf>
    <xf numFmtId="0" fontId="21" fillId="3" borderId="3" xfId="0" applyFont="1" applyFill="1" applyBorder="1" applyAlignment="1" applyProtection="1">
      <alignment horizontal="left" vertical="center"/>
      <protection hidden="1"/>
    </xf>
    <xf numFmtId="0" fontId="21" fillId="3" borderId="5" xfId="0" applyFont="1" applyFill="1" applyBorder="1" applyAlignment="1" applyProtection="1">
      <alignment horizontal="left" vertical="center"/>
      <protection hidden="1"/>
    </xf>
    <xf numFmtId="0" fontId="21" fillId="3" borderId="4" xfId="0" applyFont="1" applyFill="1" applyBorder="1" applyAlignment="1" applyProtection="1">
      <alignment horizontal="left" vertical="center"/>
      <protection hidden="1"/>
    </xf>
    <xf numFmtId="0" fontId="17" fillId="3" borderId="3"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protection hidden="1"/>
    </xf>
    <xf numFmtId="0" fontId="29" fillId="2" borderId="3"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hidden="1"/>
    </xf>
    <xf numFmtId="0" fontId="21" fillId="3" borderId="5" xfId="0" applyFont="1" applyFill="1" applyBorder="1" applyAlignment="1" applyProtection="1">
      <alignment horizontal="center" vertical="center"/>
      <protection hidden="1"/>
    </xf>
    <xf numFmtId="0" fontId="21" fillId="3" borderId="4" xfId="0" applyFont="1" applyFill="1" applyBorder="1" applyAlignment="1" applyProtection="1">
      <alignment horizontal="center" vertical="center"/>
      <protection hidden="1"/>
    </xf>
    <xf numFmtId="0" fontId="12" fillId="5" borderId="0" xfId="0" applyNumberFormat="1" applyFont="1" applyFill="1" applyBorder="1" applyAlignment="1" applyProtection="1">
      <alignment horizontal="center" vertical="center"/>
      <protection hidden="1"/>
    </xf>
    <xf numFmtId="0" fontId="29" fillId="5" borderId="0" xfId="0" applyFont="1" applyFill="1" applyAlignment="1" applyProtection="1">
      <alignment horizontal="left" vertical="center" wrapText="1"/>
      <protection hidden="1"/>
    </xf>
    <xf numFmtId="0" fontId="21" fillId="5" borderId="3" xfId="0" applyFont="1" applyFill="1" applyBorder="1" applyAlignment="1" applyProtection="1">
      <alignment horizontal="left" vertical="center"/>
      <protection hidden="1"/>
    </xf>
    <xf numFmtId="0" fontId="21" fillId="5" borderId="5" xfId="0" applyFont="1" applyFill="1" applyBorder="1" applyAlignment="1" applyProtection="1">
      <alignment horizontal="left" vertical="center"/>
      <protection hidden="1"/>
    </xf>
    <xf numFmtId="0" fontId="21" fillId="5" borderId="4" xfId="0" applyFont="1" applyFill="1" applyBorder="1" applyAlignment="1" applyProtection="1">
      <alignment horizontal="left" vertical="center"/>
      <protection hidden="1"/>
    </xf>
    <xf numFmtId="0" fontId="11" fillId="3" borderId="11" xfId="0" applyFont="1" applyFill="1" applyBorder="1" applyAlignment="1" applyProtection="1">
      <alignment horizontal="left" vertical="center" wrapText="1"/>
      <protection hidden="1"/>
    </xf>
    <xf numFmtId="0" fontId="11" fillId="3" borderId="12" xfId="0" applyFont="1" applyFill="1" applyBorder="1" applyAlignment="1" applyProtection="1">
      <alignment horizontal="left" vertical="center" wrapText="1"/>
      <protection hidden="1"/>
    </xf>
    <xf numFmtId="0" fontId="11" fillId="3" borderId="13" xfId="0" applyFont="1" applyFill="1" applyBorder="1" applyAlignment="1" applyProtection="1">
      <alignment horizontal="left" vertical="center" wrapText="1"/>
      <protection hidden="1"/>
    </xf>
    <xf numFmtId="0" fontId="11" fillId="3" borderId="14" xfId="0" applyFont="1" applyFill="1" applyBorder="1" applyAlignment="1" applyProtection="1">
      <alignment horizontal="left" vertical="center" wrapText="1"/>
      <protection hidden="1"/>
    </xf>
    <xf numFmtId="0" fontId="11" fillId="3" borderId="0" xfId="0" applyFont="1" applyFill="1" applyBorder="1" applyAlignment="1" applyProtection="1">
      <alignment horizontal="left" vertical="center" wrapText="1"/>
      <protection hidden="1"/>
    </xf>
    <xf numFmtId="0" fontId="11" fillId="3" borderId="15" xfId="0" applyFont="1" applyFill="1" applyBorder="1" applyAlignment="1" applyProtection="1">
      <alignment horizontal="left" vertical="center" wrapText="1"/>
      <protection hidden="1"/>
    </xf>
    <xf numFmtId="0" fontId="64" fillId="3" borderId="14" xfId="0" applyFont="1" applyFill="1" applyBorder="1" applyAlignment="1" applyProtection="1">
      <alignment horizontal="left" vertical="top" wrapText="1"/>
      <protection hidden="1"/>
    </xf>
    <xf numFmtId="0" fontId="64" fillId="3" borderId="0" xfId="0" applyFont="1" applyFill="1" applyBorder="1" applyAlignment="1" applyProtection="1">
      <alignment horizontal="left" vertical="top" wrapText="1"/>
      <protection hidden="1"/>
    </xf>
    <xf numFmtId="0" fontId="64" fillId="3" borderId="15" xfId="0" applyFont="1" applyFill="1" applyBorder="1" applyAlignment="1" applyProtection="1">
      <alignment horizontal="left" vertical="top" wrapText="1"/>
      <protection hidden="1"/>
    </xf>
    <xf numFmtId="0" fontId="64" fillId="3" borderId="16" xfId="0" applyFont="1" applyFill="1" applyBorder="1" applyAlignment="1" applyProtection="1">
      <alignment horizontal="left" vertical="top" wrapText="1"/>
      <protection hidden="1"/>
    </xf>
    <xf numFmtId="0" fontId="64" fillId="3" borderId="2" xfId="0" applyFont="1" applyFill="1" applyBorder="1" applyAlignment="1" applyProtection="1">
      <alignment horizontal="left" vertical="top" wrapText="1"/>
      <protection hidden="1"/>
    </xf>
    <xf numFmtId="0" fontId="64" fillId="3" borderId="17" xfId="0" applyFont="1" applyFill="1" applyBorder="1" applyAlignment="1" applyProtection="1">
      <alignment horizontal="left" vertical="top" wrapText="1"/>
      <protection hidden="1"/>
    </xf>
    <xf numFmtId="0" fontId="71" fillId="3" borderId="8" xfId="0" applyFont="1" applyFill="1" applyBorder="1" applyAlignment="1" applyProtection="1">
      <alignment horizontal="center" vertical="center" wrapText="1"/>
      <protection hidden="1"/>
    </xf>
    <xf numFmtId="0" fontId="71" fillId="3" borderId="9" xfId="0" applyFont="1" applyFill="1" applyBorder="1" applyAlignment="1" applyProtection="1">
      <alignment horizontal="center" vertical="center" wrapText="1"/>
      <protection hidden="1"/>
    </xf>
    <xf numFmtId="0" fontId="71" fillId="3" borderId="10" xfId="0" applyFont="1" applyFill="1" applyBorder="1" applyAlignment="1" applyProtection="1">
      <alignment horizontal="center" vertical="center" wrapText="1"/>
      <protection hidden="1"/>
    </xf>
    <xf numFmtId="0" fontId="36" fillId="3" borderId="3" xfId="0" applyFont="1" applyFill="1" applyBorder="1" applyAlignment="1" applyProtection="1">
      <alignment horizontal="center" vertical="center" wrapText="1"/>
      <protection hidden="1"/>
    </xf>
    <xf numFmtId="0" fontId="15" fillId="3" borderId="5"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0" fontId="17" fillId="3" borderId="9" xfId="0" applyFont="1" applyFill="1" applyBorder="1" applyAlignment="1" applyProtection="1">
      <alignment horizontal="center" vertical="center" wrapText="1"/>
      <protection hidden="1"/>
    </xf>
    <xf numFmtId="164" fontId="12" fillId="5" borderId="12" xfId="0" applyNumberFormat="1"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1"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17" fillId="3" borderId="5" xfId="0" applyFont="1" applyFill="1" applyBorder="1" applyAlignment="1" applyProtection="1">
      <alignment horizontal="center" vertical="center"/>
      <protection hidden="1"/>
    </xf>
    <xf numFmtId="0" fontId="17" fillId="3" borderId="4" xfId="0" applyFont="1" applyFill="1" applyBorder="1" applyAlignment="1" applyProtection="1">
      <alignment horizontal="center" vertical="center"/>
      <protection hidden="1"/>
    </xf>
    <xf numFmtId="0" fontId="23" fillId="3" borderId="2" xfId="0" applyFont="1" applyFill="1" applyBorder="1" applyAlignment="1" applyProtection="1">
      <alignment horizontal="left" vertical="center" wrapText="1"/>
      <protection hidden="1"/>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left" vertical="top" wrapText="1"/>
    </xf>
    <xf numFmtId="0" fontId="47" fillId="0" borderId="26" xfId="0" applyFont="1" applyBorder="1" applyAlignment="1">
      <alignment horizontal="center" wrapText="1"/>
    </xf>
    <xf numFmtId="0" fontId="47" fillId="0" borderId="28" xfId="0" applyFont="1" applyBorder="1" applyAlignment="1">
      <alignment horizontal="center" vertical="center"/>
    </xf>
    <xf numFmtId="0" fontId="47" fillId="0" borderId="7" xfId="0" applyFont="1" applyBorder="1" applyAlignment="1">
      <alignment horizontal="center" vertical="center"/>
    </xf>
    <xf numFmtId="0" fontId="47" fillId="0" borderId="29" xfId="0" applyFont="1" applyBorder="1" applyAlignment="1">
      <alignment horizontal="center" vertical="center"/>
    </xf>
    <xf numFmtId="0" fontId="3" fillId="0" borderId="3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2" fontId="47" fillId="0" borderId="31" xfId="0" applyNumberFormat="1" applyFont="1" applyBorder="1" applyAlignment="1">
      <alignment horizontal="center" vertical="center"/>
    </xf>
    <xf numFmtId="2" fontId="47" fillId="0" borderId="43" xfId="0" applyNumberFormat="1" applyFont="1" applyBorder="1" applyAlignment="1">
      <alignment horizontal="center" vertical="center"/>
    </xf>
    <xf numFmtId="2" fontId="47" fillId="0" borderId="44" xfId="0" applyNumberFormat="1" applyFont="1" applyBorder="1" applyAlignment="1">
      <alignment horizontal="center" vertical="center"/>
    </xf>
    <xf numFmtId="0" fontId="47" fillId="0" borderId="39" xfId="0" applyFont="1" applyBorder="1" applyAlignment="1">
      <alignment horizontal="center" vertical="center"/>
    </xf>
    <xf numFmtId="0" fontId="47" fillId="0" borderId="41" xfId="0" applyFont="1" applyBorder="1" applyAlignment="1">
      <alignment horizontal="center" vertical="center"/>
    </xf>
    <xf numFmtId="0" fontId="47" fillId="0" borderId="45" xfId="0" applyFont="1" applyBorder="1" applyAlignment="1">
      <alignment horizontal="center" vertical="center" wrapText="1"/>
    </xf>
    <xf numFmtId="0" fontId="47" fillId="0" borderId="46" xfId="0" applyFont="1" applyBorder="1" applyAlignment="1">
      <alignment horizontal="center" vertical="center"/>
    </xf>
    <xf numFmtId="0" fontId="47" fillId="0" borderId="47" xfId="0" applyFont="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8" xfId="0" applyFont="1" applyBorder="1" applyAlignment="1">
      <alignment horizontal="center" vertical="center"/>
    </xf>
    <xf numFmtId="2" fontId="3" fillId="0" borderId="31" xfId="0" applyNumberFormat="1" applyFont="1" applyBorder="1" applyAlignment="1">
      <alignment horizontal="center" vertical="center"/>
    </xf>
    <xf numFmtId="2" fontId="3" fillId="0" borderId="43" xfId="0" applyNumberFormat="1" applyFont="1" applyBorder="1" applyAlignment="1">
      <alignment horizontal="center" vertical="center"/>
    </xf>
    <xf numFmtId="2" fontId="3" fillId="0" borderId="44"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1" xfId="0" applyNumberFormat="1" applyFont="1" applyBorder="1" applyAlignment="1">
      <alignment horizontal="center" vertical="center"/>
    </xf>
    <xf numFmtId="0" fontId="47" fillId="0" borderId="31"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53" xfId="0" applyFont="1" applyBorder="1" applyAlignment="1">
      <alignment horizontal="center" vertical="center"/>
    </xf>
    <xf numFmtId="0" fontId="47" fillId="0" borderId="40" xfId="0" applyFont="1" applyBorder="1" applyAlignment="1">
      <alignment horizontal="center" vertical="center"/>
    </xf>
    <xf numFmtId="0" fontId="47" fillId="0" borderId="31"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40"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4" xfId="0" applyFont="1" applyBorder="1" applyAlignment="1">
      <alignment horizontal="center" vertical="center"/>
    </xf>
    <xf numFmtId="14" fontId="47" fillId="0" borderId="53" xfId="0" applyNumberFormat="1" applyFont="1" applyBorder="1" applyAlignment="1">
      <alignment horizontal="center" vertical="center" wrapText="1"/>
    </xf>
    <xf numFmtId="14" fontId="47" fillId="0" borderId="44" xfId="0" applyNumberFormat="1" applyFont="1" applyBorder="1" applyAlignment="1">
      <alignment horizontal="center" vertical="center" wrapText="1"/>
    </xf>
    <xf numFmtId="166" fontId="47" fillId="0" borderId="31" xfId="0" applyNumberFormat="1" applyFont="1" applyBorder="1" applyAlignment="1">
      <alignment horizontal="center" vertical="center"/>
    </xf>
    <xf numFmtId="166" fontId="47" fillId="0" borderId="43" xfId="0" applyNumberFormat="1" applyFont="1" applyBorder="1" applyAlignment="1">
      <alignment horizontal="center" vertical="center"/>
    </xf>
    <xf numFmtId="166" fontId="47" fillId="0" borderId="44" xfId="0" applyNumberFormat="1" applyFont="1" applyBorder="1" applyAlignment="1">
      <alignment horizontal="center" vertical="center"/>
    </xf>
    <xf numFmtId="166" fontId="47" fillId="0" borderId="53" xfId="0" applyNumberFormat="1" applyFont="1" applyBorder="1" applyAlignment="1">
      <alignment horizontal="center" vertical="center"/>
    </xf>
    <xf numFmtId="166" fontId="47" fillId="0" borderId="40" xfId="0" applyNumberFormat="1" applyFont="1" applyBorder="1" applyAlignment="1">
      <alignment horizontal="center" vertical="center"/>
    </xf>
    <xf numFmtId="9" fontId="47" fillId="0" borderId="54" xfId="0" applyNumberFormat="1" applyFont="1" applyBorder="1" applyAlignment="1">
      <alignment horizontal="center" vertical="center"/>
    </xf>
    <xf numFmtId="9" fontId="47" fillId="0" borderId="55" xfId="0" applyNumberFormat="1" applyFont="1" applyBorder="1" applyAlignment="1">
      <alignment horizontal="center" vertical="center"/>
    </xf>
    <xf numFmtId="9" fontId="47" fillId="0" borderId="56" xfId="0" applyNumberFormat="1" applyFont="1" applyBorder="1" applyAlignment="1">
      <alignment horizontal="center" vertical="center"/>
    </xf>
    <xf numFmtId="9" fontId="47" fillId="0" borderId="57" xfId="0" applyNumberFormat="1" applyFont="1" applyBorder="1" applyAlignment="1">
      <alignment horizontal="center" vertical="center"/>
    </xf>
    <xf numFmtId="9" fontId="47" fillId="0" borderId="58" xfId="0" applyNumberFormat="1" applyFont="1" applyBorder="1" applyAlignment="1">
      <alignment horizontal="center" vertical="center"/>
    </xf>
    <xf numFmtId="1" fontId="47" fillId="0" borderId="31" xfId="0" applyNumberFormat="1" applyFont="1" applyBorder="1" applyAlignment="1">
      <alignment horizontal="center" wrapText="1"/>
    </xf>
    <xf numFmtId="1" fontId="47" fillId="0" borderId="43" xfId="0" applyNumberFormat="1" applyFont="1" applyBorder="1" applyAlignment="1">
      <alignment horizontal="center" wrapText="1"/>
    </xf>
    <xf numFmtId="1" fontId="47" fillId="0" borderId="44" xfId="0" applyNumberFormat="1" applyFont="1" applyBorder="1" applyAlignment="1">
      <alignment horizontal="center" wrapText="1"/>
    </xf>
    <xf numFmtId="1" fontId="47" fillId="0" borderId="53" xfId="0" applyNumberFormat="1" applyFont="1" applyBorder="1" applyAlignment="1">
      <alignment horizontal="center" wrapText="1"/>
    </xf>
    <xf numFmtId="1" fontId="47" fillId="0" borderId="53" xfId="0" applyNumberFormat="1" applyFont="1" applyBorder="1" applyAlignment="1">
      <alignment horizontal="center" vertical="center"/>
    </xf>
    <xf numFmtId="1" fontId="47" fillId="0" borderId="43" xfId="0" applyNumberFormat="1" applyFont="1" applyBorder="1" applyAlignment="1">
      <alignment horizontal="center" vertical="center"/>
    </xf>
    <xf numFmtId="1" fontId="47" fillId="0" borderId="44" xfId="0" applyNumberFormat="1" applyFont="1" applyBorder="1" applyAlignment="1">
      <alignment horizontal="center" vertical="center"/>
    </xf>
    <xf numFmtId="1" fontId="47" fillId="0" borderId="40" xfId="0" applyNumberFormat="1" applyFont="1" applyBorder="1" applyAlignment="1">
      <alignment horizontal="center" vertical="center"/>
    </xf>
    <xf numFmtId="14" fontId="47" fillId="0" borderId="31" xfId="0" applyNumberFormat="1" applyFont="1" applyBorder="1" applyAlignment="1">
      <alignment horizontal="center" vertical="center"/>
    </xf>
    <xf numFmtId="14" fontId="47" fillId="0" borderId="43" xfId="0" applyNumberFormat="1" applyFont="1" applyBorder="1" applyAlignment="1">
      <alignment horizontal="center" vertical="center"/>
    </xf>
    <xf numFmtId="14" fontId="47" fillId="0" borderId="44" xfId="0" applyNumberFormat="1" applyFont="1" applyBorder="1" applyAlignment="1">
      <alignment horizontal="center" vertical="center"/>
    </xf>
    <xf numFmtId="14" fontId="47" fillId="0" borderId="53" xfId="0" applyNumberFormat="1" applyFont="1" applyBorder="1" applyAlignment="1">
      <alignment horizontal="center" vertical="center"/>
    </xf>
    <xf numFmtId="14" fontId="47" fillId="0" borderId="40" xfId="0" applyNumberFormat="1" applyFont="1" applyBorder="1" applyAlignment="1">
      <alignment horizontal="center" vertical="center"/>
    </xf>
    <xf numFmtId="9" fontId="47" fillId="8" borderId="60" xfId="0" applyNumberFormat="1" applyFont="1" applyFill="1" applyBorder="1" applyAlignment="1" applyProtection="1">
      <alignment horizontal="center" vertical="center"/>
      <protection locked="0"/>
    </xf>
    <xf numFmtId="9" fontId="47" fillId="8" borderId="61" xfId="0" applyNumberFormat="1" applyFont="1" applyFill="1" applyBorder="1" applyAlignment="1" applyProtection="1">
      <alignment horizontal="center" vertical="center"/>
      <protection locked="0"/>
    </xf>
    <xf numFmtId="9" fontId="47" fillId="8" borderId="62" xfId="0" applyNumberFormat="1" applyFont="1" applyFill="1" applyBorder="1" applyAlignment="1" applyProtection="1">
      <alignment horizontal="center" vertical="center"/>
      <protection locked="0"/>
    </xf>
    <xf numFmtId="9" fontId="47" fillId="8" borderId="6" xfId="0" applyNumberFormat="1" applyFont="1" applyFill="1" applyBorder="1" applyAlignment="1" applyProtection="1">
      <alignment horizontal="center" vertical="center"/>
      <protection locked="0"/>
    </xf>
    <xf numFmtId="9" fontId="47" fillId="8" borderId="63" xfId="0" applyNumberFormat="1" applyFont="1" applyFill="1" applyBorder="1" applyAlignment="1" applyProtection="1">
      <alignment horizontal="center" vertical="center"/>
      <protection locked="0"/>
    </xf>
    <xf numFmtId="166" fontId="47" fillId="0" borderId="64" xfId="0" applyNumberFormat="1" applyFont="1" applyBorder="1" applyAlignment="1">
      <alignment horizontal="center" vertical="center"/>
    </xf>
    <xf numFmtId="166" fontId="47" fillId="0" borderId="65" xfId="0" applyNumberFormat="1" applyFont="1" applyBorder="1" applyAlignment="1">
      <alignment horizontal="center" vertical="center"/>
    </xf>
    <xf numFmtId="166" fontId="47" fillId="0" borderId="66" xfId="0" applyNumberFormat="1" applyFont="1" applyBorder="1" applyAlignment="1">
      <alignment horizontal="center" vertical="center"/>
    </xf>
    <xf numFmtId="166" fontId="47" fillId="0" borderId="67" xfId="0" applyNumberFormat="1" applyFont="1" applyBorder="1" applyAlignment="1">
      <alignment horizontal="center" vertical="center"/>
    </xf>
    <xf numFmtId="166" fontId="47" fillId="0" borderId="68" xfId="0" applyNumberFormat="1" applyFont="1" applyBorder="1" applyAlignment="1">
      <alignment horizontal="center" vertical="center"/>
    </xf>
    <xf numFmtId="0" fontId="51" fillId="0" borderId="53"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54" fillId="0" borderId="31"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53" xfId="0" applyFont="1" applyBorder="1" applyAlignment="1">
      <alignment horizontal="center" vertical="center"/>
    </xf>
    <xf numFmtId="0" fontId="6" fillId="0" borderId="5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40" xfId="0" applyFont="1" applyBorder="1" applyAlignment="1">
      <alignment horizontal="center" vertical="center" wrapText="1"/>
    </xf>
    <xf numFmtId="0" fontId="53" fillId="0" borderId="53" xfId="0" applyFont="1" applyBorder="1" applyAlignment="1">
      <alignment horizontal="center" vertical="center" wrapText="1"/>
    </xf>
    <xf numFmtId="0" fontId="47" fillId="0" borderId="73"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74" xfId="0" applyFont="1" applyBorder="1" applyAlignment="1">
      <alignment horizontal="center" vertical="center"/>
    </xf>
    <xf numFmtId="0" fontId="47" fillId="0" borderId="76" xfId="0" applyFont="1" applyBorder="1" applyAlignment="1">
      <alignment horizontal="center" vertical="center"/>
    </xf>
    <xf numFmtId="0" fontId="47" fillId="0" borderId="7" xfId="0" applyFont="1" applyBorder="1" applyAlignment="1">
      <alignment horizontal="left" vertical="top" wrapText="1"/>
    </xf>
    <xf numFmtId="0" fontId="7" fillId="0" borderId="31" xfId="3" applyBorder="1" applyAlignment="1">
      <alignment horizontal="center" vertical="center" wrapText="1"/>
    </xf>
    <xf numFmtId="0" fontId="56" fillId="0" borderId="43" xfId="3" applyFont="1" applyBorder="1" applyAlignment="1">
      <alignment horizontal="center" vertical="center" wrapText="1"/>
    </xf>
    <xf numFmtId="0" fontId="56" fillId="0" borderId="44" xfId="3" applyFont="1" applyBorder="1" applyAlignment="1">
      <alignment horizontal="center" vertical="center" wrapText="1"/>
    </xf>
    <xf numFmtId="0" fontId="7" fillId="0" borderId="53" xfId="3" applyBorder="1" applyAlignment="1">
      <alignment horizontal="center" vertical="center" wrapText="1"/>
    </xf>
    <xf numFmtId="0" fontId="56" fillId="0" borderId="53" xfId="3" applyFont="1" applyBorder="1" applyAlignment="1">
      <alignment horizontal="center" vertical="center" wrapText="1"/>
    </xf>
    <xf numFmtId="0" fontId="56" fillId="0" borderId="40" xfId="3"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0" xfId="0" applyFont="1" applyAlignment="1">
      <alignment horizontal="left" vertical="top"/>
    </xf>
    <xf numFmtId="0" fontId="47" fillId="0" borderId="0" xfId="0" applyFont="1" applyBorder="1" applyAlignment="1">
      <alignment horizontal="left" vertical="top"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b="1"/>
              <a:t>Coût du vaccin</a:t>
            </a:r>
          </a:p>
          <a:p>
            <a:pPr>
              <a:defRPr b="1"/>
            </a:pPr>
            <a:r>
              <a:rPr lang="fr-FR" sz="1000" b="1"/>
              <a:t>Coût d'achat du vaccin et du matériel</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'Saisie des données'!$D$31</c:f>
              <c:strCache>
                <c:ptCount val="1"/>
                <c:pt idx="0">
                  <c:v>Synflorix, décavalent, 4 doses/solution liquide en flacon</c:v>
                </c:pt>
              </c:strCache>
            </c:strRef>
          </c:tx>
          <c:spPr>
            <a:solidFill>
              <a:schemeClr val="accent1"/>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Résultats!$C$48:$C$57</c:f>
              <c:numCache>
                <c:formatCode>#,##0"$"</c:formatCode>
                <c:ptCount val="10"/>
                <c:pt idx="0">
                  <c:v>236020.52173913043</c:v>
                </c:pt>
                <c:pt idx="1">
                  <c:v>276297.23130434781</c:v>
                </c:pt>
                <c:pt idx="2">
                  <c:v>327326.11915652169</c:v>
                </c:pt>
                <c:pt idx="3">
                  <c:v>389972.50677973911</c:v>
                </c:pt>
                <c:pt idx="4">
                  <c:v>456083.08415310859</c:v>
                </c:pt>
                <c:pt idx="5">
                  <c:v>535149.94495195802</c:v>
                </c:pt>
                <c:pt idx="6">
                  <c:v>637792.02814371022</c:v>
                </c:pt>
                <c:pt idx="7">
                  <c:v>746111.00137651071</c:v>
                </c:pt>
                <c:pt idx="8">
                  <c:v>890975.35643133125</c:v>
                </c:pt>
                <c:pt idx="9">
                  <c:v>1054373.0275351969</c:v>
                </c:pt>
              </c:numCache>
            </c:numRef>
          </c:val>
          <c:extLst>
            <c:ext xmlns:c16="http://schemas.microsoft.com/office/drawing/2014/chart" uri="{C3380CC4-5D6E-409C-BE32-E72D297353CC}">
              <c16:uniqueId val="{00000003-F1D1-4FC3-BB8D-825419D6B59B}"/>
            </c:ext>
          </c:extLst>
        </c:ser>
        <c:ser>
          <c:idx val="0"/>
          <c:order val="1"/>
          <c:tx>
            <c:strRef>
              <c:f>'Saisie des données'!$H$31</c:f>
              <c:strCache>
                <c:ptCount val="1"/>
                <c:pt idx="0">
                  <c:v>PNEUMOSIL, décavalent, 5 doses/solution liquide en flacon</c:v>
                </c:pt>
              </c:strCache>
            </c:strRef>
          </c:tx>
          <c:spPr>
            <a:solidFill>
              <a:schemeClr val="accent2"/>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Résultats!$F$48:$F$57</c:f>
              <c:numCache>
                <c:formatCode>#,##0"$"</c:formatCode>
                <c:ptCount val="10"/>
                <c:pt idx="0">
                  <c:v>158353.39130434784</c:v>
                </c:pt>
                <c:pt idx="1">
                  <c:v>184871.92347826087</c:v>
                </c:pt>
                <c:pt idx="2">
                  <c:v>218444.29161739125</c:v>
                </c:pt>
                <c:pt idx="3">
                  <c:v>259638.0164633044</c:v>
                </c:pt>
                <c:pt idx="4">
                  <c:v>303106.76493751648</c:v>
                </c:pt>
                <c:pt idx="5">
                  <c:v>355074.96347531816</c:v>
                </c:pt>
                <c:pt idx="6">
                  <c:v>422505.95653904881</c:v>
                </c:pt>
                <c:pt idx="7">
                  <c:v>493663.2417194756</c:v>
                </c:pt>
                <c:pt idx="8">
                  <c:v>588788.56520943705</c:v>
                </c:pt>
                <c:pt idx="9">
                  <c:v>696070.85194337636</c:v>
                </c:pt>
              </c:numCache>
            </c:numRef>
          </c:val>
          <c:extLst>
            <c:ext xmlns:c16="http://schemas.microsoft.com/office/drawing/2014/chart" uri="{C3380CC4-5D6E-409C-BE32-E72D297353CC}">
              <c16:uniqueId val="{00000004-F1D1-4FC3-BB8D-825419D6B59B}"/>
            </c:ext>
          </c:extLst>
        </c:ser>
        <c:ser>
          <c:idx val="2"/>
          <c:order val="2"/>
          <c:tx>
            <c:strRef>
              <c:f>'Saisie des données'!$L$31</c:f>
              <c:strCache>
                <c:ptCount val="1"/>
                <c:pt idx="0">
                  <c:v>PNEUMOSIL, décavalent, 1 dose/solution liquide en flacon</c:v>
                </c:pt>
              </c:strCache>
            </c:strRef>
          </c:tx>
          <c:spPr>
            <a:solidFill>
              <a:schemeClr val="accent3"/>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Résultats!$I$48:$I$57</c:f>
              <c:numCache>
                <c:formatCode>#,##0"$"</c:formatCode>
                <c:ptCount val="10"/>
                <c:pt idx="0">
                  <c:v>221732.88421052633</c:v>
                </c:pt>
                <c:pt idx="1">
                  <c:v>259478.6408421052</c:v>
                </c:pt>
                <c:pt idx="2">
                  <c:v>307296.22907789482</c:v>
                </c:pt>
                <c:pt idx="3">
                  <c:v>365996.18700724212</c:v>
                </c:pt>
                <c:pt idx="4">
                  <c:v>427941.57580618019</c:v>
                </c:pt>
                <c:pt idx="5">
                  <c:v>502023.36941214517</c:v>
                </c:pt>
                <c:pt idx="6">
                  <c:v>598188.02399388049</c:v>
                </c:pt>
                <c:pt idx="7">
                  <c:v>699670.73681804887</c:v>
                </c:pt>
                <c:pt idx="8">
                  <c:v>835385.10461256688</c:v>
                </c:pt>
                <c:pt idx="9">
                  <c:v>988459.79523334326</c:v>
                </c:pt>
              </c:numCache>
            </c:numRef>
          </c:val>
          <c:extLst>
            <c:ext xmlns:c16="http://schemas.microsoft.com/office/drawing/2014/chart" uri="{C3380CC4-5D6E-409C-BE32-E72D297353CC}">
              <c16:uniqueId val="{00000005-F1D1-4FC3-BB8D-825419D6B59B}"/>
            </c:ext>
          </c:extLst>
        </c:ser>
        <c:ser>
          <c:idx val="3"/>
          <c:order val="3"/>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Résultats!$M$48:$M$57</c:f>
              <c:numCache>
                <c:formatCode>#,##0"$"</c:formatCode>
                <c:ptCount val="10"/>
                <c:pt idx="0">
                  <c:v>246804.37894736842</c:v>
                </c:pt>
                <c:pt idx="1">
                  <c:v>288991.37178947369</c:v>
                </c:pt>
                <c:pt idx="2">
                  <c:v>342444.04709052626</c:v>
                </c:pt>
                <c:pt idx="3">
                  <c:v>408069.07510938949</c:v>
                </c:pt>
                <c:pt idx="4">
                  <c:v>477323.40516700293</c:v>
                </c:pt>
                <c:pt idx="5">
                  <c:v>560152.837116885</c:v>
                </c:pt>
                <c:pt idx="6">
                  <c:v>667683.87868731492</c:v>
                </c:pt>
                <c:pt idx="7">
                  <c:v>781162.64519856533</c:v>
                </c:pt>
                <c:pt idx="8">
                  <c:v>932933.12142805546</c:v>
                </c:pt>
                <c:pt idx="9">
                  <c:v>1104122.2519156148</c:v>
                </c:pt>
              </c:numCache>
            </c:numRef>
          </c:val>
          <c:extLst>
            <c:ext xmlns:c16="http://schemas.microsoft.com/office/drawing/2014/chart" uri="{C3380CC4-5D6E-409C-BE32-E72D297353CC}">
              <c16:uniqueId val="{00000000-0D13-4A94-851B-30B2BB6C9B12}"/>
            </c:ext>
          </c:extLst>
        </c:ser>
        <c:ser>
          <c:idx val="4"/>
          <c:order val="4"/>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Résultats!$P$48:$P$57</c:f>
              <c:numCache>
                <c:formatCode>#,##0"$"</c:formatCode>
                <c:ptCount val="10"/>
                <c:pt idx="0">
                  <c:v>224925.21739130435</c:v>
                </c:pt>
                <c:pt idx="1">
                  <c:v>263236.47304347821</c:v>
                </c:pt>
                <c:pt idx="2">
                  <c:v>311771.57236521738</c:v>
                </c:pt>
                <c:pt idx="3">
                  <c:v>371353.29387739132</c:v>
                </c:pt>
                <c:pt idx="4">
                  <c:v>434229.32426516694</c:v>
                </c:pt>
                <c:pt idx="5">
                  <c:v>509424.94759815233</c:v>
                </c:pt>
                <c:pt idx="6">
                  <c:v>607036.87505733012</c:v>
                </c:pt>
                <c:pt idx="7">
                  <c:v>710047.03571122</c:v>
                </c:pt>
                <c:pt idx="8">
                  <c:v>847805.81482820353</c:v>
                </c:pt>
                <c:pt idx="9">
                  <c:v>1003187.0024506511</c:v>
                </c:pt>
              </c:numCache>
            </c:numRef>
          </c:val>
          <c:extLst>
            <c:ext xmlns:c16="http://schemas.microsoft.com/office/drawing/2014/chart" uri="{C3380CC4-5D6E-409C-BE32-E72D297353CC}">
              <c16:uniqueId val="{00000001-0D13-4A94-851B-30B2BB6C9B12}"/>
            </c:ext>
          </c:extLst>
        </c:ser>
        <c:ser>
          <c:idx val="5"/>
          <c:order val="5"/>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Résultats!$S$48:$S$57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13-4A94-851B-30B2BB6C9B12}"/>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sz="1400" b="1" i="0" u="none" strike="noStrike" baseline="0"/>
              <a:t>Coût du vaccin</a:t>
            </a:r>
          </a:p>
          <a:p>
            <a:pPr>
              <a:defRPr b="1"/>
            </a:pPr>
            <a:r>
              <a:rPr lang="fr-FR" sz="1000" b="1" i="0" u="none" strike="noStrike" baseline="0"/>
              <a:t>Coût d'achat du vaccin et du matériel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2"/>
          <c:order val="0"/>
          <c:tx>
            <c:strRef>
              <c:f>'Saisie des données'!$D$31</c:f>
              <c:strCache>
                <c:ptCount val="1"/>
                <c:pt idx="0">
                  <c:v>Synflorix, décavalent, 4 doses/solution liquide en flacon</c:v>
                </c:pt>
              </c:strCache>
            </c:strRef>
          </c:tx>
          <c:spPr>
            <a:solidFill>
              <a:schemeClr val="accent1"/>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Résultats!$C$74:$C$83</c:f>
              <c:numCache>
                <c:formatCode>#,##0"$"</c:formatCode>
                <c:ptCount val="10"/>
                <c:pt idx="0">
                  <c:v>816146.43478260853</c:v>
                </c:pt>
                <c:pt idx="1">
                  <c:v>840630.82782608678</c:v>
                </c:pt>
                <c:pt idx="2">
                  <c:v>865849.75266086927</c:v>
                </c:pt>
                <c:pt idx="3">
                  <c:v>891825.24524069554</c:v>
                </c:pt>
                <c:pt idx="4">
                  <c:v>918580.00259791629</c:v>
                </c:pt>
                <c:pt idx="5">
                  <c:v>946137.40267585369</c:v>
                </c:pt>
                <c:pt idx="6">
                  <c:v>974521.52475612937</c:v>
                </c:pt>
                <c:pt idx="7">
                  <c:v>1003757.1704988132</c:v>
                </c:pt>
                <c:pt idx="8">
                  <c:v>1033869.8856137774</c:v>
                </c:pt>
                <c:pt idx="9">
                  <c:v>1064885.982182191</c:v>
                </c:pt>
              </c:numCache>
            </c:numRef>
          </c:val>
          <c:extLst>
            <c:ext xmlns:c16="http://schemas.microsoft.com/office/drawing/2014/chart" uri="{C3380CC4-5D6E-409C-BE32-E72D297353CC}">
              <c16:uniqueId val="{00000000-4AF1-4ED4-A5D0-DFB0C8E6D60A}"/>
            </c:ext>
          </c:extLst>
        </c:ser>
        <c:ser>
          <c:idx val="3"/>
          <c:order val="1"/>
          <c:tx>
            <c:strRef>
              <c:f>'Saisie des données'!$H$31</c:f>
              <c:strCache>
                <c:ptCount val="1"/>
                <c:pt idx="0">
                  <c:v>PNEUMOSIL, décavalent, 5 doses/solution liquide en flacon</c:v>
                </c:pt>
              </c:strCache>
            </c:strRef>
          </c:tx>
          <c:spPr>
            <a:solidFill>
              <a:schemeClr val="accent2"/>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Résultats!$F$74:$F$83</c:f>
              <c:numCache>
                <c:formatCode>#,##0"$"</c:formatCode>
                <c:ptCount val="10"/>
                <c:pt idx="0">
                  <c:v>538763.82608695654</c:v>
                </c:pt>
                <c:pt idx="1">
                  <c:v>554926.74086956517</c:v>
                </c:pt>
                <c:pt idx="2">
                  <c:v>571574.54309565213</c:v>
                </c:pt>
                <c:pt idx="3">
                  <c:v>588721.7793885218</c:v>
                </c:pt>
                <c:pt idx="4">
                  <c:v>606383.43277017737</c:v>
                </c:pt>
                <c:pt idx="5">
                  <c:v>624574.93575328263</c:v>
                </c:pt>
                <c:pt idx="6">
                  <c:v>643312.18382588122</c:v>
                </c:pt>
                <c:pt idx="7">
                  <c:v>662611.54934065754</c:v>
                </c:pt>
                <c:pt idx="8">
                  <c:v>682489.89582087717</c:v>
                </c:pt>
                <c:pt idx="9">
                  <c:v>702964.59269550373</c:v>
                </c:pt>
              </c:numCache>
            </c:numRef>
          </c:val>
          <c:extLst>
            <c:ext xmlns:c16="http://schemas.microsoft.com/office/drawing/2014/chart" uri="{C3380CC4-5D6E-409C-BE32-E72D297353CC}">
              <c16:uniqueId val="{00000001-4AF1-4ED4-A5D0-DFB0C8E6D60A}"/>
            </c:ext>
          </c:extLst>
        </c:ser>
        <c:ser>
          <c:idx val="0"/>
          <c:order val="2"/>
          <c:tx>
            <c:strRef>
              <c:f>'Saisie des données'!$L$31</c:f>
              <c:strCache>
                <c:ptCount val="1"/>
                <c:pt idx="0">
                  <c:v>PNEUMOSIL, décavalent, 1 dose/solution liquide en flacon</c:v>
                </c:pt>
              </c:strCache>
            </c:strRef>
          </c:tx>
          <c:spPr>
            <a:solidFill>
              <a:schemeClr val="accent3"/>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Résultats!$I$74:$I$83</c:f>
              <c:numCache>
                <c:formatCode>#,##0"$"</c:formatCode>
                <c:ptCount val="10"/>
                <c:pt idx="0">
                  <c:v>765119.15789473685</c:v>
                </c:pt>
                <c:pt idx="1">
                  <c:v>788072.73263157893</c:v>
                </c:pt>
                <c:pt idx="2">
                  <c:v>811714.91461052618</c:v>
                </c:pt>
                <c:pt idx="3">
                  <c:v>836066.36204884225</c:v>
                </c:pt>
                <c:pt idx="4">
                  <c:v>861148.35291030724</c:v>
                </c:pt>
                <c:pt idx="5">
                  <c:v>886982.80349761643</c:v>
                </c:pt>
                <c:pt idx="6">
                  <c:v>913592.28760254488</c:v>
                </c:pt>
                <c:pt idx="7">
                  <c:v>941000.05623062141</c:v>
                </c:pt>
                <c:pt idx="8">
                  <c:v>969230.05791753985</c:v>
                </c:pt>
                <c:pt idx="9">
                  <c:v>998306.95965506637</c:v>
                </c:pt>
              </c:numCache>
            </c:numRef>
          </c:val>
          <c:extLst>
            <c:ext xmlns:c16="http://schemas.microsoft.com/office/drawing/2014/chart" uri="{C3380CC4-5D6E-409C-BE32-E72D297353CC}">
              <c16:uniqueId val="{00000002-4AF1-4ED4-A5D0-DFB0C8E6D60A}"/>
            </c:ext>
          </c:extLst>
        </c:ser>
        <c:ser>
          <c:idx val="1"/>
          <c:order val="3"/>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Résultats!$M$74:$M$83</c:f>
              <c:numCache>
                <c:formatCode>#,##0"$"</c:formatCode>
                <c:ptCount val="10"/>
                <c:pt idx="0">
                  <c:v>854660.21052631573</c:v>
                </c:pt>
                <c:pt idx="1">
                  <c:v>880300.01684210508</c:v>
                </c:pt>
                <c:pt idx="2">
                  <c:v>906709.01734736818</c:v>
                </c:pt>
                <c:pt idx="3">
                  <c:v>933910.28786778939</c:v>
                </c:pt>
                <c:pt idx="4">
                  <c:v>961927.59650382295</c:v>
                </c:pt>
                <c:pt idx="5">
                  <c:v>990785.42439893761</c:v>
                </c:pt>
                <c:pt idx="6">
                  <c:v>1020508.9871309056</c:v>
                </c:pt>
                <c:pt idx="7">
                  <c:v>1051124.256744833</c:v>
                </c:pt>
                <c:pt idx="8">
                  <c:v>1082657.9844471777</c:v>
                </c:pt>
                <c:pt idx="9">
                  <c:v>1115137.723980593</c:v>
                </c:pt>
              </c:numCache>
            </c:numRef>
          </c:val>
          <c:extLst>
            <c:ext xmlns:c16="http://schemas.microsoft.com/office/drawing/2014/chart" uri="{C3380CC4-5D6E-409C-BE32-E72D297353CC}">
              <c16:uniqueId val="{00000000-50C5-4C10-B7A6-ED93AC21A2CE}"/>
            </c:ext>
          </c:extLst>
        </c:ser>
        <c:ser>
          <c:idx val="4"/>
          <c:order val="4"/>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Résultats!$P$74:$P$83</c:f>
              <c:numCache>
                <c:formatCode>#,##0"$"</c:formatCode>
                <c:ptCount val="10"/>
                <c:pt idx="0">
                  <c:v>776520.34782608692</c:v>
                </c:pt>
                <c:pt idx="1">
                  <c:v>799815.95826086949</c:v>
                </c:pt>
                <c:pt idx="2">
                  <c:v>823810.43700869544</c:v>
                </c:pt>
                <c:pt idx="3">
                  <c:v>848524.75011895644</c:v>
                </c:pt>
                <c:pt idx="4">
                  <c:v>873980.49262252508</c:v>
                </c:pt>
                <c:pt idx="5">
                  <c:v>900199.90740120073</c:v>
                </c:pt>
                <c:pt idx="6">
                  <c:v>927205.90462323686</c:v>
                </c:pt>
                <c:pt idx="7">
                  <c:v>955022.08176193386</c:v>
                </c:pt>
                <c:pt idx="8">
                  <c:v>983672.74421479169</c:v>
                </c:pt>
                <c:pt idx="9">
                  <c:v>1013182.9265412359</c:v>
                </c:pt>
              </c:numCache>
            </c:numRef>
          </c:val>
          <c:extLst>
            <c:ext xmlns:c16="http://schemas.microsoft.com/office/drawing/2014/chart" uri="{C3380CC4-5D6E-409C-BE32-E72D297353CC}">
              <c16:uniqueId val="{00000001-50C5-4C10-B7A6-ED93AC21A2CE}"/>
            </c:ext>
          </c:extLst>
        </c:ser>
        <c:ser>
          <c:idx val="5"/>
          <c:order val="5"/>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Résultats!$S$74:$S$83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C5-4C10-B7A6-ED93AC21A2CE}"/>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b="1"/>
              <a:t>Coût du programme de vaccination</a:t>
            </a:r>
          </a:p>
          <a:p>
            <a:pPr>
              <a:defRPr b="1"/>
            </a:pPr>
            <a:r>
              <a:rPr lang="fr-FR" sz="1000" b="1"/>
              <a:t>Coût du vaccin + coûts supplémentaires du système de santé</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3"/>
          <c:order val="0"/>
          <c:tx>
            <c:strRef>
              <c:f>'Saisie des données'!$D$31</c:f>
              <c:strCache>
                <c:ptCount val="1"/>
                <c:pt idx="0">
                  <c:v>Synflorix, décavalent, 4 doses/solution liquide en flacon</c:v>
                </c:pt>
              </c:strCache>
            </c:strRef>
          </c:tx>
          <c:spPr>
            <a:solidFill>
              <a:schemeClr val="accent1"/>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Résultats!$C$60:$C$69</c:f>
              <c:numCache>
                <c:formatCode>#,##0"$"</c:formatCode>
                <c:ptCount val="10"/>
                <c:pt idx="0">
                  <c:v>388770.52173913043</c:v>
                </c:pt>
                <c:pt idx="1">
                  <c:v>443929.73130434781</c:v>
                </c:pt>
                <c:pt idx="2">
                  <c:v>499987.59415652166</c:v>
                </c:pt>
                <c:pt idx="3">
                  <c:v>567813.82602973911</c:v>
                </c:pt>
                <c:pt idx="4">
                  <c:v>639259.64298060862</c:v>
                </c:pt>
                <c:pt idx="5">
                  <c:v>723821.800544283</c:v>
                </c:pt>
                <c:pt idx="6">
                  <c:v>832124.03940380493</c:v>
                </c:pt>
                <c:pt idx="7">
                  <c:v>946272.9729744083</c:v>
                </c:pt>
                <c:pt idx="8">
                  <c:v>1097142.1871771656</c:v>
                </c:pt>
                <c:pt idx="9">
                  <c:v>1266724.8632034063</c:v>
                </c:pt>
              </c:numCache>
            </c:numRef>
          </c:val>
          <c:extLst>
            <c:ext xmlns:c16="http://schemas.microsoft.com/office/drawing/2014/chart" uri="{C3380CC4-5D6E-409C-BE32-E72D297353CC}">
              <c16:uniqueId val="{00000001-5BA9-4DAE-A819-3E39818F7594}"/>
            </c:ext>
          </c:extLst>
        </c:ser>
        <c:ser>
          <c:idx val="0"/>
          <c:order val="1"/>
          <c:tx>
            <c:strRef>
              <c:f>'Saisie des données'!$H$31</c:f>
              <c:strCache>
                <c:ptCount val="1"/>
                <c:pt idx="0">
                  <c:v>PNEUMOSIL, décavalent, 5 doses/solution liquide en flacon</c:v>
                </c:pt>
              </c:strCache>
            </c:strRef>
          </c:tx>
          <c:spPr>
            <a:solidFill>
              <a:schemeClr val="accent2"/>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Résultats!$F$60:$F$69</c:f>
              <c:numCache>
                <c:formatCode>#,##0"$"</c:formatCode>
                <c:ptCount val="10"/>
                <c:pt idx="0">
                  <c:v>311103.39130434784</c:v>
                </c:pt>
                <c:pt idx="1">
                  <c:v>352504.42347826087</c:v>
                </c:pt>
                <c:pt idx="2">
                  <c:v>391105.76661739126</c:v>
                </c:pt>
                <c:pt idx="3">
                  <c:v>437479.3357133044</c:v>
                </c:pt>
                <c:pt idx="4">
                  <c:v>486283.32376501645</c:v>
                </c:pt>
                <c:pt idx="5">
                  <c:v>543746.81906764314</c:v>
                </c:pt>
                <c:pt idx="6">
                  <c:v>616837.96779914352</c:v>
                </c:pt>
                <c:pt idx="7">
                  <c:v>693825.21331737319</c:v>
                </c:pt>
                <c:pt idx="8">
                  <c:v>794955.39595527155</c:v>
                </c:pt>
                <c:pt idx="9">
                  <c:v>908422.68761158595</c:v>
                </c:pt>
              </c:numCache>
            </c:numRef>
          </c:val>
          <c:extLst>
            <c:ext xmlns:c16="http://schemas.microsoft.com/office/drawing/2014/chart" uri="{C3380CC4-5D6E-409C-BE32-E72D297353CC}">
              <c16:uniqueId val="{00000002-5BA9-4DAE-A819-3E39818F7594}"/>
            </c:ext>
          </c:extLst>
        </c:ser>
        <c:ser>
          <c:idx val="1"/>
          <c:order val="2"/>
          <c:tx>
            <c:strRef>
              <c:f>'Saisie des données'!$L$31</c:f>
              <c:strCache>
                <c:ptCount val="1"/>
                <c:pt idx="0">
                  <c:v>PNEUMOSIL, décavalent, 1 dose/solution liquide en flacon</c:v>
                </c:pt>
              </c:strCache>
            </c:strRef>
          </c:tx>
          <c:spPr>
            <a:solidFill>
              <a:schemeClr val="accent3"/>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Résultats!$I$60:$I$69</c:f>
              <c:numCache>
                <c:formatCode>#,##0"$"</c:formatCode>
                <c:ptCount val="10"/>
                <c:pt idx="0">
                  <c:v>374482.88421052636</c:v>
                </c:pt>
                <c:pt idx="1">
                  <c:v>427111.1408421052</c:v>
                </c:pt>
                <c:pt idx="2">
                  <c:v>479957.7040778948</c:v>
                </c:pt>
                <c:pt idx="3">
                  <c:v>543837.50625724206</c:v>
                </c:pt>
                <c:pt idx="4">
                  <c:v>611118.13463368011</c:v>
                </c:pt>
                <c:pt idx="5">
                  <c:v>690695.22500447021</c:v>
                </c:pt>
                <c:pt idx="6">
                  <c:v>792520.03525397519</c:v>
                </c:pt>
                <c:pt idx="7">
                  <c:v>899832.70841594646</c:v>
                </c:pt>
                <c:pt idx="8">
                  <c:v>1041551.9353584014</c:v>
                </c:pt>
                <c:pt idx="9">
                  <c:v>1200811.6309015527</c:v>
                </c:pt>
              </c:numCache>
            </c:numRef>
          </c:val>
          <c:extLst>
            <c:ext xmlns:c16="http://schemas.microsoft.com/office/drawing/2014/chart" uri="{C3380CC4-5D6E-409C-BE32-E72D297353CC}">
              <c16:uniqueId val="{00000003-5BA9-4DAE-A819-3E39818F7594}"/>
            </c:ext>
          </c:extLst>
        </c:ser>
        <c:ser>
          <c:idx val="2"/>
          <c:order val="3"/>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Résultats!$M$60:$M$69</c:f>
              <c:numCache>
                <c:formatCode>#,##0"$"</c:formatCode>
                <c:ptCount val="10"/>
                <c:pt idx="0">
                  <c:v>399554.37894736842</c:v>
                </c:pt>
                <c:pt idx="1">
                  <c:v>456623.87178947369</c:v>
                </c:pt>
                <c:pt idx="2">
                  <c:v>515105.52209052624</c:v>
                </c:pt>
                <c:pt idx="3">
                  <c:v>585910.39435938955</c:v>
                </c:pt>
                <c:pt idx="4">
                  <c:v>660499.9639945029</c:v>
                </c:pt>
                <c:pt idx="5">
                  <c:v>748824.69270920998</c:v>
                </c:pt>
                <c:pt idx="6">
                  <c:v>862015.88994740963</c:v>
                </c:pt>
                <c:pt idx="7">
                  <c:v>981324.61679646291</c:v>
                </c:pt>
                <c:pt idx="8">
                  <c:v>1139099.9521738898</c:v>
                </c:pt>
                <c:pt idx="9">
                  <c:v>1316474.0875838243</c:v>
                </c:pt>
              </c:numCache>
            </c:numRef>
          </c:val>
          <c:extLst>
            <c:ext xmlns:c16="http://schemas.microsoft.com/office/drawing/2014/chart" uri="{C3380CC4-5D6E-409C-BE32-E72D297353CC}">
              <c16:uniqueId val="{00000000-71F4-46C2-AF79-35FDB318A168}"/>
            </c:ext>
          </c:extLst>
        </c:ser>
        <c:ser>
          <c:idx val="4"/>
          <c:order val="4"/>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Résultats!$P$60:$P$69</c:f>
              <c:numCache>
                <c:formatCode>#,##0"$"</c:formatCode>
                <c:ptCount val="10"/>
                <c:pt idx="0">
                  <c:v>377675.21739130432</c:v>
                </c:pt>
                <c:pt idx="1">
                  <c:v>430868.97304347821</c:v>
                </c:pt>
                <c:pt idx="2">
                  <c:v>484433.04736521735</c:v>
                </c:pt>
                <c:pt idx="3">
                  <c:v>549194.61312739132</c:v>
                </c:pt>
                <c:pt idx="4">
                  <c:v>617405.88309266698</c:v>
                </c:pt>
                <c:pt idx="5">
                  <c:v>698096.80319047731</c:v>
                </c:pt>
                <c:pt idx="6">
                  <c:v>801368.88631742483</c:v>
                </c:pt>
                <c:pt idx="7">
                  <c:v>910209.00730911759</c:v>
                </c:pt>
                <c:pt idx="8">
                  <c:v>1053972.6455740379</c:v>
                </c:pt>
                <c:pt idx="9">
                  <c:v>1215538.8381188607</c:v>
                </c:pt>
              </c:numCache>
            </c:numRef>
          </c:val>
          <c:extLst>
            <c:ext xmlns:c16="http://schemas.microsoft.com/office/drawing/2014/chart" uri="{C3380CC4-5D6E-409C-BE32-E72D297353CC}">
              <c16:uniqueId val="{00000001-71F4-46C2-AF79-35FDB318A168}"/>
            </c:ext>
          </c:extLst>
        </c:ser>
        <c:ser>
          <c:idx val="5"/>
          <c:order val="5"/>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Résultats!$S$60:$S$69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F4-46C2-AF79-35FDB318A168}"/>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b="1"/>
              <a:t>Coût du programme de vaccination</a:t>
            </a:r>
          </a:p>
          <a:p>
            <a:pPr>
              <a:defRPr b="1"/>
            </a:pPr>
            <a:r>
              <a:rPr lang="fr-FR" sz="1000" b="1"/>
              <a:t>Coût du vaccin + coûts supplémentaires du système de santé</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3"/>
          <c:order val="0"/>
          <c:tx>
            <c:strRef>
              <c:f>'Saisie des données'!$D$31</c:f>
              <c:strCache>
                <c:ptCount val="1"/>
                <c:pt idx="0">
                  <c:v>Synflorix, décavalent, 4 doses/solution liquide en flacon</c:v>
                </c:pt>
              </c:strCache>
            </c:strRef>
          </c:tx>
          <c:spPr>
            <a:solidFill>
              <a:schemeClr val="accent1"/>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Résultats!$C$86:$C$95</c:f>
              <c:numCache>
                <c:formatCode>#,##0"$"</c:formatCode>
                <c:ptCount val="10"/>
                <c:pt idx="0" formatCode="#,##0.00&quot;$&quot;">
                  <c:v>1038896.4347826085</c:v>
                </c:pt>
                <c:pt idx="1">
                  <c:v>1008263.3278260868</c:v>
                </c:pt>
                <c:pt idx="2">
                  <c:v>1038511.2276608692</c:v>
                </c:pt>
                <c:pt idx="3">
                  <c:v>1069666.5644906955</c:v>
                </c:pt>
                <c:pt idx="4">
                  <c:v>1101756.5614254163</c:v>
                </c:pt>
                <c:pt idx="5">
                  <c:v>1134809.2582681787</c:v>
                </c:pt>
                <c:pt idx="6">
                  <c:v>1168853.536016224</c:v>
                </c:pt>
                <c:pt idx="7">
                  <c:v>1203919.1420967109</c:v>
                </c:pt>
                <c:pt idx="8">
                  <c:v>1240036.7163596118</c:v>
                </c:pt>
                <c:pt idx="9">
                  <c:v>1277237.8178504005</c:v>
                </c:pt>
              </c:numCache>
            </c:numRef>
          </c:val>
          <c:extLst>
            <c:ext xmlns:c16="http://schemas.microsoft.com/office/drawing/2014/chart" uri="{C3380CC4-5D6E-409C-BE32-E72D297353CC}">
              <c16:uniqueId val="{00000001-A3CD-463F-AEFD-5DB87D2F6CA9}"/>
            </c:ext>
          </c:extLst>
        </c:ser>
        <c:ser>
          <c:idx val="0"/>
          <c:order val="1"/>
          <c:tx>
            <c:strRef>
              <c:f>'Saisie des données'!$H$31</c:f>
              <c:strCache>
                <c:ptCount val="1"/>
                <c:pt idx="0">
                  <c:v>PNEUMOSIL, décavalent, 5 doses/solution liquide en flacon</c:v>
                </c:pt>
              </c:strCache>
            </c:strRef>
          </c:tx>
          <c:spPr>
            <a:solidFill>
              <a:schemeClr val="accent2"/>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Résultats!$F$86:$F$95</c:f>
              <c:numCache>
                <c:formatCode>#,##0"$"</c:formatCode>
                <c:ptCount val="10"/>
                <c:pt idx="0">
                  <c:v>761513.82608695654</c:v>
                </c:pt>
                <c:pt idx="1">
                  <c:v>722559.24086956517</c:v>
                </c:pt>
                <c:pt idx="2">
                  <c:v>744236.01809565211</c:v>
                </c:pt>
                <c:pt idx="3">
                  <c:v>766563.09863852174</c:v>
                </c:pt>
                <c:pt idx="4">
                  <c:v>789559.99159767735</c:v>
                </c:pt>
                <c:pt idx="5">
                  <c:v>813246.79134560761</c:v>
                </c:pt>
                <c:pt idx="6">
                  <c:v>837644.19508597592</c:v>
                </c:pt>
                <c:pt idx="7">
                  <c:v>862773.52093855513</c:v>
                </c:pt>
                <c:pt idx="8">
                  <c:v>888656.72656671167</c:v>
                </c:pt>
                <c:pt idx="9">
                  <c:v>915316.4283637132</c:v>
                </c:pt>
              </c:numCache>
            </c:numRef>
          </c:val>
          <c:extLst>
            <c:ext xmlns:c16="http://schemas.microsoft.com/office/drawing/2014/chart" uri="{C3380CC4-5D6E-409C-BE32-E72D297353CC}">
              <c16:uniqueId val="{00000002-A3CD-463F-AEFD-5DB87D2F6CA9}"/>
            </c:ext>
          </c:extLst>
        </c:ser>
        <c:ser>
          <c:idx val="1"/>
          <c:order val="2"/>
          <c:tx>
            <c:strRef>
              <c:f>'Saisie des données'!$L$31</c:f>
              <c:strCache>
                <c:ptCount val="1"/>
                <c:pt idx="0">
                  <c:v>PNEUMOSIL, décavalent, 1 dose/solution liquide en flacon</c:v>
                </c:pt>
              </c:strCache>
            </c:strRef>
          </c:tx>
          <c:spPr>
            <a:solidFill>
              <a:schemeClr val="accent3"/>
            </a:solidFill>
            <a:ln>
              <a:noFill/>
            </a:ln>
            <a:effectLst/>
          </c:spPr>
          <c:invertIfNegative val="0"/>
          <c:cat>
            <c:numRef>
              <c:f>Résultats!$B$48:$B$57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Résultats!$I$86:$I$95</c:f>
              <c:numCache>
                <c:formatCode>#,##0"$"</c:formatCode>
                <c:ptCount val="10"/>
                <c:pt idx="0">
                  <c:v>987869.15789473685</c:v>
                </c:pt>
                <c:pt idx="1">
                  <c:v>955705.23263157893</c:v>
                </c:pt>
                <c:pt idx="2">
                  <c:v>984376.38961052615</c:v>
                </c:pt>
                <c:pt idx="3">
                  <c:v>1013907.6812988422</c:v>
                </c:pt>
                <c:pt idx="4">
                  <c:v>1044324.9117378072</c:v>
                </c:pt>
                <c:pt idx="5">
                  <c:v>1075654.6590899415</c:v>
                </c:pt>
                <c:pt idx="6">
                  <c:v>1107924.2988626396</c:v>
                </c:pt>
                <c:pt idx="7">
                  <c:v>1141162.027828519</c:v>
                </c:pt>
                <c:pt idx="8">
                  <c:v>1175396.8886633744</c:v>
                </c:pt>
                <c:pt idx="9">
                  <c:v>1210658.795323276</c:v>
                </c:pt>
              </c:numCache>
            </c:numRef>
          </c:val>
          <c:extLst>
            <c:ext xmlns:c16="http://schemas.microsoft.com/office/drawing/2014/chart" uri="{C3380CC4-5D6E-409C-BE32-E72D297353CC}">
              <c16:uniqueId val="{00000003-A3CD-463F-AEFD-5DB87D2F6CA9}"/>
            </c:ext>
          </c:extLst>
        </c:ser>
        <c:ser>
          <c:idx val="2"/>
          <c:order val="3"/>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Résultats!$M$86:$M$95</c:f>
              <c:numCache>
                <c:formatCode>#,##0"$"</c:formatCode>
                <c:ptCount val="10"/>
                <c:pt idx="0" formatCode="#,##0.00&quot;$&quot;">
                  <c:v>1077410.2105263157</c:v>
                </c:pt>
                <c:pt idx="1">
                  <c:v>1047932.5168421051</c:v>
                </c:pt>
                <c:pt idx="2">
                  <c:v>1079370.492347368</c:v>
                </c:pt>
                <c:pt idx="3">
                  <c:v>1111751.6071177893</c:v>
                </c:pt>
                <c:pt idx="4">
                  <c:v>1145104.1553313229</c:v>
                </c:pt>
                <c:pt idx="5">
                  <c:v>1179457.2799912626</c:v>
                </c:pt>
                <c:pt idx="6">
                  <c:v>1214840.9983910003</c:v>
                </c:pt>
                <c:pt idx="7">
                  <c:v>1251286.2283427306</c:v>
                </c:pt>
                <c:pt idx="8">
                  <c:v>1288824.8151930121</c:v>
                </c:pt>
                <c:pt idx="9">
                  <c:v>1327489.5596488025</c:v>
                </c:pt>
              </c:numCache>
            </c:numRef>
          </c:val>
          <c:extLst>
            <c:ext xmlns:c16="http://schemas.microsoft.com/office/drawing/2014/chart" uri="{C3380CC4-5D6E-409C-BE32-E72D297353CC}">
              <c16:uniqueId val="{00000000-7E94-4072-B034-6717D82AFFA7}"/>
            </c:ext>
          </c:extLst>
        </c:ser>
        <c:ser>
          <c:idx val="4"/>
          <c:order val="4"/>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Résultats!$P$86:$P$95</c:f>
              <c:numCache>
                <c:formatCode>#,##0"$"</c:formatCode>
                <c:ptCount val="10"/>
                <c:pt idx="0">
                  <c:v>999270.34782608692</c:v>
                </c:pt>
                <c:pt idx="1">
                  <c:v>967448.45826086949</c:v>
                </c:pt>
                <c:pt idx="2">
                  <c:v>996471.91200869542</c:v>
                </c:pt>
                <c:pt idx="3">
                  <c:v>1026366.0693689564</c:v>
                </c:pt>
                <c:pt idx="4">
                  <c:v>1057157.0514500251</c:v>
                </c:pt>
                <c:pt idx="5">
                  <c:v>1088871.7629935257</c:v>
                </c:pt>
                <c:pt idx="6">
                  <c:v>1121537.9158833316</c:v>
                </c:pt>
                <c:pt idx="7">
                  <c:v>1155184.0533598315</c:v>
                </c:pt>
                <c:pt idx="8">
                  <c:v>1189839.5749606262</c:v>
                </c:pt>
                <c:pt idx="9">
                  <c:v>1225534.7622094455</c:v>
                </c:pt>
              </c:numCache>
            </c:numRef>
          </c:val>
          <c:extLst>
            <c:ext xmlns:c16="http://schemas.microsoft.com/office/drawing/2014/chart" uri="{C3380CC4-5D6E-409C-BE32-E72D297353CC}">
              <c16:uniqueId val="{00000001-7E94-4072-B034-6717D82AFFA7}"/>
            </c:ext>
          </c:extLst>
        </c:ser>
        <c:ser>
          <c:idx val="5"/>
          <c:order val="5"/>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Résultats!$S$86:$S$95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94-4072-B034-6717D82AFFA7}"/>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0.00&quo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ysClr val="windowText" lastClr="000000"/>
                </a:solidFill>
                <a:latin typeface="+mn-lt"/>
                <a:ea typeface="+mn-ea"/>
                <a:cs typeface="+mn-cs"/>
              </a:defRPr>
            </a:pPr>
            <a:r>
              <a:rPr lang="fr-FR" baseline="0"/>
              <a:t>Coût du vaccin</a:t>
            </a:r>
          </a:p>
          <a:p>
            <a:pPr algn="ctr">
              <a:defRPr sz="1400" b="1"/>
            </a:pPr>
            <a:r>
              <a:rPr lang="fr-FR" sz="1000" b="1"/>
              <a:t>Coût d’achat du vaccin et du matériel</a:t>
            </a:r>
          </a:p>
        </c:rich>
      </c:tx>
      <c:layout>
        <c:manualLayout>
          <c:xMode val="edge"/>
          <c:yMode val="edge"/>
          <c:x val="0.31326768572942465"/>
          <c:y val="3.6842112049014511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Résultats!$S$47</c:f>
              <c:numCache>
                <c:formatCode>#,##0"$"</c:formatCode>
                <c:ptCount val="1"/>
                <c:pt idx="0">
                  <c:v>0</c:v>
                </c:pt>
              </c:numCache>
            </c:numRef>
          </c:val>
          <c:extLst>
            <c:ext xmlns:c16="http://schemas.microsoft.com/office/drawing/2014/chart" uri="{C3380CC4-5D6E-409C-BE32-E72D297353CC}">
              <c16:uniqueId val="{00000004-E499-4C35-8241-0A0AF20233A1}"/>
            </c:ext>
          </c:extLst>
        </c:ser>
        <c:ser>
          <c:idx val="4"/>
          <c:order val="1"/>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Résultats!$P$47</c:f>
              <c:numCache>
                <c:formatCode>#,##0"$"</c:formatCode>
                <c:ptCount val="1"/>
                <c:pt idx="0">
                  <c:v>5283017.5565881161</c:v>
                </c:pt>
              </c:numCache>
            </c:numRef>
          </c:val>
          <c:extLst>
            <c:ext xmlns:c16="http://schemas.microsoft.com/office/drawing/2014/chart" uri="{C3380CC4-5D6E-409C-BE32-E72D297353CC}">
              <c16:uniqueId val="{00000003-E499-4C35-8241-0A0AF20233A1}"/>
            </c:ext>
          </c:extLst>
        </c:ser>
        <c:ser>
          <c:idx val="3"/>
          <c:order val="2"/>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Résultats!$M$47</c:f>
              <c:numCache>
                <c:formatCode>#,##0"$"</c:formatCode>
                <c:ptCount val="1"/>
                <c:pt idx="0">
                  <c:v>5809687.0124501958</c:v>
                </c:pt>
              </c:numCache>
            </c:numRef>
          </c:val>
          <c:extLst>
            <c:ext xmlns:c16="http://schemas.microsoft.com/office/drawing/2014/chart" uri="{C3380CC4-5D6E-409C-BE32-E72D297353CC}">
              <c16:uniqueId val="{00000002-E499-4C35-8241-0A0AF20233A1}"/>
            </c:ext>
          </c:extLst>
        </c:ser>
        <c:ser>
          <c:idx val="2"/>
          <c:order val="3"/>
          <c:tx>
            <c:strRef>
              <c:f>'Saisie des données'!$L$31</c:f>
              <c:strCache>
                <c:ptCount val="1"/>
                <c:pt idx="0">
                  <c:v>PNEUMOSIL, décavalent, 1 dose/solution liquide en flacon</c:v>
                </c:pt>
              </c:strCache>
            </c:strRef>
          </c:tx>
          <c:spPr>
            <a:solidFill>
              <a:schemeClr val="accent3"/>
            </a:solidFill>
            <a:ln>
              <a:noFill/>
            </a:ln>
            <a:effectLst/>
          </c:spPr>
          <c:invertIfNegative val="0"/>
          <c:cat>
            <c:strRef>
              <c:f>Résultats!$B$73</c:f>
              <c:strCache>
                <c:ptCount val="1"/>
                <c:pt idx="0">
                  <c:v>Total
pour 10 ans</c:v>
                </c:pt>
              </c:strCache>
            </c:strRef>
          </c:cat>
          <c:val>
            <c:numRef>
              <c:f>Résultats!$I$47</c:f>
              <c:numCache>
                <c:formatCode>#,##0"$"</c:formatCode>
                <c:ptCount val="1"/>
                <c:pt idx="0">
                  <c:v>5206172.5470139328</c:v>
                </c:pt>
              </c:numCache>
            </c:numRef>
          </c:val>
          <c:extLst>
            <c:ext xmlns:c16="http://schemas.microsoft.com/office/drawing/2014/chart" uri="{C3380CC4-5D6E-409C-BE32-E72D297353CC}">
              <c16:uniqueId val="{00000002-906A-4C35-944B-3C1C5A0D3D56}"/>
            </c:ext>
          </c:extLst>
        </c:ser>
        <c:ser>
          <c:idx val="1"/>
          <c:order val="4"/>
          <c:tx>
            <c:strRef>
              <c:f>'Saisie des données'!$H$31</c:f>
              <c:strCache>
                <c:ptCount val="1"/>
                <c:pt idx="0">
                  <c:v>PNEUMOSIL, décavalent, 5 doses/solution liquide en flacon</c:v>
                </c:pt>
              </c:strCache>
            </c:strRef>
          </c:tx>
          <c:spPr>
            <a:solidFill>
              <a:schemeClr val="accent2"/>
            </a:solidFill>
            <a:ln>
              <a:noFill/>
            </a:ln>
            <a:effectLst/>
          </c:spPr>
          <c:invertIfNegative val="0"/>
          <c:cat>
            <c:strRef>
              <c:f>Résultats!$B$73</c:f>
              <c:strCache>
                <c:ptCount val="1"/>
                <c:pt idx="0">
                  <c:v>Total
pour 10 ans</c:v>
                </c:pt>
              </c:strCache>
            </c:strRef>
          </c:cat>
          <c:val>
            <c:numRef>
              <c:f>Résultats!$F$47</c:f>
              <c:numCache>
                <c:formatCode>#,##0"$"</c:formatCode>
                <c:ptCount val="1"/>
                <c:pt idx="0">
                  <c:v>3680517.9666874772</c:v>
                </c:pt>
              </c:numCache>
            </c:numRef>
          </c:val>
          <c:extLst>
            <c:ext xmlns:c16="http://schemas.microsoft.com/office/drawing/2014/chart" uri="{C3380CC4-5D6E-409C-BE32-E72D297353CC}">
              <c16:uniqueId val="{00000001-906A-4C35-944B-3C1C5A0D3D56}"/>
            </c:ext>
          </c:extLst>
        </c:ser>
        <c:ser>
          <c:idx val="0"/>
          <c:order val="5"/>
          <c:tx>
            <c:strRef>
              <c:f>'Saisie des données'!$D$31</c:f>
              <c:strCache>
                <c:ptCount val="1"/>
                <c:pt idx="0">
                  <c:v>Synflorix, décavalent, 4 doses/solution liquide en flacon</c:v>
                </c:pt>
              </c:strCache>
            </c:strRef>
          </c:tx>
          <c:spPr>
            <a:solidFill>
              <a:schemeClr val="accent1"/>
            </a:solidFill>
            <a:ln>
              <a:noFill/>
            </a:ln>
            <a:effectLst/>
          </c:spPr>
          <c:invertIfNegative val="0"/>
          <c:cat>
            <c:strRef>
              <c:f>Résultats!$B$73</c:f>
              <c:strCache>
                <c:ptCount val="1"/>
                <c:pt idx="0">
                  <c:v>Total
pour 10 ans</c:v>
                </c:pt>
              </c:strCache>
            </c:strRef>
          </c:cat>
          <c:val>
            <c:numRef>
              <c:f>Résultats!$C$47</c:f>
              <c:numCache>
                <c:formatCode>#,##0"$"</c:formatCode>
                <c:ptCount val="1"/>
                <c:pt idx="0">
                  <c:v>5550100.821571555</c:v>
                </c:pt>
              </c:numCache>
            </c:numRef>
          </c:val>
          <c:extLst>
            <c:ext xmlns:c16="http://schemas.microsoft.com/office/drawing/2014/chart" uri="{C3380CC4-5D6E-409C-BE32-E72D297353CC}">
              <c16:uniqueId val="{00000000-906A-4C35-944B-3C1C5A0D3D56}"/>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15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baseline="0"/>
              <a:t>Coût du programme de vaccination</a:t>
            </a:r>
          </a:p>
          <a:p>
            <a:pPr>
              <a:defRPr sz="1400" b="1"/>
            </a:pPr>
            <a:r>
              <a:rPr lang="fr-FR" sz="1000" b="1"/>
              <a:t>Coût du vaccin + coûts supplémentaires du système de santé</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Résultats!$S$59</c:f>
              <c:numCache>
                <c:formatCode>#,##0"$"</c:formatCode>
                <c:ptCount val="1"/>
                <c:pt idx="0">
                  <c:v>0</c:v>
                </c:pt>
              </c:numCache>
            </c:numRef>
          </c:val>
          <c:extLst>
            <c:ext xmlns:c16="http://schemas.microsoft.com/office/drawing/2014/chart" uri="{C3380CC4-5D6E-409C-BE32-E72D297353CC}">
              <c16:uniqueId val="{00000002-85CD-46F1-ABAF-64AB1C3BC301}"/>
            </c:ext>
          </c:extLst>
        </c:ser>
        <c:ser>
          <c:idx val="4"/>
          <c:order val="1"/>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Résultats!$P$59</c:f>
              <c:numCache>
                <c:formatCode>#,##0"$"</c:formatCode>
                <c:ptCount val="1"/>
                <c:pt idx="0">
                  <c:v>7138763.9145299764</c:v>
                </c:pt>
              </c:numCache>
            </c:numRef>
          </c:val>
          <c:extLst>
            <c:ext xmlns:c16="http://schemas.microsoft.com/office/drawing/2014/chart" uri="{C3380CC4-5D6E-409C-BE32-E72D297353CC}">
              <c16:uniqueId val="{00000001-85CD-46F1-ABAF-64AB1C3BC301}"/>
            </c:ext>
          </c:extLst>
        </c:ser>
        <c:ser>
          <c:idx val="3"/>
          <c:order val="2"/>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Résultats!$M$59</c:f>
              <c:numCache>
                <c:formatCode>#,##0"$"</c:formatCode>
                <c:ptCount val="1"/>
                <c:pt idx="0">
                  <c:v>7665433.3703920571</c:v>
                </c:pt>
              </c:numCache>
            </c:numRef>
          </c:val>
          <c:extLst>
            <c:ext xmlns:c16="http://schemas.microsoft.com/office/drawing/2014/chart" uri="{C3380CC4-5D6E-409C-BE32-E72D297353CC}">
              <c16:uniqueId val="{00000000-85CD-46F1-ABAF-64AB1C3BC301}"/>
            </c:ext>
          </c:extLst>
        </c:ser>
        <c:ser>
          <c:idx val="2"/>
          <c:order val="3"/>
          <c:tx>
            <c:strRef>
              <c:f>'Saisie des données'!$L$31</c:f>
              <c:strCache>
                <c:ptCount val="1"/>
                <c:pt idx="0">
                  <c:v>PNEUMOSIL, décavalent, 1 dose/solution liquide en flacon</c:v>
                </c:pt>
              </c:strCache>
            </c:strRef>
          </c:tx>
          <c:spPr>
            <a:solidFill>
              <a:schemeClr val="accent3"/>
            </a:solidFill>
            <a:ln>
              <a:noFill/>
            </a:ln>
            <a:effectLst/>
          </c:spPr>
          <c:invertIfNegative val="0"/>
          <c:cat>
            <c:strRef>
              <c:f>Résultats!$B$85</c:f>
              <c:strCache>
                <c:ptCount val="1"/>
                <c:pt idx="0">
                  <c:v>Total
pour 10 ans</c:v>
                </c:pt>
              </c:strCache>
            </c:strRef>
          </c:cat>
          <c:val>
            <c:numRef>
              <c:f>Résultats!$I$59</c:f>
              <c:numCache>
                <c:formatCode>#,##0"$"</c:formatCode>
                <c:ptCount val="1"/>
                <c:pt idx="0">
                  <c:v>7061918.9049557941</c:v>
                </c:pt>
              </c:numCache>
            </c:numRef>
          </c:val>
          <c:extLst>
            <c:ext xmlns:c16="http://schemas.microsoft.com/office/drawing/2014/chart" uri="{C3380CC4-5D6E-409C-BE32-E72D297353CC}">
              <c16:uniqueId val="{00000000-DB6A-4F41-839C-98DAAACC164F}"/>
            </c:ext>
          </c:extLst>
        </c:ser>
        <c:ser>
          <c:idx val="1"/>
          <c:order val="4"/>
          <c:tx>
            <c:strRef>
              <c:f>'Saisie des données'!$H$31</c:f>
              <c:strCache>
                <c:ptCount val="1"/>
                <c:pt idx="0">
                  <c:v>PNEUMOSIL, décavalent, 5 doses/solution liquide en flacon</c:v>
                </c:pt>
              </c:strCache>
            </c:strRef>
          </c:tx>
          <c:spPr>
            <a:solidFill>
              <a:schemeClr val="accent2"/>
            </a:solidFill>
            <a:ln>
              <a:noFill/>
            </a:ln>
            <a:effectLst/>
          </c:spPr>
          <c:invertIfNegative val="0"/>
          <c:cat>
            <c:strRef>
              <c:f>Résultats!$B$85</c:f>
              <c:strCache>
                <c:ptCount val="1"/>
                <c:pt idx="0">
                  <c:v>Total
pour 10 ans</c:v>
                </c:pt>
              </c:strCache>
            </c:strRef>
          </c:cat>
          <c:val>
            <c:numRef>
              <c:f>Résultats!$F$59</c:f>
              <c:numCache>
                <c:formatCode>#,##0"$"</c:formatCode>
                <c:ptCount val="1"/>
                <c:pt idx="0">
                  <c:v>5536264.3246293385</c:v>
                </c:pt>
              </c:numCache>
            </c:numRef>
          </c:val>
          <c:extLst>
            <c:ext xmlns:c16="http://schemas.microsoft.com/office/drawing/2014/chart" uri="{C3380CC4-5D6E-409C-BE32-E72D297353CC}">
              <c16:uniqueId val="{00000001-DB6A-4F41-839C-98DAAACC164F}"/>
            </c:ext>
          </c:extLst>
        </c:ser>
        <c:ser>
          <c:idx val="0"/>
          <c:order val="5"/>
          <c:tx>
            <c:strRef>
              <c:f>'Saisie des données'!$D$31</c:f>
              <c:strCache>
                <c:ptCount val="1"/>
                <c:pt idx="0">
                  <c:v>Synflorix, décavalent, 4 doses/solution liquide en flacon</c:v>
                </c:pt>
              </c:strCache>
            </c:strRef>
          </c:tx>
          <c:spPr>
            <a:solidFill>
              <a:schemeClr val="accent1"/>
            </a:solidFill>
            <a:ln>
              <a:noFill/>
            </a:ln>
            <a:effectLst/>
          </c:spPr>
          <c:invertIfNegative val="0"/>
          <c:cat>
            <c:strRef>
              <c:f>Résultats!$B$85</c:f>
              <c:strCache>
                <c:ptCount val="1"/>
                <c:pt idx="0">
                  <c:v>Total
pour 10 ans</c:v>
                </c:pt>
              </c:strCache>
            </c:strRef>
          </c:cat>
          <c:val>
            <c:numRef>
              <c:f>Résultats!$C$59</c:f>
              <c:numCache>
                <c:formatCode>#,##0"$"</c:formatCode>
                <c:ptCount val="1"/>
                <c:pt idx="0">
                  <c:v>7405847.1795134153</c:v>
                </c:pt>
              </c:numCache>
            </c:numRef>
          </c:val>
          <c:extLst>
            <c:ext xmlns:c16="http://schemas.microsoft.com/office/drawing/2014/chart" uri="{C3380CC4-5D6E-409C-BE32-E72D297353CC}">
              <c16:uniqueId val="{00000002-DB6A-4F41-839C-98DAAACC164F}"/>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15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b="1" baseline="0"/>
              <a:t>Coût du vaccin</a:t>
            </a:r>
          </a:p>
          <a:p>
            <a:pPr>
              <a:defRPr sz="1400"/>
            </a:pPr>
            <a:r>
              <a:rPr lang="fr-FR" sz="1000" b="1"/>
              <a:t>Coût d'achat du vaccin et du matériel</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Résultats!$S$73</c:f>
              <c:numCache>
                <c:formatCode>#,##0"$"</c:formatCode>
                <c:ptCount val="1"/>
                <c:pt idx="0">
                  <c:v>0</c:v>
                </c:pt>
              </c:numCache>
            </c:numRef>
          </c:val>
          <c:extLst>
            <c:ext xmlns:c16="http://schemas.microsoft.com/office/drawing/2014/chart" uri="{C3380CC4-5D6E-409C-BE32-E72D297353CC}">
              <c16:uniqueId val="{00000002-6CCC-416C-8655-8CEC1E1E60C8}"/>
            </c:ext>
          </c:extLst>
        </c:ser>
        <c:ser>
          <c:idx val="4"/>
          <c:order val="1"/>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Résultats!$P$73</c:f>
              <c:numCache>
                <c:formatCode>#,##0"$"</c:formatCode>
                <c:ptCount val="1"/>
                <c:pt idx="0">
                  <c:v>8901935.5503795315</c:v>
                </c:pt>
              </c:numCache>
            </c:numRef>
          </c:val>
          <c:extLst>
            <c:ext xmlns:c16="http://schemas.microsoft.com/office/drawing/2014/chart" uri="{C3380CC4-5D6E-409C-BE32-E72D297353CC}">
              <c16:uniqueId val="{00000001-6CCC-416C-8655-8CEC1E1E60C8}"/>
            </c:ext>
          </c:extLst>
        </c:ser>
        <c:ser>
          <c:idx val="3"/>
          <c:order val="2"/>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Résultats!$M$73</c:f>
              <c:numCache>
                <c:formatCode>#,##0"$"</c:formatCode>
                <c:ptCount val="1"/>
                <c:pt idx="0">
                  <c:v>9797721.505789848</c:v>
                </c:pt>
              </c:numCache>
            </c:numRef>
          </c:val>
          <c:extLst>
            <c:ext xmlns:c16="http://schemas.microsoft.com/office/drawing/2014/chart" uri="{C3380CC4-5D6E-409C-BE32-E72D297353CC}">
              <c16:uniqueId val="{00000000-6CCC-416C-8655-8CEC1E1E60C8}"/>
            </c:ext>
          </c:extLst>
        </c:ser>
        <c:ser>
          <c:idx val="2"/>
          <c:order val="3"/>
          <c:tx>
            <c:strRef>
              <c:f>'Saisie des données'!$L$31</c:f>
              <c:strCache>
                <c:ptCount val="1"/>
                <c:pt idx="0">
                  <c:v>PNEUMOSIL, décavalent, 1 dose/solution liquide en flacon</c:v>
                </c:pt>
              </c:strCache>
            </c:strRef>
          </c:tx>
          <c:spPr>
            <a:solidFill>
              <a:schemeClr val="accent3"/>
            </a:solidFill>
            <a:ln>
              <a:noFill/>
            </a:ln>
            <a:effectLst/>
          </c:spPr>
          <c:invertIfNegative val="0"/>
          <c:cat>
            <c:strRef>
              <c:f>Résultats!$B$73</c:f>
              <c:strCache>
                <c:ptCount val="1"/>
                <c:pt idx="0">
                  <c:v>Total
pour 10 ans</c:v>
                </c:pt>
              </c:strCache>
            </c:strRef>
          </c:cat>
          <c:val>
            <c:numRef>
              <c:f>Résultats!$I$73</c:f>
              <c:numCache>
                <c:formatCode>#,##0"$"</c:formatCode>
                <c:ptCount val="1"/>
                <c:pt idx="0">
                  <c:v>8771233.6849993803</c:v>
                </c:pt>
              </c:numCache>
            </c:numRef>
          </c:val>
          <c:extLst>
            <c:ext xmlns:c16="http://schemas.microsoft.com/office/drawing/2014/chart" uri="{C3380CC4-5D6E-409C-BE32-E72D297353CC}">
              <c16:uniqueId val="{00000002-3E07-45B9-81F1-4CE015B56F83}"/>
            </c:ext>
          </c:extLst>
        </c:ser>
        <c:ser>
          <c:idx val="1"/>
          <c:order val="4"/>
          <c:tx>
            <c:strRef>
              <c:f>'Saisie des données'!$H$31</c:f>
              <c:strCache>
                <c:ptCount val="1"/>
                <c:pt idx="0">
                  <c:v>PNEUMOSIL, décavalent, 5 doses/solution liquide en flacon</c:v>
                </c:pt>
              </c:strCache>
            </c:strRef>
          </c:tx>
          <c:spPr>
            <a:solidFill>
              <a:schemeClr val="accent2"/>
            </a:solidFill>
            <a:ln>
              <a:noFill/>
            </a:ln>
            <a:effectLst/>
          </c:spPr>
          <c:invertIfNegative val="0"/>
          <c:cat>
            <c:strRef>
              <c:f>Résultats!$B$73</c:f>
              <c:strCache>
                <c:ptCount val="1"/>
                <c:pt idx="0">
                  <c:v>Total
pour 10 ans</c:v>
                </c:pt>
              </c:strCache>
            </c:strRef>
          </c:cat>
          <c:val>
            <c:numRef>
              <c:f>Résultats!$F$73</c:f>
              <c:numCache>
                <c:formatCode>#,##0"$"</c:formatCode>
                <c:ptCount val="1"/>
                <c:pt idx="0">
                  <c:v>6176323.4796470758</c:v>
                </c:pt>
              </c:numCache>
            </c:numRef>
          </c:val>
          <c:extLst>
            <c:ext xmlns:c16="http://schemas.microsoft.com/office/drawing/2014/chart" uri="{C3380CC4-5D6E-409C-BE32-E72D297353CC}">
              <c16:uniqueId val="{00000001-3E07-45B9-81F1-4CE015B56F83}"/>
            </c:ext>
          </c:extLst>
        </c:ser>
        <c:ser>
          <c:idx val="0"/>
          <c:order val="5"/>
          <c:tx>
            <c:strRef>
              <c:f>'Saisie des données'!$D$31</c:f>
              <c:strCache>
                <c:ptCount val="1"/>
                <c:pt idx="0">
                  <c:v>Synflorix, décavalent, 4 doses/solution liquide en flacon</c:v>
                </c:pt>
              </c:strCache>
            </c:strRef>
          </c:tx>
          <c:spPr>
            <a:solidFill>
              <a:schemeClr val="accent1"/>
            </a:solidFill>
            <a:ln>
              <a:noFill/>
            </a:ln>
            <a:effectLst/>
          </c:spPr>
          <c:invertIfNegative val="0"/>
          <c:cat>
            <c:strRef>
              <c:f>Résultats!$B$73</c:f>
              <c:strCache>
                <c:ptCount val="1"/>
                <c:pt idx="0">
                  <c:v>Total
pour 10 ans</c:v>
                </c:pt>
              </c:strCache>
            </c:strRef>
          </c:cat>
          <c:val>
            <c:numRef>
              <c:f>Résultats!$C$73</c:f>
              <c:numCache>
                <c:formatCode>#,##0"$"</c:formatCode>
                <c:ptCount val="1"/>
                <c:pt idx="0">
                  <c:v>9356204.228834942</c:v>
                </c:pt>
              </c:numCache>
            </c:numRef>
          </c:val>
          <c:extLst>
            <c:ext xmlns:c16="http://schemas.microsoft.com/office/drawing/2014/chart" uri="{C3380CC4-5D6E-409C-BE32-E72D297353CC}">
              <c16:uniqueId val="{00000000-3E07-45B9-81F1-4CE015B56F83}"/>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15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sz="1400" b="1"/>
              <a:t>Coût du programme de vaccination</a:t>
            </a:r>
          </a:p>
          <a:p>
            <a:pPr>
              <a:defRPr sz="1400" b="1"/>
            </a:pPr>
            <a:r>
              <a:rPr lang="fr-FR" sz="1000" b="1"/>
              <a:t>Coût du vaccin + coûts supplémentaires du système de santé</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'Saisie des données'!$Y$31:$Z$31</c:f>
              <c:strCache>
                <c:ptCount val="1"/>
                <c:pt idx="0">
                  <c:v>Synflorix, décavalent, 1 dose/solution liquide en flacon</c:v>
                </c:pt>
              </c:strCache>
            </c:strRef>
          </c:tx>
          <c:spPr>
            <a:solidFill>
              <a:schemeClr val="accent6"/>
            </a:solidFill>
            <a:ln>
              <a:noFill/>
            </a:ln>
            <a:effectLst/>
          </c:spPr>
          <c:invertIfNegative val="0"/>
          <c:val>
            <c:numRef>
              <c:f>Résultats!$S$85</c:f>
              <c:numCache>
                <c:formatCode>#,##0"$"</c:formatCode>
                <c:ptCount val="1"/>
                <c:pt idx="0">
                  <c:v>0</c:v>
                </c:pt>
              </c:numCache>
            </c:numRef>
          </c:val>
          <c:extLst>
            <c:ext xmlns:c16="http://schemas.microsoft.com/office/drawing/2014/chart" uri="{C3380CC4-5D6E-409C-BE32-E72D297353CC}">
              <c16:uniqueId val="{00000002-A626-4AB6-AA62-830197FC4B5E}"/>
            </c:ext>
          </c:extLst>
        </c:ser>
        <c:ser>
          <c:idx val="4"/>
          <c:order val="1"/>
          <c:tx>
            <c:strRef>
              <c:f>'Saisie des données'!$U$31:$V$31</c:f>
              <c:strCache>
                <c:ptCount val="1"/>
                <c:pt idx="0">
                  <c:v>Prevenar 13, 13-valent, 4 doses/solution liquide en flacon</c:v>
                </c:pt>
              </c:strCache>
            </c:strRef>
          </c:tx>
          <c:spPr>
            <a:solidFill>
              <a:schemeClr val="accent5"/>
            </a:solidFill>
            <a:ln>
              <a:noFill/>
            </a:ln>
            <a:effectLst/>
          </c:spPr>
          <c:invertIfNegative val="0"/>
          <c:val>
            <c:numRef>
              <c:f>Résultats!$P$85</c:f>
              <c:numCache>
                <c:formatCode>#,##0"$"</c:formatCode>
                <c:ptCount val="1"/>
                <c:pt idx="0">
                  <c:v>10827681.908321394</c:v>
                </c:pt>
              </c:numCache>
            </c:numRef>
          </c:val>
          <c:extLst>
            <c:ext xmlns:c16="http://schemas.microsoft.com/office/drawing/2014/chart" uri="{C3380CC4-5D6E-409C-BE32-E72D297353CC}">
              <c16:uniqueId val="{00000001-A626-4AB6-AA62-830197FC4B5E}"/>
            </c:ext>
          </c:extLst>
        </c:ser>
        <c:ser>
          <c:idx val="3"/>
          <c:order val="2"/>
          <c:tx>
            <c:strRef>
              <c:f>'Saisie des données'!$Q$31:$R$31</c:f>
              <c:strCache>
                <c:ptCount val="1"/>
                <c:pt idx="0">
                  <c:v>Prevenar 13, 13-valent, 1 dose/solution liquide en flacon</c:v>
                </c:pt>
              </c:strCache>
            </c:strRef>
          </c:tx>
          <c:spPr>
            <a:solidFill>
              <a:schemeClr val="accent4"/>
            </a:solidFill>
            <a:ln>
              <a:noFill/>
            </a:ln>
            <a:effectLst/>
          </c:spPr>
          <c:invertIfNegative val="0"/>
          <c:val>
            <c:numRef>
              <c:f>Résultats!$M$85</c:f>
              <c:numCache>
                <c:formatCode>#,##0"$"</c:formatCode>
                <c:ptCount val="1"/>
                <c:pt idx="0">
                  <c:v>11723467.86373171</c:v>
                </c:pt>
              </c:numCache>
            </c:numRef>
          </c:val>
          <c:extLst>
            <c:ext xmlns:c16="http://schemas.microsoft.com/office/drawing/2014/chart" uri="{C3380CC4-5D6E-409C-BE32-E72D297353CC}">
              <c16:uniqueId val="{00000000-A626-4AB6-AA62-830197FC4B5E}"/>
            </c:ext>
          </c:extLst>
        </c:ser>
        <c:ser>
          <c:idx val="2"/>
          <c:order val="3"/>
          <c:tx>
            <c:strRef>
              <c:f>'Saisie des données'!$L$31</c:f>
              <c:strCache>
                <c:ptCount val="1"/>
                <c:pt idx="0">
                  <c:v>PNEUMOSIL, décavalent, 1 dose/solution liquide en flacon</c:v>
                </c:pt>
              </c:strCache>
            </c:strRef>
          </c:tx>
          <c:spPr>
            <a:solidFill>
              <a:schemeClr val="accent3"/>
            </a:solidFill>
            <a:ln>
              <a:noFill/>
            </a:ln>
            <a:effectLst/>
          </c:spPr>
          <c:invertIfNegative val="0"/>
          <c:cat>
            <c:strRef>
              <c:f>Résultats!$B$85</c:f>
              <c:strCache>
                <c:ptCount val="1"/>
                <c:pt idx="0">
                  <c:v>Total
pour 10 ans</c:v>
                </c:pt>
              </c:strCache>
            </c:strRef>
          </c:cat>
          <c:val>
            <c:numRef>
              <c:f>Résultats!$I$85</c:f>
              <c:numCache>
                <c:formatCode>#,##0"$"</c:formatCode>
                <c:ptCount val="1"/>
                <c:pt idx="0">
                  <c:v>10696980.042941242</c:v>
                </c:pt>
              </c:numCache>
            </c:numRef>
          </c:val>
          <c:extLst>
            <c:ext xmlns:c16="http://schemas.microsoft.com/office/drawing/2014/chart" uri="{C3380CC4-5D6E-409C-BE32-E72D297353CC}">
              <c16:uniqueId val="{00000002-B52E-4542-9F60-61A9D3EDD9B9}"/>
            </c:ext>
          </c:extLst>
        </c:ser>
        <c:ser>
          <c:idx val="1"/>
          <c:order val="4"/>
          <c:tx>
            <c:strRef>
              <c:f>'Saisie des données'!$H$31</c:f>
              <c:strCache>
                <c:ptCount val="1"/>
                <c:pt idx="0">
                  <c:v>PNEUMOSIL, décavalent, 5 doses/solution liquide en flacon</c:v>
                </c:pt>
              </c:strCache>
            </c:strRef>
          </c:tx>
          <c:spPr>
            <a:solidFill>
              <a:schemeClr val="accent2"/>
            </a:solidFill>
            <a:ln>
              <a:noFill/>
            </a:ln>
            <a:effectLst/>
          </c:spPr>
          <c:invertIfNegative val="0"/>
          <c:cat>
            <c:strRef>
              <c:f>Résultats!$B$85</c:f>
              <c:strCache>
                <c:ptCount val="1"/>
                <c:pt idx="0">
                  <c:v>Total
pour 10 ans</c:v>
                </c:pt>
              </c:strCache>
            </c:strRef>
          </c:cat>
          <c:val>
            <c:numRef>
              <c:f>Résultats!$F$85</c:f>
              <c:numCache>
                <c:formatCode>#,##0"$"</c:formatCode>
                <c:ptCount val="1"/>
                <c:pt idx="0">
                  <c:v>8102069.8375889361</c:v>
                </c:pt>
              </c:numCache>
            </c:numRef>
          </c:val>
          <c:extLst>
            <c:ext xmlns:c16="http://schemas.microsoft.com/office/drawing/2014/chart" uri="{C3380CC4-5D6E-409C-BE32-E72D297353CC}">
              <c16:uniqueId val="{00000001-B52E-4542-9F60-61A9D3EDD9B9}"/>
            </c:ext>
          </c:extLst>
        </c:ser>
        <c:ser>
          <c:idx val="0"/>
          <c:order val="5"/>
          <c:tx>
            <c:strRef>
              <c:f>'Saisie des données'!$D$31</c:f>
              <c:strCache>
                <c:ptCount val="1"/>
                <c:pt idx="0">
                  <c:v>Synflorix, décavalent, 4 doses/solution liquide en flacon</c:v>
                </c:pt>
              </c:strCache>
            </c:strRef>
          </c:tx>
          <c:spPr>
            <a:solidFill>
              <a:schemeClr val="accent1"/>
            </a:solidFill>
            <a:ln>
              <a:noFill/>
            </a:ln>
            <a:effectLst/>
          </c:spPr>
          <c:invertIfNegative val="0"/>
          <c:cat>
            <c:strRef>
              <c:f>Résultats!$B$85</c:f>
              <c:strCache>
                <c:ptCount val="1"/>
                <c:pt idx="0">
                  <c:v>Total
pour 10 ans</c:v>
                </c:pt>
              </c:strCache>
            </c:strRef>
          </c:cat>
          <c:val>
            <c:numRef>
              <c:f>Résultats!$C$85</c:f>
              <c:numCache>
                <c:formatCode>#,##0"$"</c:formatCode>
                <c:ptCount val="1"/>
                <c:pt idx="0">
                  <c:v>11281950.5867768</c:v>
                </c:pt>
              </c:numCache>
            </c:numRef>
          </c:val>
          <c:extLst>
            <c:ext xmlns:c16="http://schemas.microsoft.com/office/drawing/2014/chart" uri="{C3380CC4-5D6E-409C-BE32-E72D297353CC}">
              <c16:uniqueId val="{00000000-B52E-4542-9F60-61A9D3EDD9B9}"/>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a:solidFill>
              <a:schemeClr val="tx1"/>
            </a:solidFill>
          </a:ln>
          <a:effectLst/>
        </c:spPr>
        <c:txPr>
          <a:bodyPr rot="-15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11673840</xdr:colOff>
      <xdr:row>0</xdr:row>
      <xdr:rowOff>22860</xdr:rowOff>
    </xdr:from>
    <xdr:to>
      <xdr:col>1</xdr:col>
      <xdr:colOff>525</xdr:colOff>
      <xdr:row>3</xdr:row>
      <xdr:rowOff>9796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673840" y="22860"/>
          <a:ext cx="2231280" cy="985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204107</xdr:colOff>
      <xdr:row>1</xdr:row>
      <xdr:rowOff>27215</xdr:rowOff>
    </xdr:from>
    <xdr:to>
      <xdr:col>12</xdr:col>
      <xdr:colOff>2435387</xdr:colOff>
      <xdr:row>4</xdr:row>
      <xdr:rowOff>89806</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15661821" y="212272"/>
          <a:ext cx="2231280" cy="9960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292825</xdr:rowOff>
    </xdr:from>
    <xdr:to>
      <xdr:col>10</xdr:col>
      <xdr:colOff>397933</xdr:colOff>
      <xdr:row>45</xdr:row>
      <xdr:rowOff>52251</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69</xdr:row>
      <xdr:rowOff>53340</xdr:rowOff>
    </xdr:from>
    <xdr:to>
      <xdr:col>10</xdr:col>
      <xdr:colOff>397933</xdr:colOff>
      <xdr:row>91</xdr:row>
      <xdr:rowOff>106680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22</xdr:row>
      <xdr:rowOff>292825</xdr:rowOff>
    </xdr:from>
    <xdr:to>
      <xdr:col>21</xdr:col>
      <xdr:colOff>397933</xdr:colOff>
      <xdr:row>45</xdr:row>
      <xdr:rowOff>52251</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4354</xdr:colOff>
      <xdr:row>69</xdr:row>
      <xdr:rowOff>53340</xdr:rowOff>
    </xdr:from>
    <xdr:to>
      <xdr:col>21</xdr:col>
      <xdr:colOff>402287</xdr:colOff>
      <xdr:row>91</xdr:row>
      <xdr:rowOff>106680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3266</xdr:colOff>
      <xdr:row>3</xdr:row>
      <xdr:rowOff>21772</xdr:rowOff>
    </xdr:from>
    <xdr:to>
      <xdr:col>10</xdr:col>
      <xdr:colOff>399506</xdr:colOff>
      <xdr:row>20</xdr:row>
      <xdr:rowOff>47625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10886</xdr:colOff>
      <xdr:row>3</xdr:row>
      <xdr:rowOff>21772</xdr:rowOff>
    </xdr:from>
    <xdr:to>
      <xdr:col>21</xdr:col>
      <xdr:colOff>407126</xdr:colOff>
      <xdr:row>20</xdr:row>
      <xdr:rowOff>76200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48</xdr:row>
      <xdr:rowOff>1</xdr:rowOff>
    </xdr:from>
    <xdr:to>
      <xdr:col>10</xdr:col>
      <xdr:colOff>396240</xdr:colOff>
      <xdr:row>66</xdr:row>
      <xdr:rowOff>38101</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7620</xdr:colOff>
      <xdr:row>48</xdr:row>
      <xdr:rowOff>0</xdr:rowOff>
    </xdr:from>
    <xdr:to>
      <xdr:col>21</xdr:col>
      <xdr:colOff>403860</xdr:colOff>
      <xdr:row>66</xdr:row>
      <xdr:rowOff>47625</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1114425</xdr:colOff>
      <xdr:row>0</xdr:row>
      <xdr:rowOff>114300</xdr:rowOff>
    </xdr:from>
    <xdr:to>
      <xdr:col>1</xdr:col>
      <xdr:colOff>3110865</xdr:colOff>
      <xdr:row>3</xdr:row>
      <xdr:rowOff>321945</xdr:rowOff>
    </xdr:to>
    <xdr:pic>
      <xdr:nvPicPr>
        <xdr:cNvPr id="2" name="Picture 1" descr="File:GAVI Alliance Colour Logo.jpg">
          <a:extLst>
            <a:ext uri="{FF2B5EF4-FFF2-40B4-BE49-F238E27FC236}">
              <a16:creationId xmlns:a16="http://schemas.microsoft.com/office/drawing/2014/main" id="{C22F7D3D-FE60-4EF3-B9AD-31983D9702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0665" y="114300"/>
          <a:ext cx="1996440" cy="76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therly, Deborah" id="{0FAB0F82-76C3-4344-A09B-F116F495FF4A}" userId="S::datherly@path.org::7e6b3eab-7c46-493f-8caa-268881e673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9-11T00:21:42.01" personId="{0FAB0F82-76C3-4344-A09B-F116F495FF4A}" id="{71D6E3CF-BB7E-4CEA-BA00-03223B6EE05A}">
    <text>Overall, this looks good. Have you already field-tested it, or in some way gathered user-feedback? If not, it may be useful to get input after launch, to help refine it as/if needed;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apps.who.int/iris/bitstream/handle/10665/310968/WER9408.pdf?ua=1" TargetMode="External"/><Relationship Id="rId13" Type="http://schemas.microsoft.com/office/2017/10/relationships/threadedComment" Target="../threadedComments/threadedComment1.xml"/><Relationship Id="rId3" Type="http://schemas.openxmlformats.org/officeDocument/2006/relationships/hyperlink" Target="https://www.unicef.org/supply/index_62330.html" TargetMode="External"/><Relationship Id="rId7" Type="http://schemas.openxmlformats.org/officeDocument/2006/relationships/hyperlink" Target="https://www.who.int/immunization/programmes_systems/procurement/mi4a/platform/module1/en/" TargetMode="External"/><Relationship Id="rId12" Type="http://schemas.openxmlformats.org/officeDocument/2006/relationships/comments" Target="../comments1.xml"/><Relationship Id="rId2" Type="http://schemas.openxmlformats.org/officeDocument/2006/relationships/hyperlink" Target="https://www.gavi.org/our-alliance/market-shaping/product-information-vaccines-cold-chain-equipment" TargetMode="External"/><Relationship Id="rId1" Type="http://schemas.openxmlformats.org/officeDocument/2006/relationships/hyperlink" Target="https://www.gavi.org/sites/default/files/document/support/Application%20guidelines%20for%20all%20types%20of%20Gavi%20Support.pdf" TargetMode="External"/><Relationship Id="rId6" Type="http://schemas.openxmlformats.org/officeDocument/2006/relationships/hyperlink" Target="https://www.unicef.org/supply/index_62309.html" TargetMode="External"/><Relationship Id="rId11" Type="http://schemas.openxmlformats.org/officeDocument/2006/relationships/vmlDrawing" Target="../drawings/vmlDrawing1.vml"/><Relationship Id="rId5" Type="http://schemas.openxmlformats.org/officeDocument/2006/relationships/hyperlink" Target="http://immunizationeconomics.org/ican-idcc" TargetMode="External"/><Relationship Id="rId10" Type="http://schemas.openxmlformats.org/officeDocument/2006/relationships/drawing" Target="../drawings/drawing1.xml"/><Relationship Id="rId4" Type="http://schemas.openxmlformats.org/officeDocument/2006/relationships/hyperlink" Target="https://www.unicef.org/supply/index_62309.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avi.org/our-alliance/market-shaping/product-information-vaccines-cold-chain-equipment" TargetMode="External"/><Relationship Id="rId3" Type="http://schemas.openxmlformats.org/officeDocument/2006/relationships/hyperlink" Target="http://immunizationeconomics.org/ican-idcc" TargetMode="External"/><Relationship Id="rId7" Type="http://schemas.openxmlformats.org/officeDocument/2006/relationships/hyperlink" Target="http://immunizationeconomics.org/ican-idcc" TargetMode="External"/><Relationship Id="rId2" Type="http://schemas.openxmlformats.org/officeDocument/2006/relationships/hyperlink" Target="http://immunizationeconomics.org/ican-idcc" TargetMode="External"/><Relationship Id="rId1" Type="http://schemas.openxmlformats.org/officeDocument/2006/relationships/hyperlink" Target="https://www.gavi.org/library/gavi-documents/guidelines-and-forms/application-guidelines/" TargetMode="External"/><Relationship Id="rId6" Type="http://schemas.openxmlformats.org/officeDocument/2006/relationships/hyperlink" Target="http://immunizationeconomics.org/ican-idcc" TargetMode="External"/><Relationship Id="rId11" Type="http://schemas.openxmlformats.org/officeDocument/2006/relationships/drawing" Target="../drawings/drawing2.xml"/><Relationship Id="rId5" Type="http://schemas.openxmlformats.org/officeDocument/2006/relationships/hyperlink" Target="http://immunizationeconomics.org/ican-idcc" TargetMode="External"/><Relationship Id="rId10" Type="http://schemas.openxmlformats.org/officeDocument/2006/relationships/printerSettings" Target="../printerSettings/printerSettings2.bin"/><Relationship Id="rId4" Type="http://schemas.openxmlformats.org/officeDocument/2006/relationships/hyperlink" Target="http://immunizationeconomics.org/ican-idcc" TargetMode="External"/><Relationship Id="rId9" Type="http://schemas.openxmlformats.org/officeDocument/2006/relationships/hyperlink" Target="https://www.who.int/immunization/programmes_systems/procurement/mi4a/platform/module1/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extranet.who.int/gavi/PQ_Web/PreviewVaccine.aspx?nav=0&amp;ID=191" TargetMode="External"/><Relationship Id="rId2" Type="http://schemas.openxmlformats.org/officeDocument/2006/relationships/hyperlink" Target="https://extranet.who.int/gavi/PQ_Web/PreviewVaccine.aspx?nav=0&amp;ID=198" TargetMode="External"/><Relationship Id="rId1" Type="http://schemas.openxmlformats.org/officeDocument/2006/relationships/hyperlink" Target="https://extranet.who.int/gavi/PQ_Web/PreviewVaccine.aspx?nav=0&amp;ID=221" TargetMode="External"/><Relationship Id="rId6" Type="http://schemas.openxmlformats.org/officeDocument/2006/relationships/drawing" Target="../drawings/drawing4.xml"/><Relationship Id="rId5" Type="http://schemas.openxmlformats.org/officeDocument/2006/relationships/hyperlink" Target="https://extranet.who.int/gavi/PQ_Web/PreviewVaccine.aspx?nav=0&amp;ID=341" TargetMode="External"/><Relationship Id="rId4" Type="http://schemas.openxmlformats.org/officeDocument/2006/relationships/hyperlink" Target="https://extranet.who.int/gavi/PQ_Web/PreviewVaccine.aspx?nav=0&amp;ID=3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8"/>
  <sheetViews>
    <sheetView tabSelected="1" zoomScale="80" zoomScaleNormal="80" zoomScaleSheetLayoutView="80" workbookViewId="0"/>
  </sheetViews>
  <sheetFormatPr defaultColWidth="8.90625" defaultRowHeight="14.5" x14ac:dyDescent="0.35"/>
  <cols>
    <col min="1" max="1" width="202.54296875" style="98" customWidth="1"/>
    <col min="2" max="16384" width="8.90625" style="98"/>
  </cols>
  <sheetData>
    <row r="1" spans="1:1" ht="28.5" x14ac:dyDescent="0.35">
      <c r="A1" s="97" t="s">
        <v>0</v>
      </c>
    </row>
    <row r="2" spans="1:1" ht="28.5" x14ac:dyDescent="0.35">
      <c r="A2" s="97"/>
    </row>
    <row r="3" spans="1:1" ht="21" x14ac:dyDescent="0.35">
      <c r="A3" s="99" t="s">
        <v>1</v>
      </c>
    </row>
    <row r="4" spans="1:1" x14ac:dyDescent="0.35">
      <c r="A4" s="100" t="s">
        <v>2</v>
      </c>
    </row>
    <row r="5" spans="1:1" ht="18" customHeight="1" x14ac:dyDescent="0.35">
      <c r="A5" s="101" t="s">
        <v>3</v>
      </c>
    </row>
    <row r="6" spans="1:1" ht="43.5" x14ac:dyDescent="0.35">
      <c r="A6" s="102" t="s">
        <v>4</v>
      </c>
    </row>
    <row r="7" spans="1:1" ht="8.4" customHeight="1" x14ac:dyDescent="0.35">
      <c r="A7" s="103"/>
    </row>
    <row r="8" spans="1:1" ht="55.65" customHeight="1" x14ac:dyDescent="0.35">
      <c r="A8" s="98" t="s">
        <v>269</v>
      </c>
    </row>
    <row r="9" spans="1:1" ht="8.4" customHeight="1" x14ac:dyDescent="0.35">
      <c r="A9" s="103"/>
    </row>
    <row r="10" spans="1:1" x14ac:dyDescent="0.35">
      <c r="A10" s="98" t="s">
        <v>5</v>
      </c>
    </row>
    <row r="11" spans="1:1" x14ac:dyDescent="0.35">
      <c r="A11" s="98" t="s">
        <v>6</v>
      </c>
    </row>
    <row r="12" spans="1:1" x14ac:dyDescent="0.35">
      <c r="A12" s="98" t="s">
        <v>7</v>
      </c>
    </row>
    <row r="13" spans="1:1" x14ac:dyDescent="0.35">
      <c r="A13" s="98" t="s">
        <v>8</v>
      </c>
    </row>
    <row r="14" spans="1:1" ht="8.4" customHeight="1" x14ac:dyDescent="0.35">
      <c r="A14" s="103"/>
    </row>
    <row r="15" spans="1:1" ht="43.5" x14ac:dyDescent="0.35">
      <c r="A15" s="110" t="s">
        <v>9</v>
      </c>
    </row>
    <row r="16" spans="1:1" ht="8.4" customHeight="1" x14ac:dyDescent="0.35">
      <c r="A16" s="103"/>
    </row>
    <row r="17" spans="1:1" x14ac:dyDescent="0.35">
      <c r="A17" s="104" t="s">
        <v>10</v>
      </c>
    </row>
    <row r="18" spans="1:1" ht="43.5" x14ac:dyDescent="0.35">
      <c r="A18" s="98" t="s">
        <v>270</v>
      </c>
    </row>
    <row r="19" spans="1:1" ht="8.4" customHeight="1" x14ac:dyDescent="0.35">
      <c r="A19" s="103"/>
    </row>
    <row r="20" spans="1:1" x14ac:dyDescent="0.35">
      <c r="A20" s="105" t="s">
        <v>11</v>
      </c>
    </row>
    <row r="21" spans="1:1" ht="29" x14ac:dyDescent="0.35">
      <c r="A21" s="106" t="s">
        <v>12</v>
      </c>
    </row>
    <row r="22" spans="1:1" ht="8.4" customHeight="1" x14ac:dyDescent="0.35">
      <c r="A22" s="103"/>
    </row>
    <row r="23" spans="1:1" ht="43.5" x14ac:dyDescent="0.35">
      <c r="A23" s="106" t="s">
        <v>13</v>
      </c>
    </row>
    <row r="24" spans="1:1" ht="8.4" customHeight="1" x14ac:dyDescent="0.35">
      <c r="A24" s="103"/>
    </row>
    <row r="25" spans="1:1" x14ac:dyDescent="0.35">
      <c r="A25" s="105" t="s">
        <v>14</v>
      </c>
    </row>
    <row r="26" spans="1:1" ht="29" x14ac:dyDescent="0.35">
      <c r="A26" s="106" t="s">
        <v>15</v>
      </c>
    </row>
    <row r="27" spans="1:1" ht="8.4" customHeight="1" x14ac:dyDescent="0.35">
      <c r="A27" s="103"/>
    </row>
    <row r="28" spans="1:1" ht="36" customHeight="1" x14ac:dyDescent="0.35">
      <c r="A28" s="106" t="s">
        <v>271</v>
      </c>
    </row>
    <row r="29" spans="1:1" ht="8.4" customHeight="1" x14ac:dyDescent="0.35">
      <c r="A29" s="103"/>
    </row>
    <row r="30" spans="1:1" ht="29" x14ac:dyDescent="0.35">
      <c r="A30" s="106" t="s">
        <v>272</v>
      </c>
    </row>
    <row r="31" spans="1:1" ht="8.4" customHeight="1" x14ac:dyDescent="0.35">
      <c r="A31" s="103"/>
    </row>
    <row r="32" spans="1:1" ht="29" x14ac:dyDescent="0.35">
      <c r="A32" s="106" t="s">
        <v>16</v>
      </c>
    </row>
    <row r="33" spans="1:1" x14ac:dyDescent="0.35">
      <c r="A33" s="111" t="s">
        <v>17</v>
      </c>
    </row>
    <row r="34" spans="1:1" ht="8.4" customHeight="1" x14ac:dyDescent="0.35">
      <c r="A34" s="103"/>
    </row>
    <row r="35" spans="1:1" x14ac:dyDescent="0.35">
      <c r="A35" s="105" t="s">
        <v>18</v>
      </c>
    </row>
    <row r="36" spans="1:1" x14ac:dyDescent="0.35">
      <c r="A36" s="197" t="s">
        <v>19</v>
      </c>
    </row>
    <row r="37" spans="1:1" ht="43.25" customHeight="1" x14ac:dyDescent="0.35">
      <c r="A37" s="106" t="s">
        <v>20</v>
      </c>
    </row>
    <row r="38" spans="1:1" x14ac:dyDescent="0.35">
      <c r="A38" s="111" t="s">
        <v>21</v>
      </c>
    </row>
    <row r="39" spans="1:1" ht="34.25" customHeight="1" x14ac:dyDescent="0.35">
      <c r="A39" s="106" t="s">
        <v>22</v>
      </c>
    </row>
    <row r="40" spans="1:1" x14ac:dyDescent="0.35">
      <c r="A40" s="193" t="s">
        <v>23</v>
      </c>
    </row>
    <row r="41" spans="1:1" ht="25.25" customHeight="1" x14ac:dyDescent="0.35">
      <c r="A41" s="106" t="s">
        <v>24</v>
      </c>
    </row>
    <row r="42" spans="1:1" x14ac:dyDescent="0.35">
      <c r="A42" s="193" t="s">
        <v>25</v>
      </c>
    </row>
    <row r="43" spans="1:1" ht="8.4" customHeight="1" x14ac:dyDescent="0.35">
      <c r="A43" s="103"/>
    </row>
    <row r="44" spans="1:1" x14ac:dyDescent="0.35">
      <c r="A44" s="106" t="s">
        <v>26</v>
      </c>
    </row>
    <row r="45" spans="1:1" ht="8.4" customHeight="1" x14ac:dyDescent="0.35">
      <c r="A45" s="103"/>
    </row>
    <row r="46" spans="1:1" x14ac:dyDescent="0.35">
      <c r="A46" s="106" t="s">
        <v>27</v>
      </c>
    </row>
    <row r="47" spans="1:1" x14ac:dyDescent="0.35">
      <c r="A47" s="107" t="s">
        <v>28</v>
      </c>
    </row>
    <row r="48" spans="1:1" x14ac:dyDescent="0.35">
      <c r="A48" s="107" t="s">
        <v>29</v>
      </c>
    </row>
    <row r="49" spans="1:1" x14ac:dyDescent="0.35">
      <c r="A49" s="111" t="s">
        <v>30</v>
      </c>
    </row>
    <row r="50" spans="1:1" ht="29" x14ac:dyDescent="0.35">
      <c r="A50" s="107" t="s">
        <v>31</v>
      </c>
    </row>
    <row r="51" spans="1:1" x14ac:dyDescent="0.35">
      <c r="A51" s="112" t="s">
        <v>273</v>
      </c>
    </row>
    <row r="52" spans="1:1" x14ac:dyDescent="0.35">
      <c r="A52" s="111" t="s">
        <v>32</v>
      </c>
    </row>
    <row r="53" spans="1:1" x14ac:dyDescent="0.35">
      <c r="A53" s="107" t="s">
        <v>274</v>
      </c>
    </row>
    <row r="54" spans="1:1" x14ac:dyDescent="0.35">
      <c r="A54" s="112" t="s">
        <v>33</v>
      </c>
    </row>
    <row r="55" spans="1:1" x14ac:dyDescent="0.35">
      <c r="A55" s="111" t="s">
        <v>32</v>
      </c>
    </row>
    <row r="56" spans="1:1" ht="8.4" customHeight="1" x14ac:dyDescent="0.35">
      <c r="A56" s="103"/>
    </row>
    <row r="57" spans="1:1" x14ac:dyDescent="0.35">
      <c r="A57" s="106" t="s">
        <v>34</v>
      </c>
    </row>
    <row r="58" spans="1:1" ht="8.4" customHeight="1" x14ac:dyDescent="0.35">
      <c r="A58" s="103"/>
    </row>
    <row r="59" spans="1:1" ht="18" customHeight="1" x14ac:dyDescent="0.35">
      <c r="A59" s="198" t="s">
        <v>35</v>
      </c>
    </row>
    <row r="60" spans="1:1" ht="82.75" customHeight="1" x14ac:dyDescent="0.35">
      <c r="A60" s="203" t="s">
        <v>282</v>
      </c>
    </row>
    <row r="61" spans="1:1" ht="5.4" customHeight="1" x14ac:dyDescent="0.35">
      <c r="A61" s="103"/>
    </row>
    <row r="62" spans="1:1" ht="48" customHeight="1" x14ac:dyDescent="0.35">
      <c r="A62" s="203" t="s">
        <v>286</v>
      </c>
    </row>
    <row r="63" spans="1:1" ht="6" customHeight="1" x14ac:dyDescent="0.35">
      <c r="A63" s="203"/>
    </row>
    <row r="64" spans="1:1" ht="55.75" customHeight="1" x14ac:dyDescent="0.35">
      <c r="A64" s="203" t="s">
        <v>287</v>
      </c>
    </row>
    <row r="65" spans="1:1" x14ac:dyDescent="0.35">
      <c r="A65" s="111" t="s">
        <v>275</v>
      </c>
    </row>
    <row r="66" spans="1:1" ht="8.4" customHeight="1" x14ac:dyDescent="0.35">
      <c r="A66" s="103"/>
    </row>
    <row r="67" spans="1:1" x14ac:dyDescent="0.35">
      <c r="A67" s="106" t="s">
        <v>36</v>
      </c>
    </row>
    <row r="68" spans="1:1" ht="8.4" customHeight="1" x14ac:dyDescent="0.35">
      <c r="A68" s="103"/>
    </row>
    <row r="69" spans="1:1" x14ac:dyDescent="0.35">
      <c r="A69" s="104" t="s">
        <v>37</v>
      </c>
    </row>
    <row r="70" spans="1:1" ht="29" x14ac:dyDescent="0.35">
      <c r="A70" s="98" t="s">
        <v>38</v>
      </c>
    </row>
    <row r="71" spans="1:1" ht="8.4" customHeight="1" x14ac:dyDescent="0.35">
      <c r="A71" s="103"/>
    </row>
    <row r="72" spans="1:1" x14ac:dyDescent="0.35">
      <c r="A72" s="98" t="s">
        <v>39</v>
      </c>
    </row>
    <row r="73" spans="1:1" ht="8.4" customHeight="1" x14ac:dyDescent="0.35">
      <c r="A73" s="103"/>
    </row>
    <row r="74" spans="1:1" x14ac:dyDescent="0.35">
      <c r="A74" s="106" t="s">
        <v>40</v>
      </c>
    </row>
    <row r="75" spans="1:1" ht="61.75" customHeight="1" x14ac:dyDescent="0.35">
      <c r="A75" s="106" t="s">
        <v>41</v>
      </c>
    </row>
    <row r="76" spans="1:1" ht="8.4" customHeight="1" x14ac:dyDescent="0.35">
      <c r="A76" s="103"/>
    </row>
    <row r="77" spans="1:1" x14ac:dyDescent="0.35">
      <c r="A77" s="106" t="s">
        <v>42</v>
      </c>
    </row>
    <row r="78" spans="1:1" ht="29" x14ac:dyDescent="0.35">
      <c r="A78" s="106" t="s">
        <v>276</v>
      </c>
    </row>
    <row r="79" spans="1:1" ht="8.4" customHeight="1" x14ac:dyDescent="0.35">
      <c r="A79" s="103"/>
    </row>
    <row r="80" spans="1:1" x14ac:dyDescent="0.35">
      <c r="A80" s="106" t="s">
        <v>43</v>
      </c>
    </row>
    <row r="81" spans="1:1" ht="29" x14ac:dyDescent="0.35">
      <c r="A81" s="106" t="s">
        <v>44</v>
      </c>
    </row>
    <row r="82" spans="1:1" ht="8.4" customHeight="1" x14ac:dyDescent="0.35">
      <c r="A82" s="103"/>
    </row>
    <row r="83" spans="1:1" ht="29" x14ac:dyDescent="0.35">
      <c r="A83" s="108" t="s">
        <v>45</v>
      </c>
    </row>
    <row r="84" spans="1:1" ht="8.4" customHeight="1" x14ac:dyDescent="0.35">
      <c r="A84" s="103"/>
    </row>
    <row r="85" spans="1:1" x14ac:dyDescent="0.35">
      <c r="A85" s="104" t="s">
        <v>46</v>
      </c>
    </row>
    <row r="86" spans="1:1" ht="29" x14ac:dyDescent="0.35">
      <c r="A86" s="98" t="s">
        <v>47</v>
      </c>
    </row>
    <row r="87" spans="1:1" ht="8.4" customHeight="1" x14ac:dyDescent="0.35">
      <c r="A87" s="103"/>
    </row>
    <row r="88" spans="1:1" x14ac:dyDescent="0.35">
      <c r="A88" s="104" t="s">
        <v>48</v>
      </c>
    </row>
    <row r="89" spans="1:1" x14ac:dyDescent="0.35">
      <c r="A89" s="109" t="s">
        <v>49</v>
      </c>
    </row>
    <row r="90" spans="1:1" x14ac:dyDescent="0.35">
      <c r="A90" s="109" t="s">
        <v>50</v>
      </c>
    </row>
    <row r="91" spans="1:1" ht="16.5" x14ac:dyDescent="0.35">
      <c r="A91" s="109" t="s">
        <v>51</v>
      </c>
    </row>
    <row r="92" spans="1:1" x14ac:dyDescent="0.35">
      <c r="A92" s="109" t="s">
        <v>52</v>
      </c>
    </row>
    <row r="93" spans="1:1" ht="29" x14ac:dyDescent="0.35">
      <c r="A93" s="109" t="s">
        <v>277</v>
      </c>
    </row>
    <row r="94" spans="1:1" x14ac:dyDescent="0.35">
      <c r="A94" s="109" t="s">
        <v>53</v>
      </c>
    </row>
    <row r="95" spans="1:1" ht="29" x14ac:dyDescent="0.35">
      <c r="A95" s="109" t="s">
        <v>278</v>
      </c>
    </row>
    <row r="96" spans="1:1" ht="36" customHeight="1" x14ac:dyDescent="0.35">
      <c r="A96" s="109" t="s">
        <v>54</v>
      </c>
    </row>
    <row r="98" spans="1:1" x14ac:dyDescent="0.35">
      <c r="A98" s="98" t="s">
        <v>55</v>
      </c>
    </row>
  </sheetData>
  <sheetProtection algorithmName="SHA-512" hashValue="2KM5pTaW9TbjwHj6ALOjoPhuFvvl4KOWxKPt1cz0U+JexlmRq3jwnnQ7lvDqKvMejU6QwHAHg1KTm8RG5Kc2mw==" saltValue="LoBf8JuF95dDLvuWzZBNuQ==" spinCount="100000" sheet="1" formatCells="0" formatColumns="0" formatRows="0" insertColumns="0" insertRows="0" insertHyperlinks="0" deleteColumns="0" deleteRows="0" sort="0" autoFilter="0" pivotTables="0"/>
  <hyperlinks>
    <hyperlink ref="A33" r:id="rId1" display="https://www.gavi.org/sites/default/files/document/support/Application guidelines for all types of Gavi Support.pdf" xr:uid="{00000000-0004-0000-0000-000000000000}"/>
    <hyperlink ref="A38" r:id="rId2" display="https://www.gavi.org/our-alliance/market-shaping/product-information-vaccines-cold-chain-equipment" xr:uid="{00000000-0004-0000-0000-000001000000}"/>
    <hyperlink ref="A49" r:id="rId3" display="https://www.unicef.org/supply/index_62330.html" xr:uid="{00000000-0004-0000-0000-000002000000}"/>
    <hyperlink ref="A52" r:id="rId4" display="https://www.unicef.org/supply/index_62309.html" xr:uid="{00000000-0004-0000-0000-000003000000}"/>
    <hyperlink ref="A65" r:id="rId5" display="http://immunizationeconomics.org/ican-idcc" xr:uid="{00000000-0004-0000-0000-000004000000}"/>
    <hyperlink ref="A55" r:id="rId6" display="https://www.unicef.org/supply/index_62309.html" xr:uid="{00000000-0004-0000-0000-000005000000}"/>
    <hyperlink ref="A40" r:id="rId7" xr:uid="{00000000-0004-0000-0000-000006000000}"/>
    <hyperlink ref="A42" r:id="rId8" xr:uid="{00000000-0004-0000-0000-000007000000}"/>
  </hyperlinks>
  <pageMargins left="0.25" right="0.25" top="0.75" bottom="0.75" header="0.3" footer="0.3"/>
  <pageSetup scale="74" orientation="portrait" r:id="rId9"/>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40"/>
  <sheetViews>
    <sheetView zoomScale="70" zoomScaleNormal="70" workbookViewId="0"/>
  </sheetViews>
  <sheetFormatPr defaultColWidth="8.90625" defaultRowHeight="14.5" outlineLevelRow="1" x14ac:dyDescent="0.35"/>
  <cols>
    <col min="1" max="1" width="1.90625" style="15" customWidth="1"/>
    <col min="2" max="2" width="2.453125" style="15" customWidth="1"/>
    <col min="3" max="3" width="22.90625" style="15" customWidth="1"/>
    <col min="4" max="4" width="15.54296875" style="15" customWidth="1"/>
    <col min="5" max="5" width="37" style="15" customWidth="1"/>
    <col min="6" max="6" width="15.54296875" style="15" customWidth="1"/>
    <col min="7" max="7" width="22.90625" style="15" customWidth="1"/>
    <col min="8" max="8" width="15.54296875" style="15" customWidth="1"/>
    <col min="9" max="9" width="37" style="15" customWidth="1"/>
    <col min="10" max="10" width="15.54296875" style="15" customWidth="1"/>
    <col min="11" max="11" width="22.90625" style="15" customWidth="1"/>
    <col min="12" max="12" width="15.54296875" style="15" customWidth="1"/>
    <col min="13" max="13" width="37" style="15" customWidth="1"/>
    <col min="14" max="14" width="2.08984375" style="15" customWidth="1"/>
    <col min="15" max="15" width="2.54296875" style="15" customWidth="1"/>
    <col min="16" max="16" width="22.90625" style="15" customWidth="1"/>
    <col min="17" max="17" width="15.54296875" style="15" customWidth="1"/>
    <col min="18" max="18" width="37" style="15" customWidth="1"/>
    <col min="19" max="19" width="8.90625" style="15" customWidth="1"/>
    <col min="20" max="20" width="22.90625" style="15" customWidth="1"/>
    <col min="21" max="21" width="15.54296875" style="15" customWidth="1"/>
    <col min="22" max="22" width="37" style="15" customWidth="1"/>
    <col min="23" max="23" width="8.90625" style="15" customWidth="1"/>
    <col min="24" max="24" width="22.90625" style="15" customWidth="1"/>
    <col min="25" max="25" width="15.54296875" style="15" customWidth="1"/>
    <col min="26" max="26" width="37" style="15" customWidth="1"/>
    <col min="27" max="27" width="2.54296875" style="15" customWidth="1"/>
    <col min="28" max="16384" width="8.90625" style="15"/>
  </cols>
  <sheetData>
    <row r="1" spans="1:27" x14ac:dyDescent="0.35">
      <c r="A1" s="11"/>
      <c r="B1" s="11"/>
      <c r="C1" s="11"/>
      <c r="D1" s="11"/>
      <c r="E1" s="11"/>
      <c r="F1" s="11"/>
      <c r="G1" s="11"/>
      <c r="H1" s="11"/>
      <c r="I1" s="11"/>
      <c r="J1" s="11"/>
      <c r="K1" s="12" t="s">
        <v>56</v>
      </c>
      <c r="L1" s="11"/>
      <c r="M1" s="11"/>
      <c r="N1" s="13"/>
      <c r="O1" s="14"/>
      <c r="P1" s="11"/>
      <c r="Q1" s="11"/>
      <c r="R1" s="11"/>
      <c r="S1" s="11"/>
      <c r="T1" s="11"/>
      <c r="U1" s="11"/>
      <c r="V1" s="11"/>
      <c r="W1" s="11"/>
      <c r="X1" s="11"/>
      <c r="Y1" s="11"/>
      <c r="Z1" s="11"/>
      <c r="AA1" s="11"/>
    </row>
    <row r="2" spans="1:27" ht="26.15" customHeight="1" x14ac:dyDescent="0.35">
      <c r="A2" s="16" t="s">
        <v>57</v>
      </c>
      <c r="B2" s="11"/>
      <c r="C2" s="11"/>
      <c r="D2" s="11"/>
      <c r="E2" s="11"/>
      <c r="F2" s="11"/>
      <c r="G2" s="11"/>
      <c r="H2" s="11"/>
      <c r="I2" s="11"/>
      <c r="J2" s="11"/>
      <c r="K2" s="243" t="s">
        <v>58</v>
      </c>
      <c r="L2" s="243"/>
      <c r="M2" s="17"/>
      <c r="N2" s="13"/>
      <c r="O2" s="14"/>
      <c r="P2" s="11"/>
      <c r="Q2" s="11"/>
      <c r="R2" s="11"/>
      <c r="S2" s="11"/>
      <c r="T2" s="11"/>
      <c r="U2" s="11"/>
      <c r="V2" s="11"/>
      <c r="W2" s="11"/>
      <c r="X2" s="11"/>
      <c r="Y2" s="11"/>
      <c r="Z2" s="11"/>
      <c r="AA2" s="11"/>
    </row>
    <row r="3" spans="1:27" ht="33.65" customHeight="1" x14ac:dyDescent="0.35">
      <c r="A3" s="18" t="s">
        <v>59</v>
      </c>
      <c r="B3" s="11"/>
      <c r="C3" s="11"/>
      <c r="D3" s="11"/>
      <c r="E3" s="11"/>
      <c r="F3" s="11"/>
      <c r="G3" s="11"/>
      <c r="H3" s="11"/>
      <c r="I3" s="11"/>
      <c r="J3" s="11"/>
      <c r="K3" s="243"/>
      <c r="L3" s="243"/>
      <c r="M3" s="17"/>
      <c r="N3" s="13"/>
      <c r="O3" s="14"/>
      <c r="P3" s="11"/>
      <c r="Q3" s="11"/>
      <c r="R3" s="11"/>
      <c r="S3" s="11"/>
      <c r="T3" s="11"/>
      <c r="U3" s="11"/>
      <c r="V3" s="11"/>
      <c r="W3" s="11"/>
      <c r="X3" s="11"/>
      <c r="Y3" s="11"/>
      <c r="Z3" s="11"/>
      <c r="AA3" s="11"/>
    </row>
    <row r="4" spans="1:27" x14ac:dyDescent="0.35">
      <c r="A4" s="11"/>
      <c r="B4" s="11"/>
      <c r="C4" s="11"/>
      <c r="D4" s="11"/>
      <c r="E4" s="11"/>
      <c r="F4" s="11"/>
      <c r="G4" s="11"/>
      <c r="H4" s="11"/>
      <c r="I4" s="11"/>
      <c r="J4" s="11"/>
      <c r="K4" s="11"/>
      <c r="L4" s="11"/>
      <c r="M4" s="11"/>
      <c r="N4" s="13"/>
      <c r="O4" s="14"/>
      <c r="P4" s="11"/>
      <c r="Q4" s="11"/>
      <c r="R4" s="11"/>
      <c r="S4" s="11"/>
      <c r="T4" s="11"/>
      <c r="U4" s="11"/>
      <c r="V4" s="11"/>
      <c r="W4" s="11"/>
      <c r="X4" s="11"/>
      <c r="Y4" s="11"/>
      <c r="Z4" s="11"/>
      <c r="AA4" s="11"/>
    </row>
    <row r="5" spans="1:27" x14ac:dyDescent="0.35">
      <c r="A5" s="11"/>
      <c r="B5" s="11"/>
      <c r="C5" s="247" t="s">
        <v>60</v>
      </c>
      <c r="D5" s="248"/>
      <c r="E5" s="248"/>
      <c r="F5" s="248"/>
      <c r="G5" s="248"/>
      <c r="H5" s="248"/>
      <c r="I5" s="248"/>
      <c r="J5" s="248"/>
      <c r="K5" s="248"/>
      <c r="L5" s="249"/>
      <c r="M5" s="11"/>
      <c r="N5" s="13"/>
      <c r="O5" s="14"/>
      <c r="P5" s="11"/>
      <c r="Q5" s="11"/>
      <c r="R5" s="11"/>
      <c r="S5" s="11"/>
      <c r="T5" s="11"/>
      <c r="U5" s="11"/>
      <c r="V5" s="11"/>
      <c r="W5" s="11"/>
      <c r="X5" s="11"/>
      <c r="Y5" s="11"/>
      <c r="Z5" s="11"/>
      <c r="AA5" s="11"/>
    </row>
    <row r="6" spans="1:27" ht="23.15" customHeight="1" x14ac:dyDescent="0.35">
      <c r="A6" s="11"/>
      <c r="B6" s="11"/>
      <c r="C6" s="250"/>
      <c r="D6" s="251"/>
      <c r="E6" s="251"/>
      <c r="F6" s="251"/>
      <c r="G6" s="251"/>
      <c r="H6" s="251"/>
      <c r="I6" s="251"/>
      <c r="J6" s="251"/>
      <c r="K6" s="251"/>
      <c r="L6" s="252"/>
      <c r="M6" s="11"/>
      <c r="N6" s="13"/>
      <c r="O6" s="14"/>
      <c r="P6" s="11"/>
      <c r="Q6" s="11"/>
      <c r="R6" s="11"/>
      <c r="S6" s="11"/>
      <c r="T6" s="11"/>
      <c r="U6" s="11"/>
      <c r="V6" s="11"/>
      <c r="W6" s="11"/>
      <c r="X6" s="11"/>
      <c r="Y6" s="11"/>
      <c r="Z6" s="11"/>
      <c r="AA6" s="11"/>
    </row>
    <row r="7" spans="1:27" ht="20.149999999999999" customHeight="1" x14ac:dyDescent="0.35">
      <c r="A7" s="11"/>
      <c r="B7" s="11"/>
      <c r="C7" s="250"/>
      <c r="D7" s="251"/>
      <c r="E7" s="251"/>
      <c r="F7" s="251"/>
      <c r="G7" s="251"/>
      <c r="H7" s="251"/>
      <c r="I7" s="251"/>
      <c r="J7" s="251"/>
      <c r="K7" s="251"/>
      <c r="L7" s="252"/>
      <c r="M7" s="11"/>
      <c r="N7" s="13"/>
      <c r="O7" s="14"/>
      <c r="P7" s="11"/>
      <c r="Q7" s="11"/>
      <c r="R7" s="11"/>
      <c r="S7" s="11"/>
      <c r="T7" s="11"/>
      <c r="U7" s="11"/>
      <c r="V7" s="11"/>
      <c r="W7" s="11"/>
      <c r="X7" s="11"/>
      <c r="Y7" s="11"/>
      <c r="Z7" s="11"/>
      <c r="AA7" s="11"/>
    </row>
    <row r="8" spans="1:27" ht="33" customHeight="1" x14ac:dyDescent="0.35">
      <c r="A8" s="11"/>
      <c r="B8" s="11"/>
      <c r="C8" s="250"/>
      <c r="D8" s="251"/>
      <c r="E8" s="251"/>
      <c r="F8" s="251"/>
      <c r="G8" s="251"/>
      <c r="H8" s="251"/>
      <c r="I8" s="251"/>
      <c r="J8" s="251"/>
      <c r="K8" s="251"/>
      <c r="L8" s="252"/>
      <c r="M8" s="11"/>
      <c r="N8" s="13"/>
      <c r="O8" s="14"/>
      <c r="P8" s="11"/>
      <c r="Q8" s="11"/>
      <c r="R8" s="11"/>
      <c r="S8" s="11"/>
      <c r="T8" s="11"/>
      <c r="U8" s="11"/>
      <c r="V8" s="11"/>
      <c r="W8" s="11"/>
      <c r="X8" s="11"/>
      <c r="Y8" s="11"/>
      <c r="Z8" s="11"/>
      <c r="AA8" s="11"/>
    </row>
    <row r="9" spans="1:27" ht="15.65" customHeight="1" x14ac:dyDescent="0.35">
      <c r="A9" s="11"/>
      <c r="B9" s="11"/>
      <c r="C9" s="253" t="s">
        <v>279</v>
      </c>
      <c r="D9" s="254"/>
      <c r="E9" s="254"/>
      <c r="F9" s="254"/>
      <c r="G9" s="255"/>
      <c r="H9" s="19"/>
      <c r="I9" s="19"/>
      <c r="J9" s="19"/>
      <c r="K9" s="19"/>
      <c r="L9" s="19"/>
      <c r="M9" s="11"/>
      <c r="N9" s="13"/>
      <c r="O9" s="14"/>
      <c r="P9" s="11"/>
      <c r="Q9" s="11"/>
      <c r="R9" s="11"/>
      <c r="S9" s="11"/>
      <c r="T9" s="11"/>
      <c r="U9" s="11"/>
      <c r="V9" s="11"/>
      <c r="W9" s="11"/>
      <c r="X9" s="11"/>
      <c r="Y9" s="11"/>
      <c r="Z9" s="11"/>
      <c r="AA9" s="11"/>
    </row>
    <row r="10" spans="1:27" ht="20.149999999999999" customHeight="1" x14ac:dyDescent="0.35">
      <c r="A10" s="11"/>
      <c r="B10" s="20"/>
      <c r="C10" s="253"/>
      <c r="D10" s="254"/>
      <c r="E10" s="254"/>
      <c r="F10" s="254"/>
      <c r="G10" s="255"/>
      <c r="H10" s="21"/>
      <c r="I10" s="239" t="s">
        <v>61</v>
      </c>
      <c r="J10" s="240"/>
      <c r="K10" s="241"/>
      <c r="L10" s="11"/>
      <c r="M10" s="22" t="s">
        <v>17</v>
      </c>
      <c r="N10" s="13"/>
      <c r="O10" s="14"/>
      <c r="P10" s="11"/>
      <c r="Q10" s="11"/>
      <c r="R10" s="11"/>
      <c r="S10" s="11"/>
      <c r="T10" s="11"/>
      <c r="U10" s="11"/>
      <c r="V10" s="11"/>
      <c r="W10" s="11"/>
      <c r="X10" s="11"/>
      <c r="Y10" s="11"/>
      <c r="Z10" s="11"/>
      <c r="AA10" s="11"/>
    </row>
    <row r="11" spans="1:27" ht="65.400000000000006" customHeight="1" x14ac:dyDescent="0.35">
      <c r="A11" s="11"/>
      <c r="B11" s="20"/>
      <c r="C11" s="253"/>
      <c r="D11" s="254"/>
      <c r="E11" s="254"/>
      <c r="F11" s="254"/>
      <c r="G11" s="255"/>
      <c r="H11" s="23"/>
      <c r="I11" s="24" t="s">
        <v>62</v>
      </c>
      <c r="J11" s="68" t="s">
        <v>63</v>
      </c>
      <c r="K11" s="204" t="s">
        <v>64</v>
      </c>
      <c r="L11" s="11"/>
      <c r="M11" s="234" t="s">
        <v>65</v>
      </c>
      <c r="N11" s="25"/>
      <c r="O11" s="14"/>
      <c r="P11" s="11"/>
      <c r="Q11" s="11"/>
      <c r="R11" s="11"/>
      <c r="S11" s="11"/>
      <c r="T11" s="11"/>
      <c r="U11" s="11"/>
      <c r="V11" s="11"/>
      <c r="W11" s="11"/>
      <c r="X11" s="11"/>
      <c r="Y11" s="11"/>
      <c r="Z11" s="11"/>
      <c r="AA11" s="11"/>
    </row>
    <row r="12" spans="1:27" ht="25.4" customHeight="1" x14ac:dyDescent="0.35">
      <c r="A12" s="11"/>
      <c r="B12" s="20"/>
      <c r="C12" s="253"/>
      <c r="D12" s="254"/>
      <c r="E12" s="254"/>
      <c r="F12" s="254"/>
      <c r="G12" s="255"/>
      <c r="H12" s="26"/>
      <c r="I12" s="228" t="s">
        <v>66</v>
      </c>
      <c r="J12" s="229"/>
      <c r="K12" s="230"/>
      <c r="L12" s="11"/>
      <c r="M12" s="234"/>
      <c r="N12" s="13"/>
      <c r="O12" s="14"/>
      <c r="P12" s="11"/>
      <c r="Q12" s="11"/>
      <c r="R12" s="11"/>
      <c r="S12" s="11"/>
      <c r="T12" s="11"/>
      <c r="U12" s="11"/>
      <c r="V12" s="11"/>
      <c r="W12" s="11"/>
      <c r="X12" s="11"/>
      <c r="Y12" s="11"/>
      <c r="Z12" s="11"/>
      <c r="AA12" s="11"/>
    </row>
    <row r="13" spans="1:27" ht="20.149999999999999" customHeight="1" x14ac:dyDescent="0.35">
      <c r="A13" s="11"/>
      <c r="B13" s="20"/>
      <c r="C13" s="253"/>
      <c r="D13" s="254"/>
      <c r="E13" s="254"/>
      <c r="F13" s="254"/>
      <c r="G13" s="255"/>
      <c r="H13" s="27"/>
      <c r="I13" s="28">
        <f>F18</f>
        <v>2022</v>
      </c>
      <c r="J13" s="69">
        <v>0.28000000000000003</v>
      </c>
      <c r="K13" s="259" t="s">
        <v>280</v>
      </c>
      <c r="L13" s="11"/>
      <c r="M13" s="234"/>
      <c r="N13" s="13"/>
      <c r="O13" s="14"/>
      <c r="P13" s="11"/>
      <c r="Q13" s="11"/>
      <c r="R13" s="11"/>
      <c r="S13" s="11"/>
      <c r="T13" s="11"/>
      <c r="U13" s="11"/>
      <c r="V13" s="11"/>
      <c r="W13" s="11"/>
      <c r="X13" s="11"/>
      <c r="Y13" s="11"/>
      <c r="Z13" s="11"/>
      <c r="AA13" s="11"/>
    </row>
    <row r="14" spans="1:27" ht="20.149999999999999" customHeight="1" x14ac:dyDescent="0.35">
      <c r="A14" s="11"/>
      <c r="B14" s="20"/>
      <c r="C14" s="253"/>
      <c r="D14" s="254"/>
      <c r="E14" s="254"/>
      <c r="F14" s="254"/>
      <c r="G14" s="255"/>
      <c r="H14" s="27"/>
      <c r="I14" s="28">
        <f>$F$18+1</f>
        <v>2023</v>
      </c>
      <c r="J14" s="69">
        <v>0.32</v>
      </c>
      <c r="K14" s="260"/>
      <c r="L14" s="11"/>
      <c r="M14" s="234"/>
      <c r="N14" s="13"/>
      <c r="O14" s="14"/>
      <c r="P14" s="11"/>
      <c r="Q14" s="11"/>
      <c r="R14" s="11"/>
      <c r="S14" s="11"/>
      <c r="T14" s="11"/>
      <c r="U14" s="11"/>
      <c r="V14" s="11"/>
      <c r="W14" s="11"/>
      <c r="X14" s="11"/>
      <c r="Y14" s="11"/>
      <c r="Z14" s="11"/>
      <c r="AA14" s="11"/>
    </row>
    <row r="15" spans="1:27" ht="20.149999999999999" customHeight="1" x14ac:dyDescent="0.35">
      <c r="A15" s="11"/>
      <c r="B15" s="20"/>
      <c r="C15" s="256"/>
      <c r="D15" s="257"/>
      <c r="E15" s="257"/>
      <c r="F15" s="257"/>
      <c r="G15" s="258"/>
      <c r="H15" s="27"/>
      <c r="I15" s="28">
        <f>$F$18+2</f>
        <v>2024</v>
      </c>
      <c r="J15" s="69">
        <v>0.37</v>
      </c>
      <c r="K15" s="260"/>
      <c r="L15" s="11"/>
      <c r="M15" s="234"/>
      <c r="N15" s="13"/>
      <c r="O15" s="14"/>
      <c r="P15" s="11"/>
      <c r="Q15" s="11"/>
      <c r="R15" s="11"/>
      <c r="S15" s="11"/>
      <c r="T15" s="11"/>
      <c r="U15" s="11"/>
      <c r="V15" s="11"/>
      <c r="W15" s="11"/>
      <c r="X15" s="11"/>
      <c r="Y15" s="11"/>
      <c r="Z15" s="11"/>
      <c r="AA15" s="11"/>
    </row>
    <row r="16" spans="1:27" ht="25.4" customHeight="1" x14ac:dyDescent="0.35">
      <c r="A16" s="11"/>
      <c r="B16" s="11"/>
      <c r="C16" s="11"/>
      <c r="D16" s="11"/>
      <c r="E16" s="11"/>
      <c r="F16" s="11"/>
      <c r="G16" s="11"/>
      <c r="H16" s="27"/>
      <c r="I16" s="28">
        <f>$F$18+3</f>
        <v>2025</v>
      </c>
      <c r="J16" s="69">
        <v>0.43</v>
      </c>
      <c r="K16" s="260"/>
      <c r="L16" s="11"/>
      <c r="M16" s="234"/>
      <c r="N16" s="13"/>
      <c r="O16" s="14"/>
      <c r="P16" s="11"/>
      <c r="Q16" s="11"/>
      <c r="R16" s="11"/>
      <c r="S16" s="11"/>
      <c r="T16" s="11"/>
      <c r="U16" s="11"/>
      <c r="V16" s="11"/>
      <c r="W16" s="11"/>
      <c r="X16" s="11"/>
      <c r="Y16" s="11"/>
      <c r="Z16" s="11"/>
      <c r="AA16" s="11"/>
    </row>
    <row r="17" spans="1:27" ht="25.4" customHeight="1" x14ac:dyDescent="0.35">
      <c r="A17" s="11"/>
      <c r="B17" s="11"/>
      <c r="C17" s="223" t="s">
        <v>67</v>
      </c>
      <c r="D17" s="224"/>
      <c r="E17" s="239" t="s">
        <v>68</v>
      </c>
      <c r="F17" s="240"/>
      <c r="G17" s="241"/>
      <c r="H17" s="27"/>
      <c r="I17" s="28">
        <f>$F$18+4</f>
        <v>2026</v>
      </c>
      <c r="J17" s="69">
        <v>0.49</v>
      </c>
      <c r="K17" s="260"/>
      <c r="L17" s="11"/>
      <c r="M17" s="234"/>
      <c r="N17" s="13"/>
      <c r="O17" s="14"/>
      <c r="P17" s="11"/>
      <c r="Q17" s="11"/>
      <c r="R17" s="11"/>
      <c r="S17" s="11"/>
      <c r="T17" s="11"/>
      <c r="U17" s="11"/>
      <c r="V17" s="11"/>
      <c r="W17" s="11"/>
      <c r="X17" s="11"/>
      <c r="Y17" s="11"/>
      <c r="Z17" s="11"/>
      <c r="AA17" s="11"/>
    </row>
    <row r="18" spans="1:27" ht="25.4" customHeight="1" x14ac:dyDescent="0.35">
      <c r="A18" s="11"/>
      <c r="B18" s="11"/>
      <c r="C18" s="29"/>
      <c r="D18" s="30"/>
      <c r="E18" s="31" t="s">
        <v>69</v>
      </c>
      <c r="F18" s="64">
        <v>2022</v>
      </c>
      <c r="G18" s="32"/>
      <c r="H18" s="27"/>
      <c r="I18" s="28">
        <f>$F$18+5</f>
        <v>2027</v>
      </c>
      <c r="J18" s="69">
        <v>0.56000000000000005</v>
      </c>
      <c r="K18" s="260"/>
      <c r="L18" s="11"/>
      <c r="M18" s="234"/>
      <c r="N18" s="13"/>
      <c r="O18" s="14"/>
      <c r="P18" s="11"/>
      <c r="Q18" s="11"/>
      <c r="R18" s="11"/>
      <c r="S18" s="11"/>
      <c r="T18" s="11"/>
      <c r="U18" s="11"/>
      <c r="V18" s="11"/>
      <c r="W18" s="11"/>
      <c r="X18" s="11"/>
      <c r="Y18" s="11"/>
      <c r="Z18" s="11"/>
      <c r="AA18" s="11"/>
    </row>
    <row r="19" spans="1:27" ht="25.4" customHeight="1" x14ac:dyDescent="0.35">
      <c r="A19" s="11"/>
      <c r="B19" s="11"/>
      <c r="C19" s="29"/>
      <c r="D19" s="30"/>
      <c r="E19" s="33" t="s">
        <v>70</v>
      </c>
      <c r="F19" s="65">
        <v>100000</v>
      </c>
      <c r="G19" s="34" t="s">
        <v>71</v>
      </c>
      <c r="H19" s="27"/>
      <c r="I19" s="28">
        <f>$F$18+6</f>
        <v>2028</v>
      </c>
      <c r="J19" s="69">
        <v>0.65</v>
      </c>
      <c r="K19" s="260"/>
      <c r="L19" s="11"/>
      <c r="M19" s="234"/>
      <c r="N19" s="13"/>
      <c r="O19" s="14"/>
      <c r="P19" s="11"/>
      <c r="Q19" s="11"/>
      <c r="R19" s="11"/>
      <c r="S19" s="11"/>
      <c r="T19" s="11"/>
      <c r="U19" s="11"/>
      <c r="V19" s="11"/>
      <c r="W19" s="11"/>
      <c r="X19" s="11"/>
      <c r="Y19" s="11"/>
      <c r="Z19" s="11"/>
      <c r="AA19" s="11"/>
    </row>
    <row r="20" spans="1:27" ht="25.4" customHeight="1" x14ac:dyDescent="0.35">
      <c r="A20" s="11"/>
      <c r="B20" s="11"/>
      <c r="C20" s="29"/>
      <c r="D20" s="30"/>
      <c r="E20" s="33" t="s">
        <v>72</v>
      </c>
      <c r="F20" s="66">
        <v>0.03</v>
      </c>
      <c r="G20" s="34" t="s">
        <v>73</v>
      </c>
      <c r="H20" s="27"/>
      <c r="I20" s="28">
        <f>$F$18+7</f>
        <v>2029</v>
      </c>
      <c r="J20" s="69">
        <v>0.74</v>
      </c>
      <c r="K20" s="260"/>
      <c r="L20" s="11"/>
      <c r="M20" s="234"/>
      <c r="N20" s="13"/>
      <c r="O20" s="14"/>
      <c r="P20" s="11"/>
      <c r="Q20" s="11"/>
      <c r="R20" s="11"/>
      <c r="S20" s="11"/>
      <c r="T20" s="11"/>
      <c r="U20" s="11"/>
      <c r="V20" s="11"/>
      <c r="W20" s="11"/>
      <c r="X20" s="11"/>
      <c r="Y20" s="11"/>
      <c r="Z20" s="11"/>
      <c r="AA20" s="11"/>
    </row>
    <row r="21" spans="1:27" ht="25.4" customHeight="1" x14ac:dyDescent="0.35">
      <c r="A21" s="11"/>
      <c r="B21" s="11"/>
      <c r="C21" s="29"/>
      <c r="D21" s="30"/>
      <c r="E21" s="35" t="s">
        <v>74</v>
      </c>
      <c r="F21" s="67">
        <v>0.75</v>
      </c>
      <c r="G21" s="36" t="s">
        <v>75</v>
      </c>
      <c r="H21" s="27"/>
      <c r="I21" s="28">
        <f>$F$18+8</f>
        <v>2030</v>
      </c>
      <c r="J21" s="69">
        <v>0.86</v>
      </c>
      <c r="K21" s="260"/>
      <c r="L21" s="11"/>
      <c r="M21" s="234"/>
      <c r="N21" s="13"/>
      <c r="O21" s="14"/>
      <c r="P21" s="11"/>
      <c r="Q21" s="11"/>
      <c r="R21" s="11"/>
      <c r="S21" s="11"/>
      <c r="T21" s="11"/>
      <c r="U21" s="11"/>
      <c r="V21" s="11"/>
      <c r="W21" s="11"/>
      <c r="X21" s="11"/>
      <c r="Y21" s="11"/>
      <c r="Z21" s="11"/>
      <c r="AA21" s="11"/>
    </row>
    <row r="22" spans="1:27" ht="25.4" customHeight="1" x14ac:dyDescent="0.35">
      <c r="A22" s="11"/>
      <c r="B22" s="11"/>
      <c r="C22" s="29"/>
      <c r="D22" s="30"/>
      <c r="E22" s="35" t="s">
        <v>76</v>
      </c>
      <c r="F22" s="67">
        <v>0.72</v>
      </c>
      <c r="G22" s="36" t="s">
        <v>75</v>
      </c>
      <c r="H22" s="27"/>
      <c r="I22" s="28">
        <f>$F$18+9</f>
        <v>2031</v>
      </c>
      <c r="J22" s="69">
        <v>0.99</v>
      </c>
      <c r="K22" s="261"/>
      <c r="L22" s="11"/>
      <c r="M22" s="234"/>
      <c r="N22" s="13"/>
      <c r="O22" s="14"/>
      <c r="P22" s="11"/>
      <c r="Q22" s="11"/>
      <c r="R22" s="11"/>
      <c r="S22" s="11"/>
      <c r="T22" s="11"/>
      <c r="U22" s="11"/>
      <c r="V22" s="11"/>
      <c r="W22" s="11"/>
      <c r="X22" s="11"/>
      <c r="Y22" s="11"/>
      <c r="Z22" s="11"/>
      <c r="AA22" s="11"/>
    </row>
    <row r="23" spans="1:27" ht="129.65" customHeight="1" x14ac:dyDescent="0.35">
      <c r="A23" s="11"/>
      <c r="B23" s="11"/>
      <c r="C23" s="17"/>
      <c r="D23" s="37"/>
      <c r="E23" s="35" t="s">
        <v>77</v>
      </c>
      <c r="F23" s="67">
        <v>0.7</v>
      </c>
      <c r="G23" s="36" t="s">
        <v>75</v>
      </c>
      <c r="H23" s="38"/>
      <c r="I23" s="33" t="s">
        <v>78</v>
      </c>
      <c r="J23" s="206">
        <v>70000</v>
      </c>
      <c r="K23" s="205" t="s">
        <v>79</v>
      </c>
      <c r="L23" s="39"/>
      <c r="M23" s="235"/>
      <c r="N23" s="13"/>
      <c r="O23" s="14"/>
      <c r="P23" s="11"/>
      <c r="Q23" s="11"/>
      <c r="R23" s="11"/>
      <c r="S23" s="11"/>
      <c r="T23" s="11"/>
      <c r="U23" s="11"/>
      <c r="V23" s="11"/>
      <c r="W23" s="11"/>
      <c r="X23" s="11"/>
      <c r="Y23" s="11"/>
      <c r="Z23" s="11"/>
      <c r="AA23" s="11"/>
    </row>
    <row r="24" spans="1:27" x14ac:dyDescent="0.35">
      <c r="A24" s="11"/>
      <c r="B24" s="11"/>
      <c r="C24" s="17"/>
      <c r="D24" s="40"/>
      <c r="E24" s="41"/>
      <c r="F24" s="42"/>
      <c r="G24" s="43"/>
      <c r="H24" s="38"/>
      <c r="I24" s="44"/>
      <c r="J24" s="38"/>
      <c r="K24" s="45"/>
      <c r="L24" s="11"/>
      <c r="M24" s="14"/>
      <c r="N24" s="13"/>
      <c r="O24" s="14"/>
      <c r="P24" s="11"/>
      <c r="Q24" s="11"/>
      <c r="R24" s="11"/>
      <c r="S24" s="11"/>
      <c r="T24" s="11"/>
      <c r="U24" s="11"/>
      <c r="V24" s="11"/>
      <c r="W24" s="11"/>
      <c r="X24" s="11"/>
      <c r="Y24" s="11"/>
      <c r="Z24" s="11"/>
      <c r="AA24" s="11"/>
    </row>
    <row r="25" spans="1:27" ht="25.4" customHeight="1" x14ac:dyDescent="0.35">
      <c r="A25" s="11"/>
      <c r="B25" s="11"/>
      <c r="C25" s="225" t="s">
        <v>80</v>
      </c>
      <c r="D25" s="226"/>
      <c r="E25" s="226"/>
      <c r="F25" s="226"/>
      <c r="G25" s="226"/>
      <c r="H25" s="226"/>
      <c r="I25" s="226"/>
      <c r="J25" s="226"/>
      <c r="K25" s="226"/>
      <c r="L25" s="226"/>
      <c r="M25" s="227"/>
      <c r="N25" s="13"/>
      <c r="O25" s="14"/>
      <c r="P25" s="244" t="s">
        <v>81</v>
      </c>
      <c r="Q25" s="245"/>
      <c r="R25" s="245"/>
      <c r="S25" s="245"/>
      <c r="T25" s="245"/>
      <c r="U25" s="245"/>
      <c r="V25" s="245"/>
      <c r="W25" s="245"/>
      <c r="X25" s="245"/>
      <c r="Y25" s="245"/>
      <c r="Z25" s="246"/>
      <c r="AA25" s="11"/>
    </row>
    <row r="26" spans="1:27" ht="31.75" customHeight="1" x14ac:dyDescent="0.35">
      <c r="A26" s="11"/>
      <c r="B26" s="11"/>
      <c r="C26" s="218" t="s">
        <v>82</v>
      </c>
      <c r="D26" s="218"/>
      <c r="E26" s="216" t="s">
        <v>83</v>
      </c>
      <c r="F26" s="11"/>
      <c r="G26" s="11"/>
      <c r="H26" s="11"/>
      <c r="I26" s="11"/>
      <c r="J26" s="11"/>
      <c r="K26" s="11"/>
      <c r="L26" s="11"/>
      <c r="M26" s="11"/>
      <c r="N26" s="13"/>
      <c r="O26" s="14"/>
      <c r="P26" s="11"/>
      <c r="Q26" s="11"/>
      <c r="R26" s="11"/>
      <c r="S26" s="11"/>
      <c r="T26" s="11"/>
      <c r="U26" s="11"/>
      <c r="V26" s="11"/>
      <c r="W26" s="11"/>
      <c r="X26" s="11"/>
      <c r="Y26" s="11"/>
      <c r="Z26" s="11"/>
      <c r="AA26" s="11"/>
    </row>
    <row r="27" spans="1:27" ht="49.25" customHeight="1" x14ac:dyDescent="0.35">
      <c r="A27" s="11"/>
      <c r="B27" s="11"/>
      <c r="C27" s="217" t="s">
        <v>84</v>
      </c>
      <c r="D27" s="217"/>
      <c r="E27" s="216" t="s">
        <v>23</v>
      </c>
      <c r="F27" s="11"/>
      <c r="G27" s="11"/>
      <c r="H27" s="11"/>
      <c r="I27" s="11"/>
      <c r="J27" s="11"/>
      <c r="K27" s="11"/>
      <c r="L27" s="11"/>
      <c r="M27" s="11"/>
      <c r="N27" s="13"/>
      <c r="O27" s="14"/>
      <c r="P27" s="11"/>
      <c r="Q27" s="11"/>
      <c r="R27" s="11"/>
      <c r="S27" s="11"/>
      <c r="T27" s="11"/>
      <c r="U27" s="11"/>
      <c r="V27" s="11"/>
      <c r="W27" s="11"/>
      <c r="X27" s="11"/>
      <c r="Y27" s="11"/>
      <c r="Z27" s="11"/>
      <c r="AA27" s="11"/>
    </row>
    <row r="28" spans="1:27" ht="25.4" customHeight="1" x14ac:dyDescent="0.35">
      <c r="A28" s="11"/>
      <c r="B28" s="11"/>
      <c r="C28" s="231" t="s">
        <v>85</v>
      </c>
      <c r="D28" s="232"/>
      <c r="E28" s="232"/>
      <c r="F28" s="232"/>
      <c r="G28" s="232"/>
      <c r="H28" s="232"/>
      <c r="I28" s="232"/>
      <c r="J28" s="232"/>
      <c r="K28" s="232"/>
      <c r="L28" s="232"/>
      <c r="M28" s="233"/>
      <c r="N28" s="13"/>
      <c r="O28" s="14"/>
      <c r="P28" s="231" t="s">
        <v>85</v>
      </c>
      <c r="Q28" s="232"/>
      <c r="R28" s="232"/>
      <c r="S28" s="232"/>
      <c r="T28" s="232"/>
      <c r="U28" s="232"/>
      <c r="V28" s="232"/>
      <c r="W28" s="232"/>
      <c r="X28" s="232"/>
      <c r="Y28" s="232"/>
      <c r="Z28" s="233"/>
      <c r="AA28" s="11"/>
    </row>
    <row r="29" spans="1:27" x14ac:dyDescent="0.35">
      <c r="A29" s="11"/>
      <c r="B29" s="11"/>
      <c r="C29" s="11"/>
      <c r="D29" s="11"/>
      <c r="E29" s="11"/>
      <c r="F29" s="11"/>
      <c r="G29" s="11"/>
      <c r="H29" s="11"/>
      <c r="I29" s="11"/>
      <c r="J29" s="11"/>
      <c r="K29" s="11"/>
      <c r="L29" s="11"/>
      <c r="M29" s="11"/>
      <c r="N29" s="13"/>
      <c r="O29" s="14"/>
      <c r="P29" s="11"/>
      <c r="Q29" s="11"/>
      <c r="R29" s="11"/>
      <c r="S29" s="11"/>
      <c r="T29" s="11"/>
      <c r="U29" s="11"/>
      <c r="V29" s="11"/>
      <c r="W29" s="11"/>
      <c r="X29" s="11"/>
      <c r="Y29" s="11"/>
      <c r="Z29" s="11"/>
      <c r="AA29" s="11"/>
    </row>
    <row r="30" spans="1:27" ht="25.4" customHeight="1" x14ac:dyDescent="0.35">
      <c r="A30" s="11"/>
      <c r="B30" s="11"/>
      <c r="C30" s="236" t="s">
        <v>86</v>
      </c>
      <c r="D30" s="236"/>
      <c r="E30" s="236"/>
      <c r="F30" s="11"/>
      <c r="G30" s="236" t="s">
        <v>87</v>
      </c>
      <c r="H30" s="236"/>
      <c r="I30" s="236"/>
      <c r="J30" s="11"/>
      <c r="K30" s="236" t="s">
        <v>88</v>
      </c>
      <c r="L30" s="236"/>
      <c r="M30" s="236"/>
      <c r="N30" s="13"/>
      <c r="O30" s="14"/>
      <c r="P30" s="236" t="s">
        <v>89</v>
      </c>
      <c r="Q30" s="236"/>
      <c r="R30" s="236"/>
      <c r="S30" s="11"/>
      <c r="T30" s="236" t="s">
        <v>90</v>
      </c>
      <c r="U30" s="236"/>
      <c r="V30" s="236"/>
      <c r="W30" s="11"/>
      <c r="X30" s="236" t="s">
        <v>91</v>
      </c>
      <c r="Y30" s="236"/>
      <c r="Z30" s="236"/>
      <c r="AA30" s="11"/>
    </row>
    <row r="31" spans="1:27" ht="34.4" customHeight="1" x14ac:dyDescent="0.35">
      <c r="A31" s="11"/>
      <c r="B31" s="11"/>
      <c r="C31" s="33" t="s">
        <v>92</v>
      </c>
      <c r="D31" s="237" t="s">
        <v>93</v>
      </c>
      <c r="E31" s="238"/>
      <c r="F31" s="11"/>
      <c r="G31" s="33" t="s">
        <v>92</v>
      </c>
      <c r="H31" s="237" t="s">
        <v>94</v>
      </c>
      <c r="I31" s="238"/>
      <c r="J31" s="11"/>
      <c r="K31" s="33" t="s">
        <v>92</v>
      </c>
      <c r="L31" s="237" t="s">
        <v>95</v>
      </c>
      <c r="M31" s="238"/>
      <c r="N31" s="13"/>
      <c r="O31" s="14"/>
      <c r="P31" s="33" t="s">
        <v>92</v>
      </c>
      <c r="Q31" s="237" t="s">
        <v>96</v>
      </c>
      <c r="R31" s="238"/>
      <c r="S31" s="11"/>
      <c r="T31" s="33" t="s">
        <v>92</v>
      </c>
      <c r="U31" s="237" t="s">
        <v>97</v>
      </c>
      <c r="V31" s="238"/>
      <c r="W31" s="11"/>
      <c r="X31" s="33" t="s">
        <v>92</v>
      </c>
      <c r="Y31" s="237" t="s">
        <v>98</v>
      </c>
      <c r="Z31" s="238"/>
      <c r="AA31" s="11"/>
    </row>
    <row r="32" spans="1:27" ht="13.4" customHeight="1" x14ac:dyDescent="0.35">
      <c r="A32" s="11"/>
      <c r="B32" s="11"/>
      <c r="C32" s="46"/>
      <c r="D32" s="242" t="str">
        <f>IF(D31='Vaccine options'!$A$7,"! This product is not available for Gavi countries !"," ")</f>
        <v xml:space="preserve"> </v>
      </c>
      <c r="E32" s="242"/>
      <c r="F32" s="11"/>
      <c r="G32" s="46"/>
      <c r="H32" s="242" t="str">
        <f>IF(H31='Vaccine options'!$A$7,"! This product is not available for Gavi countries !"," ")</f>
        <v xml:space="preserve"> </v>
      </c>
      <c r="I32" s="242"/>
      <c r="J32" s="11"/>
      <c r="K32" s="46"/>
      <c r="L32" s="242" t="str">
        <f>IF(L31='Vaccine options'!$A$7,"! This product is not available for Gavi countries !"," ")</f>
        <v xml:space="preserve"> </v>
      </c>
      <c r="M32" s="242"/>
      <c r="N32" s="13"/>
      <c r="O32" s="14"/>
      <c r="P32" s="46"/>
      <c r="Q32" s="242" t="str">
        <f>IF(Q31='Vaccine options'!$A$7,"! This product is not available for Gavi countries !"," ")</f>
        <v xml:space="preserve"> </v>
      </c>
      <c r="R32" s="242"/>
      <c r="S32" s="11"/>
      <c r="T32" s="46"/>
      <c r="U32" s="242" t="str">
        <f>IF(U31='Vaccine options'!$A$7,"! This product is not available for Gavi countries !"," ")</f>
        <v xml:space="preserve"> </v>
      </c>
      <c r="V32" s="242"/>
      <c r="W32" s="11"/>
      <c r="X32" s="46"/>
      <c r="Y32" s="242" t="str">
        <f>IF(Y31='Vaccine options'!$A$7,"! This product is not available for Gavi countries !"," ")</f>
        <v>! This product is not available for Gavi countries !</v>
      </c>
      <c r="Z32" s="242"/>
      <c r="AA32" s="11"/>
    </row>
    <row r="33" spans="1:27" ht="20.149999999999999" customHeight="1" x14ac:dyDescent="0.35">
      <c r="A33" s="11"/>
      <c r="B33" s="11"/>
      <c r="C33" s="33" t="s">
        <v>99</v>
      </c>
      <c r="D33" s="207">
        <f>IFERROR(INDEX('Vaccine options'!$A$2:$E$7,MATCH(D31,'Vaccine options'!$A$2:$A$7,0),2),"-")</f>
        <v>3.05</v>
      </c>
      <c r="E33" s="202" t="s">
        <v>100</v>
      </c>
      <c r="F33" s="11"/>
      <c r="G33" s="33" t="s">
        <v>99</v>
      </c>
      <c r="H33" s="207">
        <f>IFERROR(INDEX('Vaccine options'!$A$2:$E$7,MATCH(H31,'Vaccine options'!$A$2:$A$7,0),2),"-")</f>
        <v>2</v>
      </c>
      <c r="I33" s="202" t="s">
        <v>100</v>
      </c>
      <c r="J33" s="11"/>
      <c r="K33" s="33" t="s">
        <v>99</v>
      </c>
      <c r="L33" s="207">
        <f>IFERROR(INDEX('Vaccine options'!$A$2:$E$7,MATCH(L31,'Vaccine options'!$A$2:$A$7,0),2),"-")</f>
        <v>2.95</v>
      </c>
      <c r="M33" s="202" t="s">
        <v>100</v>
      </c>
      <c r="N33" s="13"/>
      <c r="O33" s="14"/>
      <c r="P33" s="33" t="s">
        <v>99</v>
      </c>
      <c r="Q33" s="207">
        <f>IFERROR(INDEX('Vaccine options'!$A$2:$E$7,MATCH(Q31,'Vaccine options'!$A$2:$A$7,0),2),"-")</f>
        <v>3.3</v>
      </c>
      <c r="R33" s="202" t="s">
        <v>100</v>
      </c>
      <c r="S33" s="11"/>
      <c r="T33" s="33" t="s">
        <v>99</v>
      </c>
      <c r="U33" s="207">
        <f>IFERROR(INDEX('Vaccine options'!$A$2:$E$7,MATCH(U31,'Vaccine options'!$A$2:$A$7,0),2),"-")</f>
        <v>2.9</v>
      </c>
      <c r="V33" s="202" t="s">
        <v>100</v>
      </c>
      <c r="W33" s="11"/>
      <c r="X33" s="33" t="s">
        <v>99</v>
      </c>
      <c r="Y33" s="199" t="str">
        <f>IFERROR(INDEX('Vaccine options'!$A$2:$E$7,MATCH(Y31,'Vaccine options'!$A$2:$A$7,0),2),"-")</f>
        <v>?</v>
      </c>
      <c r="Z33" s="202" t="s">
        <v>100</v>
      </c>
      <c r="AA33" s="11"/>
    </row>
    <row r="34" spans="1:27" ht="15.65" customHeight="1" outlineLevel="1" x14ac:dyDescent="0.35">
      <c r="A34" s="11"/>
      <c r="B34" s="11"/>
      <c r="C34" s="228" t="s">
        <v>101</v>
      </c>
      <c r="D34" s="229"/>
      <c r="E34" s="230"/>
      <c r="F34" s="11"/>
      <c r="G34" s="228" t="s">
        <v>101</v>
      </c>
      <c r="H34" s="229"/>
      <c r="I34" s="230"/>
      <c r="J34" s="11"/>
      <c r="K34" s="228" t="s">
        <v>101</v>
      </c>
      <c r="L34" s="229"/>
      <c r="M34" s="230"/>
      <c r="N34" s="13"/>
      <c r="O34" s="14"/>
      <c r="P34" s="228" t="s">
        <v>101</v>
      </c>
      <c r="Q34" s="229"/>
      <c r="R34" s="230"/>
      <c r="S34" s="11"/>
      <c r="T34" s="228" t="s">
        <v>101</v>
      </c>
      <c r="U34" s="229"/>
      <c r="V34" s="230"/>
      <c r="W34" s="11"/>
      <c r="X34" s="228" t="s">
        <v>101</v>
      </c>
      <c r="Y34" s="229"/>
      <c r="Z34" s="230"/>
      <c r="AA34" s="11"/>
    </row>
    <row r="35" spans="1:27" ht="15.5" outlineLevel="1" x14ac:dyDescent="0.35">
      <c r="A35" s="11"/>
      <c r="B35" s="11"/>
      <c r="C35" s="28">
        <f>$F$18</f>
        <v>2022</v>
      </c>
      <c r="D35" s="47">
        <f>IF($J$11="Autre phase de transition",$J13*D$33,IF(AND(D$45 =3,$J$11 = "Phase d'autofinancement initial"),0.2,0.2))</f>
        <v>0.85399999999999998</v>
      </c>
      <c r="E35" s="34" t="s">
        <v>102</v>
      </c>
      <c r="F35" s="11"/>
      <c r="G35" s="28">
        <f>$F$18</f>
        <v>2022</v>
      </c>
      <c r="H35" s="47">
        <f>IF($J$11="Autre phase de transition",$J13*H$33,IF(AND(H$45 =3,$J$11 = "Phase d'autofinancement initial"),0.2,0.2))</f>
        <v>0.56000000000000005</v>
      </c>
      <c r="I35" s="34" t="s">
        <v>102</v>
      </c>
      <c r="J35" s="11"/>
      <c r="K35" s="28">
        <f>$F$18</f>
        <v>2022</v>
      </c>
      <c r="L35" s="47">
        <f>IF($J$11="Autre phase de transition",$J13*L$33,IF(AND(L$45 =3,$J$11 = "Phase d'autofinancement initial"),0.2,0.2))</f>
        <v>0.82600000000000018</v>
      </c>
      <c r="M35" s="34" t="s">
        <v>102</v>
      </c>
      <c r="N35" s="13"/>
      <c r="O35" s="14"/>
      <c r="P35" s="28">
        <f>$F$18</f>
        <v>2022</v>
      </c>
      <c r="Q35" s="47">
        <f>IF($J$11="Autre phase de transition",$J13*Q$33,IF(AND(Q$45 =3,$J$11 = "Phase d'autofinancement initial"),0.2,0.2))</f>
        <v>0.92400000000000004</v>
      </c>
      <c r="R35" s="34" t="s">
        <v>102</v>
      </c>
      <c r="S35" s="11"/>
      <c r="T35" s="28">
        <f>$F$18</f>
        <v>2022</v>
      </c>
      <c r="U35" s="47">
        <f>IF($J$11="Autre phase de transition",$J13*U$33,IF(AND(U$45 =3,$J$11 = "Phase d'autofinancement initial"),0.2,0.2))</f>
        <v>0.81200000000000006</v>
      </c>
      <c r="V35" s="34" t="s">
        <v>102</v>
      </c>
      <c r="W35" s="11"/>
      <c r="X35" s="28">
        <f>$F$18</f>
        <v>2022</v>
      </c>
      <c r="Y35" s="47" t="e">
        <f>IF($J$11="Autre phase de transition",$J13*Y$33,IF(AND(Y$45 =3,$J$11 = "Phase d'autofinancement initial"),0.2,0.2))</f>
        <v>#VALUE!</v>
      </c>
      <c r="Z35" s="34" t="s">
        <v>102</v>
      </c>
      <c r="AA35" s="11"/>
    </row>
    <row r="36" spans="1:27" ht="15.5" outlineLevel="1" x14ac:dyDescent="0.35">
      <c r="A36" s="11"/>
      <c r="B36" s="11"/>
      <c r="C36" s="28">
        <f>$F$18+1</f>
        <v>2023</v>
      </c>
      <c r="D36" s="47">
        <f t="shared" ref="D36:D44" si="0">IF($J$11="Autre phase de transition",$J14*D$33,IF(AND(D$45 =3,$J$11 = "Phase d'autofinancement initial"),0.2,0.2))</f>
        <v>0.97599999999999998</v>
      </c>
      <c r="E36" s="34" t="s">
        <v>102</v>
      </c>
      <c r="F36" s="11"/>
      <c r="G36" s="28">
        <f>$F$18+1</f>
        <v>2023</v>
      </c>
      <c r="H36" s="47">
        <f t="shared" ref="H36:H44" si="1">IF($J$11="Autre phase de transition",$J14*H$33,IF(AND(H$45 =3,$J$11 = "Phase d'autofinancement initial"),0.2,0.2))</f>
        <v>0.64</v>
      </c>
      <c r="I36" s="34" t="s">
        <v>102</v>
      </c>
      <c r="J36" s="11"/>
      <c r="K36" s="28">
        <f>$F$18+1</f>
        <v>2023</v>
      </c>
      <c r="L36" s="47">
        <f t="shared" ref="L36:L44" si="2">IF($J$11="Autre phase de transition",$J14*L$33,IF(AND(L$45 =3,$J$11 = "Phase d'autofinancement initial"),0.2,0.2))</f>
        <v>0.94400000000000006</v>
      </c>
      <c r="M36" s="34" t="s">
        <v>102</v>
      </c>
      <c r="N36" s="13"/>
      <c r="O36" s="14"/>
      <c r="P36" s="28">
        <f>$F$18+1</f>
        <v>2023</v>
      </c>
      <c r="Q36" s="47">
        <f t="shared" ref="Q36:Q44" si="3">IF($J$11="Autre phase de transition",$J14*Q$33,IF(AND(Q$45 =3,$J$11 = "Phase d'autofinancement initial"),0.2,0.2))</f>
        <v>1.056</v>
      </c>
      <c r="R36" s="34" t="s">
        <v>102</v>
      </c>
      <c r="S36" s="11"/>
      <c r="T36" s="28">
        <f>$F$18+1</f>
        <v>2023</v>
      </c>
      <c r="U36" s="47">
        <f t="shared" ref="U36:U44" si="4">IF($J$11="Autre phase de transition",$J14*U$33,IF(AND(U$45 =3,$J$11 = "Phase d'autofinancement initial"),0.2,0.2))</f>
        <v>0.92799999999999994</v>
      </c>
      <c r="V36" s="34" t="s">
        <v>102</v>
      </c>
      <c r="W36" s="11"/>
      <c r="X36" s="28">
        <f>$F$18+1</f>
        <v>2023</v>
      </c>
      <c r="Y36" s="47" t="e">
        <f t="shared" ref="Y36:Y44" si="5">IF($J$11="Autre phase de transition",$J14*Y$33,IF(AND(Y$45 =3,$J$11 = "Phase d'autofinancement initial"),0.2,0.2))</f>
        <v>#VALUE!</v>
      </c>
      <c r="Z36" s="34" t="s">
        <v>102</v>
      </c>
      <c r="AA36" s="11"/>
    </row>
    <row r="37" spans="1:27" ht="15.5" outlineLevel="1" x14ac:dyDescent="0.35">
      <c r="A37" s="11"/>
      <c r="B37" s="11"/>
      <c r="C37" s="28">
        <f>$F$18+2</f>
        <v>2024</v>
      </c>
      <c r="D37" s="47">
        <f>IF($J$11="Autre phase de transition",$J15*D$33,IF(AND(D$45 =3,$J$11 = "Phase d'autofinancement initial"),0.2,0.2))</f>
        <v>1.1284999999999998</v>
      </c>
      <c r="E37" s="34" t="s">
        <v>102</v>
      </c>
      <c r="F37" s="11"/>
      <c r="G37" s="28">
        <f>$F$18+2</f>
        <v>2024</v>
      </c>
      <c r="H37" s="47">
        <f>IF($J$11="Autre phase de transition",$J15*H$33,IF(AND(H$45 =3,$J$11 = "Phase d'autofinancement initial"),0.2,0.2))</f>
        <v>0.74</v>
      </c>
      <c r="I37" s="34" t="s">
        <v>102</v>
      </c>
      <c r="J37" s="11"/>
      <c r="K37" s="28">
        <f>$F$18+2</f>
        <v>2024</v>
      </c>
      <c r="L37" s="47">
        <f>IF($J$11="Autre phase de transition",$J15*L$33,IF(AND(L$45 =3,$J$11 = "Phase d'autofinancement initial"),0.2,0.2))</f>
        <v>1.0915000000000001</v>
      </c>
      <c r="M37" s="34" t="s">
        <v>102</v>
      </c>
      <c r="N37" s="48"/>
      <c r="O37" s="14"/>
      <c r="P37" s="28">
        <f>$F$18+2</f>
        <v>2024</v>
      </c>
      <c r="Q37" s="47">
        <f>IF($J$11="Autre phase de transition",$J15*Q$33,IF(AND(Q$45 =3,$J$11 = "Phase d'autofinancement initial"),0.2,0.2))</f>
        <v>1.2209999999999999</v>
      </c>
      <c r="R37" s="34" t="s">
        <v>102</v>
      </c>
      <c r="S37" s="11"/>
      <c r="T37" s="28">
        <f>$F$18+2</f>
        <v>2024</v>
      </c>
      <c r="U37" s="47">
        <f>IF($J$11="Autre phase de transition",$J15*U$33,IF(AND(U$45 =3,$J$11 = "Phase d'autofinancement initial"),0.2,0.2))</f>
        <v>1.073</v>
      </c>
      <c r="V37" s="34" t="s">
        <v>102</v>
      </c>
      <c r="W37" s="11"/>
      <c r="X37" s="28">
        <f>$F$18+2</f>
        <v>2024</v>
      </c>
      <c r="Y37" s="47" t="e">
        <f>IF($J$11="Autre phase de transition",$J15*Y$33,IF(AND(Y$45 =3,$J$11 = "Phase d'autofinancement initial"),0.2,0.2))</f>
        <v>#VALUE!</v>
      </c>
      <c r="Z37" s="34" t="s">
        <v>102</v>
      </c>
      <c r="AA37" s="11"/>
    </row>
    <row r="38" spans="1:27" ht="15.5" outlineLevel="1" x14ac:dyDescent="0.35">
      <c r="A38" s="11"/>
      <c r="B38" s="11"/>
      <c r="C38" s="28">
        <f>$F$18+3</f>
        <v>2025</v>
      </c>
      <c r="D38" s="47">
        <f t="shared" si="0"/>
        <v>1.3114999999999999</v>
      </c>
      <c r="E38" s="34" t="s">
        <v>102</v>
      </c>
      <c r="F38" s="11"/>
      <c r="G38" s="28">
        <f>$F$18+3</f>
        <v>2025</v>
      </c>
      <c r="H38" s="47">
        <f t="shared" si="1"/>
        <v>0.86</v>
      </c>
      <c r="I38" s="34" t="s">
        <v>102</v>
      </c>
      <c r="J38" s="11"/>
      <c r="K38" s="28">
        <f>$F$18+3</f>
        <v>2025</v>
      </c>
      <c r="L38" s="47">
        <f t="shared" si="2"/>
        <v>1.2685</v>
      </c>
      <c r="M38" s="34" t="s">
        <v>102</v>
      </c>
      <c r="N38" s="48"/>
      <c r="O38" s="14"/>
      <c r="P38" s="28">
        <f>$F$18+3</f>
        <v>2025</v>
      </c>
      <c r="Q38" s="47">
        <f t="shared" si="3"/>
        <v>1.4189999999999998</v>
      </c>
      <c r="R38" s="34" t="s">
        <v>102</v>
      </c>
      <c r="S38" s="11"/>
      <c r="T38" s="28">
        <f>$F$18+3</f>
        <v>2025</v>
      </c>
      <c r="U38" s="47">
        <f>IF($J$11="Autre phase de transition",$J16*U$33,IF(AND(U$45 =3,$J$11 = "Phase d'autofinancement initial"),0.2,0.2))</f>
        <v>1.2469999999999999</v>
      </c>
      <c r="V38" s="34" t="s">
        <v>102</v>
      </c>
      <c r="W38" s="11"/>
      <c r="X38" s="28">
        <f>$F$18+3</f>
        <v>2025</v>
      </c>
      <c r="Y38" s="47" t="e">
        <f t="shared" si="5"/>
        <v>#VALUE!</v>
      </c>
      <c r="Z38" s="34" t="s">
        <v>102</v>
      </c>
      <c r="AA38" s="11"/>
    </row>
    <row r="39" spans="1:27" ht="15.5" outlineLevel="1" x14ac:dyDescent="0.35">
      <c r="A39" s="11"/>
      <c r="B39" s="11"/>
      <c r="C39" s="28">
        <f>$F$18+4</f>
        <v>2026</v>
      </c>
      <c r="D39" s="47">
        <f t="shared" si="0"/>
        <v>1.4944999999999999</v>
      </c>
      <c r="E39" s="34" t="s">
        <v>102</v>
      </c>
      <c r="F39" s="11"/>
      <c r="G39" s="28">
        <f>$F$18+4</f>
        <v>2026</v>
      </c>
      <c r="H39" s="47">
        <f t="shared" si="1"/>
        <v>0.98</v>
      </c>
      <c r="I39" s="34" t="s">
        <v>102</v>
      </c>
      <c r="J39" s="11"/>
      <c r="K39" s="28">
        <f>$F$18+4</f>
        <v>2026</v>
      </c>
      <c r="L39" s="47">
        <f t="shared" si="2"/>
        <v>1.4455</v>
      </c>
      <c r="M39" s="34" t="s">
        <v>102</v>
      </c>
      <c r="N39" s="48"/>
      <c r="O39" s="14"/>
      <c r="P39" s="28">
        <f>$F$18+4</f>
        <v>2026</v>
      </c>
      <c r="Q39" s="47">
        <f t="shared" si="3"/>
        <v>1.617</v>
      </c>
      <c r="R39" s="34" t="s">
        <v>102</v>
      </c>
      <c r="S39" s="11"/>
      <c r="T39" s="28">
        <f>$F$18+4</f>
        <v>2026</v>
      </c>
      <c r="U39" s="47">
        <f t="shared" si="4"/>
        <v>1.421</v>
      </c>
      <c r="V39" s="34" t="s">
        <v>102</v>
      </c>
      <c r="W39" s="11"/>
      <c r="X39" s="28">
        <f>$F$18+4</f>
        <v>2026</v>
      </c>
      <c r="Y39" s="47" t="e">
        <f t="shared" si="5"/>
        <v>#VALUE!</v>
      </c>
      <c r="Z39" s="34" t="s">
        <v>102</v>
      </c>
      <c r="AA39" s="11"/>
    </row>
    <row r="40" spans="1:27" ht="15.5" outlineLevel="1" x14ac:dyDescent="0.35">
      <c r="A40" s="11"/>
      <c r="B40" s="11"/>
      <c r="C40" s="28">
        <f>$F$18+5</f>
        <v>2027</v>
      </c>
      <c r="D40" s="47">
        <f>IF($J$11="Autre phase de transition",$J18*D$33,IF(AND(D$45 =3,$J$11 = "Phase d'autofinancement initial"),0.2,0.2))</f>
        <v>1.708</v>
      </c>
      <c r="E40" s="34" t="s">
        <v>102</v>
      </c>
      <c r="F40" s="11"/>
      <c r="G40" s="28">
        <f>$F$18+5</f>
        <v>2027</v>
      </c>
      <c r="H40" s="47">
        <f>IF($J$11="Autre phase de transition",$J18*H$33,IF(AND(H$45 =3,$J$11 = "Phase d'autofinancement initial"),0.2,0.2))</f>
        <v>1.1200000000000001</v>
      </c>
      <c r="I40" s="34" t="s">
        <v>102</v>
      </c>
      <c r="J40" s="11"/>
      <c r="K40" s="28">
        <f>$F$18+5</f>
        <v>2027</v>
      </c>
      <c r="L40" s="47">
        <f>IF($J$11="Autre phase de transition",$J18*L$33,IF(AND(L$45 =3,$J$11 = "Phase d'autofinancement initial"),0.2,0.2))</f>
        <v>1.6520000000000004</v>
      </c>
      <c r="M40" s="34" t="s">
        <v>102</v>
      </c>
      <c r="N40" s="48"/>
      <c r="O40" s="14"/>
      <c r="P40" s="28">
        <f>$F$18+5</f>
        <v>2027</v>
      </c>
      <c r="Q40" s="47">
        <f>IF($J$11="Autre phase de transition",$J18*Q$33,IF(AND(Q$45 =3,$J$11 = "Phase d'autofinancement initial"),0.2,0.2))</f>
        <v>1.8480000000000001</v>
      </c>
      <c r="R40" s="34" t="s">
        <v>102</v>
      </c>
      <c r="S40" s="11"/>
      <c r="T40" s="28">
        <f>$F$18+5</f>
        <v>2027</v>
      </c>
      <c r="U40" s="47">
        <f>IF($J$11="Autre phase de transition",$J18*U$33,IF(AND(U$45 =3,$J$11 = "Phase d'autofinancement initial"),0.2,0.2))</f>
        <v>1.6240000000000001</v>
      </c>
      <c r="V40" s="34" t="s">
        <v>102</v>
      </c>
      <c r="W40" s="11"/>
      <c r="X40" s="28">
        <f>$F$18+5</f>
        <v>2027</v>
      </c>
      <c r="Y40" s="47" t="e">
        <f>IF($J$11="Autre phase de transition",$J18*Y$33,IF(AND(Y$45 =3,$J$11 = "Phase d'autofinancement initial"),0.2,0.2))</f>
        <v>#VALUE!</v>
      </c>
      <c r="Z40" s="34" t="s">
        <v>102</v>
      </c>
      <c r="AA40" s="11"/>
    </row>
    <row r="41" spans="1:27" ht="15.5" outlineLevel="1" x14ac:dyDescent="0.35">
      <c r="A41" s="11"/>
      <c r="B41" s="11"/>
      <c r="C41" s="28">
        <f>$F$18+6</f>
        <v>2028</v>
      </c>
      <c r="D41" s="47">
        <f t="shared" si="0"/>
        <v>1.9824999999999999</v>
      </c>
      <c r="E41" s="34" t="s">
        <v>102</v>
      </c>
      <c r="F41" s="11"/>
      <c r="G41" s="28">
        <f>$F$18+6</f>
        <v>2028</v>
      </c>
      <c r="H41" s="47">
        <f t="shared" si="1"/>
        <v>1.3</v>
      </c>
      <c r="I41" s="34" t="s">
        <v>102</v>
      </c>
      <c r="J41" s="11"/>
      <c r="K41" s="28">
        <f>$F$18+6</f>
        <v>2028</v>
      </c>
      <c r="L41" s="47">
        <f t="shared" si="2"/>
        <v>1.9175000000000002</v>
      </c>
      <c r="M41" s="34" t="s">
        <v>102</v>
      </c>
      <c r="N41" s="48"/>
      <c r="O41" s="14"/>
      <c r="P41" s="28">
        <f>$F$18+6</f>
        <v>2028</v>
      </c>
      <c r="Q41" s="47">
        <f t="shared" si="3"/>
        <v>2.145</v>
      </c>
      <c r="R41" s="34" t="s">
        <v>102</v>
      </c>
      <c r="S41" s="11"/>
      <c r="T41" s="28">
        <f>$F$18+6</f>
        <v>2028</v>
      </c>
      <c r="U41" s="47">
        <f t="shared" si="4"/>
        <v>1.885</v>
      </c>
      <c r="V41" s="34" t="s">
        <v>102</v>
      </c>
      <c r="W41" s="11"/>
      <c r="X41" s="28">
        <f>$F$18+6</f>
        <v>2028</v>
      </c>
      <c r="Y41" s="47" t="e">
        <f t="shared" si="5"/>
        <v>#VALUE!</v>
      </c>
      <c r="Z41" s="34" t="s">
        <v>102</v>
      </c>
      <c r="AA41" s="11"/>
    </row>
    <row r="42" spans="1:27" ht="15.5" outlineLevel="1" x14ac:dyDescent="0.35">
      <c r="A42" s="11"/>
      <c r="B42" s="11"/>
      <c r="C42" s="28">
        <f>$F$18+7</f>
        <v>2029</v>
      </c>
      <c r="D42" s="47">
        <f t="shared" si="0"/>
        <v>2.2569999999999997</v>
      </c>
      <c r="E42" s="34" t="s">
        <v>102</v>
      </c>
      <c r="F42" s="11"/>
      <c r="G42" s="28">
        <f>$F$18+7</f>
        <v>2029</v>
      </c>
      <c r="H42" s="47">
        <f t="shared" si="1"/>
        <v>1.48</v>
      </c>
      <c r="I42" s="34" t="s">
        <v>102</v>
      </c>
      <c r="J42" s="11"/>
      <c r="K42" s="28">
        <f>$F$18+7</f>
        <v>2029</v>
      </c>
      <c r="L42" s="47">
        <f t="shared" si="2"/>
        <v>2.1830000000000003</v>
      </c>
      <c r="M42" s="34" t="s">
        <v>102</v>
      </c>
      <c r="N42" s="48"/>
      <c r="O42" s="14"/>
      <c r="P42" s="28">
        <f>$F$18+7</f>
        <v>2029</v>
      </c>
      <c r="Q42" s="47">
        <f t="shared" si="3"/>
        <v>2.4419999999999997</v>
      </c>
      <c r="R42" s="34" t="s">
        <v>102</v>
      </c>
      <c r="S42" s="11"/>
      <c r="T42" s="28">
        <f>$F$18+7</f>
        <v>2029</v>
      </c>
      <c r="U42" s="47">
        <f t="shared" si="4"/>
        <v>2.1459999999999999</v>
      </c>
      <c r="V42" s="34" t="s">
        <v>102</v>
      </c>
      <c r="W42" s="11"/>
      <c r="X42" s="28">
        <f>$F$18+7</f>
        <v>2029</v>
      </c>
      <c r="Y42" s="47" t="e">
        <f t="shared" si="5"/>
        <v>#VALUE!</v>
      </c>
      <c r="Z42" s="34" t="s">
        <v>102</v>
      </c>
      <c r="AA42" s="11"/>
    </row>
    <row r="43" spans="1:27" ht="15.5" outlineLevel="1" x14ac:dyDescent="0.35">
      <c r="A43" s="11"/>
      <c r="B43" s="11"/>
      <c r="C43" s="28">
        <f>$F$18+8</f>
        <v>2030</v>
      </c>
      <c r="D43" s="47">
        <f t="shared" si="0"/>
        <v>2.6229999999999998</v>
      </c>
      <c r="E43" s="34" t="s">
        <v>102</v>
      </c>
      <c r="F43" s="11"/>
      <c r="G43" s="28">
        <f>$F$18+8</f>
        <v>2030</v>
      </c>
      <c r="H43" s="47">
        <f t="shared" si="1"/>
        <v>1.72</v>
      </c>
      <c r="I43" s="34" t="s">
        <v>102</v>
      </c>
      <c r="J43" s="11"/>
      <c r="K43" s="28">
        <f>$F$18+8</f>
        <v>2030</v>
      </c>
      <c r="L43" s="47">
        <f t="shared" si="2"/>
        <v>2.5369999999999999</v>
      </c>
      <c r="M43" s="34" t="s">
        <v>102</v>
      </c>
      <c r="N43" s="48"/>
      <c r="O43" s="14"/>
      <c r="P43" s="28">
        <f>$F$18+8</f>
        <v>2030</v>
      </c>
      <c r="Q43" s="47">
        <f t="shared" si="3"/>
        <v>2.8379999999999996</v>
      </c>
      <c r="R43" s="34" t="s">
        <v>102</v>
      </c>
      <c r="S43" s="11"/>
      <c r="T43" s="28">
        <f>$F$18+8</f>
        <v>2030</v>
      </c>
      <c r="U43" s="47">
        <f t="shared" si="4"/>
        <v>2.4939999999999998</v>
      </c>
      <c r="V43" s="34" t="s">
        <v>102</v>
      </c>
      <c r="W43" s="11"/>
      <c r="X43" s="28">
        <f>$F$18+8</f>
        <v>2030</v>
      </c>
      <c r="Y43" s="47" t="e">
        <f t="shared" si="5"/>
        <v>#VALUE!</v>
      </c>
      <c r="Z43" s="34" t="s">
        <v>102</v>
      </c>
      <c r="AA43" s="11"/>
    </row>
    <row r="44" spans="1:27" ht="15.5" outlineLevel="1" x14ac:dyDescent="0.35">
      <c r="A44" s="11"/>
      <c r="B44" s="11"/>
      <c r="C44" s="28">
        <f>$F$18+9</f>
        <v>2031</v>
      </c>
      <c r="D44" s="47">
        <f t="shared" si="0"/>
        <v>3.0194999999999999</v>
      </c>
      <c r="E44" s="34" t="s">
        <v>102</v>
      </c>
      <c r="F44" s="11"/>
      <c r="G44" s="28">
        <f>$F$18+9</f>
        <v>2031</v>
      </c>
      <c r="H44" s="47">
        <f t="shared" si="1"/>
        <v>1.98</v>
      </c>
      <c r="I44" s="34" t="s">
        <v>102</v>
      </c>
      <c r="J44" s="11"/>
      <c r="K44" s="28">
        <f>$F$18+9</f>
        <v>2031</v>
      </c>
      <c r="L44" s="47">
        <f t="shared" si="2"/>
        <v>2.9205000000000001</v>
      </c>
      <c r="M44" s="34" t="s">
        <v>102</v>
      </c>
      <c r="N44" s="48"/>
      <c r="O44" s="14"/>
      <c r="P44" s="28">
        <f>$F$18+9</f>
        <v>2031</v>
      </c>
      <c r="Q44" s="47">
        <f t="shared" si="3"/>
        <v>3.2669999999999999</v>
      </c>
      <c r="R44" s="34" t="s">
        <v>102</v>
      </c>
      <c r="S44" s="11"/>
      <c r="T44" s="28">
        <f>$F$18+9</f>
        <v>2031</v>
      </c>
      <c r="U44" s="47">
        <f t="shared" si="4"/>
        <v>2.871</v>
      </c>
      <c r="V44" s="34" t="s">
        <v>102</v>
      </c>
      <c r="W44" s="11"/>
      <c r="X44" s="28">
        <f>$F$18+9</f>
        <v>2031</v>
      </c>
      <c r="Y44" s="47" t="e">
        <f t="shared" si="5"/>
        <v>#VALUE!</v>
      </c>
      <c r="Z44" s="34" t="s">
        <v>102</v>
      </c>
      <c r="AA44" s="11"/>
    </row>
    <row r="45" spans="1:27" ht="48" customHeight="1" x14ac:dyDescent="0.35">
      <c r="A45" s="11"/>
      <c r="B45" s="11"/>
      <c r="C45" s="33" t="s">
        <v>103</v>
      </c>
      <c r="D45" s="49">
        <f>IFERROR(INDEX('Vaccine options'!$A$2:$E$7,MATCH(D31,'Vaccine options'!$A$2:$A$7,0),3),"-")</f>
        <v>3</v>
      </c>
      <c r="E45" s="34" t="s">
        <v>102</v>
      </c>
      <c r="F45" s="11"/>
      <c r="G45" s="33" t="s">
        <v>103</v>
      </c>
      <c r="H45" s="49">
        <f>IFERROR(INDEX('Vaccine options'!$A$2:$E$7,MATCH(H31,'Vaccine options'!$A$2:$A$7,0),3),"-")</f>
        <v>3</v>
      </c>
      <c r="I45" s="34" t="s">
        <v>102</v>
      </c>
      <c r="J45" s="11"/>
      <c r="K45" s="33" t="s">
        <v>103</v>
      </c>
      <c r="L45" s="49">
        <f>IFERROR(INDEX('Vaccine options'!$A$2:$E$7,MATCH(L31,'Vaccine options'!$A$2:$A$7,0),3),"-")</f>
        <v>3</v>
      </c>
      <c r="M45" s="34" t="s">
        <v>102</v>
      </c>
      <c r="N45" s="48"/>
      <c r="O45" s="14"/>
      <c r="P45" s="33" t="s">
        <v>103</v>
      </c>
      <c r="Q45" s="49">
        <f>IFERROR(INDEX('Vaccine options'!$A$2:$E$7,MATCH(Q31,'Vaccine options'!$A$2:$A$7,0),3),"-")</f>
        <v>3</v>
      </c>
      <c r="R45" s="34" t="s">
        <v>102</v>
      </c>
      <c r="S45" s="11"/>
      <c r="T45" s="33" t="s">
        <v>103</v>
      </c>
      <c r="U45" s="49">
        <f>IFERROR(INDEX('Vaccine options'!$A$2:$E$7,MATCH(U31,'Vaccine options'!$A$2:$A$7,0),3),"-")</f>
        <v>3</v>
      </c>
      <c r="V45" s="34" t="s">
        <v>102</v>
      </c>
      <c r="W45" s="11"/>
      <c r="X45" s="33" t="s">
        <v>103</v>
      </c>
      <c r="Y45" s="49">
        <f>IFERROR(INDEX('Vaccine options'!$A$2:$E$7,MATCH(Y31,'Vaccine options'!$A$2:$A$7,0),3),"-")</f>
        <v>3</v>
      </c>
      <c r="Z45" s="34" t="s">
        <v>102</v>
      </c>
      <c r="AA45" s="11"/>
    </row>
    <row r="46" spans="1:27" ht="48" customHeight="1" x14ac:dyDescent="0.35">
      <c r="A46" s="11"/>
      <c r="B46" s="11"/>
      <c r="C46" s="33" t="s">
        <v>104</v>
      </c>
      <c r="D46" s="94">
        <f>IFERROR(INDEX('Vaccine options'!$A$2:$E$7,MATCH(D31,'Vaccine options'!$A$2:$A$7,0),5),"-")</f>
        <v>2.4</v>
      </c>
      <c r="E46" s="92" t="s">
        <v>102</v>
      </c>
      <c r="F46" s="11"/>
      <c r="G46" s="33" t="s">
        <v>104</v>
      </c>
      <c r="H46" s="94">
        <f>IFERROR(INDEX('Vaccine options'!$A$2:$E$7,MATCH(H31,'Vaccine options'!$A$2:$A$7,0),5),"-")</f>
        <v>3.5</v>
      </c>
      <c r="I46" s="92" t="s">
        <v>102</v>
      </c>
      <c r="J46" s="11"/>
      <c r="K46" s="33" t="s">
        <v>104</v>
      </c>
      <c r="L46" s="94">
        <f>IFERROR(INDEX('Vaccine options'!$A$2:$E$7,MATCH(L31,'Vaccine options'!$A$2:$A$7,0),5),"-")</f>
        <v>14</v>
      </c>
      <c r="M46" s="92" t="s">
        <v>102</v>
      </c>
      <c r="N46" s="48"/>
      <c r="O46" s="14"/>
      <c r="P46" s="33" t="s">
        <v>104</v>
      </c>
      <c r="Q46" s="94">
        <f>IFERROR(INDEX('Vaccine options'!$A$2:$E$7,MATCH(Q31,'Vaccine options'!$A$2:$A$7,0),5),"-")</f>
        <v>12</v>
      </c>
      <c r="R46" s="92" t="s">
        <v>102</v>
      </c>
      <c r="S46" s="11"/>
      <c r="T46" s="33" t="s">
        <v>104</v>
      </c>
      <c r="U46" s="94">
        <f>IFERROR(INDEX('Vaccine options'!$A$2:$E$7,MATCH(U31,'Vaccine options'!$A$2:$A$7,0),5),"-")</f>
        <v>3.5</v>
      </c>
      <c r="V46" s="92" t="s">
        <v>102</v>
      </c>
      <c r="W46" s="11"/>
      <c r="X46" s="33" t="s">
        <v>104</v>
      </c>
      <c r="Y46" s="94">
        <f>IFERROR(INDEX('Vaccine options'!$A$2:$E$7,MATCH(Y31,'Vaccine options'!$A$2:$A$7,0),5),"-")</f>
        <v>11.05</v>
      </c>
      <c r="Z46" s="92" t="s">
        <v>102</v>
      </c>
      <c r="AA46" s="11"/>
    </row>
    <row r="47" spans="1:27" ht="48" customHeight="1" x14ac:dyDescent="0.35">
      <c r="A47" s="11"/>
      <c r="B47" s="11"/>
      <c r="C47" s="221" t="s">
        <v>105</v>
      </c>
      <c r="D47" s="219">
        <f>E48</f>
        <v>0.08</v>
      </c>
      <c r="E47" s="95" t="s">
        <v>106</v>
      </c>
      <c r="F47" s="11"/>
      <c r="G47" s="221" t="s">
        <v>105</v>
      </c>
      <c r="H47" s="219">
        <f>I48</f>
        <v>0.08</v>
      </c>
      <c r="I47" s="95" t="s">
        <v>106</v>
      </c>
      <c r="J47" s="11"/>
      <c r="K47" s="221" t="s">
        <v>105</v>
      </c>
      <c r="L47" s="219">
        <f>M48</f>
        <v>0.05</v>
      </c>
      <c r="M47" s="95" t="s">
        <v>106</v>
      </c>
      <c r="N47" s="48"/>
      <c r="O47" s="14"/>
      <c r="P47" s="221" t="s">
        <v>105</v>
      </c>
      <c r="Q47" s="219">
        <f>R48</f>
        <v>0.05</v>
      </c>
      <c r="R47" s="95" t="s">
        <v>106</v>
      </c>
      <c r="S47" s="11"/>
      <c r="T47" s="221" t="s">
        <v>105</v>
      </c>
      <c r="U47" s="219">
        <f>V48</f>
        <v>0.08</v>
      </c>
      <c r="V47" s="95" t="s">
        <v>106</v>
      </c>
      <c r="W47" s="11"/>
      <c r="X47" s="221" t="s">
        <v>105</v>
      </c>
      <c r="Y47" s="219" t="str">
        <f>Z48</f>
        <v>?</v>
      </c>
      <c r="Z47" s="95" t="s">
        <v>106</v>
      </c>
      <c r="AA47" s="11"/>
    </row>
    <row r="48" spans="1:27" ht="20.149999999999999" customHeight="1" x14ac:dyDescent="0.35">
      <c r="A48" s="11"/>
      <c r="B48" s="11"/>
      <c r="C48" s="222"/>
      <c r="D48" s="220"/>
      <c r="E48" s="96">
        <f>IFERROR(INDEX('Vaccine options'!$A$2:$E$7,MATCH(D31,'Vaccine options'!$A$2:$A$7,0),4),"-")</f>
        <v>0.08</v>
      </c>
      <c r="F48" s="11"/>
      <c r="G48" s="222"/>
      <c r="H48" s="220"/>
      <c r="I48" s="96">
        <f>IFERROR(INDEX('Vaccine options'!$A$2:$E$7,MATCH(H31,'Vaccine options'!$A$2:$A$7,0),4),"-")</f>
        <v>0.08</v>
      </c>
      <c r="J48" s="11"/>
      <c r="K48" s="222"/>
      <c r="L48" s="220"/>
      <c r="M48" s="96">
        <f>IFERROR(INDEX('Vaccine options'!$A$2:$E$7,MATCH(L31,'Vaccine options'!$A$2:$A$7,0),4),"-")</f>
        <v>0.05</v>
      </c>
      <c r="N48" s="48"/>
      <c r="O48" s="14"/>
      <c r="P48" s="222"/>
      <c r="Q48" s="220"/>
      <c r="R48" s="96">
        <f>IFERROR(INDEX('Vaccine options'!$A$2:$E$7,MATCH(Q31,'Vaccine options'!$A$2:$A$7,0),4),"-")</f>
        <v>0.05</v>
      </c>
      <c r="S48" s="11"/>
      <c r="T48" s="222"/>
      <c r="U48" s="220"/>
      <c r="V48" s="96">
        <f>IFERROR(INDEX('Vaccine options'!$A$2:$E$7,MATCH(U31,'Vaccine options'!$A$2:$A$7,0),4),"-")</f>
        <v>0.08</v>
      </c>
      <c r="W48" s="11"/>
      <c r="X48" s="222"/>
      <c r="Y48" s="220"/>
      <c r="Z48" s="96" t="str">
        <f>IFERROR(INDEX('Vaccine options'!$A$2:$E$7,MATCH(Y31,'Vaccine options'!$A$2:$A$7,0),4),"-")</f>
        <v>?</v>
      </c>
      <c r="AA48" s="11"/>
    </row>
    <row r="49" spans="1:27" ht="20.149999999999999" customHeight="1" x14ac:dyDescent="0.35">
      <c r="A49" s="11"/>
      <c r="B49" s="11"/>
      <c r="C49" s="33" t="s">
        <v>107</v>
      </c>
      <c r="D49" s="50">
        <f>(1/(1-D47))</f>
        <v>1.0869565217391304</v>
      </c>
      <c r="E49" s="93" t="s">
        <v>102</v>
      </c>
      <c r="F49" s="11"/>
      <c r="G49" s="33" t="s">
        <v>107</v>
      </c>
      <c r="H49" s="50">
        <f>(1/(1-H47))</f>
        <v>1.0869565217391304</v>
      </c>
      <c r="I49" s="93" t="s">
        <v>102</v>
      </c>
      <c r="J49" s="11"/>
      <c r="K49" s="33" t="s">
        <v>107</v>
      </c>
      <c r="L49" s="50">
        <f>(1/(1-L47))</f>
        <v>1.0526315789473684</v>
      </c>
      <c r="M49" s="93" t="s">
        <v>102</v>
      </c>
      <c r="N49" s="48"/>
      <c r="O49" s="14"/>
      <c r="P49" s="33" t="s">
        <v>107</v>
      </c>
      <c r="Q49" s="50">
        <f>(1/(1-Q47))</f>
        <v>1.0526315789473684</v>
      </c>
      <c r="R49" s="93" t="s">
        <v>102</v>
      </c>
      <c r="S49" s="11"/>
      <c r="T49" s="33" t="s">
        <v>107</v>
      </c>
      <c r="U49" s="50">
        <f>(1/(1-U47))</f>
        <v>1.0869565217391304</v>
      </c>
      <c r="V49" s="93" t="s">
        <v>102</v>
      </c>
      <c r="W49" s="11"/>
      <c r="X49" s="33" t="s">
        <v>107</v>
      </c>
      <c r="Y49" s="50" t="e">
        <f>(1/(1-Y47))</f>
        <v>#VALUE!</v>
      </c>
      <c r="Z49" s="93" t="s">
        <v>102</v>
      </c>
      <c r="AA49" s="11"/>
    </row>
    <row r="50" spans="1:27" ht="48" customHeight="1" x14ac:dyDescent="0.35">
      <c r="A50" s="11"/>
      <c r="B50" s="11"/>
      <c r="C50" s="33" t="s">
        <v>108</v>
      </c>
      <c r="D50" s="70">
        <v>0.05</v>
      </c>
      <c r="E50" s="34" t="s">
        <v>109</v>
      </c>
      <c r="F50" s="11"/>
      <c r="G50" s="33" t="s">
        <v>108</v>
      </c>
      <c r="H50" s="70">
        <v>0.05</v>
      </c>
      <c r="I50" s="34" t="s">
        <v>109</v>
      </c>
      <c r="J50" s="11"/>
      <c r="K50" s="33" t="s">
        <v>108</v>
      </c>
      <c r="L50" s="70">
        <v>0.05</v>
      </c>
      <c r="M50" s="34" t="s">
        <v>109</v>
      </c>
      <c r="N50" s="48"/>
      <c r="O50" s="14"/>
      <c r="P50" s="33" t="s">
        <v>108</v>
      </c>
      <c r="Q50" s="70">
        <v>0.05</v>
      </c>
      <c r="R50" s="34" t="s">
        <v>109</v>
      </c>
      <c r="S50" s="11"/>
      <c r="T50" s="33" t="s">
        <v>108</v>
      </c>
      <c r="U50" s="70">
        <v>0.05</v>
      </c>
      <c r="V50" s="34" t="s">
        <v>109</v>
      </c>
      <c r="W50" s="11"/>
      <c r="X50" s="33" t="s">
        <v>108</v>
      </c>
      <c r="Y50" s="70">
        <v>0.05</v>
      </c>
      <c r="Z50" s="34" t="s">
        <v>109</v>
      </c>
      <c r="AA50" s="11"/>
    </row>
    <row r="51" spans="1:27" ht="15.5" x14ac:dyDescent="0.35">
      <c r="A51" s="11"/>
      <c r="B51" s="11"/>
      <c r="C51" s="33" t="s">
        <v>110</v>
      </c>
      <c r="D51" s="66">
        <v>7.0000000000000007E-2</v>
      </c>
      <c r="E51" s="34" t="s">
        <v>109</v>
      </c>
      <c r="F51" s="11"/>
      <c r="G51" s="33" t="s">
        <v>110</v>
      </c>
      <c r="H51" s="66">
        <v>7.0000000000000007E-2</v>
      </c>
      <c r="I51" s="34" t="s">
        <v>109</v>
      </c>
      <c r="J51" s="11"/>
      <c r="K51" s="33" t="s">
        <v>110</v>
      </c>
      <c r="L51" s="66">
        <v>7.0000000000000007E-2</v>
      </c>
      <c r="M51" s="34" t="s">
        <v>109</v>
      </c>
      <c r="N51" s="48"/>
      <c r="O51" s="14"/>
      <c r="P51" s="33" t="s">
        <v>110</v>
      </c>
      <c r="Q51" s="66">
        <v>7.0000000000000007E-2</v>
      </c>
      <c r="R51" s="34" t="s">
        <v>109</v>
      </c>
      <c r="S51" s="11"/>
      <c r="T51" s="33" t="s">
        <v>110</v>
      </c>
      <c r="U51" s="66">
        <v>7.0000000000000007E-2</v>
      </c>
      <c r="V51" s="34" t="s">
        <v>109</v>
      </c>
      <c r="W51" s="11"/>
      <c r="X51" s="33" t="s">
        <v>110</v>
      </c>
      <c r="Y51" s="66">
        <v>7.0000000000000007E-2</v>
      </c>
      <c r="Z51" s="34" t="s">
        <v>109</v>
      </c>
      <c r="AA51" s="11"/>
    </row>
    <row r="52" spans="1:27" ht="48" customHeight="1" x14ac:dyDescent="0.35">
      <c r="A52" s="11"/>
      <c r="B52" s="11"/>
      <c r="C52" s="33" t="s">
        <v>285</v>
      </c>
      <c r="D52" s="208">
        <v>0.8</v>
      </c>
      <c r="E52" s="34" t="s">
        <v>111</v>
      </c>
      <c r="F52" s="11"/>
      <c r="G52" s="33" t="s">
        <v>285</v>
      </c>
      <c r="H52" s="208">
        <v>0.8</v>
      </c>
      <c r="I52" s="34" t="s">
        <v>111</v>
      </c>
      <c r="J52" s="11"/>
      <c r="K52" s="33" t="s">
        <v>285</v>
      </c>
      <c r="L52" s="208">
        <v>0.8</v>
      </c>
      <c r="M52" s="34" t="s">
        <v>111</v>
      </c>
      <c r="N52" s="48"/>
      <c r="O52" s="14"/>
      <c r="P52" s="33" t="s">
        <v>285</v>
      </c>
      <c r="Q52" s="208">
        <v>0.8</v>
      </c>
      <c r="R52" s="34" t="s">
        <v>111</v>
      </c>
      <c r="S52" s="11"/>
      <c r="T52" s="33" t="s">
        <v>285</v>
      </c>
      <c r="U52" s="208">
        <v>0.8</v>
      </c>
      <c r="V52" s="34" t="s">
        <v>111</v>
      </c>
      <c r="W52" s="11"/>
      <c r="X52" s="33" t="s">
        <v>285</v>
      </c>
      <c r="Y52" s="208">
        <v>0.8</v>
      </c>
      <c r="Z52" s="34" t="s">
        <v>111</v>
      </c>
      <c r="AA52" s="11"/>
    </row>
    <row r="53" spans="1:27" ht="48" customHeight="1" x14ac:dyDescent="0.35">
      <c r="A53" s="11"/>
      <c r="B53" s="11"/>
      <c r="C53" s="33" t="s">
        <v>284</v>
      </c>
      <c r="D53" s="71">
        <v>100</v>
      </c>
      <c r="E53" s="34" t="s">
        <v>112</v>
      </c>
      <c r="F53" s="11"/>
      <c r="G53" s="33" t="s">
        <v>284</v>
      </c>
      <c r="H53" s="71">
        <v>100</v>
      </c>
      <c r="I53" s="34" t="s">
        <v>112</v>
      </c>
      <c r="J53" s="11"/>
      <c r="K53" s="33" t="s">
        <v>284</v>
      </c>
      <c r="L53" s="71">
        <v>100</v>
      </c>
      <c r="M53" s="34" t="s">
        <v>112</v>
      </c>
      <c r="N53" s="48"/>
      <c r="O53" s="14"/>
      <c r="P53" s="33" t="s">
        <v>284</v>
      </c>
      <c r="Q53" s="71">
        <v>100</v>
      </c>
      <c r="R53" s="34" t="s">
        <v>112</v>
      </c>
      <c r="S53" s="11"/>
      <c r="T53" s="33" t="s">
        <v>284</v>
      </c>
      <c r="U53" s="71">
        <v>100</v>
      </c>
      <c r="V53" s="34" t="s">
        <v>112</v>
      </c>
      <c r="W53" s="11"/>
      <c r="X53" s="33" t="s">
        <v>284</v>
      </c>
      <c r="Y53" s="71">
        <v>100</v>
      </c>
      <c r="Z53" s="34" t="s">
        <v>112</v>
      </c>
      <c r="AA53" s="11"/>
    </row>
    <row r="54" spans="1:27" ht="48" customHeight="1" x14ac:dyDescent="0.35">
      <c r="A54" s="11"/>
      <c r="B54" s="11"/>
      <c r="C54" s="33" t="s">
        <v>113</v>
      </c>
      <c r="D54" s="208">
        <v>0.04</v>
      </c>
      <c r="E54" s="34" t="s">
        <v>111</v>
      </c>
      <c r="F54" s="11"/>
      <c r="G54" s="33" t="s">
        <v>113</v>
      </c>
      <c r="H54" s="208">
        <v>0.04</v>
      </c>
      <c r="I54" s="34" t="s">
        <v>111</v>
      </c>
      <c r="J54" s="11"/>
      <c r="K54" s="33" t="s">
        <v>113</v>
      </c>
      <c r="L54" s="208">
        <v>0.04</v>
      </c>
      <c r="M54" s="34" t="s">
        <v>111</v>
      </c>
      <c r="N54" s="13"/>
      <c r="O54" s="14"/>
      <c r="P54" s="33" t="s">
        <v>113</v>
      </c>
      <c r="Q54" s="208">
        <v>0.04</v>
      </c>
      <c r="R54" s="34" t="s">
        <v>111</v>
      </c>
      <c r="S54" s="11"/>
      <c r="T54" s="33" t="s">
        <v>113</v>
      </c>
      <c r="U54" s="208">
        <v>0.04</v>
      </c>
      <c r="V54" s="34" t="s">
        <v>111</v>
      </c>
      <c r="W54" s="11"/>
      <c r="X54" s="33" t="s">
        <v>113</v>
      </c>
      <c r="Y54" s="208">
        <v>0.04</v>
      </c>
      <c r="Z54" s="34" t="s">
        <v>111</v>
      </c>
      <c r="AA54" s="11"/>
    </row>
    <row r="55" spans="1:27" ht="14.4" customHeight="1" x14ac:dyDescent="0.35">
      <c r="A55" s="11"/>
      <c r="B55" s="11"/>
      <c r="C55" s="51"/>
      <c r="D55" s="11"/>
      <c r="E55" s="11"/>
      <c r="F55" s="11"/>
      <c r="G55" s="51"/>
      <c r="H55" s="11"/>
      <c r="I55" s="11"/>
      <c r="J55" s="11"/>
      <c r="K55" s="51"/>
      <c r="L55" s="11"/>
      <c r="M55" s="11"/>
      <c r="N55" s="13"/>
      <c r="O55" s="14"/>
      <c r="P55" s="51"/>
      <c r="Q55" s="11"/>
      <c r="R55" s="11"/>
      <c r="S55" s="11"/>
      <c r="T55" s="51"/>
      <c r="U55" s="11"/>
      <c r="V55" s="11"/>
      <c r="W55" s="11"/>
      <c r="X55" s="51"/>
      <c r="Y55" s="11"/>
      <c r="Z55" s="11"/>
      <c r="AA55" s="11"/>
    </row>
    <row r="56" spans="1:27" ht="25.4" customHeight="1" x14ac:dyDescent="0.35">
      <c r="A56" s="11"/>
      <c r="B56" s="11"/>
      <c r="C56" s="231" t="s">
        <v>281</v>
      </c>
      <c r="D56" s="232"/>
      <c r="E56" s="232"/>
      <c r="F56" s="232"/>
      <c r="G56" s="232"/>
      <c r="H56" s="232"/>
      <c r="I56" s="232"/>
      <c r="J56" s="232"/>
      <c r="K56" s="232"/>
      <c r="L56" s="232"/>
      <c r="M56" s="233"/>
      <c r="N56" s="13"/>
      <c r="O56" s="14"/>
      <c r="P56" s="231" t="s">
        <v>114</v>
      </c>
      <c r="Q56" s="232"/>
      <c r="R56" s="232"/>
      <c r="S56" s="232"/>
      <c r="T56" s="232"/>
      <c r="U56" s="232"/>
      <c r="V56" s="232"/>
      <c r="W56" s="232"/>
      <c r="X56" s="232"/>
      <c r="Y56" s="232"/>
      <c r="Z56" s="233"/>
      <c r="AA56" s="11"/>
    </row>
    <row r="57" spans="1:27" ht="14.15" customHeight="1" x14ac:dyDescent="0.35">
      <c r="A57" s="11"/>
      <c r="B57" s="11"/>
      <c r="C57" s="52"/>
      <c r="D57" s="52"/>
      <c r="E57" s="52"/>
      <c r="F57" s="14"/>
      <c r="G57" s="52"/>
      <c r="H57" s="52"/>
      <c r="I57" s="52"/>
      <c r="J57" s="14"/>
      <c r="K57" s="52"/>
      <c r="L57" s="52"/>
      <c r="M57" s="52"/>
      <c r="N57" s="13"/>
      <c r="O57" s="14"/>
      <c r="P57" s="52"/>
      <c r="Q57" s="52"/>
      <c r="R57" s="52"/>
      <c r="S57" s="14"/>
      <c r="T57" s="52"/>
      <c r="U57" s="52"/>
      <c r="V57" s="52"/>
      <c r="W57" s="14"/>
      <c r="X57" s="52"/>
      <c r="Y57" s="52"/>
      <c r="Z57" s="52"/>
      <c r="AA57" s="11"/>
    </row>
    <row r="58" spans="1:27" ht="113.4" customHeight="1" x14ac:dyDescent="0.35">
      <c r="A58" s="11"/>
      <c r="B58" s="11"/>
      <c r="C58" s="262" t="s">
        <v>282</v>
      </c>
      <c r="D58" s="263"/>
      <c r="E58" s="263"/>
      <c r="F58" s="263"/>
      <c r="G58" s="263"/>
      <c r="H58" s="263"/>
      <c r="I58" s="263"/>
      <c r="J58" s="263"/>
      <c r="K58" s="263"/>
      <c r="L58" s="263"/>
      <c r="M58" s="264"/>
      <c r="N58" s="13"/>
      <c r="O58" s="14"/>
      <c r="P58" s="262" t="s">
        <v>282</v>
      </c>
      <c r="Q58" s="263"/>
      <c r="R58" s="263"/>
      <c r="S58" s="263"/>
      <c r="T58" s="263"/>
      <c r="U58" s="263"/>
      <c r="V58" s="263"/>
      <c r="W58" s="263"/>
      <c r="X58" s="263"/>
      <c r="Y58" s="263"/>
      <c r="Z58" s="264"/>
      <c r="AA58" s="11"/>
    </row>
    <row r="59" spans="1:27" ht="14.15" customHeight="1" x14ac:dyDescent="0.35">
      <c r="A59" s="11"/>
      <c r="B59" s="11"/>
      <c r="C59" s="53"/>
      <c r="D59" s="53"/>
      <c r="E59" s="53"/>
      <c r="F59" s="53"/>
      <c r="G59" s="53"/>
      <c r="H59" s="53"/>
      <c r="I59" s="53"/>
      <c r="J59" s="53"/>
      <c r="K59" s="53"/>
      <c r="L59" s="53"/>
      <c r="M59" s="53"/>
      <c r="N59" s="13"/>
      <c r="O59" s="14"/>
      <c r="P59" s="53"/>
      <c r="Q59" s="53"/>
      <c r="R59" s="53"/>
      <c r="S59" s="53"/>
      <c r="T59" s="53"/>
      <c r="U59" s="53"/>
      <c r="V59" s="53"/>
      <c r="W59" s="53"/>
      <c r="X59" s="53"/>
      <c r="Y59" s="53"/>
      <c r="Z59" s="53"/>
      <c r="AA59" s="11"/>
    </row>
    <row r="60" spans="1:27" ht="52.25" customHeight="1" x14ac:dyDescent="0.35">
      <c r="A60" s="11"/>
      <c r="B60" s="11"/>
      <c r="C60" s="35" t="s">
        <v>115</v>
      </c>
      <c r="D60" s="209">
        <v>60000</v>
      </c>
      <c r="E60" s="54" t="s">
        <v>116</v>
      </c>
      <c r="F60" s="11"/>
      <c r="G60" s="35" t="s">
        <v>115</v>
      </c>
      <c r="H60" s="209">
        <v>60000</v>
      </c>
      <c r="I60" s="54" t="s">
        <v>116</v>
      </c>
      <c r="J60" s="11"/>
      <c r="K60" s="35" t="s">
        <v>115</v>
      </c>
      <c r="L60" s="209">
        <v>60000</v>
      </c>
      <c r="M60" s="54" t="s">
        <v>116</v>
      </c>
      <c r="N60" s="13"/>
      <c r="O60" s="14"/>
      <c r="P60" s="35" t="s">
        <v>115</v>
      </c>
      <c r="Q60" s="209">
        <v>60000</v>
      </c>
      <c r="R60" s="54" t="s">
        <v>116</v>
      </c>
      <c r="S60" s="11"/>
      <c r="T60" s="35" t="s">
        <v>115</v>
      </c>
      <c r="U60" s="209">
        <v>60000</v>
      </c>
      <c r="V60" s="54" t="s">
        <v>116</v>
      </c>
      <c r="W60" s="11"/>
      <c r="X60" s="35" t="s">
        <v>115</v>
      </c>
      <c r="Y60" s="72">
        <v>60000</v>
      </c>
      <c r="Z60" s="54" t="s">
        <v>116</v>
      </c>
      <c r="AA60" s="11"/>
    </row>
    <row r="61" spans="1:27" ht="74.400000000000006" customHeight="1" x14ac:dyDescent="0.35">
      <c r="A61" s="11"/>
      <c r="B61" s="11"/>
      <c r="C61" s="221" t="s">
        <v>117</v>
      </c>
      <c r="D61" s="210">
        <v>0.75</v>
      </c>
      <c r="E61" s="55" t="s">
        <v>283</v>
      </c>
      <c r="F61" s="11"/>
      <c r="G61" s="221" t="s">
        <v>117</v>
      </c>
      <c r="H61" s="210">
        <v>0.75</v>
      </c>
      <c r="I61" s="55" t="s">
        <v>283</v>
      </c>
      <c r="J61" s="11"/>
      <c r="K61" s="221" t="s">
        <v>117</v>
      </c>
      <c r="L61" s="210">
        <v>0.75</v>
      </c>
      <c r="M61" s="55" t="s">
        <v>283</v>
      </c>
      <c r="N61" s="13"/>
      <c r="O61" s="14"/>
      <c r="P61" s="221" t="s">
        <v>117</v>
      </c>
      <c r="Q61" s="210">
        <v>0.75</v>
      </c>
      <c r="R61" s="55" t="s">
        <v>283</v>
      </c>
      <c r="S61" s="11"/>
      <c r="T61" s="221" t="s">
        <v>117</v>
      </c>
      <c r="U61" s="210">
        <v>0.75</v>
      </c>
      <c r="V61" s="55" t="s">
        <v>283</v>
      </c>
      <c r="W61" s="11"/>
      <c r="X61" s="221" t="s">
        <v>117</v>
      </c>
      <c r="Y61" s="210">
        <v>0.75</v>
      </c>
      <c r="Z61" s="55" t="s">
        <v>283</v>
      </c>
      <c r="AA61" s="11"/>
    </row>
    <row r="62" spans="1:27" ht="17.149999999999999" customHeight="1" x14ac:dyDescent="0.35">
      <c r="A62" s="11"/>
      <c r="B62" s="11"/>
      <c r="C62" s="265"/>
      <c r="D62" s="56"/>
      <c r="E62" s="57" t="s">
        <v>118</v>
      </c>
      <c r="F62" s="11"/>
      <c r="G62" s="265"/>
      <c r="H62" s="58"/>
      <c r="I62" s="59" t="s">
        <v>118</v>
      </c>
      <c r="J62" s="11"/>
      <c r="K62" s="222"/>
      <c r="L62" s="60"/>
      <c r="M62" s="57" t="s">
        <v>118</v>
      </c>
      <c r="N62" s="13"/>
      <c r="O62" s="14"/>
      <c r="P62" s="265"/>
      <c r="Q62" s="56"/>
      <c r="R62" s="57" t="s">
        <v>118</v>
      </c>
      <c r="S62" s="11"/>
      <c r="T62" s="265"/>
      <c r="U62" s="60"/>
      <c r="V62" s="57" t="s">
        <v>118</v>
      </c>
      <c r="W62" s="11"/>
      <c r="X62" s="265"/>
      <c r="Y62" s="58"/>
      <c r="Z62" s="59" t="s">
        <v>118</v>
      </c>
      <c r="AA62" s="11"/>
    </row>
    <row r="63" spans="1:27" ht="53.15" customHeight="1" x14ac:dyDescent="0.35">
      <c r="A63" s="14"/>
      <c r="B63" s="14"/>
      <c r="C63" s="266" t="str">
        <f>IF(OR(D61&gt;1.38,D61&lt;0.48),"! CONFIRM VALUE !
 According to IDCC data, incremental cost of delivery per dose is between $0.48 and $1.38","")</f>
        <v/>
      </c>
      <c r="D63" s="266"/>
      <c r="E63" s="266"/>
      <c r="F63" s="14"/>
      <c r="G63" s="266" t="str">
        <f>IF(OR(H61&gt;1.38,H61&lt;0.48),"! CONFIRM VALUE !
 According to IDCC data, incremental cost of delivery per dose is between $0.48 and $1.38","")</f>
        <v/>
      </c>
      <c r="H63" s="266"/>
      <c r="I63" s="266"/>
      <c r="J63" s="14"/>
      <c r="K63" s="266" t="str">
        <f>IF(OR(L61&gt;1.38,L61&lt;0.48),"! CONFIRM VALUE !
 According to IDCC data, incremental cost of delivery per dose is between $0.48 and $1.38","")</f>
        <v/>
      </c>
      <c r="L63" s="266"/>
      <c r="M63" s="266"/>
      <c r="N63" s="13"/>
      <c r="O63" s="14"/>
      <c r="P63" s="266" t="str">
        <f>IF(OR(Q61&gt;1.38,Q61&lt;0.48),"! CONFIRM VALUE !
 According to IDCC data, incremental cost of delivery per dose is between $0.48 and $1.38","")</f>
        <v/>
      </c>
      <c r="Q63" s="266"/>
      <c r="R63" s="266"/>
      <c r="S63" s="14"/>
      <c r="T63" s="266" t="str">
        <f>IF(OR(U61&gt;1.38,U61&lt;0.48),"! CONFIRM VALUE !
 According to IDCC data, incremental cost of delivery per dose is between $0.48 and $1.38","")</f>
        <v/>
      </c>
      <c r="U63" s="266"/>
      <c r="V63" s="266"/>
      <c r="W63" s="14"/>
      <c r="X63" s="266" t="str">
        <f>IF(OR(Y61&gt;1.38,Y61&lt;0.48),"! CONFIRM VALUE !
 According to IDCC data, incremental cost of delivery per dose is between $0.48 and $1.38","")</f>
        <v/>
      </c>
      <c r="Y63" s="266"/>
      <c r="Z63" s="266"/>
      <c r="AA63" s="11"/>
    </row>
    <row r="64" spans="1:27" x14ac:dyDescent="0.35">
      <c r="A64" s="11"/>
      <c r="B64" s="11"/>
      <c r="C64" s="61"/>
      <c r="D64" s="62"/>
      <c r="E64" s="45"/>
      <c r="F64" s="11"/>
      <c r="G64" s="61"/>
      <c r="H64" s="62"/>
      <c r="I64" s="45"/>
      <c r="J64" s="11"/>
      <c r="K64" s="61"/>
      <c r="L64" s="62"/>
      <c r="M64" s="45"/>
      <c r="N64" s="13"/>
      <c r="O64" s="14"/>
      <c r="P64" s="61"/>
      <c r="Q64" s="62"/>
      <c r="R64" s="45"/>
      <c r="S64" s="11"/>
      <c r="T64" s="61"/>
      <c r="U64" s="62"/>
      <c r="V64" s="45"/>
      <c r="W64" s="11"/>
      <c r="X64" s="61"/>
      <c r="Y64" s="62"/>
      <c r="Z64" s="45"/>
      <c r="AA64" s="11"/>
    </row>
    <row r="65" ht="33" customHeight="1" x14ac:dyDescent="0.35"/>
    <row r="66" ht="21.65" customHeight="1" x14ac:dyDescent="0.35"/>
    <row r="67" ht="25.4" customHeight="1" x14ac:dyDescent="0.35"/>
    <row r="68" s="63" customFormat="1" ht="19.399999999999999" customHeight="1" x14ac:dyDescent="0.35"/>
    <row r="70" ht="20.149999999999999" customHeight="1" outlineLevel="1" x14ac:dyDescent="0.35"/>
    <row r="71" ht="20.149999999999999" customHeight="1" outlineLevel="1" x14ac:dyDescent="0.35"/>
    <row r="72" ht="20.149999999999999" customHeight="1" outlineLevel="1" x14ac:dyDescent="0.35"/>
    <row r="73" ht="20.149999999999999" customHeight="1" outlineLevel="1" x14ac:dyDescent="0.35"/>
    <row r="74" ht="20.149999999999999" customHeight="1" outlineLevel="1" x14ac:dyDescent="0.35"/>
    <row r="75" ht="20.149999999999999" customHeight="1" outlineLevel="1" x14ac:dyDescent="0.35"/>
    <row r="76" ht="20.149999999999999" customHeight="1" outlineLevel="1" x14ac:dyDescent="0.35"/>
    <row r="77" ht="20.149999999999999" customHeight="1" outlineLevel="1" x14ac:dyDescent="0.35"/>
    <row r="78" ht="20.149999999999999" customHeight="1" outlineLevel="1" x14ac:dyDescent="0.35"/>
    <row r="79" ht="20.149999999999999" customHeight="1" outlineLevel="1" x14ac:dyDescent="0.35"/>
    <row r="80" ht="29.15" customHeight="1" x14ac:dyDescent="0.35"/>
    <row r="81" ht="20.149999999999999" customHeight="1" outlineLevel="1" x14ac:dyDescent="0.35"/>
    <row r="82" ht="20.149999999999999" customHeight="1" outlineLevel="1" x14ac:dyDescent="0.35"/>
    <row r="83" ht="20.149999999999999" customHeight="1" outlineLevel="1" x14ac:dyDescent="0.35"/>
    <row r="84" ht="20.149999999999999" customHeight="1" outlineLevel="1" x14ac:dyDescent="0.35"/>
    <row r="85" ht="20.149999999999999" customHeight="1" outlineLevel="1" x14ac:dyDescent="0.35"/>
    <row r="86" ht="20.149999999999999" customHeight="1" outlineLevel="1" x14ac:dyDescent="0.35"/>
    <row r="87" ht="20.149999999999999" customHeight="1" outlineLevel="1" x14ac:dyDescent="0.35"/>
    <row r="88" ht="20.149999999999999" customHeight="1" outlineLevel="1" x14ac:dyDescent="0.35"/>
    <row r="89" ht="20.149999999999999" customHeight="1" outlineLevel="1" x14ac:dyDescent="0.35"/>
    <row r="90" ht="20.149999999999999" customHeight="1" outlineLevel="1" x14ac:dyDescent="0.35"/>
    <row r="91" ht="18" customHeight="1" x14ac:dyDescent="0.35"/>
    <row r="92" ht="25.4" customHeight="1" x14ac:dyDescent="0.35"/>
    <row r="93" ht="18" customHeight="1" x14ac:dyDescent="0.35"/>
    <row r="95" ht="20.149999999999999" customHeight="1" outlineLevel="1" x14ac:dyDescent="0.35"/>
    <row r="96" ht="20.149999999999999" customHeight="1" outlineLevel="1" x14ac:dyDescent="0.35"/>
    <row r="97" ht="20.149999999999999" customHeight="1" outlineLevel="1" x14ac:dyDescent="0.35"/>
    <row r="98" ht="20.149999999999999" customHeight="1" outlineLevel="1" x14ac:dyDescent="0.35"/>
    <row r="99" ht="20.149999999999999" customHeight="1" outlineLevel="1" x14ac:dyDescent="0.35"/>
    <row r="100" ht="20.149999999999999" customHeight="1" outlineLevel="1" x14ac:dyDescent="0.35"/>
    <row r="101" ht="20.149999999999999" customHeight="1" outlineLevel="1" x14ac:dyDescent="0.35"/>
    <row r="102" ht="20.149999999999999" customHeight="1" outlineLevel="1" x14ac:dyDescent="0.35"/>
    <row r="103" ht="20.149999999999999" customHeight="1" outlineLevel="1" x14ac:dyDescent="0.35"/>
    <row r="104" ht="20.149999999999999" customHeight="1" outlineLevel="1" x14ac:dyDescent="0.35"/>
    <row r="106" ht="20.149999999999999" customHeight="1" outlineLevel="1" x14ac:dyDescent="0.35"/>
    <row r="107" ht="20.149999999999999" customHeight="1" outlineLevel="1" x14ac:dyDescent="0.35"/>
    <row r="108" ht="20.149999999999999" customHeight="1" outlineLevel="1" x14ac:dyDescent="0.35"/>
    <row r="109" ht="20.149999999999999" customHeight="1" outlineLevel="1" x14ac:dyDescent="0.35"/>
    <row r="110" ht="20.149999999999999" customHeight="1" outlineLevel="1" x14ac:dyDescent="0.35"/>
    <row r="111" ht="20.149999999999999" customHeight="1" outlineLevel="1" x14ac:dyDescent="0.35"/>
    <row r="112" ht="20.149999999999999" customHeight="1" outlineLevel="1" x14ac:dyDescent="0.35"/>
    <row r="113" ht="20.149999999999999" customHeight="1" outlineLevel="1" x14ac:dyDescent="0.35"/>
    <row r="114" ht="20.149999999999999" customHeight="1" outlineLevel="1" x14ac:dyDescent="0.35"/>
    <row r="115" ht="20.149999999999999" customHeight="1" outlineLevel="1" x14ac:dyDescent="0.35"/>
    <row r="117" ht="25.4" customHeight="1" x14ac:dyDescent="0.35"/>
    <row r="119" ht="36" customHeight="1" x14ac:dyDescent="0.35"/>
    <row r="120" ht="20.149999999999999" customHeight="1" outlineLevel="1" x14ac:dyDescent="0.35"/>
    <row r="121" ht="20.149999999999999" customHeight="1" outlineLevel="1" x14ac:dyDescent="0.35"/>
    <row r="122" ht="20.149999999999999" customHeight="1" outlineLevel="1" x14ac:dyDescent="0.35"/>
    <row r="123" ht="20.149999999999999" customHeight="1" outlineLevel="1" x14ac:dyDescent="0.35"/>
    <row r="124" ht="20.149999999999999" customHeight="1" outlineLevel="1" x14ac:dyDescent="0.35"/>
    <row r="125" ht="20.149999999999999" customHeight="1" outlineLevel="1" x14ac:dyDescent="0.35"/>
    <row r="126" ht="20.149999999999999" customHeight="1" outlineLevel="1" x14ac:dyDescent="0.35"/>
    <row r="127" ht="20.149999999999999" customHeight="1" outlineLevel="1" x14ac:dyDescent="0.35"/>
    <row r="128" ht="20.149999999999999" customHeight="1" outlineLevel="1" x14ac:dyDescent="0.35"/>
    <row r="129" ht="20.149999999999999" customHeight="1" outlineLevel="1" x14ac:dyDescent="0.35"/>
    <row r="131" ht="20.149999999999999" customHeight="1" outlineLevel="1" x14ac:dyDescent="0.35"/>
    <row r="132" ht="20.149999999999999" customHeight="1" outlineLevel="1" x14ac:dyDescent="0.35"/>
    <row r="133" ht="20.149999999999999" customHeight="1" outlineLevel="1" x14ac:dyDescent="0.35"/>
    <row r="134" ht="20.149999999999999" customHeight="1" outlineLevel="1" x14ac:dyDescent="0.35"/>
    <row r="135" ht="20.149999999999999" customHeight="1" outlineLevel="1" x14ac:dyDescent="0.35"/>
    <row r="136" ht="20.149999999999999" customHeight="1" outlineLevel="1" x14ac:dyDescent="0.35"/>
    <row r="137" ht="20.149999999999999" customHeight="1" outlineLevel="1" x14ac:dyDescent="0.35"/>
    <row r="138" ht="20.149999999999999" customHeight="1" outlineLevel="1" x14ac:dyDescent="0.35"/>
    <row r="139" ht="20.149999999999999" customHeight="1" outlineLevel="1" x14ac:dyDescent="0.35"/>
    <row r="140" ht="20.149999999999999" customHeight="1" outlineLevel="1" x14ac:dyDescent="0.35"/>
  </sheetData>
  <sheetProtection algorithmName="SHA-512" hashValue="WerTwDu1Tu27YNpX98B6jdEbZwWMFjHF6X7YR3C22LWw945/nwJW9Im8iIySYjEPK6zJoKmBiRhRYjhP+Bvq4g==" saltValue="7OlVRYSznH9b85Pq6PBg7g==" spinCount="100000" sheet="1" formatCells="0" formatColumns="0" formatRows="0" insertColumns="0" insertRows="0" insertHyperlinks="0" deleteColumns="0" deleteRows="0" sort="0" autoFilter="0" pivotTables="0"/>
  <mergeCells count="67">
    <mergeCell ref="X63:Z63"/>
    <mergeCell ref="C63:E63"/>
    <mergeCell ref="G63:I63"/>
    <mergeCell ref="K63:M63"/>
    <mergeCell ref="P63:R63"/>
    <mergeCell ref="T63:V63"/>
    <mergeCell ref="C58:M58"/>
    <mergeCell ref="P58:Z58"/>
    <mergeCell ref="C61:C62"/>
    <mergeCell ref="G61:G62"/>
    <mergeCell ref="Q31:R31"/>
    <mergeCell ref="U31:V31"/>
    <mergeCell ref="Y31:Z31"/>
    <mergeCell ref="Q32:R32"/>
    <mergeCell ref="U32:V32"/>
    <mergeCell ref="Y32:Z32"/>
    <mergeCell ref="P56:Z56"/>
    <mergeCell ref="D31:E31"/>
    <mergeCell ref="K61:K62"/>
    <mergeCell ref="P61:P62"/>
    <mergeCell ref="T61:T62"/>
    <mergeCell ref="X61:X62"/>
    <mergeCell ref="K2:L3"/>
    <mergeCell ref="P25:Z25"/>
    <mergeCell ref="P34:R34"/>
    <mergeCell ref="T34:V34"/>
    <mergeCell ref="X34:Z34"/>
    <mergeCell ref="C5:L8"/>
    <mergeCell ref="C9:G15"/>
    <mergeCell ref="C28:M28"/>
    <mergeCell ref="I10:K10"/>
    <mergeCell ref="I12:K12"/>
    <mergeCell ref="K13:K22"/>
    <mergeCell ref="P30:R30"/>
    <mergeCell ref="T30:V30"/>
    <mergeCell ref="P28:Z28"/>
    <mergeCell ref="C17:D17"/>
    <mergeCell ref="C25:M25"/>
    <mergeCell ref="K34:M34"/>
    <mergeCell ref="C56:M56"/>
    <mergeCell ref="M11:M23"/>
    <mergeCell ref="K30:M30"/>
    <mergeCell ref="L31:M31"/>
    <mergeCell ref="E17:G17"/>
    <mergeCell ref="C34:E34"/>
    <mergeCell ref="G34:I34"/>
    <mergeCell ref="G30:I30"/>
    <mergeCell ref="H31:I31"/>
    <mergeCell ref="C30:E30"/>
    <mergeCell ref="D32:E32"/>
    <mergeCell ref="H32:I32"/>
    <mergeCell ref="C47:C48"/>
    <mergeCell ref="C27:D27"/>
    <mergeCell ref="C26:D26"/>
    <mergeCell ref="Y47:Y48"/>
    <mergeCell ref="G47:G48"/>
    <mergeCell ref="K47:K48"/>
    <mergeCell ref="P47:P48"/>
    <mergeCell ref="T47:T48"/>
    <mergeCell ref="X47:X48"/>
    <mergeCell ref="D47:D48"/>
    <mergeCell ref="H47:H48"/>
    <mergeCell ref="L47:L48"/>
    <mergeCell ref="Q47:Q48"/>
    <mergeCell ref="U47:U48"/>
    <mergeCell ref="X30:Z30"/>
    <mergeCell ref="L32:M32"/>
  </mergeCells>
  <hyperlinks>
    <hyperlink ref="M10" r:id="rId1" xr:uid="{00000000-0004-0000-0100-000000000000}"/>
    <hyperlink ref="M62" r:id="rId2" xr:uid="{00000000-0004-0000-0100-000001000000}"/>
    <hyperlink ref="I62" r:id="rId3" xr:uid="{00000000-0004-0000-0100-000002000000}"/>
    <hyperlink ref="E62" r:id="rId4" xr:uid="{00000000-0004-0000-0100-000003000000}"/>
    <hyperlink ref="Z62" r:id="rId5" xr:uid="{00000000-0004-0000-0100-000004000000}"/>
    <hyperlink ref="V62" r:id="rId6" xr:uid="{00000000-0004-0000-0100-000005000000}"/>
    <hyperlink ref="R62" r:id="rId7" xr:uid="{00000000-0004-0000-0100-000006000000}"/>
    <hyperlink ref="E26" r:id="rId8" xr:uid="{00000000-0004-0000-0100-000007000000}"/>
    <hyperlink ref="E27" r:id="rId9" xr:uid="{00000000-0004-0000-0100-000008000000}"/>
  </hyperlinks>
  <printOptions horizontalCentered="1" verticalCentered="1"/>
  <pageMargins left="0.25" right="0.25" top="0.75" bottom="0.75" header="0.3" footer="0.3"/>
  <pageSetup scale="38" orientation="portrait" r:id="rId10"/>
  <headerFooter>
    <oddHeader>&amp;L&amp;&amp;"Calibri"&amp;10&amp;K000000Classé comme Interne&amp;K000000&amp;1#</oddHeader>
  </headerFooter>
  <rowBreaks count="1" manualBreakCount="1">
    <brk id="118" max="16383" man="1"/>
  </rowBreaks>
  <drawing r:id="rId1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'Vaccine options'!$A$16:$A$17</xm:f>
          </x14:formula1>
          <xm:sqref>J11</xm:sqref>
        </x14:dataValidation>
        <x14:dataValidation type="list" allowBlank="1" showInputMessage="1" showErrorMessage="1" xr:uid="{00000000-0002-0000-0100-000001000000}">
          <x14:formula1>
            <xm:f>'Vaccine options'!$A$2:$A$7</xm:f>
          </x14:formula1>
          <xm:sqref>D31:E31 Y31:Z31 U31:V31 Q31:R31 L31:M31 H31:I31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6"/>
  <sheetViews>
    <sheetView zoomScale="70" zoomScaleNormal="70" workbookViewId="0">
      <pane ySplit="5" topLeftCell="A6" activePane="bottomLeft" state="frozen"/>
      <selection activeCell="A10" sqref="A10"/>
      <selection pane="bottomLeft" activeCell="B1" sqref="B1:I1"/>
    </sheetView>
  </sheetViews>
  <sheetFormatPr defaultColWidth="8.90625" defaultRowHeight="14.5" outlineLevelRow="1" x14ac:dyDescent="0.35"/>
  <cols>
    <col min="1" max="1" width="1.54296875" style="74" customWidth="1"/>
    <col min="2" max="2" width="30.54296875" style="74" customWidth="1"/>
    <col min="3" max="3" width="31.54296875" style="74" customWidth="1"/>
    <col min="4" max="4" width="1.54296875" style="74" customWidth="1"/>
    <col min="5" max="5" width="30.54296875" style="74" customWidth="1"/>
    <col min="6" max="6" width="31.54296875" style="74" customWidth="1"/>
    <col min="7" max="7" width="1.54296875" style="74" customWidth="1"/>
    <col min="8" max="8" width="30.54296875" style="74" customWidth="1"/>
    <col min="9" max="9" width="31.54296875" style="74" customWidth="1"/>
    <col min="10" max="11" width="1.54296875" style="74" customWidth="1"/>
    <col min="12" max="12" width="30.54296875" style="74" customWidth="1"/>
    <col min="13" max="13" width="31.54296875" style="74" customWidth="1"/>
    <col min="14" max="14" width="1.54296875" style="74" customWidth="1"/>
    <col min="15" max="15" width="30.54296875" style="74" customWidth="1"/>
    <col min="16" max="16" width="31.54296875" style="74" customWidth="1"/>
    <col min="17" max="17" width="1.54296875" style="74" customWidth="1"/>
    <col min="18" max="18" width="30.54296875" style="74" customWidth="1"/>
    <col min="19" max="19" width="31.54296875" style="74" customWidth="1"/>
    <col min="20" max="20" width="2.90625" style="74" customWidth="1"/>
    <col min="21" max="16384" width="8.90625" style="74"/>
  </cols>
  <sheetData>
    <row r="1" spans="1:19" ht="23.5" x14ac:dyDescent="0.35">
      <c r="A1" s="15"/>
      <c r="B1" s="270" t="s">
        <v>119</v>
      </c>
      <c r="C1" s="271"/>
      <c r="D1" s="271"/>
      <c r="E1" s="271"/>
      <c r="F1" s="271"/>
      <c r="G1" s="271"/>
      <c r="H1" s="271"/>
      <c r="I1" s="272"/>
      <c r="J1" s="73"/>
      <c r="K1" s="15"/>
      <c r="L1" s="270" t="s">
        <v>120</v>
      </c>
      <c r="M1" s="271"/>
      <c r="N1" s="271"/>
      <c r="O1" s="271"/>
      <c r="P1" s="271"/>
      <c r="Q1" s="271"/>
      <c r="R1" s="271"/>
      <c r="S1" s="272"/>
    </row>
    <row r="2" spans="1:19" ht="8.4" customHeight="1" x14ac:dyDescent="0.35">
      <c r="A2" s="15"/>
      <c r="B2" s="75"/>
      <c r="C2" s="75"/>
      <c r="D2" s="76"/>
      <c r="E2" s="75"/>
      <c r="F2" s="75"/>
      <c r="G2" s="76"/>
      <c r="H2" s="75"/>
      <c r="I2" s="75"/>
      <c r="J2" s="73"/>
      <c r="K2" s="15"/>
    </row>
    <row r="3" spans="1:19" ht="20.399999999999999" customHeight="1" x14ac:dyDescent="0.35">
      <c r="A3" s="15"/>
      <c r="B3" s="77" t="s">
        <v>121</v>
      </c>
      <c r="C3" s="76"/>
      <c r="D3" s="76"/>
      <c r="E3" s="76"/>
      <c r="F3" s="76"/>
      <c r="G3" s="76"/>
      <c r="H3" s="76"/>
      <c r="I3" s="76"/>
      <c r="J3" s="73"/>
      <c r="K3" s="15"/>
    </row>
    <row r="4" spans="1:19" ht="8.4" customHeight="1" x14ac:dyDescent="0.35">
      <c r="A4" s="15"/>
      <c r="B4" s="76"/>
      <c r="C4" s="76"/>
      <c r="D4" s="76"/>
      <c r="E4" s="76"/>
      <c r="F4" s="76"/>
      <c r="G4" s="76"/>
      <c r="H4" s="76"/>
      <c r="I4" s="76"/>
      <c r="J4" s="73"/>
      <c r="K4" s="15"/>
    </row>
    <row r="5" spans="1:19" ht="18.5" x14ac:dyDescent="0.35">
      <c r="A5" s="15"/>
      <c r="B5" s="267" t="str">
        <f>'Saisie des données'!D31</f>
        <v>Synflorix, décavalent, 4 doses/solution liquide en flacon</v>
      </c>
      <c r="C5" s="268"/>
      <c r="D5" s="78"/>
      <c r="E5" s="267" t="str">
        <f>'Saisie des données'!H31</f>
        <v>PNEUMOSIL, décavalent, 5 doses/solution liquide en flacon</v>
      </c>
      <c r="F5" s="268"/>
      <c r="G5" s="78"/>
      <c r="H5" s="267" t="str">
        <f>'Saisie des données'!L31</f>
        <v>PNEUMOSIL, décavalent, 1 dose/solution liquide en flacon</v>
      </c>
      <c r="I5" s="268"/>
      <c r="J5" s="73"/>
      <c r="K5" s="15"/>
      <c r="L5" s="267" t="str">
        <f>'Saisie des données'!Q31</f>
        <v>Prevenar 13, 13-valent, 1 dose/solution liquide en flacon</v>
      </c>
      <c r="M5" s="268"/>
      <c r="N5" s="78"/>
      <c r="O5" s="267" t="str">
        <f>'Saisie des données'!U31</f>
        <v>Prevenar 13, 13-valent, 4 doses/solution liquide en flacon</v>
      </c>
      <c r="P5" s="268"/>
      <c r="Q5" s="78"/>
      <c r="R5" s="267" t="str">
        <f>'Saisie des données'!Y31</f>
        <v>Synflorix, décavalent, 1 dose/solution liquide en flacon</v>
      </c>
      <c r="S5" s="268"/>
    </row>
    <row r="6" spans="1:19" ht="7.4" customHeight="1" x14ac:dyDescent="0.35">
      <c r="A6" s="15"/>
      <c r="B6" s="79"/>
      <c r="C6" s="78"/>
      <c r="D6" s="78"/>
      <c r="E6" s="78"/>
      <c r="F6" s="78"/>
      <c r="G6" s="78"/>
      <c r="H6" s="78"/>
      <c r="I6" s="78"/>
      <c r="J6" s="73"/>
      <c r="K6" s="15"/>
      <c r="L6" s="79"/>
      <c r="M6" s="78"/>
      <c r="N6" s="78"/>
      <c r="O6" s="78"/>
      <c r="P6" s="78"/>
      <c r="Q6" s="78"/>
      <c r="R6" s="78"/>
      <c r="S6" s="78"/>
    </row>
    <row r="7" spans="1:19" ht="18.5" x14ac:dyDescent="0.35">
      <c r="A7" s="15"/>
      <c r="B7" s="269" t="s">
        <v>122</v>
      </c>
      <c r="C7" s="269"/>
      <c r="D7" s="78"/>
      <c r="E7" s="269" t="s">
        <v>122</v>
      </c>
      <c r="F7" s="269"/>
      <c r="G7" s="78"/>
      <c r="H7" s="269" t="s">
        <v>122</v>
      </c>
      <c r="I7" s="269"/>
      <c r="J7" s="73"/>
      <c r="K7" s="15"/>
      <c r="L7" s="269" t="s">
        <v>122</v>
      </c>
      <c r="M7" s="269"/>
      <c r="N7" s="78"/>
      <c r="O7" s="269" t="s">
        <v>122</v>
      </c>
      <c r="P7" s="269"/>
      <c r="Q7" s="78"/>
      <c r="R7" s="269" t="s">
        <v>122</v>
      </c>
      <c r="S7" s="269"/>
    </row>
    <row r="8" spans="1:19" ht="18" customHeight="1" x14ac:dyDescent="0.35">
      <c r="A8" s="15"/>
      <c r="B8" s="273" t="s">
        <v>123</v>
      </c>
      <c r="C8" s="274"/>
      <c r="D8" s="78"/>
      <c r="E8" s="273" t="s">
        <v>123</v>
      </c>
      <c r="F8" s="274"/>
      <c r="G8" s="78"/>
      <c r="H8" s="273" t="s">
        <v>123</v>
      </c>
      <c r="I8" s="274"/>
      <c r="J8" s="73"/>
      <c r="K8" s="15"/>
      <c r="L8" s="273" t="s">
        <v>123</v>
      </c>
      <c r="M8" s="274"/>
      <c r="N8" s="78"/>
      <c r="O8" s="273" t="s">
        <v>123</v>
      </c>
      <c r="P8" s="274"/>
      <c r="Q8" s="78"/>
      <c r="R8" s="273" t="s">
        <v>123</v>
      </c>
      <c r="S8" s="274"/>
    </row>
    <row r="9" spans="1:19" ht="60" customHeight="1" x14ac:dyDescent="0.35">
      <c r="A9" s="15"/>
      <c r="B9" s="80" t="s">
        <v>124</v>
      </c>
      <c r="C9" s="81">
        <f>SUM(C10:C19)</f>
        <v>2487661.8105891487</v>
      </c>
      <c r="D9" s="82"/>
      <c r="E9" s="80" t="s">
        <v>124</v>
      </c>
      <c r="F9" s="81">
        <f>SUM(F10:F19)</f>
        <v>2487661.8105891487</v>
      </c>
      <c r="G9" s="82"/>
      <c r="H9" s="80" t="s">
        <v>124</v>
      </c>
      <c r="I9" s="81">
        <f>SUM(I10:I19)</f>
        <v>2487661.8105891487</v>
      </c>
      <c r="J9" s="73"/>
      <c r="K9" s="15"/>
      <c r="L9" s="80" t="s">
        <v>124</v>
      </c>
      <c r="M9" s="81">
        <f>SUM(M10:M19)</f>
        <v>2487661.8105891487</v>
      </c>
      <c r="N9" s="82"/>
      <c r="O9" s="80" t="s">
        <v>124</v>
      </c>
      <c r="P9" s="81">
        <f>SUM(P10:P19)</f>
        <v>2487661.8105891487</v>
      </c>
      <c r="Q9" s="82"/>
      <c r="R9" s="80" t="s">
        <v>124</v>
      </c>
      <c r="S9" s="81">
        <f>SUM(S10:S19)</f>
        <v>2487661.8105891487</v>
      </c>
    </row>
    <row r="10" spans="1:19" ht="15.5" outlineLevel="1" x14ac:dyDescent="0.35">
      <c r="A10" s="15"/>
      <c r="B10" s="80">
        <f>'Saisie des données'!$F$18</f>
        <v>2022</v>
      </c>
      <c r="C10" s="81">
        <f>IF('Saisie des données'!D$45=3,(('Saisie des données'!$F$19*(1+'Saisie des données'!$F$20)^(B10-'Saisie des données'!$F$18))*'Saisie des données'!$F$21+('Saisie des données'!$F$19*(1+'Saisie des données'!$F$20)^(B10-'Saisie des données'!$F$18))*'Saisie des données'!$F$22+('Saisie des données'!$F$19*(1+'Saisie des données'!$F$20)^(B10-'Saisie des données'!$F$18))*'Saisie des données'!$F$23),('Saisie des données'!$F$19*(1+'Saisie des données'!$F$20)^(B10-'Saisie des données'!$F$18))*'Saisie des données'!$F$21+('Saisie des données'!$F$19*(1+'Saisie des données'!$F$20)^(B10-'Saisie des données'!$F$18))*'Saisie des données'!$F$22)</f>
        <v>217000</v>
      </c>
      <c r="D10" s="83"/>
      <c r="E10" s="80">
        <f>'Saisie des données'!$F$18</f>
        <v>2022</v>
      </c>
      <c r="F10" s="81">
        <f>IF('Saisie des données'!H$45=3,(('Saisie des données'!$F$19*(1+'Saisie des données'!$F$20)^(E10-'Saisie des données'!$F$18))*'Saisie des données'!$F$21+('Saisie des données'!$F$19*(1+'Saisie des données'!$F$20)^(E10-'Saisie des données'!$F$18))*'Saisie des données'!$F$22+('Saisie des données'!$F$19*(1+'Saisie des données'!$F$20)^(E10-'Saisie des données'!$F$18))*'Saisie des données'!$F$23),('Saisie des données'!$F$19*(1+'Saisie des données'!$F$20)^(E10-'Saisie des données'!$F$18))*'Saisie des données'!$F$21+('Saisie des données'!$F$19*(1+'Saisie des données'!$F$20)^(E10-'Saisie des données'!$F$18))*'Saisie des données'!$F$22)</f>
        <v>217000</v>
      </c>
      <c r="G10" s="83"/>
      <c r="H10" s="80">
        <f>'Saisie des données'!$F$18</f>
        <v>2022</v>
      </c>
      <c r="I10" s="81">
        <f>IF('Saisie des données'!L$45=3,(('Saisie des données'!$F$19*(1+'Saisie des données'!$F$20)^(H10-'Saisie des données'!$F$18))*'Saisie des données'!$F$21+('Saisie des données'!$F$19*(1+'Saisie des données'!$F$20)^(H10-'Saisie des données'!$F$18))*'Saisie des données'!$F$22+('Saisie des données'!$F$19*(1+'Saisie des données'!$F$20)^(H10-'Saisie des données'!$F$18))*'Saisie des données'!$F$23),('Saisie des données'!$F$19*(1+'Saisie des données'!$F$20)^(H10-'Saisie des données'!$F$18))*'Saisie des données'!$F$21+('Saisie des données'!$F$19*(1+'Saisie des données'!$F$20)^(H10-'Saisie des données'!$F$18))*'Saisie des données'!$F$22)</f>
        <v>217000</v>
      </c>
      <c r="J10" s="73"/>
      <c r="K10" s="15"/>
      <c r="L10" s="80">
        <f>'Saisie des données'!$F$18</f>
        <v>2022</v>
      </c>
      <c r="M10" s="81">
        <f>IF('Saisie des données'!Q$45=3,(('Saisie des données'!$F$19*(1+'Saisie des données'!$F$20)^(L10-'Saisie des données'!$F$18))*'Saisie des données'!$F$21+('Saisie des données'!$F$19*(1+'Saisie des données'!$F$20)^(L10-'Saisie des données'!$F$18))*'Saisie des données'!$F$22+('Saisie des données'!$F$19*(1+'Saisie des données'!$F$20)^(L10-'Saisie des données'!$F$18))*'Saisie des données'!$F$23),('Saisie des données'!$F$19*(1+'Saisie des données'!$F$20)^(L10-'Saisie des données'!$F$18))*'Saisie des données'!$F$21+('Saisie des données'!$F$19*(1+'Saisie des données'!$F$20)^(L10-'Saisie des données'!$F$18))*'Saisie des données'!$F$22)</f>
        <v>217000</v>
      </c>
      <c r="N10" s="83"/>
      <c r="O10" s="80">
        <f>'Saisie des données'!$F$18</f>
        <v>2022</v>
      </c>
      <c r="P10" s="81">
        <f>IF('Saisie des données'!U$45=3,(('Saisie des données'!$F$19*(1+'Saisie des données'!$F$20)^(O10-'Saisie des données'!$F$18))*'Saisie des données'!$F$21+('Saisie des données'!$F$19*(1+'Saisie des données'!$F$20)^(O10-'Saisie des données'!$F$18))*'Saisie des données'!$F$22+('Saisie des données'!$F$19*(1+'Saisie des données'!$F$20)^(O10-'Saisie des données'!$F$18))*'Saisie des données'!$F$23),('Saisie des données'!$F$19*(1+'Saisie des données'!$F$20)^(O10-'Saisie des données'!$F$18))*'Saisie des données'!$F$21+('Saisie des données'!$F$19*(1+'Saisie des données'!$F$20)^(O10-'Saisie des données'!$F$18))*'Saisie des données'!$F$22)</f>
        <v>217000</v>
      </c>
      <c r="Q10" s="83"/>
      <c r="R10" s="80">
        <f>'Saisie des données'!$F$18</f>
        <v>2022</v>
      </c>
      <c r="S10" s="81">
        <f>IF('Saisie des données'!Y$45=3,(('Saisie des données'!$F$19*(1+'Saisie des données'!$F$20)^(R10-'Saisie des données'!$F$18))*'Saisie des données'!$F$21+('Saisie des données'!$F$19*(1+'Saisie des données'!$F$20)^(R10-'Saisie des données'!$F$18))*'Saisie des données'!$F$22+('Saisie des données'!$F$19*(1+'Saisie des données'!$F$20)^(R10-'Saisie des données'!$F$18))*'Saisie des données'!$F$23),('Saisie des données'!$F$19*(1+'Saisie des données'!$F$20)^(R10-'Saisie des données'!$F$18))*'Saisie des données'!$F$21+('Saisie des données'!$F$19*(1+'Saisie des données'!$F$20)^(R10-'Saisie des données'!$F$18))*'Saisie des données'!$F$22)</f>
        <v>217000</v>
      </c>
    </row>
    <row r="11" spans="1:19" ht="15.5" outlineLevel="1" x14ac:dyDescent="0.35">
      <c r="A11" s="15"/>
      <c r="B11" s="80">
        <f>'Saisie des données'!$F$18+1</f>
        <v>2023</v>
      </c>
      <c r="C11" s="81">
        <f>IF('Saisie des données'!D$45=3,(('Saisie des données'!$F$19*(1+'Saisie des données'!$F$20)^(B11-'Saisie des données'!$F$18))*'Saisie des données'!$F$21+('Saisie des données'!$F$19*(1+'Saisie des données'!$F$20)^(B11-'Saisie des données'!$F$18))*'Saisie des données'!$F$22+('Saisie des données'!$F$19*(1+'Saisie des données'!$F$20)^(B11-'Saisie des données'!$F$18))*'Saisie des données'!$F$23),('Saisie des données'!$F$19*(1+'Saisie des données'!$F$20)^(B11-'Saisie des données'!$F$18))*'Saisie des données'!$F$21+('Saisie des données'!$F$19*(1+'Saisie des données'!$F$20)^(B11-'Saisie des données'!$F$18))*'Saisie des données'!$F$22)</f>
        <v>223510</v>
      </c>
      <c r="D11" s="83"/>
      <c r="E11" s="80">
        <f>'Saisie des données'!$F$18+1</f>
        <v>2023</v>
      </c>
      <c r="F11" s="81">
        <f>IF('Saisie des données'!H$45=3,(('Saisie des données'!$F$19*(1+'Saisie des données'!$F$20)^(E11-'Saisie des données'!$F$18))*'Saisie des données'!$F$21+('Saisie des données'!$F$19*(1+'Saisie des données'!$F$20)^(E11-'Saisie des données'!$F$18))*'Saisie des données'!$F$22+('Saisie des données'!$F$19*(1+'Saisie des données'!$F$20)^(E11-'Saisie des données'!$F$18))*'Saisie des données'!$F$23),('Saisie des données'!$F$19*(1+'Saisie des données'!$F$20)^(E11-'Saisie des données'!$F$18))*'Saisie des données'!$F$21+('Saisie des données'!$F$19*(1+'Saisie des données'!$F$20)^(E11-'Saisie des données'!$F$18))*'Saisie des données'!$F$22)</f>
        <v>223510</v>
      </c>
      <c r="G11" s="83"/>
      <c r="H11" s="80">
        <f>'Saisie des données'!$F$18+1</f>
        <v>2023</v>
      </c>
      <c r="I11" s="81">
        <f>IF('Saisie des données'!L$45=3,(('Saisie des données'!$F$19*(1+'Saisie des données'!$F$20)^(H11-'Saisie des données'!$F$18))*'Saisie des données'!$F$21+('Saisie des données'!$F$19*(1+'Saisie des données'!$F$20)^(H11-'Saisie des données'!$F$18))*'Saisie des données'!$F$22+('Saisie des données'!$F$19*(1+'Saisie des données'!$F$20)^(H11-'Saisie des données'!$F$18))*'Saisie des données'!$F$23),('Saisie des données'!$F$19*(1+'Saisie des données'!$F$20)^(H11-'Saisie des données'!$F$18))*'Saisie des données'!$F$21+('Saisie des données'!$F$19*(1+'Saisie des données'!$F$20)^(H11-'Saisie des données'!$F$18))*'Saisie des données'!$F$22)</f>
        <v>223510</v>
      </c>
      <c r="J11" s="73"/>
      <c r="K11" s="15"/>
      <c r="L11" s="80">
        <f>'Saisie des données'!$F$18+1</f>
        <v>2023</v>
      </c>
      <c r="M11" s="81">
        <f>IF('Saisie des données'!Q$45=3,(('Saisie des données'!$F$19*(1+'Saisie des données'!$F$20)^(L11-'Saisie des données'!$F$18))*'Saisie des données'!$F$21+('Saisie des données'!$F$19*(1+'Saisie des données'!$F$20)^(L11-'Saisie des données'!$F$18))*'Saisie des données'!$F$22+('Saisie des données'!$F$19*(1+'Saisie des données'!$F$20)^(L11-'Saisie des données'!$F$18))*'Saisie des données'!$F$23),('Saisie des données'!$F$19*(1+'Saisie des données'!$F$20)^(L11-'Saisie des données'!$F$18))*'Saisie des données'!$F$21+('Saisie des données'!$F$19*(1+'Saisie des données'!$F$20)^(L11-'Saisie des données'!$F$18))*'Saisie des données'!$F$22)</f>
        <v>223510</v>
      </c>
      <c r="N11" s="83"/>
      <c r="O11" s="80">
        <f>'Saisie des données'!$F$18+1</f>
        <v>2023</v>
      </c>
      <c r="P11" s="81">
        <f>IF('Saisie des données'!U$45=3,(('Saisie des données'!$F$19*(1+'Saisie des données'!$F$20)^(O11-'Saisie des données'!$F$18))*'Saisie des données'!$F$21+('Saisie des données'!$F$19*(1+'Saisie des données'!$F$20)^(O11-'Saisie des données'!$F$18))*'Saisie des données'!$F$22+('Saisie des données'!$F$19*(1+'Saisie des données'!$F$20)^(O11-'Saisie des données'!$F$18))*'Saisie des données'!$F$23),('Saisie des données'!$F$19*(1+'Saisie des données'!$F$20)^(O11-'Saisie des données'!$F$18))*'Saisie des données'!$F$21+('Saisie des données'!$F$19*(1+'Saisie des données'!$F$20)^(O11-'Saisie des données'!$F$18))*'Saisie des données'!$F$22)</f>
        <v>223510</v>
      </c>
      <c r="Q11" s="83"/>
      <c r="R11" s="80">
        <f>'Saisie des données'!$F$18+1</f>
        <v>2023</v>
      </c>
      <c r="S11" s="81">
        <f>IF('Saisie des données'!Y$45=3,(('Saisie des données'!$F$19*(1+'Saisie des données'!$F$20)^(R11-'Saisie des données'!$F$18))*'Saisie des données'!$F$21+('Saisie des données'!$F$19*(1+'Saisie des données'!$F$20)^(R11-'Saisie des données'!$F$18))*'Saisie des données'!$F$22+('Saisie des données'!$F$19*(1+'Saisie des données'!$F$20)^(R11-'Saisie des données'!$F$18))*'Saisie des données'!$F$23),('Saisie des données'!$F$19*(1+'Saisie des données'!$F$20)^(R11-'Saisie des données'!$F$18))*'Saisie des données'!$F$21+('Saisie des données'!$F$19*(1+'Saisie des données'!$F$20)^(R11-'Saisie des données'!$F$18))*'Saisie des données'!$F$22)</f>
        <v>223510</v>
      </c>
    </row>
    <row r="12" spans="1:19" ht="15.5" outlineLevel="1" x14ac:dyDescent="0.35">
      <c r="A12" s="15"/>
      <c r="B12" s="80">
        <f>'Saisie des données'!$F$18+2</f>
        <v>2024</v>
      </c>
      <c r="C12" s="81">
        <f>IF('Saisie des données'!D$45=3,(('Saisie des données'!$F$19*(1+'Saisie des données'!$F$20)^(B12-'Saisie des données'!$F$18))*'Saisie des données'!$F$21+('Saisie des données'!$F$19*(1+'Saisie des données'!$F$20)^(B12-'Saisie des données'!$F$18))*'Saisie des données'!$F$22+('Saisie des données'!$F$19*(1+'Saisie des données'!$F$20)^(B12-'Saisie des données'!$F$18))*'Saisie des données'!$F$23),('Saisie des données'!$F$19*(1+'Saisie des données'!$F$20)^(B12-'Saisie des données'!$F$18))*'Saisie des données'!$F$21+('Saisie des données'!$F$19*(1+'Saisie des données'!$F$20)^(B12-'Saisie des données'!$F$18))*'Saisie des données'!$F$22)</f>
        <v>230215.3</v>
      </c>
      <c r="D12" s="83"/>
      <c r="E12" s="80">
        <f>'Saisie des données'!$F$18+2</f>
        <v>2024</v>
      </c>
      <c r="F12" s="81">
        <f>IF('Saisie des données'!H$45=3,(('Saisie des données'!$F$19*(1+'Saisie des données'!$F$20)^(E12-'Saisie des données'!$F$18))*'Saisie des données'!$F$21+('Saisie des données'!$F$19*(1+'Saisie des données'!$F$20)^(E12-'Saisie des données'!$F$18))*'Saisie des données'!$F$22+('Saisie des données'!$F$19*(1+'Saisie des données'!$F$20)^(E12-'Saisie des données'!$F$18))*'Saisie des données'!$F$23),('Saisie des données'!$F$19*(1+'Saisie des données'!$F$20)^(E12-'Saisie des données'!$F$18))*'Saisie des données'!$F$21+('Saisie des données'!$F$19*(1+'Saisie des données'!$F$20)^(E12-'Saisie des données'!$F$18))*'Saisie des données'!$F$22)</f>
        <v>230215.3</v>
      </c>
      <c r="G12" s="83"/>
      <c r="H12" s="80">
        <f>'Saisie des données'!$F$18+2</f>
        <v>2024</v>
      </c>
      <c r="I12" s="81">
        <f>IF('Saisie des données'!L$45=3,(('Saisie des données'!$F$19*(1+'Saisie des données'!$F$20)^(H12-'Saisie des données'!$F$18))*'Saisie des données'!$F$21+('Saisie des données'!$F$19*(1+'Saisie des données'!$F$20)^(H12-'Saisie des données'!$F$18))*'Saisie des données'!$F$22+('Saisie des données'!$F$19*(1+'Saisie des données'!$F$20)^(H12-'Saisie des données'!$F$18))*'Saisie des données'!$F$23),('Saisie des données'!$F$19*(1+'Saisie des données'!$F$20)^(H12-'Saisie des données'!$F$18))*'Saisie des données'!$F$21+('Saisie des données'!$F$19*(1+'Saisie des données'!$F$20)^(H12-'Saisie des données'!$F$18))*'Saisie des données'!$F$22)</f>
        <v>230215.3</v>
      </c>
      <c r="J12" s="73"/>
      <c r="K12" s="15"/>
      <c r="L12" s="80">
        <f>'Saisie des données'!$F$18+2</f>
        <v>2024</v>
      </c>
      <c r="M12" s="81">
        <f>IF('Saisie des données'!Q$45=3,(('Saisie des données'!$F$19*(1+'Saisie des données'!$F$20)^(L12-'Saisie des données'!$F$18))*'Saisie des données'!$F$21+('Saisie des données'!$F$19*(1+'Saisie des données'!$F$20)^(L12-'Saisie des données'!$F$18))*'Saisie des données'!$F$22+('Saisie des données'!$F$19*(1+'Saisie des données'!$F$20)^(L12-'Saisie des données'!$F$18))*'Saisie des données'!$F$23),('Saisie des données'!$F$19*(1+'Saisie des données'!$F$20)^(L12-'Saisie des données'!$F$18))*'Saisie des données'!$F$21+('Saisie des données'!$F$19*(1+'Saisie des données'!$F$20)^(L12-'Saisie des données'!$F$18))*'Saisie des données'!$F$22)</f>
        <v>230215.3</v>
      </c>
      <c r="N12" s="83"/>
      <c r="O12" s="80">
        <f>'Saisie des données'!$F$18+2</f>
        <v>2024</v>
      </c>
      <c r="P12" s="81">
        <f>IF('Saisie des données'!U$45=3,(('Saisie des données'!$F$19*(1+'Saisie des données'!$F$20)^(O12-'Saisie des données'!$F$18))*'Saisie des données'!$F$21+('Saisie des données'!$F$19*(1+'Saisie des données'!$F$20)^(O12-'Saisie des données'!$F$18))*'Saisie des données'!$F$22+('Saisie des données'!$F$19*(1+'Saisie des données'!$F$20)^(O12-'Saisie des données'!$F$18))*'Saisie des données'!$F$23),('Saisie des données'!$F$19*(1+'Saisie des données'!$F$20)^(O12-'Saisie des données'!$F$18))*'Saisie des données'!$F$21+('Saisie des données'!$F$19*(1+'Saisie des données'!$F$20)^(O12-'Saisie des données'!$F$18))*'Saisie des données'!$F$22)</f>
        <v>230215.3</v>
      </c>
      <c r="Q12" s="83"/>
      <c r="R12" s="80">
        <f>'Saisie des données'!$F$18+2</f>
        <v>2024</v>
      </c>
      <c r="S12" s="81">
        <f>IF('Saisie des données'!Y$45=3,(('Saisie des données'!$F$19*(1+'Saisie des données'!$F$20)^(R12-'Saisie des données'!$F$18))*'Saisie des données'!$F$21+('Saisie des données'!$F$19*(1+'Saisie des données'!$F$20)^(R12-'Saisie des données'!$F$18))*'Saisie des données'!$F$22+('Saisie des données'!$F$19*(1+'Saisie des données'!$F$20)^(R12-'Saisie des données'!$F$18))*'Saisie des données'!$F$23),('Saisie des données'!$F$19*(1+'Saisie des données'!$F$20)^(R12-'Saisie des données'!$F$18))*'Saisie des données'!$F$21+('Saisie des données'!$F$19*(1+'Saisie des données'!$F$20)^(R12-'Saisie des données'!$F$18))*'Saisie des données'!$F$22)</f>
        <v>230215.3</v>
      </c>
    </row>
    <row r="13" spans="1:19" ht="15.5" outlineLevel="1" x14ac:dyDescent="0.35">
      <c r="A13" s="15"/>
      <c r="B13" s="80">
        <f>'Saisie des données'!$F$18+3</f>
        <v>2025</v>
      </c>
      <c r="C13" s="81">
        <f>IF('Saisie des données'!D$45=3,(('Saisie des données'!$F$19*(1+'Saisie des données'!$F$20)^(B13-'Saisie des données'!$F$18))*'Saisie des données'!$F$21+('Saisie des données'!$F$19*(1+'Saisie des données'!$F$20)^(B13-'Saisie des données'!$F$18))*'Saisie des données'!$F$22+('Saisie des données'!$F$19*(1+'Saisie des données'!$F$20)^(B13-'Saisie des données'!$F$18))*'Saisie des données'!$F$23),('Saisie des données'!$F$19*(1+'Saisie des données'!$F$20)^(B13-'Saisie des données'!$F$18))*'Saisie des données'!$F$21+('Saisie des données'!$F$19*(1+'Saisie des données'!$F$20)^(B13-'Saisie des données'!$F$18))*'Saisie des données'!$F$22)</f>
        <v>237121.75900000002</v>
      </c>
      <c r="D13" s="83"/>
      <c r="E13" s="80">
        <f>'Saisie des données'!$F$18+3</f>
        <v>2025</v>
      </c>
      <c r="F13" s="81">
        <f>IF('Saisie des données'!H$45=3,(('Saisie des données'!$F$19*(1+'Saisie des données'!$F$20)^(E13-'Saisie des données'!$F$18))*'Saisie des données'!$F$21+('Saisie des données'!$F$19*(1+'Saisie des données'!$F$20)^(E13-'Saisie des données'!$F$18))*'Saisie des données'!$F$22+('Saisie des données'!$F$19*(1+'Saisie des données'!$F$20)^(E13-'Saisie des données'!$F$18))*'Saisie des données'!$F$23),('Saisie des données'!$F$19*(1+'Saisie des données'!$F$20)^(E13-'Saisie des données'!$F$18))*'Saisie des données'!$F$21+('Saisie des données'!$F$19*(1+'Saisie des données'!$F$20)^(E13-'Saisie des données'!$F$18))*'Saisie des données'!$F$22)</f>
        <v>237121.75900000002</v>
      </c>
      <c r="G13" s="82"/>
      <c r="H13" s="80">
        <f>'Saisie des données'!$F$18+3</f>
        <v>2025</v>
      </c>
      <c r="I13" s="81">
        <f>IF('Saisie des données'!L$45=3,(('Saisie des données'!$F$19*(1+'Saisie des données'!$F$20)^(H13-'Saisie des données'!$F$18))*'Saisie des données'!$F$21+('Saisie des données'!$F$19*(1+'Saisie des données'!$F$20)^(H13-'Saisie des données'!$F$18))*'Saisie des données'!$F$22+('Saisie des données'!$F$19*(1+'Saisie des données'!$F$20)^(H13-'Saisie des données'!$F$18))*'Saisie des données'!$F$23),('Saisie des données'!$F$19*(1+'Saisie des données'!$F$20)^(H13-'Saisie des données'!$F$18))*'Saisie des données'!$F$21+('Saisie des données'!$F$19*(1+'Saisie des données'!$F$20)^(H13-'Saisie des données'!$F$18))*'Saisie des données'!$F$22)</f>
        <v>237121.75900000002</v>
      </c>
      <c r="J13" s="73"/>
      <c r="K13" s="15"/>
      <c r="L13" s="80">
        <f>'Saisie des données'!$F$18+3</f>
        <v>2025</v>
      </c>
      <c r="M13" s="81">
        <f>IF('Saisie des données'!Q$45=3,(('Saisie des données'!$F$19*(1+'Saisie des données'!$F$20)^(L13-'Saisie des données'!$F$18))*'Saisie des données'!$F$21+('Saisie des données'!$F$19*(1+'Saisie des données'!$F$20)^(L13-'Saisie des données'!$F$18))*'Saisie des données'!$F$22+('Saisie des données'!$F$19*(1+'Saisie des données'!$F$20)^(L13-'Saisie des données'!$F$18))*'Saisie des données'!$F$23),('Saisie des données'!$F$19*(1+'Saisie des données'!$F$20)^(L13-'Saisie des données'!$F$18))*'Saisie des données'!$F$21+('Saisie des données'!$F$19*(1+'Saisie des données'!$F$20)^(L13-'Saisie des données'!$F$18))*'Saisie des données'!$F$22)</f>
        <v>237121.75900000002</v>
      </c>
      <c r="N13" s="83"/>
      <c r="O13" s="80">
        <f>'Saisie des données'!$F$18+3</f>
        <v>2025</v>
      </c>
      <c r="P13" s="81">
        <f>IF('Saisie des données'!U$45=3,(('Saisie des données'!$F$19*(1+'Saisie des données'!$F$20)^(O13-'Saisie des données'!$F$18))*'Saisie des données'!$F$21+('Saisie des données'!$F$19*(1+'Saisie des données'!$F$20)^(O13-'Saisie des données'!$F$18))*'Saisie des données'!$F$22+('Saisie des données'!$F$19*(1+'Saisie des données'!$F$20)^(O13-'Saisie des données'!$F$18))*'Saisie des données'!$F$23),('Saisie des données'!$F$19*(1+'Saisie des données'!$F$20)^(O13-'Saisie des données'!$F$18))*'Saisie des données'!$F$21+('Saisie des données'!$F$19*(1+'Saisie des données'!$F$20)^(O13-'Saisie des données'!$F$18))*'Saisie des données'!$F$22)</f>
        <v>237121.75900000002</v>
      </c>
      <c r="Q13" s="82"/>
      <c r="R13" s="80">
        <f>'Saisie des données'!$F$18+3</f>
        <v>2025</v>
      </c>
      <c r="S13" s="81">
        <f>IF('Saisie des données'!Y$45=3,(('Saisie des données'!$F$19*(1+'Saisie des données'!$F$20)^(R13-'Saisie des données'!$F$18))*'Saisie des données'!$F$21+('Saisie des données'!$F$19*(1+'Saisie des données'!$F$20)^(R13-'Saisie des données'!$F$18))*'Saisie des données'!$F$22+('Saisie des données'!$F$19*(1+'Saisie des données'!$F$20)^(R13-'Saisie des données'!$F$18))*'Saisie des données'!$F$23),('Saisie des données'!$F$19*(1+'Saisie des données'!$F$20)^(R13-'Saisie des données'!$F$18))*'Saisie des données'!$F$21+('Saisie des données'!$F$19*(1+'Saisie des données'!$F$20)^(R13-'Saisie des données'!$F$18))*'Saisie des données'!$F$22)</f>
        <v>237121.75900000002</v>
      </c>
    </row>
    <row r="14" spans="1:19" ht="15.5" outlineLevel="1" x14ac:dyDescent="0.35">
      <c r="A14" s="15"/>
      <c r="B14" s="80">
        <f>'Saisie des données'!$F$18+4</f>
        <v>2026</v>
      </c>
      <c r="C14" s="81">
        <f>IF('Saisie des données'!D$45=3,(('Saisie des données'!$F$19*(1+'Saisie des données'!$F$20)^(B14-'Saisie des données'!$F$18))*'Saisie des données'!$F$21+('Saisie des données'!$F$19*(1+'Saisie des données'!$F$20)^(B14-'Saisie des données'!$F$18))*'Saisie des données'!$F$22+('Saisie des données'!$F$19*(1+'Saisie des données'!$F$20)^(B14-'Saisie des données'!$F$18))*'Saisie des données'!$F$23),('Saisie des données'!$F$19*(1+'Saisie des données'!$F$20)^(B14-'Saisie des données'!$F$18))*'Saisie des données'!$F$21+('Saisie des données'!$F$19*(1+'Saisie des données'!$F$20)^(B14-'Saisie des données'!$F$18))*'Saisie des données'!$F$22)</f>
        <v>244235.41176999998</v>
      </c>
      <c r="D14" s="83"/>
      <c r="E14" s="80">
        <f>'Saisie des données'!$F$18+4</f>
        <v>2026</v>
      </c>
      <c r="F14" s="81">
        <f>IF('Saisie des données'!H$45=3,(('Saisie des données'!$F$19*(1+'Saisie des données'!$F$20)^(E14-'Saisie des données'!$F$18))*'Saisie des données'!$F$21+('Saisie des données'!$F$19*(1+'Saisie des données'!$F$20)^(E14-'Saisie des données'!$F$18))*'Saisie des données'!$F$22+('Saisie des données'!$F$19*(1+'Saisie des données'!$F$20)^(E14-'Saisie des données'!$F$18))*'Saisie des données'!$F$23),('Saisie des données'!$F$19*(1+'Saisie des données'!$F$20)^(E14-'Saisie des données'!$F$18))*'Saisie des données'!$F$21+('Saisie des données'!$F$19*(1+'Saisie des données'!$F$20)^(E14-'Saisie des données'!$F$18))*'Saisie des données'!$F$22)</f>
        <v>244235.41176999998</v>
      </c>
      <c r="G14" s="82"/>
      <c r="H14" s="80">
        <f>'Saisie des données'!$F$18+4</f>
        <v>2026</v>
      </c>
      <c r="I14" s="81">
        <f>IF('Saisie des données'!L$45=3,(('Saisie des données'!$F$19*(1+'Saisie des données'!$F$20)^(H14-'Saisie des données'!$F$18))*'Saisie des données'!$F$21+('Saisie des données'!$F$19*(1+'Saisie des données'!$F$20)^(H14-'Saisie des données'!$F$18))*'Saisie des données'!$F$22+('Saisie des données'!$F$19*(1+'Saisie des données'!$F$20)^(H14-'Saisie des données'!$F$18))*'Saisie des données'!$F$23),('Saisie des données'!$F$19*(1+'Saisie des données'!$F$20)^(H14-'Saisie des données'!$F$18))*'Saisie des données'!$F$21+('Saisie des données'!$F$19*(1+'Saisie des données'!$F$20)^(H14-'Saisie des données'!$F$18))*'Saisie des données'!$F$22)</f>
        <v>244235.41176999998</v>
      </c>
      <c r="J14" s="73"/>
      <c r="K14" s="15"/>
      <c r="L14" s="80">
        <f>'Saisie des données'!$F$18+4</f>
        <v>2026</v>
      </c>
      <c r="M14" s="81">
        <f>IF('Saisie des données'!Q$45=3,(('Saisie des données'!$F$19*(1+'Saisie des données'!$F$20)^(L14-'Saisie des données'!$F$18))*'Saisie des données'!$F$21+('Saisie des données'!$F$19*(1+'Saisie des données'!$F$20)^(L14-'Saisie des données'!$F$18))*'Saisie des données'!$F$22+('Saisie des données'!$F$19*(1+'Saisie des données'!$F$20)^(L14-'Saisie des données'!$F$18))*'Saisie des données'!$F$23),('Saisie des données'!$F$19*(1+'Saisie des données'!$F$20)^(L14-'Saisie des données'!$F$18))*'Saisie des données'!$F$21+('Saisie des données'!$F$19*(1+'Saisie des données'!$F$20)^(L14-'Saisie des données'!$F$18))*'Saisie des données'!$F$22)</f>
        <v>244235.41176999998</v>
      </c>
      <c r="N14" s="83"/>
      <c r="O14" s="80">
        <f>'Saisie des données'!$F$18+4</f>
        <v>2026</v>
      </c>
      <c r="P14" s="81">
        <f>IF('Saisie des données'!U$45=3,(('Saisie des données'!$F$19*(1+'Saisie des données'!$F$20)^(O14-'Saisie des données'!$F$18))*'Saisie des données'!$F$21+('Saisie des données'!$F$19*(1+'Saisie des données'!$F$20)^(O14-'Saisie des données'!$F$18))*'Saisie des données'!$F$22+('Saisie des données'!$F$19*(1+'Saisie des données'!$F$20)^(O14-'Saisie des données'!$F$18))*'Saisie des données'!$F$23),('Saisie des données'!$F$19*(1+'Saisie des données'!$F$20)^(O14-'Saisie des données'!$F$18))*'Saisie des données'!$F$21+('Saisie des données'!$F$19*(1+'Saisie des données'!$F$20)^(O14-'Saisie des données'!$F$18))*'Saisie des données'!$F$22)</f>
        <v>244235.41176999998</v>
      </c>
      <c r="Q14" s="82"/>
      <c r="R14" s="80">
        <f>'Saisie des données'!$F$18+4</f>
        <v>2026</v>
      </c>
      <c r="S14" s="81">
        <f>IF('Saisie des données'!Y$45=3,(('Saisie des données'!$F$19*(1+'Saisie des données'!$F$20)^(R14-'Saisie des données'!$F$18))*'Saisie des données'!$F$21+('Saisie des données'!$F$19*(1+'Saisie des données'!$F$20)^(R14-'Saisie des données'!$F$18))*'Saisie des données'!$F$22+('Saisie des données'!$F$19*(1+'Saisie des données'!$F$20)^(R14-'Saisie des données'!$F$18))*'Saisie des données'!$F$23),('Saisie des données'!$F$19*(1+'Saisie des données'!$F$20)^(R14-'Saisie des données'!$F$18))*'Saisie des données'!$F$21+('Saisie des données'!$F$19*(1+'Saisie des données'!$F$20)^(R14-'Saisie des données'!$F$18))*'Saisie des données'!$F$22)</f>
        <v>244235.41176999998</v>
      </c>
    </row>
    <row r="15" spans="1:19" ht="15.5" outlineLevel="1" x14ac:dyDescent="0.35">
      <c r="A15" s="15"/>
      <c r="B15" s="80">
        <f>'Saisie des données'!$F$18+5</f>
        <v>2027</v>
      </c>
      <c r="C15" s="81">
        <f>IF('Saisie des données'!D$45=3,(('Saisie des données'!$F$19*(1+'Saisie des données'!$F$20)^(B15-'Saisie des données'!$F$18))*'Saisie des données'!$F$21+('Saisie des données'!$F$19*(1+'Saisie des données'!$F$20)^(B15-'Saisie des données'!$F$18))*'Saisie des données'!$F$22+('Saisie des données'!$F$19*(1+'Saisie des données'!$F$20)^(B15-'Saisie des données'!$F$18))*'Saisie des données'!$F$23),('Saisie des données'!$F$19*(1+'Saisie des données'!$F$20)^(B15-'Saisie des données'!$F$18))*'Saisie des données'!$F$21+('Saisie des données'!$F$19*(1+'Saisie des données'!$F$20)^(B15-'Saisie des données'!$F$18))*'Saisie des données'!$F$22)</f>
        <v>251562.47412309996</v>
      </c>
      <c r="D15" s="83"/>
      <c r="E15" s="80">
        <f>'Saisie des données'!$F$18+5</f>
        <v>2027</v>
      </c>
      <c r="F15" s="81">
        <f>IF('Saisie des données'!H$45=3,(('Saisie des données'!$F$19*(1+'Saisie des données'!$F$20)^(E15-'Saisie des données'!$F$18))*'Saisie des données'!$F$21+('Saisie des données'!$F$19*(1+'Saisie des données'!$F$20)^(E15-'Saisie des données'!$F$18))*'Saisie des données'!$F$22+('Saisie des données'!$F$19*(1+'Saisie des données'!$F$20)^(E15-'Saisie des données'!$F$18))*'Saisie des données'!$F$23),('Saisie des données'!$F$19*(1+'Saisie des données'!$F$20)^(E15-'Saisie des données'!$F$18))*'Saisie des données'!$F$21+('Saisie des données'!$F$19*(1+'Saisie des données'!$F$20)^(E15-'Saisie des données'!$F$18))*'Saisie des données'!$F$22)</f>
        <v>251562.47412309996</v>
      </c>
      <c r="G15" s="82"/>
      <c r="H15" s="80">
        <f>'Saisie des données'!$F$18+5</f>
        <v>2027</v>
      </c>
      <c r="I15" s="81">
        <f>IF('Saisie des données'!L$45=3,(('Saisie des données'!$F$19*(1+'Saisie des données'!$F$20)^(H15-'Saisie des données'!$F$18))*'Saisie des données'!$F$21+('Saisie des données'!$F$19*(1+'Saisie des données'!$F$20)^(H15-'Saisie des données'!$F$18))*'Saisie des données'!$F$22+('Saisie des données'!$F$19*(1+'Saisie des données'!$F$20)^(H15-'Saisie des données'!$F$18))*'Saisie des données'!$F$23),('Saisie des données'!$F$19*(1+'Saisie des données'!$F$20)^(H15-'Saisie des données'!$F$18))*'Saisie des données'!$F$21+('Saisie des données'!$F$19*(1+'Saisie des données'!$F$20)^(H15-'Saisie des données'!$F$18))*'Saisie des données'!$F$22)</f>
        <v>251562.47412309996</v>
      </c>
      <c r="J15" s="73"/>
      <c r="K15" s="15"/>
      <c r="L15" s="80">
        <f>'Saisie des données'!$F$18+5</f>
        <v>2027</v>
      </c>
      <c r="M15" s="81">
        <f>IF('Saisie des données'!Q$45=3,(('Saisie des données'!$F$19*(1+'Saisie des données'!$F$20)^(L15-'Saisie des données'!$F$18))*'Saisie des données'!$F$21+('Saisie des données'!$F$19*(1+'Saisie des données'!$F$20)^(L15-'Saisie des données'!$F$18))*'Saisie des données'!$F$22+('Saisie des données'!$F$19*(1+'Saisie des données'!$F$20)^(L15-'Saisie des données'!$F$18))*'Saisie des données'!$F$23),('Saisie des données'!$F$19*(1+'Saisie des données'!$F$20)^(L15-'Saisie des données'!$F$18))*'Saisie des données'!$F$21+('Saisie des données'!$F$19*(1+'Saisie des données'!$F$20)^(L15-'Saisie des données'!$F$18))*'Saisie des données'!$F$22)</f>
        <v>251562.47412309996</v>
      </c>
      <c r="N15" s="83"/>
      <c r="O15" s="80">
        <f>'Saisie des données'!$F$18+5</f>
        <v>2027</v>
      </c>
      <c r="P15" s="81">
        <f>IF('Saisie des données'!U$45=3,(('Saisie des données'!$F$19*(1+'Saisie des données'!$F$20)^(O15-'Saisie des données'!$F$18))*'Saisie des données'!$F$21+('Saisie des données'!$F$19*(1+'Saisie des données'!$F$20)^(O15-'Saisie des données'!$F$18))*'Saisie des données'!$F$22+('Saisie des données'!$F$19*(1+'Saisie des données'!$F$20)^(O15-'Saisie des données'!$F$18))*'Saisie des données'!$F$23),('Saisie des données'!$F$19*(1+'Saisie des données'!$F$20)^(O15-'Saisie des données'!$F$18))*'Saisie des données'!$F$21+('Saisie des données'!$F$19*(1+'Saisie des données'!$F$20)^(O15-'Saisie des données'!$F$18))*'Saisie des données'!$F$22)</f>
        <v>251562.47412309996</v>
      </c>
      <c r="Q15" s="82"/>
      <c r="R15" s="80">
        <f>'Saisie des données'!$F$18+5</f>
        <v>2027</v>
      </c>
      <c r="S15" s="81">
        <f>IF('Saisie des données'!Y$45=3,(('Saisie des données'!$F$19*(1+'Saisie des données'!$F$20)^(R15-'Saisie des données'!$F$18))*'Saisie des données'!$F$21+('Saisie des données'!$F$19*(1+'Saisie des données'!$F$20)^(R15-'Saisie des données'!$F$18))*'Saisie des données'!$F$22+('Saisie des données'!$F$19*(1+'Saisie des données'!$F$20)^(R15-'Saisie des données'!$F$18))*'Saisie des données'!$F$23),('Saisie des données'!$F$19*(1+'Saisie des données'!$F$20)^(R15-'Saisie des données'!$F$18))*'Saisie des données'!$F$21+('Saisie des données'!$F$19*(1+'Saisie des données'!$F$20)^(R15-'Saisie des données'!$F$18))*'Saisie des données'!$F$22)</f>
        <v>251562.47412309996</v>
      </c>
    </row>
    <row r="16" spans="1:19" ht="15.5" outlineLevel="1" x14ac:dyDescent="0.35">
      <c r="A16" s="15"/>
      <c r="B16" s="80">
        <f>'Saisie des données'!$F$18+6</f>
        <v>2028</v>
      </c>
      <c r="C16" s="81">
        <f>IF('Saisie des données'!D$45=3,(('Saisie des données'!$F$19*(1+'Saisie des données'!$F$20)^(B16-'Saisie des données'!$F$18))*'Saisie des données'!$F$21+('Saisie des données'!$F$19*(1+'Saisie des données'!$F$20)^(B16-'Saisie des données'!$F$18))*'Saisie des données'!$F$22+('Saisie des données'!$F$19*(1+'Saisie des données'!$F$20)^(B16-'Saisie des données'!$F$18))*'Saisie des données'!$F$23),('Saisie des données'!$F$19*(1+'Saisie des données'!$F$20)^(B16-'Saisie des données'!$F$18))*'Saisie des données'!$F$21+('Saisie des données'!$F$19*(1+'Saisie des données'!$F$20)^(B16-'Saisie des données'!$F$18))*'Saisie des données'!$F$22)</f>
        <v>259109.34834679295</v>
      </c>
      <c r="D16" s="83"/>
      <c r="E16" s="80">
        <f>'Saisie des données'!$F$18+6</f>
        <v>2028</v>
      </c>
      <c r="F16" s="81">
        <f>IF('Saisie des données'!H$45=3,(('Saisie des données'!$F$19*(1+'Saisie des données'!$F$20)^(E16-'Saisie des données'!$F$18))*'Saisie des données'!$F$21+('Saisie des données'!$F$19*(1+'Saisie des données'!$F$20)^(E16-'Saisie des données'!$F$18))*'Saisie des données'!$F$22+('Saisie des données'!$F$19*(1+'Saisie des données'!$F$20)^(E16-'Saisie des données'!$F$18))*'Saisie des données'!$F$23),('Saisie des données'!$F$19*(1+'Saisie des données'!$F$20)^(E16-'Saisie des données'!$F$18))*'Saisie des données'!$F$21+('Saisie des données'!$F$19*(1+'Saisie des données'!$F$20)^(E16-'Saisie des données'!$F$18))*'Saisie des données'!$F$22)</f>
        <v>259109.34834679295</v>
      </c>
      <c r="G16" s="82"/>
      <c r="H16" s="80">
        <f>'Saisie des données'!$F$18+6</f>
        <v>2028</v>
      </c>
      <c r="I16" s="81">
        <f>IF('Saisie des données'!L$45=3,(('Saisie des données'!$F$19*(1+'Saisie des données'!$F$20)^(H16-'Saisie des données'!$F$18))*'Saisie des données'!$F$21+('Saisie des données'!$F$19*(1+'Saisie des données'!$F$20)^(H16-'Saisie des données'!$F$18))*'Saisie des données'!$F$22+('Saisie des données'!$F$19*(1+'Saisie des données'!$F$20)^(H16-'Saisie des données'!$F$18))*'Saisie des données'!$F$23),('Saisie des données'!$F$19*(1+'Saisie des données'!$F$20)^(H16-'Saisie des données'!$F$18))*'Saisie des données'!$F$21+('Saisie des données'!$F$19*(1+'Saisie des données'!$F$20)^(H16-'Saisie des données'!$F$18))*'Saisie des données'!$F$22)</f>
        <v>259109.34834679295</v>
      </c>
      <c r="J16" s="73"/>
      <c r="K16" s="15"/>
      <c r="L16" s="80">
        <f>'Saisie des données'!$F$18+6</f>
        <v>2028</v>
      </c>
      <c r="M16" s="81">
        <f>IF('Saisie des données'!Q$45=3,(('Saisie des données'!$F$19*(1+'Saisie des données'!$F$20)^(L16-'Saisie des données'!$F$18))*'Saisie des données'!$F$21+('Saisie des données'!$F$19*(1+'Saisie des données'!$F$20)^(L16-'Saisie des données'!$F$18))*'Saisie des données'!$F$22+('Saisie des données'!$F$19*(1+'Saisie des données'!$F$20)^(L16-'Saisie des données'!$F$18))*'Saisie des données'!$F$23),('Saisie des données'!$F$19*(1+'Saisie des données'!$F$20)^(L16-'Saisie des données'!$F$18))*'Saisie des données'!$F$21+('Saisie des données'!$F$19*(1+'Saisie des données'!$F$20)^(L16-'Saisie des données'!$F$18))*'Saisie des données'!$F$22)</f>
        <v>259109.34834679295</v>
      </c>
      <c r="N16" s="83"/>
      <c r="O16" s="80">
        <f>'Saisie des données'!$F$18+6</f>
        <v>2028</v>
      </c>
      <c r="P16" s="81">
        <f>IF('Saisie des données'!U$45=3,(('Saisie des données'!$F$19*(1+'Saisie des données'!$F$20)^(O16-'Saisie des données'!$F$18))*'Saisie des données'!$F$21+('Saisie des données'!$F$19*(1+'Saisie des données'!$F$20)^(O16-'Saisie des données'!$F$18))*'Saisie des données'!$F$22+('Saisie des données'!$F$19*(1+'Saisie des données'!$F$20)^(O16-'Saisie des données'!$F$18))*'Saisie des données'!$F$23),('Saisie des données'!$F$19*(1+'Saisie des données'!$F$20)^(O16-'Saisie des données'!$F$18))*'Saisie des données'!$F$21+('Saisie des données'!$F$19*(1+'Saisie des données'!$F$20)^(O16-'Saisie des données'!$F$18))*'Saisie des données'!$F$22)</f>
        <v>259109.34834679295</v>
      </c>
      <c r="Q16" s="82"/>
      <c r="R16" s="80">
        <f>'Saisie des données'!$F$18+6</f>
        <v>2028</v>
      </c>
      <c r="S16" s="81">
        <f>IF('Saisie des données'!Y$45=3,(('Saisie des données'!$F$19*(1+'Saisie des données'!$F$20)^(R16-'Saisie des données'!$F$18))*'Saisie des données'!$F$21+('Saisie des données'!$F$19*(1+'Saisie des données'!$F$20)^(R16-'Saisie des données'!$F$18))*'Saisie des données'!$F$22+('Saisie des données'!$F$19*(1+'Saisie des données'!$F$20)^(R16-'Saisie des données'!$F$18))*'Saisie des données'!$F$23),('Saisie des données'!$F$19*(1+'Saisie des données'!$F$20)^(R16-'Saisie des données'!$F$18))*'Saisie des données'!$F$21+('Saisie des données'!$F$19*(1+'Saisie des données'!$F$20)^(R16-'Saisie des données'!$F$18))*'Saisie des données'!$F$22)</f>
        <v>259109.34834679295</v>
      </c>
    </row>
    <row r="17" spans="1:19" ht="15.5" outlineLevel="1" x14ac:dyDescent="0.35">
      <c r="A17" s="15"/>
      <c r="B17" s="80">
        <f>'Saisie des données'!$F$18+7</f>
        <v>2029</v>
      </c>
      <c r="C17" s="81">
        <f>IF('Saisie des données'!D$45=3,(('Saisie des données'!$F$19*(1+'Saisie des données'!$F$20)^(B17-'Saisie des données'!$F$18))*'Saisie des données'!$F$21+('Saisie des données'!$F$19*(1+'Saisie des données'!$F$20)^(B17-'Saisie des données'!$F$18))*'Saisie des données'!$F$22+('Saisie des données'!$F$19*(1+'Saisie des données'!$F$20)^(B17-'Saisie des données'!$F$18))*'Saisie des données'!$F$23),('Saisie des données'!$F$19*(1+'Saisie des données'!$F$20)^(B17-'Saisie des données'!$F$18))*'Saisie des données'!$F$21+('Saisie des données'!$F$19*(1+'Saisie des données'!$F$20)^(B17-'Saisie des données'!$F$18))*'Saisie des données'!$F$22)</f>
        <v>266882.62879719678</v>
      </c>
      <c r="D17" s="83"/>
      <c r="E17" s="80">
        <f>'Saisie des données'!$F$18+7</f>
        <v>2029</v>
      </c>
      <c r="F17" s="81">
        <f>IF('Saisie des données'!H$45=3,(('Saisie des données'!$F$19*(1+'Saisie des données'!$F$20)^(E17-'Saisie des données'!$F$18))*'Saisie des données'!$F$21+('Saisie des données'!$F$19*(1+'Saisie des données'!$F$20)^(E17-'Saisie des données'!$F$18))*'Saisie des données'!$F$22+('Saisie des données'!$F$19*(1+'Saisie des données'!$F$20)^(E17-'Saisie des données'!$F$18))*'Saisie des données'!$F$23),('Saisie des données'!$F$19*(1+'Saisie des données'!$F$20)^(E17-'Saisie des données'!$F$18))*'Saisie des données'!$F$21+('Saisie des données'!$F$19*(1+'Saisie des données'!$F$20)^(E17-'Saisie des données'!$F$18))*'Saisie des données'!$F$22)</f>
        <v>266882.62879719678</v>
      </c>
      <c r="G17" s="82"/>
      <c r="H17" s="80">
        <f>'Saisie des données'!$F$18+7</f>
        <v>2029</v>
      </c>
      <c r="I17" s="81">
        <f>IF('Saisie des données'!L$45=3,(('Saisie des données'!$F$19*(1+'Saisie des données'!$F$20)^(H17-'Saisie des données'!$F$18))*'Saisie des données'!$F$21+('Saisie des données'!$F$19*(1+'Saisie des données'!$F$20)^(H17-'Saisie des données'!$F$18))*'Saisie des données'!$F$22+('Saisie des données'!$F$19*(1+'Saisie des données'!$F$20)^(H17-'Saisie des données'!$F$18))*'Saisie des données'!$F$23),('Saisie des données'!$F$19*(1+'Saisie des données'!$F$20)^(H17-'Saisie des données'!$F$18))*'Saisie des données'!$F$21+('Saisie des données'!$F$19*(1+'Saisie des données'!$F$20)^(H17-'Saisie des données'!$F$18))*'Saisie des données'!$F$22)</f>
        <v>266882.62879719678</v>
      </c>
      <c r="J17" s="73"/>
      <c r="K17" s="15"/>
      <c r="L17" s="80">
        <f>'Saisie des données'!$F$18+7</f>
        <v>2029</v>
      </c>
      <c r="M17" s="81">
        <f>IF('Saisie des données'!Q$45=3,(('Saisie des données'!$F$19*(1+'Saisie des données'!$F$20)^(L17-'Saisie des données'!$F$18))*'Saisie des données'!$F$21+('Saisie des données'!$F$19*(1+'Saisie des données'!$F$20)^(L17-'Saisie des données'!$F$18))*'Saisie des données'!$F$22+('Saisie des données'!$F$19*(1+'Saisie des données'!$F$20)^(L17-'Saisie des données'!$F$18))*'Saisie des données'!$F$23),('Saisie des données'!$F$19*(1+'Saisie des données'!$F$20)^(L17-'Saisie des données'!$F$18))*'Saisie des données'!$F$21+('Saisie des données'!$F$19*(1+'Saisie des données'!$F$20)^(L17-'Saisie des données'!$F$18))*'Saisie des données'!$F$22)</f>
        <v>266882.62879719678</v>
      </c>
      <c r="N17" s="83"/>
      <c r="O17" s="80">
        <f>'Saisie des données'!$F$18+7</f>
        <v>2029</v>
      </c>
      <c r="P17" s="81">
        <f>IF('Saisie des données'!U$45=3,(('Saisie des données'!$F$19*(1+'Saisie des données'!$F$20)^(O17-'Saisie des données'!$F$18))*'Saisie des données'!$F$21+('Saisie des données'!$F$19*(1+'Saisie des données'!$F$20)^(O17-'Saisie des données'!$F$18))*'Saisie des données'!$F$22+('Saisie des données'!$F$19*(1+'Saisie des données'!$F$20)^(O17-'Saisie des données'!$F$18))*'Saisie des données'!$F$23),('Saisie des données'!$F$19*(1+'Saisie des données'!$F$20)^(O17-'Saisie des données'!$F$18))*'Saisie des données'!$F$21+('Saisie des données'!$F$19*(1+'Saisie des données'!$F$20)^(O17-'Saisie des données'!$F$18))*'Saisie des données'!$F$22)</f>
        <v>266882.62879719678</v>
      </c>
      <c r="Q17" s="82"/>
      <c r="R17" s="80">
        <f>'Saisie des données'!$F$18+7</f>
        <v>2029</v>
      </c>
      <c r="S17" s="81">
        <f>IF('Saisie des données'!Y$45=3,(('Saisie des données'!$F$19*(1+'Saisie des données'!$F$20)^(R17-'Saisie des données'!$F$18))*'Saisie des données'!$F$21+('Saisie des données'!$F$19*(1+'Saisie des données'!$F$20)^(R17-'Saisie des données'!$F$18))*'Saisie des données'!$F$22+('Saisie des données'!$F$19*(1+'Saisie des données'!$F$20)^(R17-'Saisie des données'!$F$18))*'Saisie des données'!$F$23),('Saisie des données'!$F$19*(1+'Saisie des données'!$F$20)^(R17-'Saisie des données'!$F$18))*'Saisie des données'!$F$21+('Saisie des données'!$F$19*(1+'Saisie des données'!$F$20)^(R17-'Saisie des données'!$F$18))*'Saisie des données'!$F$22)</f>
        <v>266882.62879719678</v>
      </c>
    </row>
    <row r="18" spans="1:19" ht="15.5" outlineLevel="1" x14ac:dyDescent="0.35">
      <c r="A18" s="15"/>
      <c r="B18" s="80">
        <f>'Saisie des données'!$F$18+8</f>
        <v>2030</v>
      </c>
      <c r="C18" s="81">
        <f>IF('Saisie des données'!D$45=3,(('Saisie des données'!$F$19*(1+'Saisie des données'!$F$20)^(B18-'Saisie des données'!$F$18))*'Saisie des données'!$F$21+('Saisie des données'!$F$19*(1+'Saisie des données'!$F$20)^(B18-'Saisie des données'!$F$18))*'Saisie des données'!$F$22+('Saisie des données'!$F$19*(1+'Saisie des données'!$F$20)^(B18-'Saisie des données'!$F$18))*'Saisie des données'!$F$23),('Saisie des données'!$F$19*(1+'Saisie des données'!$F$20)^(B18-'Saisie des données'!$F$18))*'Saisie des données'!$F$21+('Saisie des données'!$F$19*(1+'Saisie des données'!$F$20)^(B18-'Saisie des données'!$F$18))*'Saisie des données'!$F$22)</f>
        <v>274889.10766111262</v>
      </c>
      <c r="D18" s="83"/>
      <c r="E18" s="80">
        <f>'Saisie des données'!$F$18+8</f>
        <v>2030</v>
      </c>
      <c r="F18" s="81">
        <f>IF('Saisie des données'!H$45=3,(('Saisie des données'!$F$19*(1+'Saisie des données'!$F$20)^(E18-'Saisie des données'!$F$18))*'Saisie des données'!$F$21+('Saisie des données'!$F$19*(1+'Saisie des données'!$F$20)^(E18-'Saisie des données'!$F$18))*'Saisie des données'!$F$22+('Saisie des données'!$F$19*(1+'Saisie des données'!$F$20)^(E18-'Saisie des données'!$F$18))*'Saisie des données'!$F$23),('Saisie des données'!$F$19*(1+'Saisie des données'!$F$20)^(E18-'Saisie des données'!$F$18))*'Saisie des données'!$F$21+('Saisie des données'!$F$19*(1+'Saisie des données'!$F$20)^(E18-'Saisie des données'!$F$18))*'Saisie des données'!$F$22)</f>
        <v>274889.10766111262</v>
      </c>
      <c r="G18" s="82"/>
      <c r="H18" s="80">
        <f>'Saisie des données'!$F$18+8</f>
        <v>2030</v>
      </c>
      <c r="I18" s="81">
        <f>IF('Saisie des données'!L$45=3,(('Saisie des données'!$F$19*(1+'Saisie des données'!$F$20)^(H18-'Saisie des données'!$F$18))*'Saisie des données'!$F$21+('Saisie des données'!$F$19*(1+'Saisie des données'!$F$20)^(H18-'Saisie des données'!$F$18))*'Saisie des données'!$F$22+('Saisie des données'!$F$19*(1+'Saisie des données'!$F$20)^(H18-'Saisie des données'!$F$18))*'Saisie des données'!$F$23),('Saisie des données'!$F$19*(1+'Saisie des données'!$F$20)^(H18-'Saisie des données'!$F$18))*'Saisie des données'!$F$21+('Saisie des données'!$F$19*(1+'Saisie des données'!$F$20)^(H18-'Saisie des données'!$F$18))*'Saisie des données'!$F$22)</f>
        <v>274889.10766111262</v>
      </c>
      <c r="J18" s="73"/>
      <c r="K18" s="15"/>
      <c r="L18" s="80">
        <f>'Saisie des données'!$F$18+8</f>
        <v>2030</v>
      </c>
      <c r="M18" s="81">
        <f>IF('Saisie des données'!Q$45=3,(('Saisie des données'!$F$19*(1+'Saisie des données'!$F$20)^(L18-'Saisie des données'!$F$18))*'Saisie des données'!$F$21+('Saisie des données'!$F$19*(1+'Saisie des données'!$F$20)^(L18-'Saisie des données'!$F$18))*'Saisie des données'!$F$22+('Saisie des données'!$F$19*(1+'Saisie des données'!$F$20)^(L18-'Saisie des données'!$F$18))*'Saisie des données'!$F$23),('Saisie des données'!$F$19*(1+'Saisie des données'!$F$20)^(L18-'Saisie des données'!$F$18))*'Saisie des données'!$F$21+('Saisie des données'!$F$19*(1+'Saisie des données'!$F$20)^(L18-'Saisie des données'!$F$18))*'Saisie des données'!$F$22)</f>
        <v>274889.10766111262</v>
      </c>
      <c r="N18" s="83"/>
      <c r="O18" s="80">
        <f>'Saisie des données'!$F$18+8</f>
        <v>2030</v>
      </c>
      <c r="P18" s="81">
        <f>IF('Saisie des données'!U$45=3,(('Saisie des données'!$F$19*(1+'Saisie des données'!$F$20)^(O18-'Saisie des données'!$F$18))*'Saisie des données'!$F$21+('Saisie des données'!$F$19*(1+'Saisie des données'!$F$20)^(O18-'Saisie des données'!$F$18))*'Saisie des données'!$F$22+('Saisie des données'!$F$19*(1+'Saisie des données'!$F$20)^(O18-'Saisie des données'!$F$18))*'Saisie des données'!$F$23),('Saisie des données'!$F$19*(1+'Saisie des données'!$F$20)^(O18-'Saisie des données'!$F$18))*'Saisie des données'!$F$21+('Saisie des données'!$F$19*(1+'Saisie des données'!$F$20)^(O18-'Saisie des données'!$F$18))*'Saisie des données'!$F$22)</f>
        <v>274889.10766111262</v>
      </c>
      <c r="Q18" s="82"/>
      <c r="R18" s="80">
        <f>'Saisie des données'!$F$18+8</f>
        <v>2030</v>
      </c>
      <c r="S18" s="81">
        <f>IF('Saisie des données'!Y$45=3,(('Saisie des données'!$F$19*(1+'Saisie des données'!$F$20)^(R18-'Saisie des données'!$F$18))*'Saisie des données'!$F$21+('Saisie des données'!$F$19*(1+'Saisie des données'!$F$20)^(R18-'Saisie des données'!$F$18))*'Saisie des données'!$F$22+('Saisie des données'!$F$19*(1+'Saisie des données'!$F$20)^(R18-'Saisie des données'!$F$18))*'Saisie des données'!$F$23),('Saisie des données'!$F$19*(1+'Saisie des données'!$F$20)^(R18-'Saisie des données'!$F$18))*'Saisie des données'!$F$21+('Saisie des données'!$F$19*(1+'Saisie des données'!$F$20)^(R18-'Saisie des données'!$F$18))*'Saisie des données'!$F$22)</f>
        <v>274889.10766111262</v>
      </c>
    </row>
    <row r="19" spans="1:19" ht="15.5" outlineLevel="1" x14ac:dyDescent="0.35">
      <c r="A19" s="15"/>
      <c r="B19" s="80">
        <f>'Saisie des données'!$F$18+9</f>
        <v>2031</v>
      </c>
      <c r="C19" s="81">
        <f>IF('Saisie des données'!D$45=3,(('Saisie des données'!$F$19*(1+'Saisie des données'!$F$20)^(B19-'Saisie des données'!$F$18))*'Saisie des données'!$F$21+('Saisie des données'!$F$19*(1+'Saisie des données'!$F$20)^(B19-'Saisie des données'!$F$18))*'Saisie des données'!$F$22+('Saisie des données'!$F$19*(1+'Saisie des données'!$F$20)^(B19-'Saisie des données'!$F$18))*'Saisie des données'!$F$23),('Saisie des données'!$F$19*(1+'Saisie des données'!$F$20)^(B19-'Saisie des données'!$F$18))*'Saisie des données'!$F$21+('Saisie des données'!$F$19*(1+'Saisie des données'!$F$20)^(B19-'Saisie des données'!$F$18))*'Saisie des données'!$F$22)</f>
        <v>283135.78089094604</v>
      </c>
      <c r="D19" s="83"/>
      <c r="E19" s="80">
        <f>'Saisie des données'!$F$18+9</f>
        <v>2031</v>
      </c>
      <c r="F19" s="81">
        <f>IF('Saisie des données'!H$45=3,(('Saisie des données'!$F$19*(1+'Saisie des données'!$F$20)^(E19-'Saisie des données'!$F$18))*'Saisie des données'!$F$21+('Saisie des données'!$F$19*(1+'Saisie des données'!$F$20)^(E19-'Saisie des données'!$F$18))*'Saisie des données'!$F$22+('Saisie des données'!$F$19*(1+'Saisie des données'!$F$20)^(E19-'Saisie des données'!$F$18))*'Saisie des données'!$F$23),('Saisie des données'!$F$19*(1+'Saisie des données'!$F$20)^(E19-'Saisie des données'!$F$18))*'Saisie des données'!$F$21+('Saisie des données'!$F$19*(1+'Saisie des données'!$F$20)^(E19-'Saisie des données'!$F$18))*'Saisie des données'!$F$22)</f>
        <v>283135.78089094604</v>
      </c>
      <c r="G19" s="82"/>
      <c r="H19" s="80">
        <f>'Saisie des données'!$F$18+9</f>
        <v>2031</v>
      </c>
      <c r="I19" s="81">
        <f>IF('Saisie des données'!L$45=3,(('Saisie des données'!$F$19*(1+'Saisie des données'!$F$20)^(H19-'Saisie des données'!$F$18))*'Saisie des données'!$F$21+('Saisie des données'!$F$19*(1+'Saisie des données'!$F$20)^(H19-'Saisie des données'!$F$18))*'Saisie des données'!$F$22+('Saisie des données'!$F$19*(1+'Saisie des données'!$F$20)^(H19-'Saisie des données'!$F$18))*'Saisie des données'!$F$23),('Saisie des données'!$F$19*(1+'Saisie des données'!$F$20)^(H19-'Saisie des données'!$F$18))*'Saisie des données'!$F$21+('Saisie des données'!$F$19*(1+'Saisie des données'!$F$20)^(H19-'Saisie des données'!$F$18))*'Saisie des données'!$F$22)</f>
        <v>283135.78089094604</v>
      </c>
      <c r="J19" s="73"/>
      <c r="K19" s="15"/>
      <c r="L19" s="80">
        <f>'Saisie des données'!$F$18+9</f>
        <v>2031</v>
      </c>
      <c r="M19" s="81">
        <f>IF('Saisie des données'!Q$45=3,(('Saisie des données'!$F$19*(1+'Saisie des données'!$F$20)^(L19-'Saisie des données'!$F$18))*'Saisie des données'!$F$21+('Saisie des données'!$F$19*(1+'Saisie des données'!$F$20)^(L19-'Saisie des données'!$F$18))*'Saisie des données'!$F$22+('Saisie des données'!$F$19*(1+'Saisie des données'!$F$20)^(L19-'Saisie des données'!$F$18))*'Saisie des données'!$F$23),('Saisie des données'!$F$19*(1+'Saisie des données'!$F$20)^(L19-'Saisie des données'!$F$18))*'Saisie des données'!$F$21+('Saisie des données'!$F$19*(1+'Saisie des données'!$F$20)^(L19-'Saisie des données'!$F$18))*'Saisie des données'!$F$22)</f>
        <v>283135.78089094604</v>
      </c>
      <c r="N19" s="83"/>
      <c r="O19" s="80">
        <f>'Saisie des données'!$F$18+9</f>
        <v>2031</v>
      </c>
      <c r="P19" s="81">
        <f>IF('Saisie des données'!U$45=3,(('Saisie des données'!$F$19*(1+'Saisie des données'!$F$20)^(O19-'Saisie des données'!$F$18))*'Saisie des données'!$F$21+('Saisie des données'!$F$19*(1+'Saisie des données'!$F$20)^(O19-'Saisie des données'!$F$18))*'Saisie des données'!$F$22+('Saisie des données'!$F$19*(1+'Saisie des données'!$F$20)^(O19-'Saisie des données'!$F$18))*'Saisie des données'!$F$23),('Saisie des données'!$F$19*(1+'Saisie des données'!$F$20)^(O19-'Saisie des données'!$F$18))*'Saisie des données'!$F$21+('Saisie des données'!$F$19*(1+'Saisie des données'!$F$20)^(O19-'Saisie des données'!$F$18))*'Saisie des données'!$F$22)</f>
        <v>283135.78089094604</v>
      </c>
      <c r="Q19" s="82"/>
      <c r="R19" s="80">
        <f>'Saisie des données'!$F$18+9</f>
        <v>2031</v>
      </c>
      <c r="S19" s="81">
        <f>IF('Saisie des données'!Y$45=3,(('Saisie des données'!$F$19*(1+'Saisie des données'!$F$20)^(R19-'Saisie des données'!$F$18))*'Saisie des données'!$F$21+('Saisie des données'!$F$19*(1+'Saisie des données'!$F$20)^(R19-'Saisie des données'!$F$18))*'Saisie des données'!$F$22+('Saisie des données'!$F$19*(1+'Saisie des données'!$F$20)^(R19-'Saisie des données'!$F$18))*'Saisie des données'!$F$23),('Saisie des données'!$F$19*(1+'Saisie des données'!$F$20)^(R19-'Saisie des données'!$F$18))*'Saisie des données'!$F$21+('Saisie des données'!$F$19*(1+'Saisie des données'!$F$20)^(R19-'Saisie des données'!$F$18))*'Saisie des données'!$F$22)</f>
        <v>283135.78089094604</v>
      </c>
    </row>
    <row r="20" spans="1:19" ht="30" customHeight="1" outlineLevel="1" x14ac:dyDescent="0.35">
      <c r="A20" s="15"/>
      <c r="B20" s="228" t="s">
        <v>125</v>
      </c>
      <c r="C20" s="275"/>
      <c r="D20" s="83"/>
      <c r="E20" s="228" t="s">
        <v>125</v>
      </c>
      <c r="F20" s="275"/>
      <c r="G20" s="82"/>
      <c r="H20" s="228" t="s">
        <v>125</v>
      </c>
      <c r="I20" s="274"/>
      <c r="J20" s="73"/>
      <c r="K20" s="15"/>
      <c r="L20" s="228" t="s">
        <v>125</v>
      </c>
      <c r="M20" s="275"/>
      <c r="N20" s="83"/>
      <c r="O20" s="228" t="s">
        <v>125</v>
      </c>
      <c r="P20" s="275"/>
      <c r="Q20" s="82"/>
      <c r="R20" s="228" t="s">
        <v>125</v>
      </c>
      <c r="S20" s="275"/>
    </row>
    <row r="21" spans="1:19" ht="60" customHeight="1" x14ac:dyDescent="0.35">
      <c r="A21" s="15"/>
      <c r="B21" s="80" t="s">
        <v>124</v>
      </c>
      <c r="C21" s="81">
        <f>SUM(C22:C31)</f>
        <v>2703980.228901248</v>
      </c>
      <c r="D21" s="82"/>
      <c r="E21" s="80" t="s">
        <v>124</v>
      </c>
      <c r="F21" s="81">
        <f>SUM(F22:F31)</f>
        <v>2703980.228901248</v>
      </c>
      <c r="G21" s="82"/>
      <c r="H21" s="80" t="s">
        <v>124</v>
      </c>
      <c r="I21" s="81">
        <f>SUM(I22:I31)</f>
        <v>2618591.3795675249</v>
      </c>
      <c r="J21" s="73"/>
      <c r="K21" s="15"/>
      <c r="L21" s="80" t="s">
        <v>124</v>
      </c>
      <c r="M21" s="81">
        <f>SUM(M22:M31)</f>
        <v>2618591.3795675249</v>
      </c>
      <c r="N21" s="82"/>
      <c r="O21" s="80" t="s">
        <v>124</v>
      </c>
      <c r="P21" s="81">
        <f>SUM(P22:P31)</f>
        <v>2703980.228901248</v>
      </c>
      <c r="Q21" s="82"/>
      <c r="R21" s="80" t="s">
        <v>124</v>
      </c>
      <c r="S21" s="81" t="e">
        <f>SUM(S22:S31)</f>
        <v>#VALUE!</v>
      </c>
    </row>
    <row r="22" spans="1:19" ht="15.5" outlineLevel="1" x14ac:dyDescent="0.35">
      <c r="A22" s="15"/>
      <c r="B22" s="80">
        <f>'Saisie des données'!$F$18</f>
        <v>2022</v>
      </c>
      <c r="C22" s="81">
        <f>C10*'Saisie des données'!D$49</f>
        <v>235869.5652173913</v>
      </c>
      <c r="D22" s="82"/>
      <c r="E22" s="80">
        <f>'Saisie des données'!$F$18</f>
        <v>2022</v>
      </c>
      <c r="F22" s="81">
        <f>F10*'Saisie des données'!H$49</f>
        <v>235869.5652173913</v>
      </c>
      <c r="G22" s="82"/>
      <c r="H22" s="80">
        <f>'Saisie des données'!$F$18</f>
        <v>2022</v>
      </c>
      <c r="I22" s="81">
        <f>I10*'Saisie des données'!L$49</f>
        <v>228421.05263157893</v>
      </c>
      <c r="J22" s="73"/>
      <c r="K22" s="15"/>
      <c r="L22" s="80">
        <f>'Saisie des données'!$F$18</f>
        <v>2022</v>
      </c>
      <c r="M22" s="81">
        <f>M10*'Saisie des données'!Q$49</f>
        <v>228421.05263157893</v>
      </c>
      <c r="N22" s="82"/>
      <c r="O22" s="80">
        <f>'Saisie des données'!$F$18</f>
        <v>2022</v>
      </c>
      <c r="P22" s="81">
        <f>P10*'Saisie des données'!U$49</f>
        <v>235869.5652173913</v>
      </c>
      <c r="Q22" s="82"/>
      <c r="R22" s="80">
        <f>'Saisie des données'!$F$18</f>
        <v>2022</v>
      </c>
      <c r="S22" s="81" t="e">
        <f>S10*'Saisie des données'!Y$49</f>
        <v>#VALUE!</v>
      </c>
    </row>
    <row r="23" spans="1:19" ht="15.5" outlineLevel="1" x14ac:dyDescent="0.35">
      <c r="A23" s="15"/>
      <c r="B23" s="80">
        <f>'Saisie des données'!$F$18+1</f>
        <v>2023</v>
      </c>
      <c r="C23" s="81">
        <f>C11*'Saisie des données'!D$49</f>
        <v>242945.65217391303</v>
      </c>
      <c r="D23" s="82"/>
      <c r="E23" s="80">
        <f>'Saisie des données'!$F$18+1</f>
        <v>2023</v>
      </c>
      <c r="F23" s="81">
        <f>F11*'Saisie des données'!H$49</f>
        <v>242945.65217391303</v>
      </c>
      <c r="G23" s="82"/>
      <c r="H23" s="80">
        <f>'Saisie des données'!$F$18+1</f>
        <v>2023</v>
      </c>
      <c r="I23" s="81">
        <f>I11*'Saisie des données'!L$49</f>
        <v>235273.68421052629</v>
      </c>
      <c r="J23" s="73"/>
      <c r="K23" s="15"/>
      <c r="L23" s="80">
        <f>'Saisie des données'!$F$18+1</f>
        <v>2023</v>
      </c>
      <c r="M23" s="81">
        <f>M11*'Saisie des données'!Q$49</f>
        <v>235273.68421052629</v>
      </c>
      <c r="N23" s="82"/>
      <c r="O23" s="80">
        <f>'Saisie des données'!$F$18+1</f>
        <v>2023</v>
      </c>
      <c r="P23" s="81">
        <f>P11*'Saisie des données'!U$49</f>
        <v>242945.65217391303</v>
      </c>
      <c r="Q23" s="82"/>
      <c r="R23" s="80">
        <f>'Saisie des données'!$F$18+1</f>
        <v>2023</v>
      </c>
      <c r="S23" s="81" t="e">
        <f>S11*'Saisie des données'!Y$49</f>
        <v>#VALUE!</v>
      </c>
    </row>
    <row r="24" spans="1:19" ht="15.5" outlineLevel="1" x14ac:dyDescent="0.35">
      <c r="A24" s="15"/>
      <c r="B24" s="80">
        <f>'Saisie des données'!$F$18+2</f>
        <v>2024</v>
      </c>
      <c r="C24" s="81">
        <f>C12*'Saisie des données'!D$49</f>
        <v>250234.0217391304</v>
      </c>
      <c r="D24" s="82"/>
      <c r="E24" s="80">
        <f>'Saisie des données'!$F$18+2</f>
        <v>2024</v>
      </c>
      <c r="F24" s="81">
        <f>F12*'Saisie des données'!H$49</f>
        <v>250234.0217391304</v>
      </c>
      <c r="G24" s="82"/>
      <c r="H24" s="80">
        <f>'Saisie des données'!$F$18+2</f>
        <v>2024</v>
      </c>
      <c r="I24" s="81">
        <f>I12*'Saisie des données'!L$49</f>
        <v>242331.89473684208</v>
      </c>
      <c r="J24" s="73"/>
      <c r="K24" s="15"/>
      <c r="L24" s="80">
        <f>'Saisie des données'!$F$18+2</f>
        <v>2024</v>
      </c>
      <c r="M24" s="81">
        <f>M12*'Saisie des données'!Q$49</f>
        <v>242331.89473684208</v>
      </c>
      <c r="N24" s="82"/>
      <c r="O24" s="80">
        <f>'Saisie des données'!$F$18+2</f>
        <v>2024</v>
      </c>
      <c r="P24" s="81">
        <f>P12*'Saisie des données'!U$49</f>
        <v>250234.0217391304</v>
      </c>
      <c r="Q24" s="82"/>
      <c r="R24" s="80">
        <f>'Saisie des données'!$F$18+2</f>
        <v>2024</v>
      </c>
      <c r="S24" s="81" t="e">
        <f>S12*'Saisie des données'!Y$49</f>
        <v>#VALUE!</v>
      </c>
    </row>
    <row r="25" spans="1:19" ht="15.5" outlineLevel="1" x14ac:dyDescent="0.35">
      <c r="A25" s="15"/>
      <c r="B25" s="80">
        <f>'Saisie des données'!$F$18+3</f>
        <v>2025</v>
      </c>
      <c r="C25" s="81">
        <f>C13*'Saisie des données'!D$49</f>
        <v>257741.04239130436</v>
      </c>
      <c r="D25" s="82"/>
      <c r="E25" s="80">
        <f>'Saisie des données'!$F$18+3</f>
        <v>2025</v>
      </c>
      <c r="F25" s="81">
        <f>F13*'Saisie des données'!H$49</f>
        <v>257741.04239130436</v>
      </c>
      <c r="G25" s="82"/>
      <c r="H25" s="80">
        <f>'Saisie des données'!$F$18+3</f>
        <v>2025</v>
      </c>
      <c r="I25" s="81">
        <f>I13*'Saisie des données'!L$49</f>
        <v>249601.85157894739</v>
      </c>
      <c r="J25" s="73"/>
      <c r="K25" s="15"/>
      <c r="L25" s="80">
        <f>'Saisie des données'!$F$18+3</f>
        <v>2025</v>
      </c>
      <c r="M25" s="81">
        <f>M13*'Saisie des données'!Q$49</f>
        <v>249601.85157894739</v>
      </c>
      <c r="N25" s="82"/>
      <c r="O25" s="80">
        <f>'Saisie des données'!$F$18+3</f>
        <v>2025</v>
      </c>
      <c r="P25" s="81">
        <f>P13*'Saisie des données'!U$49</f>
        <v>257741.04239130436</v>
      </c>
      <c r="Q25" s="82"/>
      <c r="R25" s="80">
        <f>'Saisie des données'!$F$18+3</f>
        <v>2025</v>
      </c>
      <c r="S25" s="81" t="e">
        <f>S13*'Saisie des données'!Y$49</f>
        <v>#VALUE!</v>
      </c>
    </row>
    <row r="26" spans="1:19" ht="15.5" outlineLevel="1" x14ac:dyDescent="0.35">
      <c r="A26" s="15"/>
      <c r="B26" s="80">
        <f>'Saisie des données'!$F$18+4</f>
        <v>2026</v>
      </c>
      <c r="C26" s="81">
        <f>C14*'Saisie des données'!D$49</f>
        <v>265473.27366304345</v>
      </c>
      <c r="D26" s="82"/>
      <c r="E26" s="80">
        <f>'Saisie des données'!$F$18+4</f>
        <v>2026</v>
      </c>
      <c r="F26" s="81">
        <f>F14*'Saisie des données'!H$49</f>
        <v>265473.27366304345</v>
      </c>
      <c r="G26" s="82"/>
      <c r="H26" s="80">
        <f>'Saisie des données'!$F$18+4</f>
        <v>2026</v>
      </c>
      <c r="I26" s="81">
        <f>I14*'Saisie des données'!L$49</f>
        <v>257089.90712631575</v>
      </c>
      <c r="J26" s="73"/>
      <c r="K26" s="15"/>
      <c r="L26" s="80">
        <f>'Saisie des données'!$F$18+4</f>
        <v>2026</v>
      </c>
      <c r="M26" s="81">
        <f>M14*'Saisie des données'!Q$49</f>
        <v>257089.90712631575</v>
      </c>
      <c r="N26" s="82"/>
      <c r="O26" s="80">
        <f>'Saisie des données'!$F$18+4</f>
        <v>2026</v>
      </c>
      <c r="P26" s="81">
        <f>P14*'Saisie des données'!U$49</f>
        <v>265473.27366304345</v>
      </c>
      <c r="Q26" s="82"/>
      <c r="R26" s="80">
        <f>'Saisie des données'!$F$18+4</f>
        <v>2026</v>
      </c>
      <c r="S26" s="81" t="e">
        <f>S14*'Saisie des données'!Y$49</f>
        <v>#VALUE!</v>
      </c>
    </row>
    <row r="27" spans="1:19" ht="15.5" outlineLevel="1" x14ac:dyDescent="0.35">
      <c r="A27" s="15"/>
      <c r="B27" s="80">
        <f>'Saisie des données'!$F$18+5</f>
        <v>2027</v>
      </c>
      <c r="C27" s="81">
        <f>C15*'Saisie des données'!D$49</f>
        <v>273437.47187293472</v>
      </c>
      <c r="D27" s="82"/>
      <c r="E27" s="80">
        <f>'Saisie des données'!$F$18+5</f>
        <v>2027</v>
      </c>
      <c r="F27" s="81">
        <f>F15*'Saisie des données'!H$49</f>
        <v>273437.47187293472</v>
      </c>
      <c r="G27" s="82"/>
      <c r="H27" s="80">
        <f>'Saisie des données'!$F$18+5</f>
        <v>2027</v>
      </c>
      <c r="I27" s="81">
        <f>I15*'Saisie des données'!L$49</f>
        <v>264802.6043401052</v>
      </c>
      <c r="J27" s="73"/>
      <c r="K27" s="15"/>
      <c r="L27" s="80">
        <f>'Saisie des données'!$F$18+5</f>
        <v>2027</v>
      </c>
      <c r="M27" s="81">
        <f>M15*'Saisie des données'!Q$49</f>
        <v>264802.6043401052</v>
      </c>
      <c r="N27" s="82"/>
      <c r="O27" s="80">
        <f>'Saisie des données'!$F$18+5</f>
        <v>2027</v>
      </c>
      <c r="P27" s="81">
        <f>P15*'Saisie des données'!U$49</f>
        <v>273437.47187293472</v>
      </c>
      <c r="Q27" s="82"/>
      <c r="R27" s="80">
        <f>'Saisie des données'!$F$18+5</f>
        <v>2027</v>
      </c>
      <c r="S27" s="81" t="e">
        <f>S15*'Saisie des données'!Y$49</f>
        <v>#VALUE!</v>
      </c>
    </row>
    <row r="28" spans="1:19" ht="15.5" outlineLevel="1" x14ac:dyDescent="0.35">
      <c r="A28" s="15"/>
      <c r="B28" s="80">
        <f>'Saisie des données'!$F$18+6</f>
        <v>2028</v>
      </c>
      <c r="C28" s="81">
        <f>C16*'Saisie des données'!D$49</f>
        <v>281640.59602912277</v>
      </c>
      <c r="D28" s="82"/>
      <c r="E28" s="80">
        <f>'Saisie des données'!$F$18+6</f>
        <v>2028</v>
      </c>
      <c r="F28" s="81">
        <f>F16*'Saisie des données'!H$49</f>
        <v>281640.59602912277</v>
      </c>
      <c r="G28" s="82"/>
      <c r="H28" s="80">
        <f>'Saisie des données'!$F$18+6</f>
        <v>2028</v>
      </c>
      <c r="I28" s="81">
        <f>I16*'Saisie des données'!L$49</f>
        <v>272746.68247030833</v>
      </c>
      <c r="J28" s="73"/>
      <c r="K28" s="15"/>
      <c r="L28" s="80">
        <f>'Saisie des données'!$F$18+6</f>
        <v>2028</v>
      </c>
      <c r="M28" s="81">
        <f>M16*'Saisie des données'!Q$49</f>
        <v>272746.68247030833</v>
      </c>
      <c r="N28" s="82"/>
      <c r="O28" s="80">
        <f>'Saisie des données'!$F$18+6</f>
        <v>2028</v>
      </c>
      <c r="P28" s="81">
        <f>P16*'Saisie des données'!U$49</f>
        <v>281640.59602912277</v>
      </c>
      <c r="Q28" s="82"/>
      <c r="R28" s="80">
        <f>'Saisie des données'!$F$18+6</f>
        <v>2028</v>
      </c>
      <c r="S28" s="81" t="e">
        <f>S16*'Saisie des données'!Y$49</f>
        <v>#VALUE!</v>
      </c>
    </row>
    <row r="29" spans="1:19" ht="15.5" outlineLevel="1" x14ac:dyDescent="0.35">
      <c r="A29" s="15"/>
      <c r="B29" s="80">
        <f>'Saisie des données'!$F$18+7</f>
        <v>2029</v>
      </c>
      <c r="C29" s="81">
        <f>C17*'Saisie des données'!D$49</f>
        <v>290089.81390999648</v>
      </c>
      <c r="D29" s="82"/>
      <c r="E29" s="80">
        <f>'Saisie des données'!$F$18+7</f>
        <v>2029</v>
      </c>
      <c r="F29" s="81">
        <f>F17*'Saisie des données'!H$49</f>
        <v>290089.81390999648</v>
      </c>
      <c r="G29" s="82"/>
      <c r="H29" s="80">
        <f>'Saisie des données'!$F$18+7</f>
        <v>2029</v>
      </c>
      <c r="I29" s="81">
        <f>I17*'Saisie des données'!L$49</f>
        <v>280929.08294441766</v>
      </c>
      <c r="J29" s="73"/>
      <c r="K29" s="15"/>
      <c r="L29" s="80">
        <f>'Saisie des données'!$F$18+7</f>
        <v>2029</v>
      </c>
      <c r="M29" s="81">
        <f>M17*'Saisie des données'!Q$49</f>
        <v>280929.08294441766</v>
      </c>
      <c r="N29" s="82"/>
      <c r="O29" s="80">
        <f>'Saisie des données'!$F$18+7</f>
        <v>2029</v>
      </c>
      <c r="P29" s="81">
        <f>P17*'Saisie des données'!U$49</f>
        <v>290089.81390999648</v>
      </c>
      <c r="Q29" s="82"/>
      <c r="R29" s="80">
        <f>'Saisie des données'!$F$18+7</f>
        <v>2029</v>
      </c>
      <c r="S29" s="81" t="e">
        <f>S17*'Saisie des données'!Y$49</f>
        <v>#VALUE!</v>
      </c>
    </row>
    <row r="30" spans="1:19" ht="15.5" outlineLevel="1" x14ac:dyDescent="0.35">
      <c r="A30" s="15"/>
      <c r="B30" s="80">
        <f>'Saisie des données'!$F$18+8</f>
        <v>2030</v>
      </c>
      <c r="C30" s="81">
        <f>C18*'Saisie des données'!D$49</f>
        <v>298792.50832729629</v>
      </c>
      <c r="D30" s="82"/>
      <c r="E30" s="80">
        <f>'Saisie des données'!$F$18+8</f>
        <v>2030</v>
      </c>
      <c r="F30" s="81">
        <f>F18*'Saisie des données'!H$49</f>
        <v>298792.50832729629</v>
      </c>
      <c r="G30" s="82"/>
      <c r="H30" s="80">
        <f>'Saisie des données'!$F$18+8</f>
        <v>2030</v>
      </c>
      <c r="I30" s="81">
        <f>I18*'Saisie des données'!L$49</f>
        <v>289356.95543275011</v>
      </c>
      <c r="J30" s="73"/>
      <c r="K30" s="15"/>
      <c r="L30" s="80">
        <f>'Saisie des données'!$F$18+8</f>
        <v>2030</v>
      </c>
      <c r="M30" s="81">
        <f>M18*'Saisie des données'!Q$49</f>
        <v>289356.95543275011</v>
      </c>
      <c r="N30" s="82"/>
      <c r="O30" s="80">
        <f>'Saisie des données'!$F$18+8</f>
        <v>2030</v>
      </c>
      <c r="P30" s="81">
        <f>P18*'Saisie des données'!U$49</f>
        <v>298792.50832729629</v>
      </c>
      <c r="Q30" s="82"/>
      <c r="R30" s="80">
        <f>'Saisie des données'!$F$18+8</f>
        <v>2030</v>
      </c>
      <c r="S30" s="81" t="e">
        <f>S18*'Saisie des données'!Y$49</f>
        <v>#VALUE!</v>
      </c>
    </row>
    <row r="31" spans="1:19" ht="15.5" outlineLevel="1" x14ac:dyDescent="0.35">
      <c r="A31" s="15"/>
      <c r="B31" s="80">
        <f>'Saisie des données'!$F$18+9</f>
        <v>2031</v>
      </c>
      <c r="C31" s="81">
        <f>C19*'Saisie des données'!D$49</f>
        <v>307756.28357711527</v>
      </c>
      <c r="D31" s="82"/>
      <c r="E31" s="80">
        <f>'Saisie des données'!$F$18+9</f>
        <v>2031</v>
      </c>
      <c r="F31" s="81">
        <f>F19*'Saisie des données'!H$49</f>
        <v>307756.28357711527</v>
      </c>
      <c r="G31" s="82"/>
      <c r="H31" s="80">
        <f>'Saisie des données'!$F$18+9</f>
        <v>2031</v>
      </c>
      <c r="I31" s="81">
        <f>I19*'Saisie des données'!L$49</f>
        <v>298037.66409573267</v>
      </c>
      <c r="J31" s="73"/>
      <c r="K31" s="15"/>
      <c r="L31" s="80">
        <f>'Saisie des données'!$F$18+9</f>
        <v>2031</v>
      </c>
      <c r="M31" s="81">
        <f>M19*'Saisie des données'!Q$49</f>
        <v>298037.66409573267</v>
      </c>
      <c r="N31" s="82"/>
      <c r="O31" s="80">
        <f>'Saisie des données'!$F$18+9</f>
        <v>2031</v>
      </c>
      <c r="P31" s="81">
        <f>P19*'Saisie des données'!U$49</f>
        <v>307756.28357711527</v>
      </c>
      <c r="Q31" s="82"/>
      <c r="R31" s="80">
        <f>'Saisie des données'!$F$18+9</f>
        <v>2031</v>
      </c>
      <c r="S31" s="81" t="e">
        <f>S19*'Saisie des données'!Y$49</f>
        <v>#VALUE!</v>
      </c>
    </row>
    <row r="32" spans="1:19" ht="38.15" customHeight="1" outlineLevel="1" x14ac:dyDescent="0.35">
      <c r="A32" s="15"/>
      <c r="B32" s="228" t="s">
        <v>126</v>
      </c>
      <c r="C32" s="275"/>
      <c r="D32" s="82"/>
      <c r="E32" s="228" t="s">
        <v>126</v>
      </c>
      <c r="F32" s="275"/>
      <c r="G32" s="82"/>
      <c r="H32" s="228" t="s">
        <v>126</v>
      </c>
      <c r="I32" s="275"/>
      <c r="J32" s="73"/>
      <c r="K32" s="15"/>
      <c r="L32" s="228" t="s">
        <v>126</v>
      </c>
      <c r="M32" s="275"/>
      <c r="N32" s="82"/>
      <c r="O32" s="228" t="s">
        <v>126</v>
      </c>
      <c r="P32" s="275"/>
      <c r="Q32" s="82"/>
      <c r="R32" s="228" t="s">
        <v>126</v>
      </c>
      <c r="S32" s="275"/>
    </row>
    <row r="33" spans="1:19" ht="15.5" outlineLevel="1" x14ac:dyDescent="0.35">
      <c r="A33" s="15"/>
      <c r="B33" s="80">
        <f>'Saisie des données'!$F$18</f>
        <v>2022</v>
      </c>
      <c r="C33" s="81">
        <f>C22*'Saisie des données'!D$46</f>
        <v>566086.95652173914</v>
      </c>
      <c r="D33" s="82"/>
      <c r="E33" s="80">
        <f>'Saisie des données'!$F$18</f>
        <v>2022</v>
      </c>
      <c r="F33" s="81">
        <f>F22*'Saisie des données'!H$46</f>
        <v>825543.47826086951</v>
      </c>
      <c r="G33" s="82"/>
      <c r="H33" s="80">
        <f>'Saisie des données'!$F$18</f>
        <v>2022</v>
      </c>
      <c r="I33" s="81">
        <f>I22*'Saisie des données'!L$46</f>
        <v>3197894.7368421052</v>
      </c>
      <c r="J33" s="73"/>
      <c r="K33" s="15"/>
      <c r="L33" s="80">
        <f>'Saisie des données'!$F$18</f>
        <v>2022</v>
      </c>
      <c r="M33" s="81">
        <f>M22*'Saisie des données'!Q$46</f>
        <v>2741052.6315789474</v>
      </c>
      <c r="N33" s="82"/>
      <c r="O33" s="80">
        <f>'Saisie des données'!$F$18</f>
        <v>2022</v>
      </c>
      <c r="P33" s="81">
        <f>P22*'Saisie des données'!U$46</f>
        <v>825543.47826086951</v>
      </c>
      <c r="Q33" s="82"/>
      <c r="R33" s="80">
        <f>'Saisie des données'!$F$18</f>
        <v>2022</v>
      </c>
      <c r="S33" s="81" t="e">
        <f>S22*'Saisie des données'!Y$46</f>
        <v>#VALUE!</v>
      </c>
    </row>
    <row r="34" spans="1:19" ht="15.5" outlineLevel="1" x14ac:dyDescent="0.35">
      <c r="A34" s="15"/>
      <c r="B34" s="80">
        <f>'Saisie des données'!$F$18+1</f>
        <v>2023</v>
      </c>
      <c r="C34" s="81">
        <f>C23*'Saisie des données'!D$46</f>
        <v>583069.56521739124</v>
      </c>
      <c r="D34" s="82"/>
      <c r="E34" s="80">
        <f>'Saisie des données'!$F$18+1</f>
        <v>2023</v>
      </c>
      <c r="F34" s="81">
        <f>F23*'Saisie des données'!H$46</f>
        <v>850309.78260869556</v>
      </c>
      <c r="G34" s="82"/>
      <c r="H34" s="80">
        <f>'Saisie des données'!$F$18+1</f>
        <v>2023</v>
      </c>
      <c r="I34" s="81">
        <f>I23*'Saisie des données'!L$46</f>
        <v>3293831.5789473681</v>
      </c>
      <c r="J34" s="73"/>
      <c r="K34" s="15"/>
      <c r="L34" s="80">
        <f>'Saisie des données'!$F$18+1</f>
        <v>2023</v>
      </c>
      <c r="M34" s="81">
        <f>M23*'Saisie des données'!Q$46</f>
        <v>2823284.2105263155</v>
      </c>
      <c r="N34" s="82"/>
      <c r="O34" s="80">
        <f>'Saisie des données'!$F$18+1</f>
        <v>2023</v>
      </c>
      <c r="P34" s="81">
        <f>P23*'Saisie des données'!U$46</f>
        <v>850309.78260869556</v>
      </c>
      <c r="Q34" s="82"/>
      <c r="R34" s="80">
        <f>'Saisie des données'!$F$18+1</f>
        <v>2023</v>
      </c>
      <c r="S34" s="81" t="e">
        <f>S23*'Saisie des données'!Y$46</f>
        <v>#VALUE!</v>
      </c>
    </row>
    <row r="35" spans="1:19" ht="15.5" outlineLevel="1" x14ac:dyDescent="0.35">
      <c r="A35" s="15"/>
      <c r="B35" s="80">
        <f>'Saisie des données'!$F$18+2</f>
        <v>2024</v>
      </c>
      <c r="C35" s="81">
        <f>C24*'Saisie des données'!D$46</f>
        <v>600561.65217391297</v>
      </c>
      <c r="D35" s="82"/>
      <c r="E35" s="80">
        <f>'Saisie des données'!$F$18+2</f>
        <v>2024</v>
      </c>
      <c r="F35" s="81">
        <f>F24*'Saisie des données'!H$46</f>
        <v>875819.07608695643</v>
      </c>
      <c r="G35" s="82"/>
      <c r="H35" s="80">
        <f>'Saisie des données'!$F$18+2</f>
        <v>2024</v>
      </c>
      <c r="I35" s="81">
        <f>I24*'Saisie des données'!L$46</f>
        <v>3392646.5263157892</v>
      </c>
      <c r="J35" s="73"/>
      <c r="K35" s="15"/>
      <c r="L35" s="80">
        <f>'Saisie des données'!$F$18+2</f>
        <v>2024</v>
      </c>
      <c r="M35" s="81">
        <f>M24*'Saisie des données'!Q$46</f>
        <v>2907982.7368421052</v>
      </c>
      <c r="N35" s="82"/>
      <c r="O35" s="80">
        <f>'Saisie des données'!$F$18+2</f>
        <v>2024</v>
      </c>
      <c r="P35" s="81">
        <f>P24*'Saisie des données'!U$46</f>
        <v>875819.07608695643</v>
      </c>
      <c r="Q35" s="82"/>
      <c r="R35" s="80">
        <f>'Saisie des données'!$F$18+2</f>
        <v>2024</v>
      </c>
      <c r="S35" s="81" t="e">
        <f>S24*'Saisie des données'!Y$46</f>
        <v>#VALUE!</v>
      </c>
    </row>
    <row r="36" spans="1:19" ht="15.5" outlineLevel="1" x14ac:dyDescent="0.35">
      <c r="A36" s="15"/>
      <c r="B36" s="80">
        <f>'Saisie des données'!$F$18+3</f>
        <v>2025</v>
      </c>
      <c r="C36" s="81">
        <f>C25*'Saisie des données'!D$46</f>
        <v>618578.50173913047</v>
      </c>
      <c r="D36" s="82"/>
      <c r="E36" s="80">
        <f>'Saisie des données'!$F$18+3</f>
        <v>2025</v>
      </c>
      <c r="F36" s="81">
        <f>F25*'Saisie des données'!H$46</f>
        <v>902093.64836956526</v>
      </c>
      <c r="G36" s="82"/>
      <c r="H36" s="80">
        <f>'Saisie des données'!$F$18+3</f>
        <v>2025</v>
      </c>
      <c r="I36" s="81">
        <f>I25*'Saisie des données'!L$46</f>
        <v>3494425.9221052635</v>
      </c>
      <c r="J36" s="73"/>
      <c r="K36" s="15"/>
      <c r="L36" s="80">
        <f>'Saisie des données'!$F$18+3</f>
        <v>2025</v>
      </c>
      <c r="M36" s="81">
        <f>M25*'Saisie des données'!Q$46</f>
        <v>2995222.2189473687</v>
      </c>
      <c r="N36" s="82"/>
      <c r="O36" s="80">
        <f>'Saisie des données'!$F$18+3</f>
        <v>2025</v>
      </c>
      <c r="P36" s="81">
        <f>P25*'Saisie des données'!U$46</f>
        <v>902093.64836956526</v>
      </c>
      <c r="Q36" s="82"/>
      <c r="R36" s="80">
        <f>'Saisie des données'!$F$18+3</f>
        <v>2025</v>
      </c>
      <c r="S36" s="81" t="e">
        <f>S25*'Saisie des données'!Y$46</f>
        <v>#VALUE!</v>
      </c>
    </row>
    <row r="37" spans="1:19" ht="15.5" outlineLevel="1" x14ac:dyDescent="0.35">
      <c r="A37" s="15"/>
      <c r="B37" s="80">
        <f>'Saisie des données'!$F$18+4</f>
        <v>2026</v>
      </c>
      <c r="C37" s="81">
        <f>C26*'Saisie des données'!D$46</f>
        <v>637135.85679130431</v>
      </c>
      <c r="D37" s="82"/>
      <c r="E37" s="80">
        <f>'Saisie des données'!$F$18+4</f>
        <v>2026</v>
      </c>
      <c r="F37" s="81">
        <f>F26*'Saisie des données'!H$46</f>
        <v>929156.45782065205</v>
      </c>
      <c r="G37" s="82"/>
      <c r="H37" s="80">
        <f>'Saisie des données'!$F$18+4</f>
        <v>2026</v>
      </c>
      <c r="I37" s="81">
        <f>I26*'Saisie des données'!L$46</f>
        <v>3599258.6997684203</v>
      </c>
      <c r="J37" s="73"/>
      <c r="K37" s="15"/>
      <c r="L37" s="80">
        <f>'Saisie des données'!$F$18+4</f>
        <v>2026</v>
      </c>
      <c r="M37" s="81">
        <f>M26*'Saisie des données'!Q$46</f>
        <v>3085078.885515789</v>
      </c>
      <c r="N37" s="82"/>
      <c r="O37" s="80">
        <f>'Saisie des données'!$F$18+4</f>
        <v>2026</v>
      </c>
      <c r="P37" s="81">
        <f>P26*'Saisie des données'!U$46</f>
        <v>929156.45782065205</v>
      </c>
      <c r="Q37" s="82"/>
      <c r="R37" s="80">
        <f>'Saisie des données'!$F$18+4</f>
        <v>2026</v>
      </c>
      <c r="S37" s="81" t="e">
        <f>S26*'Saisie des données'!Y$46</f>
        <v>#VALUE!</v>
      </c>
    </row>
    <row r="38" spans="1:19" ht="15.5" outlineLevel="1" x14ac:dyDescent="0.35">
      <c r="A38" s="15"/>
      <c r="B38" s="80">
        <f>'Saisie des données'!$F$18+5</f>
        <v>2027</v>
      </c>
      <c r="C38" s="81">
        <f>C27*'Saisie des données'!D$46</f>
        <v>656249.93249504326</v>
      </c>
      <c r="D38" s="82"/>
      <c r="E38" s="80">
        <f>'Saisie des données'!$F$18+5</f>
        <v>2027</v>
      </c>
      <c r="F38" s="81">
        <f>F27*'Saisie des données'!H$46</f>
        <v>957031.15155527159</v>
      </c>
      <c r="G38" s="82"/>
      <c r="H38" s="80">
        <f>'Saisie des données'!$F$18+5</f>
        <v>2027</v>
      </c>
      <c r="I38" s="81">
        <f>I27*'Saisie des données'!L$46</f>
        <v>3707236.4607614726</v>
      </c>
      <c r="J38" s="73"/>
      <c r="K38" s="15"/>
      <c r="L38" s="80">
        <f>'Saisie des données'!$F$18+5</f>
        <v>2027</v>
      </c>
      <c r="M38" s="81">
        <f>M27*'Saisie des données'!Q$46</f>
        <v>3177631.2520812624</v>
      </c>
      <c r="N38" s="82"/>
      <c r="O38" s="80">
        <f>'Saisie des données'!$F$18+5</f>
        <v>2027</v>
      </c>
      <c r="P38" s="81">
        <f>P27*'Saisie des données'!U$46</f>
        <v>957031.15155527159</v>
      </c>
      <c r="Q38" s="82"/>
      <c r="R38" s="80">
        <f>'Saisie des données'!$F$18+5</f>
        <v>2027</v>
      </c>
      <c r="S38" s="81" t="e">
        <f>S27*'Saisie des données'!Y$46</f>
        <v>#VALUE!</v>
      </c>
    </row>
    <row r="39" spans="1:19" ht="15.5" outlineLevel="1" x14ac:dyDescent="0.35">
      <c r="A39" s="15"/>
      <c r="B39" s="80">
        <f>'Saisie des données'!$F$18+6</f>
        <v>2028</v>
      </c>
      <c r="C39" s="81">
        <f>C28*'Saisie des données'!D$46</f>
        <v>675937.43046989467</v>
      </c>
      <c r="D39" s="82"/>
      <c r="E39" s="80">
        <f>'Saisie des données'!$F$18+6</f>
        <v>2028</v>
      </c>
      <c r="F39" s="81">
        <f>F28*'Saisie des données'!H$46</f>
        <v>985742.08610192966</v>
      </c>
      <c r="G39" s="82"/>
      <c r="H39" s="80">
        <f>'Saisie des données'!$F$18+6</f>
        <v>2028</v>
      </c>
      <c r="I39" s="81">
        <f>I28*'Saisie des données'!L$46</f>
        <v>3818453.5545843164</v>
      </c>
      <c r="J39" s="73"/>
      <c r="K39" s="15"/>
      <c r="L39" s="80">
        <f>'Saisie des données'!$F$18+6</f>
        <v>2028</v>
      </c>
      <c r="M39" s="81">
        <f>M28*'Saisie des données'!Q$46</f>
        <v>3272960.1896436997</v>
      </c>
      <c r="N39" s="82"/>
      <c r="O39" s="80">
        <f>'Saisie des données'!$F$18+6</f>
        <v>2028</v>
      </c>
      <c r="P39" s="81">
        <f>P28*'Saisie des données'!U$46</f>
        <v>985742.08610192966</v>
      </c>
      <c r="Q39" s="82"/>
      <c r="R39" s="80">
        <f>'Saisie des données'!$F$18+6</f>
        <v>2028</v>
      </c>
      <c r="S39" s="81" t="e">
        <f>S28*'Saisie des données'!Y$46</f>
        <v>#VALUE!</v>
      </c>
    </row>
    <row r="40" spans="1:19" ht="15.5" outlineLevel="1" x14ac:dyDescent="0.35">
      <c r="A40" s="15"/>
      <c r="B40" s="80">
        <f>'Saisie des données'!$F$18+7</f>
        <v>2029</v>
      </c>
      <c r="C40" s="81">
        <f>C29*'Saisie des données'!D$46</f>
        <v>696215.55338399147</v>
      </c>
      <c r="D40" s="82"/>
      <c r="E40" s="80">
        <f>'Saisie des données'!$F$18+7</f>
        <v>2029</v>
      </c>
      <c r="F40" s="81">
        <f>F29*'Saisie des données'!H$46</f>
        <v>1015314.3486849876</v>
      </c>
      <c r="G40" s="82"/>
      <c r="H40" s="80">
        <f>'Saisie des données'!$F$18+7</f>
        <v>2029</v>
      </c>
      <c r="I40" s="81">
        <f>I29*'Saisie des données'!L$46</f>
        <v>3933007.1612218474</v>
      </c>
      <c r="J40" s="73"/>
      <c r="K40" s="15"/>
      <c r="L40" s="80">
        <f>'Saisie des données'!$F$18+7</f>
        <v>2029</v>
      </c>
      <c r="M40" s="81">
        <f>M29*'Saisie des données'!Q$46</f>
        <v>3371148.9953330122</v>
      </c>
      <c r="N40" s="82"/>
      <c r="O40" s="80">
        <f>'Saisie des données'!$F$18+7</f>
        <v>2029</v>
      </c>
      <c r="P40" s="81">
        <f>P29*'Saisie des données'!U$46</f>
        <v>1015314.3486849876</v>
      </c>
      <c r="Q40" s="82"/>
      <c r="R40" s="80">
        <f>'Saisie des données'!$F$18+7</f>
        <v>2029</v>
      </c>
      <c r="S40" s="81" t="e">
        <f>S29*'Saisie des données'!Y$46</f>
        <v>#VALUE!</v>
      </c>
    </row>
    <row r="41" spans="1:19" ht="15.5" outlineLevel="1" x14ac:dyDescent="0.35">
      <c r="A41" s="15"/>
      <c r="B41" s="80">
        <f>'Saisie des données'!$F$18+8</f>
        <v>2030</v>
      </c>
      <c r="C41" s="81">
        <f>C30*'Saisie des données'!D$46</f>
        <v>717102.01998551108</v>
      </c>
      <c r="D41" s="82"/>
      <c r="E41" s="80">
        <f>'Saisie des données'!$F$18+8</f>
        <v>2030</v>
      </c>
      <c r="F41" s="81">
        <f>F30*'Saisie des données'!H$46</f>
        <v>1045773.7791455371</v>
      </c>
      <c r="G41" s="82"/>
      <c r="H41" s="80">
        <f>'Saisie des données'!$F$18+8</f>
        <v>2030</v>
      </c>
      <c r="I41" s="81">
        <f>I30*'Saisie des données'!L$46</f>
        <v>4050997.3760585017</v>
      </c>
      <c r="J41" s="73"/>
      <c r="K41" s="15"/>
      <c r="L41" s="80">
        <f>'Saisie des données'!$F$18+8</f>
        <v>2030</v>
      </c>
      <c r="M41" s="81">
        <f>M30*'Saisie des données'!Q$46</f>
        <v>3472283.4651930016</v>
      </c>
      <c r="N41" s="82"/>
      <c r="O41" s="80">
        <f>'Saisie des données'!$F$18+8</f>
        <v>2030</v>
      </c>
      <c r="P41" s="81">
        <f>P30*'Saisie des données'!U$46</f>
        <v>1045773.7791455371</v>
      </c>
      <c r="Q41" s="82"/>
      <c r="R41" s="80">
        <f>'Saisie des données'!$F$18+8</f>
        <v>2030</v>
      </c>
      <c r="S41" s="81" t="e">
        <f>S30*'Saisie des données'!Y$46</f>
        <v>#VALUE!</v>
      </c>
    </row>
    <row r="42" spans="1:19" ht="15.5" outlineLevel="1" x14ac:dyDescent="0.35">
      <c r="A42" s="15"/>
      <c r="B42" s="80">
        <f>'Saisie des données'!$F$18+9</f>
        <v>2031</v>
      </c>
      <c r="C42" s="81">
        <f>C31*'Saisie des données'!D$46</f>
        <v>738615.08058507659</v>
      </c>
      <c r="D42" s="82"/>
      <c r="E42" s="80">
        <f>'Saisie des données'!$F$18+9</f>
        <v>2031</v>
      </c>
      <c r="F42" s="81">
        <f>F31*'Saisie des données'!H$46</f>
        <v>1077146.9925199035</v>
      </c>
      <c r="G42" s="82"/>
      <c r="H42" s="80">
        <f>'Saisie des données'!$F$18+9</f>
        <v>2031</v>
      </c>
      <c r="I42" s="81">
        <f>I31*'Saisie des données'!L$46</f>
        <v>4172527.2973402576</v>
      </c>
      <c r="J42" s="73"/>
      <c r="K42" s="15"/>
      <c r="L42" s="80">
        <f>'Saisie des données'!$F$18+9</f>
        <v>2031</v>
      </c>
      <c r="M42" s="81">
        <f>M31*'Saisie des données'!Q$46</f>
        <v>3576451.9691487923</v>
      </c>
      <c r="N42" s="82"/>
      <c r="O42" s="80">
        <f>'Saisie des données'!$F$18+9</f>
        <v>2031</v>
      </c>
      <c r="P42" s="81">
        <f>P31*'Saisie des données'!U$46</f>
        <v>1077146.9925199035</v>
      </c>
      <c r="Q42" s="82"/>
      <c r="R42" s="80">
        <f>'Saisie des données'!$F$18+9</f>
        <v>2031</v>
      </c>
      <c r="S42" s="81" t="e">
        <f>S31*'Saisie des données'!Y$46</f>
        <v>#VALUE!</v>
      </c>
    </row>
    <row r="43" spans="1:19" ht="35.4" customHeight="1" outlineLevel="1" x14ac:dyDescent="0.35">
      <c r="A43" s="15"/>
      <c r="B43" s="276" t="s">
        <v>127</v>
      </c>
      <c r="C43" s="276"/>
      <c r="D43" s="276"/>
      <c r="E43" s="276"/>
      <c r="F43" s="276"/>
      <c r="G43" s="276"/>
      <c r="H43" s="276"/>
      <c r="I43" s="276"/>
      <c r="J43" s="73"/>
      <c r="K43" s="15"/>
      <c r="L43" s="276" t="s">
        <v>127</v>
      </c>
      <c r="M43" s="276"/>
      <c r="N43" s="276"/>
      <c r="O43" s="276"/>
      <c r="P43" s="276"/>
      <c r="Q43" s="276"/>
      <c r="R43" s="276"/>
      <c r="S43" s="276"/>
    </row>
    <row r="44" spans="1:19" ht="10.4" customHeight="1" x14ac:dyDescent="0.35">
      <c r="A44" s="15"/>
      <c r="B44" s="194"/>
      <c r="C44" s="195"/>
      <c r="D44" s="84"/>
      <c r="E44" s="196"/>
      <c r="F44" s="195"/>
      <c r="G44" s="82"/>
      <c r="H44" s="194"/>
      <c r="I44" s="195"/>
      <c r="J44" s="73"/>
      <c r="K44" s="15"/>
      <c r="L44" s="194"/>
      <c r="M44" s="195"/>
      <c r="N44" s="84"/>
      <c r="O44" s="196"/>
      <c r="P44" s="195"/>
      <c r="Q44" s="82"/>
      <c r="R44" s="194"/>
      <c r="S44" s="195"/>
    </row>
    <row r="45" spans="1:19" ht="18.5" x14ac:dyDescent="0.35">
      <c r="A45" s="15"/>
      <c r="B45" s="269" t="s">
        <v>128</v>
      </c>
      <c r="C45" s="269"/>
      <c r="D45" s="15"/>
      <c r="E45" s="269" t="s">
        <v>128</v>
      </c>
      <c r="F45" s="269"/>
      <c r="G45" s="15"/>
      <c r="H45" s="269" t="s">
        <v>128</v>
      </c>
      <c r="I45" s="269"/>
      <c r="J45" s="73"/>
      <c r="K45" s="15"/>
      <c r="L45" s="269" t="s">
        <v>128</v>
      </c>
      <c r="M45" s="269"/>
      <c r="N45" s="15"/>
      <c r="O45" s="269" t="s">
        <v>128</v>
      </c>
      <c r="P45" s="269"/>
      <c r="Q45" s="15"/>
      <c r="R45" s="269" t="s">
        <v>128</v>
      </c>
      <c r="S45" s="269"/>
    </row>
    <row r="46" spans="1:19" ht="30" customHeight="1" x14ac:dyDescent="0.35">
      <c r="A46" s="15"/>
      <c r="B46" s="228" t="s">
        <v>129</v>
      </c>
      <c r="C46" s="275"/>
      <c r="D46" s="15"/>
      <c r="E46" s="228" t="s">
        <v>129</v>
      </c>
      <c r="F46" s="275"/>
      <c r="G46" s="15"/>
      <c r="H46" s="228" t="s">
        <v>129</v>
      </c>
      <c r="I46" s="274"/>
      <c r="J46" s="73"/>
      <c r="K46" s="15"/>
      <c r="L46" s="228" t="s">
        <v>129</v>
      </c>
      <c r="M46" s="275"/>
      <c r="N46" s="15"/>
      <c r="O46" s="228" t="s">
        <v>129</v>
      </c>
      <c r="P46" s="275"/>
      <c r="Q46" s="15"/>
      <c r="R46" s="228" t="s">
        <v>129</v>
      </c>
      <c r="S46" s="275"/>
    </row>
    <row r="47" spans="1:19" ht="60" customHeight="1" x14ac:dyDescent="0.35">
      <c r="A47" s="15"/>
      <c r="B47" s="80" t="s">
        <v>124</v>
      </c>
      <c r="C47" s="212">
        <f>SUM(C48:C57)</f>
        <v>5550100.821571555</v>
      </c>
      <c r="D47" s="82"/>
      <c r="E47" s="80" t="s">
        <v>124</v>
      </c>
      <c r="F47" s="212">
        <f>SUM(F48:F57)</f>
        <v>3680517.9666874772</v>
      </c>
      <c r="G47" s="82"/>
      <c r="H47" s="80" t="s">
        <v>124</v>
      </c>
      <c r="I47" s="212">
        <f>SUM(I48:I57)</f>
        <v>5206172.5470139328</v>
      </c>
      <c r="J47" s="73"/>
      <c r="K47" s="15"/>
      <c r="L47" s="80" t="s">
        <v>124</v>
      </c>
      <c r="M47" s="212">
        <f>SUM(M48:M57)</f>
        <v>5809687.0124501958</v>
      </c>
      <c r="N47" s="82"/>
      <c r="O47" s="80" t="s">
        <v>124</v>
      </c>
      <c r="P47" s="212">
        <f>SUM(P48:P57)</f>
        <v>5283017.5565881161</v>
      </c>
      <c r="Q47" s="82"/>
      <c r="R47" s="80" t="s">
        <v>124</v>
      </c>
      <c r="S47" s="212" t="e">
        <f>SUM(S48:S57)</f>
        <v>#VALUE!</v>
      </c>
    </row>
    <row r="48" spans="1:19" ht="15.5" outlineLevel="1" x14ac:dyDescent="0.35">
      <c r="A48" s="15"/>
      <c r="B48" s="80">
        <f>'Saisie des données'!$F$18</f>
        <v>2022</v>
      </c>
      <c r="C48" s="213">
        <f>C22*('Saisie des données'!D35+'Saisie des données'!D35*'Saisie des données'!D$50+'Saisie des données'!D35*'Saisie des données'!D$51)+(C10/'Saisie des données'!D$53*'Saisie des données'!D$52)+(C10*'Saisie des données'!D$54)</f>
        <v>236020.52173913043</v>
      </c>
      <c r="D48" s="82"/>
      <c r="E48" s="80">
        <f>'Saisie des données'!$F$18</f>
        <v>2022</v>
      </c>
      <c r="F48" s="213">
        <f>F22*('Saisie des données'!H35+'Saisie des données'!H35*'Saisie des données'!H$50+'Saisie des données'!H35*'Saisie des données'!H$51)+(F10/'Saisie des données'!H$53*'Saisie des données'!H$52)+(F10*'Saisie des données'!H$54)</f>
        <v>158353.39130434784</v>
      </c>
      <c r="G48" s="82"/>
      <c r="H48" s="80">
        <f>'Saisie des données'!$F$18</f>
        <v>2022</v>
      </c>
      <c r="I48" s="213">
        <f>I22*('Saisie des données'!L35+'Saisie des données'!L35*'Saisie des données'!L$50+'Saisie des données'!L35*'Saisie des données'!L$51)+(I10/'Saisie des données'!L$53*'Saisie des données'!L$52)+(I10*'Saisie des données'!L$54)</f>
        <v>221732.88421052633</v>
      </c>
      <c r="J48" s="15"/>
      <c r="K48" s="85"/>
      <c r="L48" s="86">
        <f>'Saisie des données'!$F$18</f>
        <v>2022</v>
      </c>
      <c r="M48" s="214">
        <f>M22*('Saisie des données'!Q35+'Saisie des données'!Q35*'Saisie des données'!Q$50+'Saisie des données'!Q35*'Saisie des données'!Q$51)+(M10/'Saisie des données'!Q$53*'Saisie des données'!Q$52)+(M10*'Saisie des données'!Q$54)</f>
        <v>246804.37894736842</v>
      </c>
      <c r="N48" s="82"/>
      <c r="O48" s="80">
        <f>'Saisie des données'!$F$18</f>
        <v>2022</v>
      </c>
      <c r="P48" s="213">
        <f>P22*('Saisie des données'!U35+'Saisie des données'!U35*'Saisie des données'!U$50+'Saisie des données'!U35*'Saisie des données'!U$51)+(P10/'Saisie des données'!U$53*'Saisie des données'!U$52)+(P10*'Saisie des données'!U$54)</f>
        <v>224925.21739130435</v>
      </c>
      <c r="Q48" s="82"/>
      <c r="R48" s="80">
        <f>'Saisie des données'!$F$18</f>
        <v>2022</v>
      </c>
      <c r="S48" s="213" t="e">
        <f>S22*('Saisie des données'!Y35+'Saisie des données'!Y35*'Saisie des données'!Y$50+'Saisie des données'!Y35*'Saisie des données'!Y$51)+(S10/'Saisie des données'!Y$53*'Saisie des données'!Y$52)+(S10*'Saisie des données'!Y$54)</f>
        <v>#VALUE!</v>
      </c>
    </row>
    <row r="49" spans="1:19" ht="15.5" outlineLevel="1" x14ac:dyDescent="0.35">
      <c r="A49" s="15"/>
      <c r="B49" s="80">
        <f>'Saisie des données'!$F$18+1</f>
        <v>2023</v>
      </c>
      <c r="C49" s="213">
        <f>C23*('Saisie des données'!D36+'Saisie des données'!D36*'Saisie des données'!D$50+'Saisie des données'!D36*'Saisie des données'!D$51)+(C11/'Saisie des données'!D$53*'Saisie des données'!D$52)+(C11*'Saisie des données'!D$54)</f>
        <v>276297.23130434781</v>
      </c>
      <c r="D49" s="82"/>
      <c r="E49" s="80">
        <f>'Saisie des données'!$F$18+1</f>
        <v>2023</v>
      </c>
      <c r="F49" s="213">
        <f>F23*('Saisie des données'!H36+'Saisie des données'!H36*'Saisie des données'!H$50+'Saisie des données'!H36*'Saisie des données'!H$51)+(F11/'Saisie des données'!H$53*'Saisie des données'!H$52)+(F11*'Saisie des données'!H$54)</f>
        <v>184871.92347826087</v>
      </c>
      <c r="G49" s="82"/>
      <c r="H49" s="80">
        <f>'Saisie des données'!$F$18+1</f>
        <v>2023</v>
      </c>
      <c r="I49" s="213">
        <f>I23*('Saisie des données'!L36+'Saisie des données'!L36*'Saisie des données'!L$50+'Saisie des données'!L36*'Saisie des données'!L$51)+(I11/'Saisie des données'!L$53*'Saisie des données'!L$52)+(I11*'Saisie des données'!L$54)</f>
        <v>259478.6408421052</v>
      </c>
      <c r="J49" s="87"/>
      <c r="K49" s="63"/>
      <c r="L49" s="88">
        <f>'Saisie des données'!$F$18+1</f>
        <v>2023</v>
      </c>
      <c r="M49" s="214">
        <f>M23*('Saisie des données'!Q36+'Saisie des données'!Q36*'Saisie des données'!Q$50+'Saisie des données'!Q36*'Saisie des données'!Q$51)+(M11/'Saisie des données'!Q$53*'Saisie des données'!Q$52)+(M11*'Saisie des données'!Q$54)</f>
        <v>288991.37178947369</v>
      </c>
      <c r="N49" s="82"/>
      <c r="O49" s="80">
        <f>'Saisie des données'!$F$18+1</f>
        <v>2023</v>
      </c>
      <c r="P49" s="213">
        <f>P23*('Saisie des données'!U36+'Saisie des données'!U36*'Saisie des données'!U$50+'Saisie des données'!U36*'Saisie des données'!U$51)+(P11/'Saisie des données'!U$53*'Saisie des données'!U$52)+(P11*'Saisie des données'!U$54)</f>
        <v>263236.47304347821</v>
      </c>
      <c r="Q49" s="82"/>
      <c r="R49" s="80">
        <f>'Saisie des données'!$F$18+1</f>
        <v>2023</v>
      </c>
      <c r="S49" s="213" t="e">
        <f>S23*('Saisie des données'!Y36+'Saisie des données'!Y36*'Saisie des données'!Y$50+'Saisie des données'!Y36*'Saisie des données'!Y$51)+(S11/'Saisie des données'!Y$53*'Saisie des données'!Y$52)+(S11*'Saisie des données'!Y$54)</f>
        <v>#VALUE!</v>
      </c>
    </row>
    <row r="50" spans="1:19" ht="15.5" outlineLevel="1" x14ac:dyDescent="0.35">
      <c r="A50" s="15"/>
      <c r="B50" s="80">
        <f>'Saisie des données'!$F$18+2</f>
        <v>2024</v>
      </c>
      <c r="C50" s="213">
        <f>C24*('Saisie des données'!D37+'Saisie des données'!D37*'Saisie des données'!D$50+'Saisie des données'!D37*'Saisie des données'!D$51)+(C12/'Saisie des données'!D$53*'Saisie des données'!D$52)+(C12*'Saisie des données'!D$54)</f>
        <v>327326.11915652169</v>
      </c>
      <c r="D50" s="82"/>
      <c r="E50" s="80">
        <f>'Saisie des données'!$F$18+2</f>
        <v>2024</v>
      </c>
      <c r="F50" s="213">
        <f>F24*('Saisie des données'!H37+'Saisie des données'!H37*'Saisie des données'!H$50+'Saisie des données'!H37*'Saisie des données'!H$51)+(F12/'Saisie des données'!H$53*'Saisie des données'!H$52)+(F12*'Saisie des données'!H$54)</f>
        <v>218444.29161739125</v>
      </c>
      <c r="G50" s="82"/>
      <c r="H50" s="80">
        <f>'Saisie des données'!$F$18+2</f>
        <v>2024</v>
      </c>
      <c r="I50" s="213">
        <f>I24*('Saisie des données'!L37+'Saisie des données'!L37*'Saisie des données'!L$50+'Saisie des données'!L37*'Saisie des données'!L$51)+(I12/'Saisie des données'!L$53*'Saisie des données'!L$52)+(I12*'Saisie des données'!L$54)</f>
        <v>307296.22907789482</v>
      </c>
      <c r="J50" s="87"/>
      <c r="K50" s="15"/>
      <c r="L50" s="89">
        <f>'Saisie des données'!$F$18+2</f>
        <v>2024</v>
      </c>
      <c r="M50" s="214">
        <f>M24*('Saisie des données'!Q37+'Saisie des données'!Q37*'Saisie des données'!Q$50+'Saisie des données'!Q37*'Saisie des données'!Q$51)+(M12/'Saisie des données'!Q$53*'Saisie des données'!Q$52)+(M12*'Saisie des données'!Q$54)</f>
        <v>342444.04709052626</v>
      </c>
      <c r="N50" s="82"/>
      <c r="O50" s="80">
        <f>'Saisie des données'!$F$18+2</f>
        <v>2024</v>
      </c>
      <c r="P50" s="213">
        <f>P24*('Saisie des données'!U37+'Saisie des données'!U37*'Saisie des données'!U$50+'Saisie des données'!U37*'Saisie des données'!U$51)+(P12/'Saisie des données'!U$53*'Saisie des données'!U$52)+(P12*'Saisie des données'!U$54)</f>
        <v>311771.57236521738</v>
      </c>
      <c r="Q50" s="82"/>
      <c r="R50" s="80">
        <f>'Saisie des données'!$F$18+2</f>
        <v>2024</v>
      </c>
      <c r="S50" s="213" t="e">
        <f>S24*('Saisie des données'!Y37+'Saisie des données'!Y37*'Saisie des données'!Y$50+'Saisie des données'!Y37*'Saisie des données'!Y$51)+(S12/'Saisie des données'!Y$53*'Saisie des données'!Y$52)+(S12*'Saisie des données'!Y$54)</f>
        <v>#VALUE!</v>
      </c>
    </row>
    <row r="51" spans="1:19" ht="15.5" outlineLevel="1" x14ac:dyDescent="0.35">
      <c r="A51" s="15"/>
      <c r="B51" s="80">
        <f>'Saisie des données'!$F$18+3</f>
        <v>2025</v>
      </c>
      <c r="C51" s="213">
        <f>C25*('Saisie des données'!D38+'Saisie des données'!D38*'Saisie des données'!D$50+'Saisie des données'!D38*'Saisie des données'!D$51)+(C13/'Saisie des données'!D$53*'Saisie des données'!D$52)+(C13*'Saisie des données'!D$54)</f>
        <v>389972.50677973911</v>
      </c>
      <c r="D51" s="82"/>
      <c r="E51" s="80">
        <f>'Saisie des données'!$F$18+3</f>
        <v>2025</v>
      </c>
      <c r="F51" s="213">
        <f>F25*('Saisie des données'!H38+'Saisie des données'!H38*'Saisie des données'!H$50+'Saisie des données'!H38*'Saisie des données'!H$51)+(F13/'Saisie des données'!H$53*'Saisie des données'!H$52)+(F13*'Saisie des données'!H$54)</f>
        <v>259638.0164633044</v>
      </c>
      <c r="G51" s="82"/>
      <c r="H51" s="80">
        <f>'Saisie des données'!$F$18+3</f>
        <v>2025</v>
      </c>
      <c r="I51" s="213">
        <f>I25*('Saisie des données'!L38+'Saisie des données'!L38*'Saisie des données'!L$50+'Saisie des données'!L38*'Saisie des données'!L$51)+(I13/'Saisie des données'!L$53*'Saisie des données'!L$52)+(I13*'Saisie des données'!L$54)</f>
        <v>365996.18700724212</v>
      </c>
      <c r="J51" s="87"/>
      <c r="K51" s="15"/>
      <c r="L51" s="80">
        <f>'Saisie des données'!$F$18+3</f>
        <v>2025</v>
      </c>
      <c r="M51" s="214">
        <f>M25*('Saisie des données'!Q38+'Saisie des données'!Q38*'Saisie des données'!Q$50+'Saisie des données'!Q38*'Saisie des données'!Q$51)+(M13/'Saisie des données'!Q$53*'Saisie des données'!Q$52)+(M13*'Saisie des données'!Q$54)</f>
        <v>408069.07510938949</v>
      </c>
      <c r="N51" s="82"/>
      <c r="O51" s="80">
        <f>'Saisie des données'!$F$18+3</f>
        <v>2025</v>
      </c>
      <c r="P51" s="213">
        <f>P25*('Saisie des données'!U38+'Saisie des données'!U38*'Saisie des données'!U$50+'Saisie des données'!U38*'Saisie des données'!U$51)+(P13/'Saisie des données'!U$53*'Saisie des données'!U$52)+(P13*'Saisie des données'!U$54)</f>
        <v>371353.29387739132</v>
      </c>
      <c r="Q51" s="82"/>
      <c r="R51" s="80">
        <f>'Saisie des données'!$F$18+3</f>
        <v>2025</v>
      </c>
      <c r="S51" s="213" t="e">
        <f>S25*('Saisie des données'!Y38+'Saisie des données'!Y38*'Saisie des données'!Y$50+'Saisie des données'!Y38*'Saisie des données'!Y$51)+(S13/'Saisie des données'!Y$53*'Saisie des données'!Y$52)+(S13*'Saisie des données'!Y$54)</f>
        <v>#VALUE!</v>
      </c>
    </row>
    <row r="52" spans="1:19" ht="15.5" outlineLevel="1" x14ac:dyDescent="0.35">
      <c r="A52" s="15"/>
      <c r="B52" s="80">
        <f>'Saisie des données'!$F$18+4</f>
        <v>2026</v>
      </c>
      <c r="C52" s="213">
        <f>C26*('Saisie des données'!D39+'Saisie des données'!D39*'Saisie des données'!D$50+'Saisie des données'!D39*'Saisie des données'!D$51)+(C14/'Saisie des données'!D$53*'Saisie des données'!D$52)+(C14*'Saisie des données'!D$54)</f>
        <v>456083.08415310859</v>
      </c>
      <c r="D52" s="82"/>
      <c r="E52" s="80">
        <f>'Saisie des données'!$F$18+4</f>
        <v>2026</v>
      </c>
      <c r="F52" s="213">
        <f>F26*('Saisie des données'!H39+'Saisie des données'!H39*'Saisie des données'!H$50+'Saisie des données'!H39*'Saisie des données'!H$51)+(F14/'Saisie des données'!H$53*'Saisie des données'!H$52)+(F14*'Saisie des données'!H$54)</f>
        <v>303106.76493751648</v>
      </c>
      <c r="G52" s="82"/>
      <c r="H52" s="80">
        <f>'Saisie des données'!$F$18+4</f>
        <v>2026</v>
      </c>
      <c r="I52" s="213">
        <f>I26*('Saisie des données'!L39+'Saisie des données'!L39*'Saisie des données'!L$50+'Saisie des données'!L39*'Saisie des données'!L$51)+(I14/'Saisie des données'!L$53*'Saisie des données'!L$52)+(I14*'Saisie des données'!L$54)</f>
        <v>427941.57580618019</v>
      </c>
      <c r="J52" s="87"/>
      <c r="K52" s="15"/>
      <c r="L52" s="80">
        <f>'Saisie des données'!$F$18+4</f>
        <v>2026</v>
      </c>
      <c r="M52" s="214">
        <f>M26*('Saisie des données'!Q39+'Saisie des données'!Q39*'Saisie des données'!Q$50+'Saisie des données'!Q39*'Saisie des données'!Q$51)+(M14/'Saisie des données'!Q$53*'Saisie des données'!Q$52)+(M14*'Saisie des données'!Q$54)</f>
        <v>477323.40516700293</v>
      </c>
      <c r="N52" s="82"/>
      <c r="O52" s="80">
        <f>'Saisie des données'!$F$18+4</f>
        <v>2026</v>
      </c>
      <c r="P52" s="213">
        <f>P26*('Saisie des données'!U39+'Saisie des données'!U39*'Saisie des données'!U$50+'Saisie des données'!U39*'Saisie des données'!U$51)+(P14/'Saisie des données'!U$53*'Saisie des données'!U$52)+(P14*'Saisie des données'!U$54)</f>
        <v>434229.32426516694</v>
      </c>
      <c r="Q52" s="82"/>
      <c r="R52" s="80">
        <f>'Saisie des données'!$F$18+4</f>
        <v>2026</v>
      </c>
      <c r="S52" s="213" t="e">
        <f>S26*('Saisie des données'!Y39+'Saisie des données'!Y39*'Saisie des données'!Y$50+'Saisie des données'!Y39*'Saisie des données'!Y$51)+(S14/'Saisie des données'!Y$53*'Saisie des données'!Y$52)+(S14*'Saisie des données'!Y$54)</f>
        <v>#VALUE!</v>
      </c>
    </row>
    <row r="53" spans="1:19" ht="15.5" outlineLevel="1" x14ac:dyDescent="0.35">
      <c r="A53" s="15"/>
      <c r="B53" s="80">
        <f>'Saisie des données'!$F$18+5</f>
        <v>2027</v>
      </c>
      <c r="C53" s="213">
        <f>C27*('Saisie des données'!D40+'Saisie des données'!D40*'Saisie des données'!D$50+'Saisie des données'!D40*'Saisie des données'!D$51)+(C15/'Saisie des données'!D$53*'Saisie des données'!D$52)+(C15*'Saisie des données'!D$54)</f>
        <v>535149.94495195802</v>
      </c>
      <c r="D53" s="82"/>
      <c r="E53" s="80">
        <f>'Saisie des données'!$F$18+5</f>
        <v>2027</v>
      </c>
      <c r="F53" s="213">
        <f>F27*('Saisie des données'!H40+'Saisie des données'!H40*'Saisie des données'!H$50+'Saisie des données'!H40*'Saisie des données'!H$51)+(F15/'Saisie des données'!H$53*'Saisie des données'!H$52)+(F15*'Saisie des données'!H$54)</f>
        <v>355074.96347531816</v>
      </c>
      <c r="G53" s="82"/>
      <c r="H53" s="80">
        <f>'Saisie des données'!$F$18+5</f>
        <v>2027</v>
      </c>
      <c r="I53" s="213">
        <f>I27*('Saisie des données'!L40+'Saisie des données'!L40*'Saisie des données'!L$50+'Saisie des données'!L40*'Saisie des données'!L$51)+(I15/'Saisie des données'!L$53*'Saisie des données'!L$52)+(I15*'Saisie des données'!L$54)</f>
        <v>502023.36941214517</v>
      </c>
      <c r="J53" s="87"/>
      <c r="K53" s="15"/>
      <c r="L53" s="80">
        <f>'Saisie des données'!$F$18+5</f>
        <v>2027</v>
      </c>
      <c r="M53" s="214">
        <f>M27*('Saisie des données'!Q40+'Saisie des données'!Q40*'Saisie des données'!Q$50+'Saisie des données'!Q40*'Saisie des données'!Q$51)+(M15/'Saisie des données'!Q$53*'Saisie des données'!Q$52)+(M15*'Saisie des données'!Q$54)</f>
        <v>560152.837116885</v>
      </c>
      <c r="N53" s="82"/>
      <c r="O53" s="80">
        <f>'Saisie des données'!$F$18+5</f>
        <v>2027</v>
      </c>
      <c r="P53" s="213">
        <f>P27*('Saisie des données'!U40+'Saisie des données'!U40*'Saisie des données'!U$50+'Saisie des données'!U40*'Saisie des données'!U$51)+(P15/'Saisie des données'!U$53*'Saisie des données'!U$52)+(P15*'Saisie des données'!U$54)</f>
        <v>509424.94759815233</v>
      </c>
      <c r="Q53" s="82"/>
      <c r="R53" s="80">
        <f>'Saisie des données'!$F$18+5</f>
        <v>2027</v>
      </c>
      <c r="S53" s="213" t="e">
        <f>S27*('Saisie des données'!Y40+'Saisie des données'!Y40*'Saisie des données'!Y$50+'Saisie des données'!Y40*'Saisie des données'!Y$51)+(S15/'Saisie des données'!Y$53*'Saisie des données'!Y$52)+(S15*'Saisie des données'!Y$54)</f>
        <v>#VALUE!</v>
      </c>
    </row>
    <row r="54" spans="1:19" ht="15.5" outlineLevel="1" x14ac:dyDescent="0.35">
      <c r="A54" s="15"/>
      <c r="B54" s="80">
        <f>'Saisie des données'!$F$18+6</f>
        <v>2028</v>
      </c>
      <c r="C54" s="213">
        <f>C28*('Saisie des données'!D41+'Saisie des données'!D41*'Saisie des données'!D$50+'Saisie des données'!D41*'Saisie des données'!D$51)+(C16/'Saisie des données'!D$53*'Saisie des données'!D$52)+(C16*'Saisie des données'!D$54)</f>
        <v>637792.02814371022</v>
      </c>
      <c r="D54" s="82"/>
      <c r="E54" s="80">
        <f>'Saisie des données'!$F$18+6</f>
        <v>2028</v>
      </c>
      <c r="F54" s="213">
        <f>F28*('Saisie des données'!H41+'Saisie des données'!H41*'Saisie des données'!H$50+'Saisie des données'!H41*'Saisie des données'!H$51)+(F16/'Saisie des données'!H$53*'Saisie des données'!H$52)+(F16*'Saisie des données'!H$54)</f>
        <v>422505.95653904881</v>
      </c>
      <c r="G54" s="82"/>
      <c r="H54" s="80">
        <f>'Saisie des données'!$F$18+6</f>
        <v>2028</v>
      </c>
      <c r="I54" s="213">
        <f>I28*('Saisie des données'!L41+'Saisie des données'!L41*'Saisie des données'!L$50+'Saisie des données'!L41*'Saisie des données'!L$51)+(I16/'Saisie des données'!L$53*'Saisie des données'!L$52)+(I16*'Saisie des données'!L$54)</f>
        <v>598188.02399388049</v>
      </c>
      <c r="J54" s="87"/>
      <c r="K54" s="15"/>
      <c r="L54" s="80">
        <f>'Saisie des données'!$F$18+6</f>
        <v>2028</v>
      </c>
      <c r="M54" s="214">
        <f>M28*('Saisie des données'!Q41+'Saisie des données'!Q41*'Saisie des données'!Q$50+'Saisie des données'!Q41*'Saisie des données'!Q$51)+(M16/'Saisie des données'!Q$53*'Saisie des données'!Q$52)+(M16*'Saisie des données'!Q$54)</f>
        <v>667683.87868731492</v>
      </c>
      <c r="N54" s="82"/>
      <c r="O54" s="80">
        <f>'Saisie des données'!$F$18+6</f>
        <v>2028</v>
      </c>
      <c r="P54" s="213">
        <f>P28*('Saisie des données'!U41+'Saisie des données'!U41*'Saisie des données'!U$50+'Saisie des données'!U41*'Saisie des données'!U$51)+(P16/'Saisie des données'!U$53*'Saisie des données'!U$52)+(P16*'Saisie des données'!U$54)</f>
        <v>607036.87505733012</v>
      </c>
      <c r="Q54" s="82"/>
      <c r="R54" s="80">
        <f>'Saisie des données'!$F$18+6</f>
        <v>2028</v>
      </c>
      <c r="S54" s="213" t="e">
        <f>S28*('Saisie des données'!Y41+'Saisie des données'!Y41*'Saisie des données'!Y$50+'Saisie des données'!Y41*'Saisie des données'!Y$51)+(S16/'Saisie des données'!Y$53*'Saisie des données'!Y$52)+(S16*'Saisie des données'!Y$54)</f>
        <v>#VALUE!</v>
      </c>
    </row>
    <row r="55" spans="1:19" ht="15.5" outlineLevel="1" x14ac:dyDescent="0.35">
      <c r="A55" s="15"/>
      <c r="B55" s="80">
        <f>'Saisie des données'!$F$18+7</f>
        <v>2029</v>
      </c>
      <c r="C55" s="213">
        <f>C29*('Saisie des données'!D42+'Saisie des données'!D42*'Saisie des données'!D$50+'Saisie des données'!D42*'Saisie des données'!D$51)+(C17/'Saisie des données'!D$53*'Saisie des données'!D$52)+(C17*'Saisie des données'!D$54)</f>
        <v>746111.00137651071</v>
      </c>
      <c r="D55" s="82"/>
      <c r="E55" s="80">
        <f>'Saisie des données'!$F$18+7</f>
        <v>2029</v>
      </c>
      <c r="F55" s="213">
        <f>F29*('Saisie des données'!H42+'Saisie des données'!H42*'Saisie des données'!H$50+'Saisie des données'!H42*'Saisie des données'!H$51)+(F17/'Saisie des données'!H$53*'Saisie des données'!H$52)+(F17*'Saisie des données'!H$54)</f>
        <v>493663.2417194756</v>
      </c>
      <c r="G55" s="82"/>
      <c r="H55" s="80">
        <f>'Saisie des données'!$F$18+7</f>
        <v>2029</v>
      </c>
      <c r="I55" s="213">
        <f>I29*('Saisie des données'!L42+'Saisie des données'!L42*'Saisie des données'!L$50+'Saisie des données'!L42*'Saisie des données'!L$51)+(I17/'Saisie des données'!L$53*'Saisie des données'!L$52)+(I17*'Saisie des données'!L$54)</f>
        <v>699670.73681804887</v>
      </c>
      <c r="J55" s="87"/>
      <c r="K55" s="15"/>
      <c r="L55" s="80">
        <f>'Saisie des données'!$F$18+7</f>
        <v>2029</v>
      </c>
      <c r="M55" s="214">
        <f>M29*('Saisie des données'!Q42+'Saisie des données'!Q42*'Saisie des données'!Q$50+'Saisie des données'!Q42*'Saisie des données'!Q$51)+(M17/'Saisie des données'!Q$53*'Saisie des données'!Q$52)+(M17*'Saisie des données'!Q$54)</f>
        <v>781162.64519856533</v>
      </c>
      <c r="N55" s="82"/>
      <c r="O55" s="80">
        <f>'Saisie des données'!$F$18+7</f>
        <v>2029</v>
      </c>
      <c r="P55" s="213">
        <f>P29*('Saisie des données'!U42+'Saisie des données'!U42*'Saisie des données'!U$50+'Saisie des données'!U42*'Saisie des données'!U$51)+(P17/'Saisie des données'!U$53*'Saisie des données'!U$52)+(P17*'Saisie des données'!U$54)</f>
        <v>710047.03571122</v>
      </c>
      <c r="Q55" s="82"/>
      <c r="R55" s="80">
        <f>'Saisie des données'!$F$18+7</f>
        <v>2029</v>
      </c>
      <c r="S55" s="213" t="e">
        <f>S29*('Saisie des données'!Y42+'Saisie des données'!Y42*'Saisie des données'!Y$50+'Saisie des données'!Y42*'Saisie des données'!Y$51)+(S17/'Saisie des données'!Y$53*'Saisie des données'!Y$52)+(S17*'Saisie des données'!Y$54)</f>
        <v>#VALUE!</v>
      </c>
    </row>
    <row r="56" spans="1:19" ht="15.5" outlineLevel="1" x14ac:dyDescent="0.35">
      <c r="A56" s="15"/>
      <c r="B56" s="80">
        <f>'Saisie des données'!$F$18+8</f>
        <v>2030</v>
      </c>
      <c r="C56" s="213">
        <f>C30*('Saisie des données'!D43+'Saisie des données'!D43*'Saisie des données'!D$50+'Saisie des données'!D43*'Saisie des données'!D$51)+(C18/'Saisie des données'!D$53*'Saisie des données'!D$52)+(C18*'Saisie des données'!D$54)</f>
        <v>890975.35643133125</v>
      </c>
      <c r="D56" s="82"/>
      <c r="E56" s="80">
        <f>'Saisie des données'!$F$18+8</f>
        <v>2030</v>
      </c>
      <c r="F56" s="213">
        <f>F30*('Saisie des données'!H43+'Saisie des données'!H43*'Saisie des données'!H$50+'Saisie des données'!H43*'Saisie des données'!H$51)+(F18/'Saisie des données'!H$53*'Saisie des données'!H$52)+(F18*'Saisie des données'!H$54)</f>
        <v>588788.56520943705</v>
      </c>
      <c r="G56" s="82"/>
      <c r="H56" s="80">
        <f>'Saisie des données'!$F$18+8</f>
        <v>2030</v>
      </c>
      <c r="I56" s="213">
        <f>I30*('Saisie des données'!L43+'Saisie des données'!L43*'Saisie des données'!L$50+'Saisie des données'!L43*'Saisie des données'!L$51)+(I18/'Saisie des données'!L$53*'Saisie des données'!L$52)+(I18*'Saisie des données'!L$54)</f>
        <v>835385.10461256688</v>
      </c>
      <c r="J56" s="87"/>
      <c r="K56" s="15"/>
      <c r="L56" s="80">
        <f>'Saisie des données'!$F$18+8</f>
        <v>2030</v>
      </c>
      <c r="M56" s="214">
        <f>M30*('Saisie des données'!Q43+'Saisie des données'!Q43*'Saisie des données'!Q$50+'Saisie des données'!Q43*'Saisie des données'!Q$51)+(M18/'Saisie des données'!Q$53*'Saisie des données'!Q$52)+(M18*'Saisie des données'!Q$54)</f>
        <v>932933.12142805546</v>
      </c>
      <c r="N56" s="82"/>
      <c r="O56" s="80">
        <f>'Saisie des données'!$F$18+8</f>
        <v>2030</v>
      </c>
      <c r="P56" s="213">
        <f>P30*('Saisie des données'!U43+'Saisie des données'!U43*'Saisie des données'!U$50+'Saisie des données'!U43*'Saisie des données'!U$51)+(P18/'Saisie des données'!U$53*'Saisie des données'!U$52)+(P18*'Saisie des données'!U$54)</f>
        <v>847805.81482820353</v>
      </c>
      <c r="Q56" s="82"/>
      <c r="R56" s="80">
        <f>'Saisie des données'!$F$18+8</f>
        <v>2030</v>
      </c>
      <c r="S56" s="213" t="e">
        <f>S30*('Saisie des données'!Y43+'Saisie des données'!Y43*'Saisie des données'!Y$50+'Saisie des données'!Y43*'Saisie des données'!Y$51)+(S18/'Saisie des données'!Y$53*'Saisie des données'!Y$52)+(S18*'Saisie des données'!Y$54)</f>
        <v>#VALUE!</v>
      </c>
    </row>
    <row r="57" spans="1:19" ht="15.5" outlineLevel="1" x14ac:dyDescent="0.35">
      <c r="A57" s="15"/>
      <c r="B57" s="80">
        <f>'Saisie des données'!$F$18+9</f>
        <v>2031</v>
      </c>
      <c r="C57" s="213">
        <f>C31*('Saisie des données'!D44+'Saisie des données'!D44*'Saisie des données'!D$50+'Saisie des données'!D44*'Saisie des données'!D$51)+(C19/'Saisie des données'!D$53*'Saisie des données'!D$52)+(C19*'Saisie des données'!D$54)</f>
        <v>1054373.0275351969</v>
      </c>
      <c r="D57" s="82"/>
      <c r="E57" s="80">
        <f>'Saisie des données'!$F$18+9</f>
        <v>2031</v>
      </c>
      <c r="F57" s="213">
        <f>F31*('Saisie des données'!H44+'Saisie des données'!H44*'Saisie des données'!H$50+'Saisie des données'!H44*'Saisie des données'!H$51)+(F19/'Saisie des données'!H$53*'Saisie des données'!H$52)+(F19*'Saisie des données'!H$54)</f>
        <v>696070.85194337636</v>
      </c>
      <c r="G57" s="82"/>
      <c r="H57" s="80">
        <f>'Saisie des données'!$F$18+9</f>
        <v>2031</v>
      </c>
      <c r="I57" s="213">
        <f>I31*('Saisie des données'!L44+'Saisie des données'!L44*'Saisie des données'!L$50+'Saisie des données'!L44*'Saisie des données'!L$51)+(I19/'Saisie des données'!L$53*'Saisie des données'!L$52)+(I19*'Saisie des données'!L$54)</f>
        <v>988459.79523334326</v>
      </c>
      <c r="J57" s="87"/>
      <c r="K57" s="15"/>
      <c r="L57" s="80">
        <f>'Saisie des données'!$F$18+9</f>
        <v>2031</v>
      </c>
      <c r="M57" s="214">
        <f>M31*('Saisie des données'!Q44+'Saisie des données'!Q44*'Saisie des données'!Q$50+'Saisie des données'!Q44*'Saisie des données'!Q$51)+(M19/'Saisie des données'!Q$53*'Saisie des données'!Q$52)+(M19*'Saisie des données'!Q$54)</f>
        <v>1104122.2519156148</v>
      </c>
      <c r="N57" s="82"/>
      <c r="O57" s="80">
        <f>'Saisie des données'!$F$18+9</f>
        <v>2031</v>
      </c>
      <c r="P57" s="213">
        <f>P31*('Saisie des données'!U44+'Saisie des données'!U44*'Saisie des données'!U$50+'Saisie des données'!U44*'Saisie des données'!U$51)+(P19/'Saisie des données'!U$53*'Saisie des données'!U$52)+(P19*'Saisie des données'!U$54)</f>
        <v>1003187.0024506511</v>
      </c>
      <c r="Q57" s="82"/>
      <c r="R57" s="80">
        <f>'Saisie des données'!$F$18+9</f>
        <v>2031</v>
      </c>
      <c r="S57" s="213" t="e">
        <f>S31*('Saisie des données'!Y44+'Saisie des données'!Y44*'Saisie des données'!Y$50+'Saisie des données'!Y44*'Saisie des données'!Y$51)+(S19/'Saisie des données'!Y$53*'Saisie des données'!Y$52)+(S19*'Saisie des données'!Y$54)</f>
        <v>#VALUE!</v>
      </c>
    </row>
    <row r="58" spans="1:19" ht="30" customHeight="1" outlineLevel="1" x14ac:dyDescent="0.35">
      <c r="A58" s="15"/>
      <c r="B58" s="228" t="s">
        <v>130</v>
      </c>
      <c r="C58" s="275"/>
      <c r="D58" s="82"/>
      <c r="E58" s="228" t="s">
        <v>130</v>
      </c>
      <c r="F58" s="275"/>
      <c r="G58" s="82"/>
      <c r="H58" s="228" t="s">
        <v>130</v>
      </c>
      <c r="I58" s="275"/>
      <c r="J58" s="87"/>
      <c r="K58" s="15"/>
      <c r="L58" s="228" t="s">
        <v>130</v>
      </c>
      <c r="M58" s="275"/>
      <c r="N58" s="82"/>
      <c r="O58" s="228" t="s">
        <v>130</v>
      </c>
      <c r="P58" s="275"/>
      <c r="Q58" s="82"/>
      <c r="R58" s="228" t="s">
        <v>130</v>
      </c>
      <c r="S58" s="275"/>
    </row>
    <row r="59" spans="1:19" ht="60" customHeight="1" x14ac:dyDescent="0.35">
      <c r="A59" s="15"/>
      <c r="B59" s="80" t="s">
        <v>124</v>
      </c>
      <c r="C59" s="212">
        <f>SUM(C60:C69)</f>
        <v>7405847.1795134153</v>
      </c>
      <c r="D59" s="82"/>
      <c r="E59" s="80" t="s">
        <v>124</v>
      </c>
      <c r="F59" s="212">
        <f>SUM(F60:F69)</f>
        <v>5536264.3246293385</v>
      </c>
      <c r="G59" s="82"/>
      <c r="H59" s="80" t="s">
        <v>124</v>
      </c>
      <c r="I59" s="212">
        <f>SUM(I60:I69)</f>
        <v>7061918.9049557941</v>
      </c>
      <c r="J59" s="87"/>
      <c r="K59" s="15"/>
      <c r="L59" s="80" t="s">
        <v>124</v>
      </c>
      <c r="M59" s="212">
        <f>SUM(M60:M69)</f>
        <v>7665433.3703920571</v>
      </c>
      <c r="N59" s="82"/>
      <c r="O59" s="80" t="s">
        <v>124</v>
      </c>
      <c r="P59" s="212">
        <f>SUM(P60:P69)</f>
        <v>7138763.9145299764</v>
      </c>
      <c r="Q59" s="82"/>
      <c r="R59" s="80" t="s">
        <v>124</v>
      </c>
      <c r="S59" s="212" t="e">
        <f>SUM(S60:S69)</f>
        <v>#VALUE!</v>
      </c>
    </row>
    <row r="60" spans="1:19" ht="15.5" outlineLevel="1" x14ac:dyDescent="0.35">
      <c r="A60" s="15"/>
      <c r="B60" s="80">
        <f>'Saisie des données'!$F$18</f>
        <v>2022</v>
      </c>
      <c r="C60" s="212">
        <f>C48+(C10*'Saisie des données'!D$61)+'Saisie des données'!D60-'Saisie des données'!$J$23</f>
        <v>388770.52173913043</v>
      </c>
      <c r="D60" s="82"/>
      <c r="E60" s="80">
        <f>'Saisie des données'!$F$18</f>
        <v>2022</v>
      </c>
      <c r="F60" s="212">
        <f>F48+(F10*'Saisie des données'!H$61)+'Saisie des données'!H60-'Saisie des données'!$J$23</f>
        <v>311103.39130434784</v>
      </c>
      <c r="G60" s="82"/>
      <c r="H60" s="80">
        <f>'Saisie des données'!$F$18</f>
        <v>2022</v>
      </c>
      <c r="I60" s="212">
        <f>I48+(I10*'Saisie des données'!L$61)+'Saisie des données'!L60-'Saisie des données'!$J$23</f>
        <v>374482.88421052636</v>
      </c>
      <c r="J60" s="73"/>
      <c r="K60" s="15"/>
      <c r="L60" s="80">
        <f>'Saisie des données'!$F$18</f>
        <v>2022</v>
      </c>
      <c r="M60" s="212">
        <f>M48+(M10*'Saisie des données'!Q$61)+'Saisie des données'!Q60-'Saisie des données'!$J$23</f>
        <v>399554.37894736842</v>
      </c>
      <c r="N60" s="82"/>
      <c r="O60" s="80">
        <f>'Saisie des données'!$F$18</f>
        <v>2022</v>
      </c>
      <c r="P60" s="212">
        <f>P48+(P10*'Saisie des données'!U$61)+'Saisie des données'!U60-'Saisie des données'!$J$23</f>
        <v>377675.21739130432</v>
      </c>
      <c r="Q60" s="82"/>
      <c r="R60" s="80">
        <f>'Saisie des données'!$F$18</f>
        <v>2022</v>
      </c>
      <c r="S60" s="212" t="e">
        <f>S48+(S10*'Saisie des données'!Y$61)+'Saisie des données'!Y60-'Saisie des données'!$J$23</f>
        <v>#VALUE!</v>
      </c>
    </row>
    <row r="61" spans="1:19" ht="15.5" outlineLevel="1" x14ac:dyDescent="0.35">
      <c r="A61" s="15"/>
      <c r="B61" s="80">
        <f>'Saisie des données'!$F$18+1</f>
        <v>2023</v>
      </c>
      <c r="C61" s="212">
        <f>C49+C11*'Saisie des données'!D$61</f>
        <v>443929.73130434781</v>
      </c>
      <c r="D61" s="82"/>
      <c r="E61" s="80">
        <f>'Saisie des données'!$F$18+1</f>
        <v>2023</v>
      </c>
      <c r="F61" s="212">
        <f>F49+F11*'Saisie des données'!H$61</f>
        <v>352504.42347826087</v>
      </c>
      <c r="G61" s="82"/>
      <c r="H61" s="80">
        <f>'Saisie des données'!$F$18+1</f>
        <v>2023</v>
      </c>
      <c r="I61" s="212">
        <f>I49+I11*'Saisie des données'!L$61</f>
        <v>427111.1408421052</v>
      </c>
      <c r="J61" s="73"/>
      <c r="K61" s="15"/>
      <c r="L61" s="80">
        <f>'Saisie des données'!$F$18+1</f>
        <v>2023</v>
      </c>
      <c r="M61" s="212">
        <f>M49+M11*'Saisie des données'!Q$61</f>
        <v>456623.87178947369</v>
      </c>
      <c r="N61" s="82"/>
      <c r="O61" s="80">
        <f>'Saisie des données'!$F$18+1</f>
        <v>2023</v>
      </c>
      <c r="P61" s="212">
        <f>P49+P11*'Saisie des données'!U$61</f>
        <v>430868.97304347821</v>
      </c>
      <c r="Q61" s="82"/>
      <c r="R61" s="80">
        <f>'Saisie des données'!$F$18+1</f>
        <v>2023</v>
      </c>
      <c r="S61" s="212" t="e">
        <f>S49+S11*'Saisie des données'!Y$61</f>
        <v>#VALUE!</v>
      </c>
    </row>
    <row r="62" spans="1:19" ht="15.5" outlineLevel="1" x14ac:dyDescent="0.35">
      <c r="A62" s="15"/>
      <c r="B62" s="80">
        <f>'Saisie des données'!$F$18+2</f>
        <v>2024</v>
      </c>
      <c r="C62" s="212">
        <f>C50+C12*'Saisie des données'!D$61</f>
        <v>499987.59415652166</v>
      </c>
      <c r="D62" s="82"/>
      <c r="E62" s="80">
        <f>'Saisie des données'!$F$18+2</f>
        <v>2024</v>
      </c>
      <c r="F62" s="212">
        <f>F50+F12*'Saisie des données'!H$61</f>
        <v>391105.76661739126</v>
      </c>
      <c r="G62" s="82"/>
      <c r="H62" s="80">
        <f>'Saisie des données'!$F$18+2</f>
        <v>2024</v>
      </c>
      <c r="I62" s="212">
        <f>I50+I12*'Saisie des données'!L$61</f>
        <v>479957.7040778948</v>
      </c>
      <c r="J62" s="73"/>
      <c r="K62" s="15"/>
      <c r="L62" s="80">
        <f>'Saisie des données'!$F$18+2</f>
        <v>2024</v>
      </c>
      <c r="M62" s="212">
        <f>M50+M12*'Saisie des données'!Q$61</f>
        <v>515105.52209052624</v>
      </c>
      <c r="N62" s="82"/>
      <c r="O62" s="80">
        <f>'Saisie des données'!$F$18+2</f>
        <v>2024</v>
      </c>
      <c r="P62" s="212">
        <f>P50+P12*'Saisie des données'!U$61</f>
        <v>484433.04736521735</v>
      </c>
      <c r="Q62" s="82"/>
      <c r="R62" s="80">
        <f>'Saisie des données'!$F$18+2</f>
        <v>2024</v>
      </c>
      <c r="S62" s="212" t="e">
        <f>S50+S12*'Saisie des données'!Y$61</f>
        <v>#VALUE!</v>
      </c>
    </row>
    <row r="63" spans="1:19" ht="15.5" outlineLevel="1" x14ac:dyDescent="0.35">
      <c r="A63" s="15"/>
      <c r="B63" s="80">
        <f>'Saisie des données'!$F$18+3</f>
        <v>2025</v>
      </c>
      <c r="C63" s="212">
        <f>C51+C13*'Saisie des données'!D$61</f>
        <v>567813.82602973911</v>
      </c>
      <c r="D63" s="82"/>
      <c r="E63" s="80">
        <f>'Saisie des données'!$F$18+3</f>
        <v>2025</v>
      </c>
      <c r="F63" s="212">
        <f>F51+F13*'Saisie des données'!H$61</f>
        <v>437479.3357133044</v>
      </c>
      <c r="G63" s="82"/>
      <c r="H63" s="80">
        <f>'Saisie des données'!$F$18+3</f>
        <v>2025</v>
      </c>
      <c r="I63" s="212">
        <f>I51+I13*'Saisie des données'!L$61</f>
        <v>543837.50625724206</v>
      </c>
      <c r="J63" s="73"/>
      <c r="K63" s="15"/>
      <c r="L63" s="80">
        <f>'Saisie des données'!$F$18+3</f>
        <v>2025</v>
      </c>
      <c r="M63" s="212">
        <f>M51+M13*'Saisie des données'!Q$61</f>
        <v>585910.39435938955</v>
      </c>
      <c r="N63" s="82"/>
      <c r="O63" s="80">
        <f>'Saisie des données'!$F$18+3</f>
        <v>2025</v>
      </c>
      <c r="P63" s="212">
        <f>P51+P13*'Saisie des données'!U$61</f>
        <v>549194.61312739132</v>
      </c>
      <c r="Q63" s="82"/>
      <c r="R63" s="80">
        <f>'Saisie des données'!$F$18+3</f>
        <v>2025</v>
      </c>
      <c r="S63" s="212" t="e">
        <f>S51+S13*'Saisie des données'!Y$61</f>
        <v>#VALUE!</v>
      </c>
    </row>
    <row r="64" spans="1:19" ht="15.5" outlineLevel="1" x14ac:dyDescent="0.35">
      <c r="A64" s="15"/>
      <c r="B64" s="80">
        <f>'Saisie des données'!$F$18+4</f>
        <v>2026</v>
      </c>
      <c r="C64" s="212">
        <f>C52+C14*'Saisie des données'!D$61</f>
        <v>639259.64298060862</v>
      </c>
      <c r="D64" s="82"/>
      <c r="E64" s="80">
        <f>'Saisie des données'!$F$18+4</f>
        <v>2026</v>
      </c>
      <c r="F64" s="212">
        <f>F52+F14*'Saisie des données'!H$61</f>
        <v>486283.32376501645</v>
      </c>
      <c r="G64" s="82"/>
      <c r="H64" s="80">
        <f>'Saisie des données'!$F$18+4</f>
        <v>2026</v>
      </c>
      <c r="I64" s="212">
        <f>I52+I14*'Saisie des données'!L$61</f>
        <v>611118.13463368011</v>
      </c>
      <c r="J64" s="73"/>
      <c r="K64" s="15"/>
      <c r="L64" s="80">
        <f>'Saisie des données'!$F$18+4</f>
        <v>2026</v>
      </c>
      <c r="M64" s="212">
        <f>M52+M14*'Saisie des données'!Q$61</f>
        <v>660499.9639945029</v>
      </c>
      <c r="N64" s="82"/>
      <c r="O64" s="80">
        <f>'Saisie des données'!$F$18+4</f>
        <v>2026</v>
      </c>
      <c r="P64" s="212">
        <f>P52+P14*'Saisie des données'!U$61</f>
        <v>617405.88309266698</v>
      </c>
      <c r="Q64" s="82"/>
      <c r="R64" s="80">
        <f>'Saisie des données'!$F$18+4</f>
        <v>2026</v>
      </c>
      <c r="S64" s="212" t="e">
        <f>S52+S14*'Saisie des données'!Y$61</f>
        <v>#VALUE!</v>
      </c>
    </row>
    <row r="65" spans="1:19" ht="15.5" outlineLevel="1" x14ac:dyDescent="0.35">
      <c r="A65" s="15"/>
      <c r="B65" s="80">
        <f>'Saisie des données'!$F$18+5</f>
        <v>2027</v>
      </c>
      <c r="C65" s="212">
        <f>C53+C15*'Saisie des données'!D$61</f>
        <v>723821.800544283</v>
      </c>
      <c r="D65" s="82"/>
      <c r="E65" s="80">
        <f>'Saisie des données'!$F$18+5</f>
        <v>2027</v>
      </c>
      <c r="F65" s="212">
        <f>F53+F15*'Saisie des données'!H$61</f>
        <v>543746.81906764314</v>
      </c>
      <c r="G65" s="82"/>
      <c r="H65" s="80">
        <f>'Saisie des données'!$F$18+5</f>
        <v>2027</v>
      </c>
      <c r="I65" s="212">
        <f>I53+I15*'Saisie des données'!L$61</f>
        <v>690695.22500447021</v>
      </c>
      <c r="J65" s="73"/>
      <c r="K65" s="15"/>
      <c r="L65" s="80">
        <f>'Saisie des données'!$F$18+5</f>
        <v>2027</v>
      </c>
      <c r="M65" s="212">
        <f>M53+M15*'Saisie des données'!Q$61</f>
        <v>748824.69270920998</v>
      </c>
      <c r="N65" s="82"/>
      <c r="O65" s="80">
        <f>'Saisie des données'!$F$18+5</f>
        <v>2027</v>
      </c>
      <c r="P65" s="212">
        <f>P53+P15*'Saisie des données'!U$61</f>
        <v>698096.80319047731</v>
      </c>
      <c r="Q65" s="82"/>
      <c r="R65" s="80">
        <f>'Saisie des données'!$F$18+5</f>
        <v>2027</v>
      </c>
      <c r="S65" s="212" t="e">
        <f>S53+S15*'Saisie des données'!Y$61</f>
        <v>#VALUE!</v>
      </c>
    </row>
    <row r="66" spans="1:19" ht="15.5" outlineLevel="1" x14ac:dyDescent="0.35">
      <c r="A66" s="15"/>
      <c r="B66" s="80">
        <f>'Saisie des données'!$F$18+6</f>
        <v>2028</v>
      </c>
      <c r="C66" s="212">
        <f>C54+C16*'Saisie des données'!D$61</f>
        <v>832124.03940380493</v>
      </c>
      <c r="D66" s="82"/>
      <c r="E66" s="80">
        <f>'Saisie des données'!$F$18+6</f>
        <v>2028</v>
      </c>
      <c r="F66" s="212">
        <f>F54+F16*'Saisie des données'!H$61</f>
        <v>616837.96779914352</v>
      </c>
      <c r="G66" s="82"/>
      <c r="H66" s="80">
        <f>'Saisie des données'!$F$18+6</f>
        <v>2028</v>
      </c>
      <c r="I66" s="212">
        <f>I54+I16*'Saisie des données'!L$61</f>
        <v>792520.03525397519</v>
      </c>
      <c r="J66" s="73"/>
      <c r="K66" s="15"/>
      <c r="L66" s="80">
        <f>'Saisie des données'!$F$18+6</f>
        <v>2028</v>
      </c>
      <c r="M66" s="212">
        <f>M54+M16*'Saisie des données'!Q$61</f>
        <v>862015.88994740963</v>
      </c>
      <c r="N66" s="82"/>
      <c r="O66" s="80">
        <f>'Saisie des données'!$F$18+6</f>
        <v>2028</v>
      </c>
      <c r="P66" s="212">
        <f>P54+P16*'Saisie des données'!U$61</f>
        <v>801368.88631742483</v>
      </c>
      <c r="Q66" s="82"/>
      <c r="R66" s="80">
        <f>'Saisie des données'!$F$18+6</f>
        <v>2028</v>
      </c>
      <c r="S66" s="212" t="e">
        <f>S54+S16*'Saisie des données'!Y$61</f>
        <v>#VALUE!</v>
      </c>
    </row>
    <row r="67" spans="1:19" ht="15.5" outlineLevel="1" x14ac:dyDescent="0.35">
      <c r="A67" s="15"/>
      <c r="B67" s="80">
        <f>'Saisie des données'!$F$18+7</f>
        <v>2029</v>
      </c>
      <c r="C67" s="212">
        <f>C55+C17*'Saisie des données'!D$61</f>
        <v>946272.9729744083</v>
      </c>
      <c r="D67" s="82"/>
      <c r="E67" s="80">
        <f>'Saisie des données'!$F$18+7</f>
        <v>2029</v>
      </c>
      <c r="F67" s="212">
        <f>F55+F17*'Saisie des données'!H$61</f>
        <v>693825.21331737319</v>
      </c>
      <c r="G67" s="82"/>
      <c r="H67" s="80">
        <f>'Saisie des données'!$F$18+7</f>
        <v>2029</v>
      </c>
      <c r="I67" s="212">
        <f>I55+I17*'Saisie des données'!L$61</f>
        <v>899832.70841594646</v>
      </c>
      <c r="J67" s="73"/>
      <c r="K67" s="15"/>
      <c r="L67" s="80">
        <f>'Saisie des données'!$F$18+7</f>
        <v>2029</v>
      </c>
      <c r="M67" s="212">
        <f>M55+M17*'Saisie des données'!Q$61</f>
        <v>981324.61679646291</v>
      </c>
      <c r="N67" s="82"/>
      <c r="O67" s="80">
        <f>'Saisie des données'!$F$18+7</f>
        <v>2029</v>
      </c>
      <c r="P67" s="212">
        <f>P55+P17*'Saisie des données'!U$61</f>
        <v>910209.00730911759</v>
      </c>
      <c r="Q67" s="82"/>
      <c r="R67" s="80">
        <f>'Saisie des données'!$F$18+7</f>
        <v>2029</v>
      </c>
      <c r="S67" s="212" t="e">
        <f>S55+S17*'Saisie des données'!Y$61</f>
        <v>#VALUE!</v>
      </c>
    </row>
    <row r="68" spans="1:19" ht="15.5" outlineLevel="1" x14ac:dyDescent="0.35">
      <c r="A68" s="15"/>
      <c r="B68" s="80">
        <f>'Saisie des données'!$F$18+8</f>
        <v>2030</v>
      </c>
      <c r="C68" s="212">
        <f>C56+C18*'Saisie des données'!D$61</f>
        <v>1097142.1871771656</v>
      </c>
      <c r="D68" s="82"/>
      <c r="E68" s="80">
        <f>'Saisie des données'!$F$18+8</f>
        <v>2030</v>
      </c>
      <c r="F68" s="212">
        <f>F56+F18*'Saisie des données'!H$61</f>
        <v>794955.39595527155</v>
      </c>
      <c r="G68" s="82"/>
      <c r="H68" s="80">
        <f>'Saisie des données'!$F$18+8</f>
        <v>2030</v>
      </c>
      <c r="I68" s="212">
        <f>I56+I18*'Saisie des données'!L$61</f>
        <v>1041551.9353584014</v>
      </c>
      <c r="J68" s="73"/>
      <c r="K68" s="15"/>
      <c r="L68" s="80">
        <f>'Saisie des données'!$F$18+8</f>
        <v>2030</v>
      </c>
      <c r="M68" s="212">
        <f>M56+M18*'Saisie des données'!Q$61</f>
        <v>1139099.9521738898</v>
      </c>
      <c r="N68" s="82"/>
      <c r="O68" s="80">
        <f>'Saisie des données'!$F$18+8</f>
        <v>2030</v>
      </c>
      <c r="P68" s="212">
        <f>P56+P18*'Saisie des données'!U$61</f>
        <v>1053972.6455740379</v>
      </c>
      <c r="Q68" s="82"/>
      <c r="R68" s="80">
        <f>'Saisie des données'!$F$18+8</f>
        <v>2030</v>
      </c>
      <c r="S68" s="212" t="e">
        <f>S56+S18*'Saisie des données'!Y$61</f>
        <v>#VALUE!</v>
      </c>
    </row>
    <row r="69" spans="1:19" ht="15.5" outlineLevel="1" x14ac:dyDescent="0.35">
      <c r="A69" s="15"/>
      <c r="B69" s="80">
        <f>'Saisie des données'!$F$18+9</f>
        <v>2031</v>
      </c>
      <c r="C69" s="212">
        <f>C57+C19*'Saisie des données'!D$61</f>
        <v>1266724.8632034063</v>
      </c>
      <c r="D69" s="82"/>
      <c r="E69" s="80">
        <f>'Saisie des données'!$F$18+9</f>
        <v>2031</v>
      </c>
      <c r="F69" s="212">
        <f>F57+F19*'Saisie des données'!H$61</f>
        <v>908422.68761158595</v>
      </c>
      <c r="G69" s="82"/>
      <c r="H69" s="80">
        <f>'Saisie des données'!$F$18+9</f>
        <v>2031</v>
      </c>
      <c r="I69" s="212">
        <f>I57+I19*'Saisie des données'!L$61</f>
        <v>1200811.6309015527</v>
      </c>
      <c r="J69" s="73"/>
      <c r="K69" s="15"/>
      <c r="L69" s="80">
        <f>'Saisie des données'!$F$18+9</f>
        <v>2031</v>
      </c>
      <c r="M69" s="212">
        <f>M57+M19*'Saisie des données'!Q$61</f>
        <v>1316474.0875838243</v>
      </c>
      <c r="N69" s="82"/>
      <c r="O69" s="80">
        <f>'Saisie des données'!$F$18+9</f>
        <v>2031</v>
      </c>
      <c r="P69" s="212">
        <f>P57+P19*'Saisie des données'!U$61</f>
        <v>1215538.8381188607</v>
      </c>
      <c r="Q69" s="82"/>
      <c r="R69" s="80">
        <f>'Saisie des données'!$F$18+9</f>
        <v>2031</v>
      </c>
      <c r="S69" s="212" t="e">
        <f>S57+S19*'Saisie des données'!Y$61</f>
        <v>#VALUE!</v>
      </c>
    </row>
    <row r="70" spans="1:19" ht="10.4" customHeight="1" x14ac:dyDescent="0.35">
      <c r="A70" s="15"/>
      <c r="B70" s="90"/>
      <c r="C70" s="91"/>
      <c r="D70" s="15"/>
      <c r="E70" s="90"/>
      <c r="F70" s="91"/>
      <c r="G70" s="15"/>
      <c r="H70" s="90"/>
      <c r="I70" s="91"/>
      <c r="J70" s="73"/>
      <c r="K70" s="15"/>
      <c r="L70" s="90"/>
      <c r="M70" s="91"/>
      <c r="N70" s="15"/>
      <c r="O70" s="90"/>
      <c r="P70" s="91"/>
      <c r="Q70" s="15"/>
      <c r="R70" s="90"/>
      <c r="S70" s="91"/>
    </row>
    <row r="71" spans="1:19" ht="18.5" x14ac:dyDescent="0.35">
      <c r="A71" s="15"/>
      <c r="B71" s="269" t="s">
        <v>131</v>
      </c>
      <c r="C71" s="269"/>
      <c r="D71" s="15"/>
      <c r="E71" s="269" t="s">
        <v>131</v>
      </c>
      <c r="F71" s="269"/>
      <c r="G71" s="15"/>
      <c r="H71" s="269" t="s">
        <v>131</v>
      </c>
      <c r="I71" s="269"/>
      <c r="J71" s="73"/>
      <c r="K71" s="15"/>
      <c r="L71" s="269" t="s">
        <v>131</v>
      </c>
      <c r="M71" s="269"/>
      <c r="N71" s="15"/>
      <c r="O71" s="269" t="s">
        <v>131</v>
      </c>
      <c r="P71" s="269"/>
      <c r="Q71" s="15"/>
      <c r="R71" s="269" t="s">
        <v>131</v>
      </c>
      <c r="S71" s="269"/>
    </row>
    <row r="72" spans="1:19" ht="30" customHeight="1" x14ac:dyDescent="0.35">
      <c r="A72" s="15"/>
      <c r="B72" s="228" t="s">
        <v>129</v>
      </c>
      <c r="C72" s="275"/>
      <c r="D72" s="15"/>
      <c r="E72" s="228" t="s">
        <v>129</v>
      </c>
      <c r="F72" s="275"/>
      <c r="G72" s="15"/>
      <c r="H72" s="228" t="s">
        <v>129</v>
      </c>
      <c r="I72" s="275"/>
      <c r="J72" s="73"/>
      <c r="K72" s="15"/>
      <c r="L72" s="228" t="s">
        <v>129</v>
      </c>
      <c r="M72" s="275"/>
      <c r="N72" s="15"/>
      <c r="O72" s="228" t="s">
        <v>129</v>
      </c>
      <c r="P72" s="275"/>
      <c r="Q72" s="15"/>
      <c r="R72" s="228" t="s">
        <v>129</v>
      </c>
      <c r="S72" s="275"/>
    </row>
    <row r="73" spans="1:19" ht="60" customHeight="1" x14ac:dyDescent="0.35">
      <c r="A73" s="15"/>
      <c r="B73" s="80" t="s">
        <v>124</v>
      </c>
      <c r="C73" s="212">
        <f>SUM(C74:C83)</f>
        <v>9356204.228834942</v>
      </c>
      <c r="D73" s="82"/>
      <c r="E73" s="80" t="s">
        <v>124</v>
      </c>
      <c r="F73" s="212">
        <f>SUM(F74:F83)</f>
        <v>6176323.4796470758</v>
      </c>
      <c r="G73" s="82"/>
      <c r="H73" s="80" t="s">
        <v>124</v>
      </c>
      <c r="I73" s="212">
        <f>SUM(I74:I83)</f>
        <v>8771233.6849993803</v>
      </c>
      <c r="J73" s="73"/>
      <c r="K73" s="15"/>
      <c r="L73" s="80" t="s">
        <v>124</v>
      </c>
      <c r="M73" s="212">
        <f>SUM(M74:M83)</f>
        <v>9797721.505789848</v>
      </c>
      <c r="N73" s="82"/>
      <c r="O73" s="80" t="s">
        <v>124</v>
      </c>
      <c r="P73" s="212">
        <f>SUM(P74:P83)</f>
        <v>8901935.5503795315</v>
      </c>
      <c r="Q73" s="82"/>
      <c r="R73" s="80" t="s">
        <v>124</v>
      </c>
      <c r="S73" s="212" t="e">
        <f>SUM(S74:S83)</f>
        <v>#VALUE!</v>
      </c>
    </row>
    <row r="74" spans="1:19" ht="15.5" outlineLevel="1" x14ac:dyDescent="0.35">
      <c r="A74" s="15"/>
      <c r="B74" s="80">
        <f>'Saisie des données'!$F$18</f>
        <v>2022</v>
      </c>
      <c r="C74" s="212">
        <f>C22*('Saisie des données'!D$33+'Saisie des données'!D$33*'Saisie des données'!D$50+'Saisie des données'!D$33*'Saisie des données'!D$51)+(C10/'Saisie des données'!D$53*'Saisie des données'!D$52)+(C10*'Saisie des données'!D$54)</f>
        <v>816146.43478260853</v>
      </c>
      <c r="D74" s="82"/>
      <c r="E74" s="80">
        <f>'Saisie des données'!$F$18</f>
        <v>2022</v>
      </c>
      <c r="F74" s="212">
        <f>F22*('Saisie des données'!H$33+'Saisie des données'!H$33*'Saisie des données'!H$50+'Saisie des données'!H$33*'Saisie des données'!H$51)+(F10/'Saisie des données'!H$53*'Saisie des données'!H$52)+(F10*'Saisie des données'!H$54)</f>
        <v>538763.82608695654</v>
      </c>
      <c r="G74" s="82"/>
      <c r="H74" s="80">
        <f>'Saisie des données'!$F$18</f>
        <v>2022</v>
      </c>
      <c r="I74" s="212">
        <f>I22*('Saisie des données'!L$33+'Saisie des données'!L$33*'Saisie des données'!L$50+'Saisie des données'!L$33*'Saisie des données'!L$51)+(I10/'Saisie des données'!L$53*'Saisie des données'!L$52)+(I10*'Saisie des données'!L$54)</f>
        <v>765119.15789473685</v>
      </c>
      <c r="J74" s="87"/>
      <c r="K74" s="15"/>
      <c r="L74" s="80">
        <f>'Saisie des données'!$F$18</f>
        <v>2022</v>
      </c>
      <c r="M74" s="212">
        <f>M22*('Saisie des données'!Q$33+'Saisie des données'!Q$33*'Saisie des données'!Q$50+'Saisie des données'!Q$33*'Saisie des données'!Q$51)+(M10/'Saisie des données'!Q$53*'Saisie des données'!Q$52)+(M10*'Saisie des données'!Q$54)</f>
        <v>854660.21052631573</v>
      </c>
      <c r="N74" s="82"/>
      <c r="O74" s="80">
        <f>'Saisie des données'!$F$18</f>
        <v>2022</v>
      </c>
      <c r="P74" s="212">
        <f>P22*('Saisie des données'!U$33+'Saisie des données'!U$33*'Saisie des données'!U$50+'Saisie des données'!U$33*'Saisie des données'!U$51)+(P10/'Saisie des données'!U$53*'Saisie des données'!U$52)+(P10*'Saisie des données'!U$54)</f>
        <v>776520.34782608692</v>
      </c>
      <c r="Q74" s="82"/>
      <c r="R74" s="80">
        <f>'Saisie des données'!$F$18</f>
        <v>2022</v>
      </c>
      <c r="S74" s="212" t="e">
        <f>S22*('Saisie des données'!Y$33+'Saisie des données'!Y$33*'Saisie des données'!Y$50+'Saisie des données'!Y$33*'Saisie des données'!Y$51)+(S10/'Saisie des données'!Y$53*'Saisie des données'!Y$52)+(S10*'Saisie des données'!Y$54)</f>
        <v>#VALUE!</v>
      </c>
    </row>
    <row r="75" spans="1:19" ht="15.5" outlineLevel="1" x14ac:dyDescent="0.35">
      <c r="A75" s="15"/>
      <c r="B75" s="80">
        <f>'Saisie des données'!$F$18+1</f>
        <v>2023</v>
      </c>
      <c r="C75" s="212">
        <f>C23*('Saisie des données'!D$33+'Saisie des données'!D$33*'Saisie des données'!D$50+'Saisie des données'!D$33*'Saisie des données'!D$51)+(C11/'Saisie des données'!D$53*'Saisie des données'!D$52)+(C11*'Saisie des données'!D$54)</f>
        <v>840630.82782608678</v>
      </c>
      <c r="D75" s="82"/>
      <c r="E75" s="80">
        <f>'Saisie des données'!$F$18+1</f>
        <v>2023</v>
      </c>
      <c r="F75" s="212">
        <f>F23*('Saisie des données'!H$33+'Saisie des données'!H$33*'Saisie des données'!H$50+'Saisie des données'!H$33*'Saisie des données'!H$51)+(F11/'Saisie des données'!H$53*'Saisie des données'!H$52)+(F11*'Saisie des données'!H$54)</f>
        <v>554926.74086956517</v>
      </c>
      <c r="G75" s="82"/>
      <c r="H75" s="80">
        <f>'Saisie des données'!$F$18+1</f>
        <v>2023</v>
      </c>
      <c r="I75" s="212">
        <f>I23*('Saisie des données'!L$33+'Saisie des données'!L$33*'Saisie des données'!L$50+'Saisie des données'!L$33*'Saisie des données'!L$51)+(I11/'Saisie des données'!L$53*'Saisie des données'!L$52)+(I11*'Saisie des données'!L$54)</f>
        <v>788072.73263157893</v>
      </c>
      <c r="J75" s="87"/>
      <c r="K75" s="15"/>
      <c r="L75" s="80">
        <f>'Saisie des données'!$F$18+1</f>
        <v>2023</v>
      </c>
      <c r="M75" s="212">
        <f>M23*('Saisie des données'!Q$33+'Saisie des données'!Q$33*'Saisie des données'!Q$50+'Saisie des données'!Q$33*'Saisie des données'!Q$51)+(M11/'Saisie des données'!Q$53*'Saisie des données'!Q$52)+(M11*'Saisie des données'!Q$54)</f>
        <v>880300.01684210508</v>
      </c>
      <c r="N75" s="82"/>
      <c r="O75" s="80">
        <f>'Saisie des données'!$F$18+1</f>
        <v>2023</v>
      </c>
      <c r="P75" s="212">
        <f>P23*('Saisie des données'!U$33+'Saisie des données'!U$33*'Saisie des données'!U$50+'Saisie des données'!U$33*'Saisie des données'!U$51)+(P11/'Saisie des données'!U$53*'Saisie des données'!U$52)+(P11*'Saisie des données'!U$54)</f>
        <v>799815.95826086949</v>
      </c>
      <c r="Q75" s="82"/>
      <c r="R75" s="80">
        <f>'Saisie des données'!$F$18+1</f>
        <v>2023</v>
      </c>
      <c r="S75" s="212" t="e">
        <f>S23*('Saisie des données'!Y$33+'Saisie des données'!Y$33*'Saisie des données'!Y$50+'Saisie des données'!Y$33*'Saisie des données'!Y$51)+(S11/'Saisie des données'!Y$53*'Saisie des données'!Y$52)+(S11*'Saisie des données'!Y$54)</f>
        <v>#VALUE!</v>
      </c>
    </row>
    <row r="76" spans="1:19" ht="15.5" outlineLevel="1" x14ac:dyDescent="0.35">
      <c r="A76" s="15"/>
      <c r="B76" s="80">
        <f>'Saisie des données'!$F$18+2</f>
        <v>2024</v>
      </c>
      <c r="C76" s="212">
        <f>C24*('Saisie des données'!D$33+'Saisie des données'!D$33*'Saisie des données'!D$50+'Saisie des données'!D$33*'Saisie des données'!D$51)+(C12/'Saisie des données'!D$53*'Saisie des données'!D$52)+(C12*'Saisie des données'!D$54)</f>
        <v>865849.75266086927</v>
      </c>
      <c r="D76" s="82"/>
      <c r="E76" s="80">
        <f>'Saisie des données'!$F$18+2</f>
        <v>2024</v>
      </c>
      <c r="F76" s="212">
        <f>F24*('Saisie des données'!H$33+'Saisie des données'!H$33*'Saisie des données'!H$50+'Saisie des données'!H$33*'Saisie des données'!H$51)+(F12/'Saisie des données'!H$53*'Saisie des données'!H$52)+(F12*'Saisie des données'!H$54)</f>
        <v>571574.54309565213</v>
      </c>
      <c r="G76" s="82"/>
      <c r="H76" s="80">
        <f>'Saisie des données'!$F$18+2</f>
        <v>2024</v>
      </c>
      <c r="I76" s="212">
        <f>I24*('Saisie des données'!L$33+'Saisie des données'!L$33*'Saisie des données'!L$50+'Saisie des données'!L$33*'Saisie des données'!L$51)+(I12/'Saisie des données'!L$53*'Saisie des données'!L$52)+(I12*'Saisie des données'!L$54)</f>
        <v>811714.91461052618</v>
      </c>
      <c r="J76" s="87"/>
      <c r="K76" s="15"/>
      <c r="L76" s="80">
        <f>'Saisie des données'!$F$18+2</f>
        <v>2024</v>
      </c>
      <c r="M76" s="212">
        <f>M24*('Saisie des données'!Q$33+'Saisie des données'!Q$33*'Saisie des données'!Q$50+'Saisie des données'!Q$33*'Saisie des données'!Q$51)+(M12/'Saisie des données'!Q$53*'Saisie des données'!Q$52)+(M12*'Saisie des données'!Q$54)</f>
        <v>906709.01734736818</v>
      </c>
      <c r="N76" s="82"/>
      <c r="O76" s="80">
        <f>'Saisie des données'!$F$18+2</f>
        <v>2024</v>
      </c>
      <c r="P76" s="212">
        <f>P24*('Saisie des données'!U$33+'Saisie des données'!U$33*'Saisie des données'!U$50+'Saisie des données'!U$33*'Saisie des données'!U$51)+(P12/'Saisie des données'!U$53*'Saisie des données'!U$52)+(P12*'Saisie des données'!U$54)</f>
        <v>823810.43700869544</v>
      </c>
      <c r="Q76" s="82"/>
      <c r="R76" s="80">
        <f>'Saisie des données'!$F$18+2</f>
        <v>2024</v>
      </c>
      <c r="S76" s="212" t="e">
        <f>S24*('Saisie des données'!Y$33+'Saisie des données'!Y$33*'Saisie des données'!Y$50+'Saisie des données'!Y$33*'Saisie des données'!Y$51)+(S12/'Saisie des données'!Y$53*'Saisie des données'!Y$52)+(S12*'Saisie des données'!Y$54)</f>
        <v>#VALUE!</v>
      </c>
    </row>
    <row r="77" spans="1:19" ht="15.5" outlineLevel="1" x14ac:dyDescent="0.35">
      <c r="A77" s="15"/>
      <c r="B77" s="80">
        <f>'Saisie des données'!$F$18+3</f>
        <v>2025</v>
      </c>
      <c r="C77" s="212">
        <f>C25*('Saisie des données'!D$33+'Saisie des données'!D$33*'Saisie des données'!D$50+'Saisie des données'!D$33*'Saisie des données'!D$51)+(C13/'Saisie des données'!D$53*'Saisie des données'!D$52)+(C13*'Saisie des données'!D$54)</f>
        <v>891825.24524069554</v>
      </c>
      <c r="D77" s="82"/>
      <c r="E77" s="80">
        <f>'Saisie des données'!$F$18+3</f>
        <v>2025</v>
      </c>
      <c r="F77" s="212">
        <f>F25*('Saisie des données'!H$33+'Saisie des données'!H$33*'Saisie des données'!H$50+'Saisie des données'!H$33*'Saisie des données'!H$51)+(F13/'Saisie des données'!H$53*'Saisie des données'!H$52)+(F13*'Saisie des données'!H$54)</f>
        <v>588721.7793885218</v>
      </c>
      <c r="G77" s="82"/>
      <c r="H77" s="80">
        <f>'Saisie des données'!$F$18+3</f>
        <v>2025</v>
      </c>
      <c r="I77" s="212">
        <f>I25*('Saisie des données'!L$33+'Saisie des données'!L$33*'Saisie des données'!L$50+'Saisie des données'!L$33*'Saisie des données'!L$51)+(I13/'Saisie des données'!L$53*'Saisie des données'!L$52)+(I13*'Saisie des données'!L$54)</f>
        <v>836066.36204884225</v>
      </c>
      <c r="J77" s="87"/>
      <c r="K77" s="15"/>
      <c r="L77" s="80">
        <f>'Saisie des données'!$F$18+3</f>
        <v>2025</v>
      </c>
      <c r="M77" s="212">
        <f>M25*('Saisie des données'!Q$33+'Saisie des données'!Q$33*'Saisie des données'!Q$50+'Saisie des données'!Q$33*'Saisie des données'!Q$51)+(M13/'Saisie des données'!Q$53*'Saisie des données'!Q$52)+(M13*'Saisie des données'!Q$54)</f>
        <v>933910.28786778939</v>
      </c>
      <c r="N77" s="82"/>
      <c r="O77" s="80">
        <f>'Saisie des données'!$F$18+3</f>
        <v>2025</v>
      </c>
      <c r="P77" s="212">
        <f>P25*('Saisie des données'!U$33+'Saisie des données'!U$33*'Saisie des données'!U$50+'Saisie des données'!U$33*'Saisie des données'!U$51)+(P13/'Saisie des données'!U$53*'Saisie des données'!U$52)+(P13*'Saisie des données'!U$54)</f>
        <v>848524.75011895644</v>
      </c>
      <c r="Q77" s="82"/>
      <c r="R77" s="80">
        <f>'Saisie des données'!$F$18+3</f>
        <v>2025</v>
      </c>
      <c r="S77" s="212" t="e">
        <f>S25*('Saisie des données'!Y$33+'Saisie des données'!Y$33*'Saisie des données'!Y$50+'Saisie des données'!Y$33*'Saisie des données'!Y$51)+(S13/'Saisie des données'!Y$53*'Saisie des données'!Y$52)+(S13*'Saisie des données'!Y$54)</f>
        <v>#VALUE!</v>
      </c>
    </row>
    <row r="78" spans="1:19" ht="15.5" outlineLevel="1" x14ac:dyDescent="0.35">
      <c r="A78" s="15"/>
      <c r="B78" s="80">
        <f>'Saisie des données'!$F$18+4</f>
        <v>2026</v>
      </c>
      <c r="C78" s="212">
        <f>C26*('Saisie des données'!D$33+'Saisie des données'!D$33*'Saisie des données'!D$50+'Saisie des données'!D$33*'Saisie des données'!D$51)+(C14/'Saisie des données'!D$53*'Saisie des données'!D$52)+(C14*'Saisie des données'!D$54)</f>
        <v>918580.00259791629</v>
      </c>
      <c r="D78" s="82"/>
      <c r="E78" s="80">
        <f>'Saisie des données'!$F$18+4</f>
        <v>2026</v>
      </c>
      <c r="F78" s="212">
        <f>F26*('Saisie des données'!H$33+'Saisie des données'!H$33*'Saisie des données'!H$50+'Saisie des données'!H$33*'Saisie des données'!H$51)+(F14/'Saisie des données'!H$53*'Saisie des données'!H$52)+(F14*'Saisie des données'!H$54)</f>
        <v>606383.43277017737</v>
      </c>
      <c r="G78" s="82"/>
      <c r="H78" s="80">
        <f>'Saisie des données'!$F$18+4</f>
        <v>2026</v>
      </c>
      <c r="I78" s="212">
        <f>I26*('Saisie des données'!L$33+'Saisie des données'!L$33*'Saisie des données'!L$50+'Saisie des données'!L$33*'Saisie des données'!L$51)+(I14/'Saisie des données'!L$53*'Saisie des données'!L$52)+(I14*'Saisie des données'!L$54)</f>
        <v>861148.35291030724</v>
      </c>
      <c r="J78" s="87"/>
      <c r="K78" s="15"/>
      <c r="L78" s="80">
        <f>'Saisie des données'!$F$18+4</f>
        <v>2026</v>
      </c>
      <c r="M78" s="212">
        <f>M26*('Saisie des données'!Q$33+'Saisie des données'!Q$33*'Saisie des données'!Q$50+'Saisie des données'!Q$33*'Saisie des données'!Q$51)+(M14/'Saisie des données'!Q$53*'Saisie des données'!Q$52)+(M14*'Saisie des données'!Q$54)</f>
        <v>961927.59650382295</v>
      </c>
      <c r="N78" s="82"/>
      <c r="O78" s="80">
        <f>'Saisie des données'!$F$18+4</f>
        <v>2026</v>
      </c>
      <c r="P78" s="212">
        <f>P26*('Saisie des données'!U$33+'Saisie des données'!U$33*'Saisie des données'!U$50+'Saisie des données'!U$33*'Saisie des données'!U$51)+(P14/'Saisie des données'!U$53*'Saisie des données'!U$52)+(P14*'Saisie des données'!U$54)</f>
        <v>873980.49262252508</v>
      </c>
      <c r="Q78" s="82"/>
      <c r="R78" s="80">
        <f>'Saisie des données'!$F$18+4</f>
        <v>2026</v>
      </c>
      <c r="S78" s="212" t="e">
        <f>S26*('Saisie des données'!Y$33+'Saisie des données'!Y$33*'Saisie des données'!Y$50+'Saisie des données'!Y$33*'Saisie des données'!Y$51)+(S14/'Saisie des données'!Y$53*'Saisie des données'!Y$52)+(S14*'Saisie des données'!Y$54)</f>
        <v>#VALUE!</v>
      </c>
    </row>
    <row r="79" spans="1:19" ht="15.5" outlineLevel="1" x14ac:dyDescent="0.35">
      <c r="A79" s="15"/>
      <c r="B79" s="80">
        <f>'Saisie des données'!$F$18+5</f>
        <v>2027</v>
      </c>
      <c r="C79" s="212">
        <f>C27*('Saisie des données'!D$33+'Saisie des données'!D$33*'Saisie des données'!D$50+'Saisie des données'!D$33*'Saisie des données'!D$51)+(C15/'Saisie des données'!D$53*'Saisie des données'!D$52)+(C15*'Saisie des données'!D$54)</f>
        <v>946137.40267585369</v>
      </c>
      <c r="D79" s="82"/>
      <c r="E79" s="80">
        <f>'Saisie des données'!$F$18+5</f>
        <v>2027</v>
      </c>
      <c r="F79" s="212">
        <f>F27*('Saisie des données'!H$33+'Saisie des données'!H$33*'Saisie des données'!H$50+'Saisie des données'!H$33*'Saisie des données'!H$51)+(F15/'Saisie des données'!H$53*'Saisie des données'!H$52)+(F15*'Saisie des données'!H$54)</f>
        <v>624574.93575328263</v>
      </c>
      <c r="G79" s="82"/>
      <c r="H79" s="80">
        <f>'Saisie des données'!$F$18+5</f>
        <v>2027</v>
      </c>
      <c r="I79" s="212">
        <f>I27*('Saisie des données'!L$33+'Saisie des données'!L$33*'Saisie des données'!L$50+'Saisie des données'!L$33*'Saisie des données'!L$51)+(I15/'Saisie des données'!L$53*'Saisie des données'!L$52)+(I15*'Saisie des données'!L$54)</f>
        <v>886982.80349761643</v>
      </c>
      <c r="J79" s="87"/>
      <c r="K79" s="15"/>
      <c r="L79" s="80">
        <f>'Saisie des données'!$F$18+5</f>
        <v>2027</v>
      </c>
      <c r="M79" s="212">
        <f>M27*('Saisie des données'!Q$33+'Saisie des données'!Q$33*'Saisie des données'!Q$50+'Saisie des données'!Q$33*'Saisie des données'!Q$51)+(M15/'Saisie des données'!Q$53*'Saisie des données'!Q$52)+(M15*'Saisie des données'!Q$54)</f>
        <v>990785.42439893761</v>
      </c>
      <c r="N79" s="82"/>
      <c r="O79" s="80">
        <f>'Saisie des données'!$F$18+5</f>
        <v>2027</v>
      </c>
      <c r="P79" s="212">
        <f>P27*('Saisie des données'!U$33+'Saisie des données'!U$33*'Saisie des données'!U$50+'Saisie des données'!U$33*'Saisie des données'!U$51)+(P15/'Saisie des données'!U$53*'Saisie des données'!U$52)+(P15*'Saisie des données'!U$54)</f>
        <v>900199.90740120073</v>
      </c>
      <c r="Q79" s="82"/>
      <c r="R79" s="80">
        <f>'Saisie des données'!$F$18+5</f>
        <v>2027</v>
      </c>
      <c r="S79" s="212" t="e">
        <f>S27*('Saisie des données'!Y$33+'Saisie des données'!Y$33*'Saisie des données'!Y$50+'Saisie des données'!Y$33*'Saisie des données'!Y$51)+(S15/'Saisie des données'!Y$53*'Saisie des données'!Y$52)+(S15*'Saisie des données'!Y$54)</f>
        <v>#VALUE!</v>
      </c>
    </row>
    <row r="80" spans="1:19" ht="15.5" outlineLevel="1" x14ac:dyDescent="0.35">
      <c r="A80" s="15"/>
      <c r="B80" s="80">
        <f>'Saisie des données'!$F$18+6</f>
        <v>2028</v>
      </c>
      <c r="C80" s="212">
        <f>C28*('Saisie des données'!D$33+'Saisie des données'!D$33*'Saisie des données'!D$50+'Saisie des données'!D$33*'Saisie des données'!D$51)+(C16/'Saisie des données'!D$53*'Saisie des données'!D$52)+(C16*'Saisie des données'!D$54)</f>
        <v>974521.52475612937</v>
      </c>
      <c r="D80" s="82"/>
      <c r="E80" s="80">
        <f>'Saisie des données'!$F$18+6</f>
        <v>2028</v>
      </c>
      <c r="F80" s="212">
        <f>F28*('Saisie des données'!H$33+'Saisie des données'!H$33*'Saisie des données'!H$50+'Saisie des données'!H$33*'Saisie des données'!H$51)+(F16/'Saisie des données'!H$53*'Saisie des données'!H$52)+(F16*'Saisie des données'!H$54)</f>
        <v>643312.18382588122</v>
      </c>
      <c r="G80" s="82"/>
      <c r="H80" s="80">
        <f>'Saisie des données'!$F$18+6</f>
        <v>2028</v>
      </c>
      <c r="I80" s="212">
        <f>I28*('Saisie des données'!L$33+'Saisie des données'!L$33*'Saisie des données'!L$50+'Saisie des données'!L$33*'Saisie des données'!L$51)+(I16/'Saisie des données'!L$53*'Saisie des données'!L$52)+(I16*'Saisie des données'!L$54)</f>
        <v>913592.28760254488</v>
      </c>
      <c r="J80" s="87"/>
      <c r="K80" s="15"/>
      <c r="L80" s="80">
        <f>'Saisie des données'!$F$18+6</f>
        <v>2028</v>
      </c>
      <c r="M80" s="212">
        <f>M28*('Saisie des données'!Q$33+'Saisie des données'!Q$33*'Saisie des données'!Q$50+'Saisie des données'!Q$33*'Saisie des données'!Q$51)+(M16/'Saisie des données'!Q$53*'Saisie des données'!Q$52)+(M16*'Saisie des données'!Q$54)</f>
        <v>1020508.9871309056</v>
      </c>
      <c r="N80" s="82"/>
      <c r="O80" s="80">
        <f>'Saisie des données'!$F$18+6</f>
        <v>2028</v>
      </c>
      <c r="P80" s="212">
        <f>P28*('Saisie des données'!U$33+'Saisie des données'!U$33*'Saisie des données'!U$50+'Saisie des données'!U$33*'Saisie des données'!U$51)+(P16/'Saisie des données'!U$53*'Saisie des données'!U$52)+(P16*'Saisie des données'!U$54)</f>
        <v>927205.90462323686</v>
      </c>
      <c r="Q80" s="82"/>
      <c r="R80" s="80">
        <f>'Saisie des données'!$F$18+6</f>
        <v>2028</v>
      </c>
      <c r="S80" s="212" t="e">
        <f>S28*('Saisie des données'!Y$33+'Saisie des données'!Y$33*'Saisie des données'!Y$50+'Saisie des données'!Y$33*'Saisie des données'!Y$51)+(S16/'Saisie des données'!Y$53*'Saisie des données'!Y$52)+(S16*'Saisie des données'!Y$54)</f>
        <v>#VALUE!</v>
      </c>
    </row>
    <row r="81" spans="1:19" ht="15.5" outlineLevel="1" x14ac:dyDescent="0.35">
      <c r="A81" s="15"/>
      <c r="B81" s="80">
        <f>'Saisie des données'!$F$18+7</f>
        <v>2029</v>
      </c>
      <c r="C81" s="212">
        <f>C29*('Saisie des données'!D$33+'Saisie des données'!D$33*'Saisie des données'!D$50+'Saisie des données'!D$33*'Saisie des données'!D$51)+(C17/'Saisie des données'!D$53*'Saisie des données'!D$52)+(C17*'Saisie des données'!D$54)</f>
        <v>1003757.1704988132</v>
      </c>
      <c r="D81" s="82"/>
      <c r="E81" s="80">
        <f>'Saisie des données'!$F$18+7</f>
        <v>2029</v>
      </c>
      <c r="F81" s="212">
        <f>F29*('Saisie des données'!H$33+'Saisie des données'!H$33*'Saisie des données'!H$50+'Saisie des données'!H$33*'Saisie des données'!H$51)+(F17/'Saisie des données'!H$53*'Saisie des données'!H$52)+(F17*'Saisie des données'!H$54)</f>
        <v>662611.54934065754</v>
      </c>
      <c r="G81" s="82"/>
      <c r="H81" s="80">
        <f>'Saisie des données'!$F$18+7</f>
        <v>2029</v>
      </c>
      <c r="I81" s="212">
        <f>I29*('Saisie des données'!L$33+'Saisie des données'!L$33*'Saisie des données'!L$50+'Saisie des données'!L$33*'Saisie des données'!L$51)+(I17/'Saisie des données'!L$53*'Saisie des données'!L$52)+(I17*'Saisie des données'!L$54)</f>
        <v>941000.05623062141</v>
      </c>
      <c r="J81" s="87"/>
      <c r="K81" s="15"/>
      <c r="L81" s="80">
        <f>'Saisie des données'!$F$18+7</f>
        <v>2029</v>
      </c>
      <c r="M81" s="212">
        <f>M29*('Saisie des données'!Q$33+'Saisie des données'!Q$33*'Saisie des données'!Q$50+'Saisie des données'!Q$33*'Saisie des données'!Q$51)+(M17/'Saisie des données'!Q$53*'Saisie des données'!Q$52)+(M17*'Saisie des données'!Q$54)</f>
        <v>1051124.256744833</v>
      </c>
      <c r="N81" s="82"/>
      <c r="O81" s="80">
        <f>'Saisie des données'!$F$18+7</f>
        <v>2029</v>
      </c>
      <c r="P81" s="212">
        <f>P29*('Saisie des données'!U$33+'Saisie des données'!U$33*'Saisie des données'!U$50+'Saisie des données'!U$33*'Saisie des données'!U$51)+(P17/'Saisie des données'!U$53*'Saisie des données'!U$52)+(P17*'Saisie des données'!U$54)</f>
        <v>955022.08176193386</v>
      </c>
      <c r="Q81" s="82"/>
      <c r="R81" s="80">
        <f>'Saisie des données'!$F$18+7</f>
        <v>2029</v>
      </c>
      <c r="S81" s="212" t="e">
        <f>S29*('Saisie des données'!Y$33+'Saisie des données'!Y$33*'Saisie des données'!Y$50+'Saisie des données'!Y$33*'Saisie des données'!Y$51)+(S17/'Saisie des données'!Y$53*'Saisie des données'!Y$52)+(S17*'Saisie des données'!Y$54)</f>
        <v>#VALUE!</v>
      </c>
    </row>
    <row r="82" spans="1:19" ht="15.5" outlineLevel="1" x14ac:dyDescent="0.35">
      <c r="A82" s="15"/>
      <c r="B82" s="80">
        <f>'Saisie des données'!$F$18+8</f>
        <v>2030</v>
      </c>
      <c r="C82" s="212">
        <f>C30*('Saisie des données'!D$33+'Saisie des données'!D$33*'Saisie des données'!D$50+'Saisie des données'!D$33*'Saisie des données'!D$51)+(C18/'Saisie des données'!D$53*'Saisie des données'!D$52)+(C18*'Saisie des données'!D$54)</f>
        <v>1033869.8856137774</v>
      </c>
      <c r="D82" s="82"/>
      <c r="E82" s="80">
        <f>'Saisie des données'!$F$18+8</f>
        <v>2030</v>
      </c>
      <c r="F82" s="212">
        <f>F30*('Saisie des données'!H$33+'Saisie des données'!H$33*'Saisie des données'!H$50+'Saisie des données'!H$33*'Saisie des données'!H$51)+(F18/'Saisie des données'!H$53*'Saisie des données'!H$52)+(F18*'Saisie des données'!H$54)</f>
        <v>682489.89582087717</v>
      </c>
      <c r="G82" s="82"/>
      <c r="H82" s="80">
        <f>'Saisie des données'!$F$18+8</f>
        <v>2030</v>
      </c>
      <c r="I82" s="212">
        <f>I30*('Saisie des données'!L$33+'Saisie des données'!L$33*'Saisie des données'!L$50+'Saisie des données'!L$33*'Saisie des données'!L$51)+(I18/'Saisie des données'!L$53*'Saisie des données'!L$52)+(I18*'Saisie des données'!L$54)</f>
        <v>969230.05791753985</v>
      </c>
      <c r="J82" s="87"/>
      <c r="K82" s="15"/>
      <c r="L82" s="80">
        <f>'Saisie des données'!$F$18+8</f>
        <v>2030</v>
      </c>
      <c r="M82" s="212">
        <f>M30*('Saisie des données'!Q$33+'Saisie des données'!Q$33*'Saisie des données'!Q$50+'Saisie des données'!Q$33*'Saisie des données'!Q$51)+(M18/'Saisie des données'!Q$53*'Saisie des données'!Q$52)+(M18*'Saisie des données'!Q$54)</f>
        <v>1082657.9844471777</v>
      </c>
      <c r="N82" s="82"/>
      <c r="O82" s="80">
        <f>'Saisie des données'!$F$18+8</f>
        <v>2030</v>
      </c>
      <c r="P82" s="212">
        <f>P30*('Saisie des données'!U$33+'Saisie des données'!U$33*'Saisie des données'!U$50+'Saisie des données'!U$33*'Saisie des données'!U$51)+(P18/'Saisie des données'!U$53*'Saisie des données'!U$52)+(P18*'Saisie des données'!U$54)</f>
        <v>983672.74421479169</v>
      </c>
      <c r="Q82" s="82"/>
      <c r="R82" s="80">
        <f>'Saisie des données'!$F$18+8</f>
        <v>2030</v>
      </c>
      <c r="S82" s="212" t="e">
        <f>S30*('Saisie des données'!Y$33+'Saisie des données'!Y$33*'Saisie des données'!Y$50+'Saisie des données'!Y$33*'Saisie des données'!Y$51)+(S18/'Saisie des données'!Y$53*'Saisie des données'!Y$52)+(S18*'Saisie des données'!Y$54)</f>
        <v>#VALUE!</v>
      </c>
    </row>
    <row r="83" spans="1:19" ht="15.5" outlineLevel="1" x14ac:dyDescent="0.35">
      <c r="A83" s="15"/>
      <c r="B83" s="80">
        <f>'Saisie des données'!$F$18+9</f>
        <v>2031</v>
      </c>
      <c r="C83" s="212">
        <f>C31*('Saisie des données'!D$33+'Saisie des données'!D$33*'Saisie des données'!D$50+'Saisie des données'!D$33*'Saisie des données'!D$51)+(C19/'Saisie des données'!D$53*'Saisie des données'!D$52)+(C19*'Saisie des données'!D$54)</f>
        <v>1064885.982182191</v>
      </c>
      <c r="D83" s="82"/>
      <c r="E83" s="80">
        <f>'Saisie des données'!$F$18+9</f>
        <v>2031</v>
      </c>
      <c r="F83" s="212">
        <f>F31*('Saisie des données'!H$33+'Saisie des données'!H$33*'Saisie des données'!H$50+'Saisie des données'!H$33*'Saisie des données'!H$51)+(F19/'Saisie des données'!H$53*'Saisie des données'!H$52)+(F19*'Saisie des données'!H$54)</f>
        <v>702964.59269550373</v>
      </c>
      <c r="G83" s="82"/>
      <c r="H83" s="80">
        <f>'Saisie des données'!$F$18+9</f>
        <v>2031</v>
      </c>
      <c r="I83" s="212">
        <f>I31*('Saisie des données'!L$33+'Saisie des données'!L$33*'Saisie des données'!L$50+'Saisie des données'!L$33*'Saisie des données'!L$51)+(I19/'Saisie des données'!L$53*'Saisie des données'!L$52)+(I19*'Saisie des données'!L$54)</f>
        <v>998306.95965506637</v>
      </c>
      <c r="J83" s="87"/>
      <c r="K83" s="15"/>
      <c r="L83" s="80">
        <f>'Saisie des données'!$F$18+9</f>
        <v>2031</v>
      </c>
      <c r="M83" s="212">
        <f>M31*('Saisie des données'!Q$33+'Saisie des données'!Q$33*'Saisie des données'!Q$50+'Saisie des données'!Q$33*'Saisie des données'!Q$51)+(M19/'Saisie des données'!Q$53*'Saisie des données'!Q$52)+(M19*'Saisie des données'!Q$54)</f>
        <v>1115137.723980593</v>
      </c>
      <c r="N83" s="82"/>
      <c r="O83" s="80">
        <f>'Saisie des données'!$F$18+9</f>
        <v>2031</v>
      </c>
      <c r="P83" s="212">
        <f>P31*('Saisie des données'!U$33+'Saisie des données'!U$33*'Saisie des données'!U$50+'Saisie des données'!U$33*'Saisie des données'!U$51)+(P19/'Saisie des données'!U$53*'Saisie des données'!U$52)+(P19*'Saisie des données'!U$54)</f>
        <v>1013182.9265412359</v>
      </c>
      <c r="Q83" s="82"/>
      <c r="R83" s="80">
        <f>'Saisie des données'!$F$18+9</f>
        <v>2031</v>
      </c>
      <c r="S83" s="212" t="e">
        <f>S31*('Saisie des données'!Y$33+'Saisie des données'!Y$33*'Saisie des données'!Y$50+'Saisie des données'!Y$33*'Saisie des données'!Y$51)+(S19/'Saisie des données'!Y$53*'Saisie des données'!Y$52)+(S19*'Saisie des données'!Y$54)</f>
        <v>#VALUE!</v>
      </c>
    </row>
    <row r="84" spans="1:19" ht="30" customHeight="1" outlineLevel="1" x14ac:dyDescent="0.35">
      <c r="A84" s="15"/>
      <c r="B84" s="228" t="s">
        <v>130</v>
      </c>
      <c r="C84" s="275"/>
      <c r="D84" s="82"/>
      <c r="E84" s="228" t="s">
        <v>130</v>
      </c>
      <c r="F84" s="275"/>
      <c r="G84" s="82"/>
      <c r="H84" s="228" t="s">
        <v>130</v>
      </c>
      <c r="I84" s="274"/>
      <c r="J84" s="87"/>
      <c r="K84" s="15"/>
      <c r="L84" s="228" t="s">
        <v>130</v>
      </c>
      <c r="M84" s="275"/>
      <c r="N84" s="82"/>
      <c r="O84" s="228" t="s">
        <v>130</v>
      </c>
      <c r="P84" s="275"/>
      <c r="Q84" s="82"/>
      <c r="R84" s="228" t="s">
        <v>130</v>
      </c>
      <c r="S84" s="275"/>
    </row>
    <row r="85" spans="1:19" ht="60" customHeight="1" x14ac:dyDescent="0.35">
      <c r="A85" s="15"/>
      <c r="B85" s="80" t="s">
        <v>124</v>
      </c>
      <c r="C85" s="212">
        <f>SUM(C86:C95)</f>
        <v>11281950.5867768</v>
      </c>
      <c r="D85" s="82"/>
      <c r="E85" s="80" t="s">
        <v>124</v>
      </c>
      <c r="F85" s="212">
        <f>SUM(F86:F95)</f>
        <v>8102069.8375889361</v>
      </c>
      <c r="G85" s="82"/>
      <c r="H85" s="80" t="s">
        <v>124</v>
      </c>
      <c r="I85" s="212">
        <f>SUM(I86:I95)</f>
        <v>10696980.042941242</v>
      </c>
      <c r="J85" s="87"/>
      <c r="K85" s="15"/>
      <c r="L85" s="80" t="s">
        <v>124</v>
      </c>
      <c r="M85" s="212">
        <f>SUM(M86:M95)</f>
        <v>11723467.86373171</v>
      </c>
      <c r="N85" s="82"/>
      <c r="O85" s="80" t="s">
        <v>124</v>
      </c>
      <c r="P85" s="212">
        <f>SUM(P86:P95)</f>
        <v>10827681.908321394</v>
      </c>
      <c r="Q85" s="82"/>
      <c r="R85" s="80" t="s">
        <v>124</v>
      </c>
      <c r="S85" s="212" t="e">
        <f>SUM(S86:S95)</f>
        <v>#VALUE!</v>
      </c>
    </row>
    <row r="86" spans="1:19" ht="15.5" outlineLevel="1" x14ac:dyDescent="0.35">
      <c r="A86" s="15"/>
      <c r="B86" s="80">
        <f>'Saisie des données'!$F$18</f>
        <v>2022</v>
      </c>
      <c r="C86" s="215">
        <f>C74+C10*'Saisie des données'!D$61+'Saisie des données'!D$60</f>
        <v>1038896.4347826085</v>
      </c>
      <c r="D86" s="82"/>
      <c r="E86" s="80">
        <f>'Saisie des données'!$F$18</f>
        <v>2022</v>
      </c>
      <c r="F86" s="212">
        <f>F74+F10*'Saisie des données'!H$61+'Saisie des données'!H$60</f>
        <v>761513.82608695654</v>
      </c>
      <c r="G86" s="82"/>
      <c r="H86" s="80">
        <f>'Saisie des données'!$F$18</f>
        <v>2022</v>
      </c>
      <c r="I86" s="212">
        <f>I74+I10*'Saisie des données'!L$61+'Saisie des données'!L$60</f>
        <v>987869.15789473685</v>
      </c>
      <c r="J86" s="87"/>
      <c r="K86" s="15"/>
      <c r="L86" s="80">
        <f>'Saisie des données'!$F$18</f>
        <v>2022</v>
      </c>
      <c r="M86" s="215">
        <f>M74+M10*'Saisie des données'!Q$61+'Saisie des données'!Q$60</f>
        <v>1077410.2105263157</v>
      </c>
      <c r="N86" s="82"/>
      <c r="O86" s="80">
        <f>'Saisie des données'!$F$18</f>
        <v>2022</v>
      </c>
      <c r="P86" s="212">
        <f>P74+P10*'Saisie des données'!U$61+'Saisie des données'!U$60</f>
        <v>999270.34782608692</v>
      </c>
      <c r="Q86" s="82"/>
      <c r="R86" s="80">
        <f>'Saisie des données'!$F$18</f>
        <v>2022</v>
      </c>
      <c r="S86" s="212" t="e">
        <f>S74+S10*'Saisie des données'!Y$61+'Saisie des données'!Y$60</f>
        <v>#VALUE!</v>
      </c>
    </row>
    <row r="87" spans="1:19" ht="15.5" outlineLevel="1" x14ac:dyDescent="0.35">
      <c r="A87" s="15"/>
      <c r="B87" s="80">
        <f>'Saisie des données'!$F$18+1</f>
        <v>2023</v>
      </c>
      <c r="C87" s="212">
        <f>C75+C11*'Saisie des données'!D$61</f>
        <v>1008263.3278260868</v>
      </c>
      <c r="D87" s="82"/>
      <c r="E87" s="80">
        <f>'Saisie des données'!$F$18+1</f>
        <v>2023</v>
      </c>
      <c r="F87" s="212">
        <f>F75+F11*'Saisie des données'!H$61</f>
        <v>722559.24086956517</v>
      </c>
      <c r="G87" s="82"/>
      <c r="H87" s="80">
        <f>'Saisie des données'!$F$18+1</f>
        <v>2023</v>
      </c>
      <c r="I87" s="212">
        <f>I75+I11*'Saisie des données'!L$61</f>
        <v>955705.23263157893</v>
      </c>
      <c r="J87" s="87"/>
      <c r="K87" s="15"/>
      <c r="L87" s="80">
        <f>'Saisie des données'!$F$18+1</f>
        <v>2023</v>
      </c>
      <c r="M87" s="212">
        <f>M75+M11*'Saisie des données'!Q$61</f>
        <v>1047932.5168421051</v>
      </c>
      <c r="N87" s="82"/>
      <c r="O87" s="80">
        <f>'Saisie des données'!$F$18+1</f>
        <v>2023</v>
      </c>
      <c r="P87" s="212">
        <f>P75+P11*'Saisie des données'!U$61</f>
        <v>967448.45826086949</v>
      </c>
      <c r="Q87" s="82"/>
      <c r="R87" s="80">
        <f>'Saisie des données'!$F$18+1</f>
        <v>2023</v>
      </c>
      <c r="S87" s="212" t="e">
        <f>S75+S11*'Saisie des données'!Y$61</f>
        <v>#VALUE!</v>
      </c>
    </row>
    <row r="88" spans="1:19" ht="15.5" outlineLevel="1" x14ac:dyDescent="0.35">
      <c r="A88" s="15"/>
      <c r="B88" s="80">
        <f>'Saisie des données'!$F$18+2</f>
        <v>2024</v>
      </c>
      <c r="C88" s="212">
        <f>C76+C12*'Saisie des données'!D$61</f>
        <v>1038511.2276608692</v>
      </c>
      <c r="D88" s="82"/>
      <c r="E88" s="80">
        <f>'Saisie des données'!$F$18+2</f>
        <v>2024</v>
      </c>
      <c r="F88" s="212">
        <f>F76+F12*'Saisie des données'!H$61</f>
        <v>744236.01809565211</v>
      </c>
      <c r="G88" s="82"/>
      <c r="H88" s="80">
        <f>'Saisie des données'!$F$18+2</f>
        <v>2024</v>
      </c>
      <c r="I88" s="212">
        <f>I76+I12*'Saisie des données'!L$61</f>
        <v>984376.38961052615</v>
      </c>
      <c r="J88" s="87"/>
      <c r="K88" s="15"/>
      <c r="L88" s="80">
        <f>'Saisie des données'!$F$18+2</f>
        <v>2024</v>
      </c>
      <c r="M88" s="212">
        <f>M76+M12*'Saisie des données'!Q$61</f>
        <v>1079370.492347368</v>
      </c>
      <c r="N88" s="82"/>
      <c r="O88" s="80">
        <f>'Saisie des données'!$F$18+2</f>
        <v>2024</v>
      </c>
      <c r="P88" s="212">
        <f>P76+P12*'Saisie des données'!U$61</f>
        <v>996471.91200869542</v>
      </c>
      <c r="Q88" s="82"/>
      <c r="R88" s="80">
        <f>'Saisie des données'!$F$18+2</f>
        <v>2024</v>
      </c>
      <c r="S88" s="212" t="e">
        <f>S76+S12*'Saisie des données'!Y$61</f>
        <v>#VALUE!</v>
      </c>
    </row>
    <row r="89" spans="1:19" ht="15.5" outlineLevel="1" x14ac:dyDescent="0.35">
      <c r="A89" s="15"/>
      <c r="B89" s="80">
        <f>'Saisie des données'!$F$18+3</f>
        <v>2025</v>
      </c>
      <c r="C89" s="212">
        <f>C77+C13*'Saisie des données'!D$61</f>
        <v>1069666.5644906955</v>
      </c>
      <c r="D89" s="82"/>
      <c r="E89" s="80">
        <f>'Saisie des données'!$F$18+3</f>
        <v>2025</v>
      </c>
      <c r="F89" s="212">
        <f>F77+F13*'Saisie des données'!H$61</f>
        <v>766563.09863852174</v>
      </c>
      <c r="G89" s="82"/>
      <c r="H89" s="80">
        <f>'Saisie des données'!$F$18+3</f>
        <v>2025</v>
      </c>
      <c r="I89" s="212">
        <f>I77+I13*'Saisie des données'!L$61</f>
        <v>1013907.6812988422</v>
      </c>
      <c r="J89" s="87"/>
      <c r="K89" s="15"/>
      <c r="L89" s="80">
        <f>'Saisie des données'!$F$18+3</f>
        <v>2025</v>
      </c>
      <c r="M89" s="212">
        <f>M77+M13*'Saisie des données'!Q$61</f>
        <v>1111751.6071177893</v>
      </c>
      <c r="N89" s="82"/>
      <c r="O89" s="80">
        <f>'Saisie des données'!$F$18+3</f>
        <v>2025</v>
      </c>
      <c r="P89" s="212">
        <f>P77+P13*'Saisie des données'!U$61</f>
        <v>1026366.0693689564</v>
      </c>
      <c r="Q89" s="82"/>
      <c r="R89" s="80">
        <f>'Saisie des données'!$F$18+3</f>
        <v>2025</v>
      </c>
      <c r="S89" s="212" t="e">
        <f>S77+S13*'Saisie des données'!Y$61</f>
        <v>#VALUE!</v>
      </c>
    </row>
    <row r="90" spans="1:19" ht="15.5" outlineLevel="1" x14ac:dyDescent="0.35">
      <c r="A90" s="15"/>
      <c r="B90" s="80">
        <f>'Saisie des données'!$F$18+4</f>
        <v>2026</v>
      </c>
      <c r="C90" s="212">
        <f>C78+C14*'Saisie des données'!D$61</f>
        <v>1101756.5614254163</v>
      </c>
      <c r="D90" s="82"/>
      <c r="E90" s="80">
        <f>'Saisie des données'!$F$18+4</f>
        <v>2026</v>
      </c>
      <c r="F90" s="212">
        <f>F78+F14*'Saisie des données'!H$61</f>
        <v>789559.99159767735</v>
      </c>
      <c r="G90" s="82"/>
      <c r="H90" s="80">
        <f>'Saisie des données'!$F$18+4</f>
        <v>2026</v>
      </c>
      <c r="I90" s="212">
        <f>I78+I14*'Saisie des données'!L$61</f>
        <v>1044324.9117378072</v>
      </c>
      <c r="J90" s="87"/>
      <c r="K90" s="15"/>
      <c r="L90" s="80">
        <f>'Saisie des données'!$F$18+4</f>
        <v>2026</v>
      </c>
      <c r="M90" s="212">
        <f>M78+M14*'Saisie des données'!Q$61</f>
        <v>1145104.1553313229</v>
      </c>
      <c r="N90" s="82"/>
      <c r="O90" s="80">
        <f>'Saisie des données'!$F$18+4</f>
        <v>2026</v>
      </c>
      <c r="P90" s="212">
        <f>P78+P14*'Saisie des données'!U$61</f>
        <v>1057157.0514500251</v>
      </c>
      <c r="Q90" s="82"/>
      <c r="R90" s="80">
        <f>'Saisie des données'!$F$18+4</f>
        <v>2026</v>
      </c>
      <c r="S90" s="212" t="e">
        <f>S78+S14*'Saisie des données'!Y$61</f>
        <v>#VALUE!</v>
      </c>
    </row>
    <row r="91" spans="1:19" ht="15.5" outlineLevel="1" x14ac:dyDescent="0.35">
      <c r="A91" s="15"/>
      <c r="B91" s="80">
        <f>'Saisie des données'!$F$18+5</f>
        <v>2027</v>
      </c>
      <c r="C91" s="212">
        <f>C79+C15*'Saisie des données'!D$61</f>
        <v>1134809.2582681787</v>
      </c>
      <c r="D91" s="82"/>
      <c r="E91" s="80">
        <f>'Saisie des données'!$F$18+5</f>
        <v>2027</v>
      </c>
      <c r="F91" s="212">
        <f>F79+F15*'Saisie des données'!H$61</f>
        <v>813246.79134560761</v>
      </c>
      <c r="G91" s="82"/>
      <c r="H91" s="80">
        <f>'Saisie des données'!$F$18+5</f>
        <v>2027</v>
      </c>
      <c r="I91" s="212">
        <f>I79+I15*'Saisie des données'!L$61</f>
        <v>1075654.6590899415</v>
      </c>
      <c r="J91" s="87"/>
      <c r="K91" s="15"/>
      <c r="L91" s="80">
        <f>'Saisie des données'!$F$18+5</f>
        <v>2027</v>
      </c>
      <c r="M91" s="212">
        <f>M79+M15*'Saisie des données'!Q$61</f>
        <v>1179457.2799912626</v>
      </c>
      <c r="N91" s="82"/>
      <c r="O91" s="80">
        <f>'Saisie des données'!$F$18+5</f>
        <v>2027</v>
      </c>
      <c r="P91" s="212">
        <f>P79+P15*'Saisie des données'!U$61</f>
        <v>1088871.7629935257</v>
      </c>
      <c r="Q91" s="82"/>
      <c r="R91" s="80">
        <f>'Saisie des données'!$F$18+5</f>
        <v>2027</v>
      </c>
      <c r="S91" s="212" t="e">
        <f>S79+S15*'Saisie des données'!Y$61</f>
        <v>#VALUE!</v>
      </c>
    </row>
    <row r="92" spans="1:19" ht="15.5" outlineLevel="1" x14ac:dyDescent="0.35">
      <c r="A92" s="15"/>
      <c r="B92" s="80">
        <f>'Saisie des données'!$F$18+6</f>
        <v>2028</v>
      </c>
      <c r="C92" s="212">
        <f>C80+C16*'Saisie des données'!D$61</f>
        <v>1168853.536016224</v>
      </c>
      <c r="D92" s="82"/>
      <c r="E92" s="80">
        <f>'Saisie des données'!$F$18+6</f>
        <v>2028</v>
      </c>
      <c r="F92" s="212">
        <f>F80+F16*'Saisie des données'!H$61</f>
        <v>837644.19508597592</v>
      </c>
      <c r="G92" s="82"/>
      <c r="H92" s="80">
        <f>'Saisie des données'!$F$18+6</f>
        <v>2028</v>
      </c>
      <c r="I92" s="212">
        <f>I80+I16*'Saisie des données'!L$61</f>
        <v>1107924.2988626396</v>
      </c>
      <c r="J92" s="87"/>
      <c r="K92" s="15"/>
      <c r="L92" s="80">
        <f>'Saisie des données'!$F$18+6</f>
        <v>2028</v>
      </c>
      <c r="M92" s="212">
        <f>M80+M16*'Saisie des données'!Q$61</f>
        <v>1214840.9983910003</v>
      </c>
      <c r="N92" s="82"/>
      <c r="O92" s="80">
        <f>'Saisie des données'!$F$18+6</f>
        <v>2028</v>
      </c>
      <c r="P92" s="212">
        <f>P80+P16*'Saisie des données'!U$61</f>
        <v>1121537.9158833316</v>
      </c>
      <c r="Q92" s="82"/>
      <c r="R92" s="80">
        <f>'Saisie des données'!$F$18+6</f>
        <v>2028</v>
      </c>
      <c r="S92" s="212" t="e">
        <f>S80+S16*'Saisie des données'!Y$61</f>
        <v>#VALUE!</v>
      </c>
    </row>
    <row r="93" spans="1:19" ht="15.5" outlineLevel="1" x14ac:dyDescent="0.35">
      <c r="A93" s="15"/>
      <c r="B93" s="80">
        <f>'Saisie des données'!$F$18+7</f>
        <v>2029</v>
      </c>
      <c r="C93" s="212">
        <f>C81+C17*'Saisie des données'!D$61</f>
        <v>1203919.1420967109</v>
      </c>
      <c r="D93" s="82"/>
      <c r="E93" s="80">
        <f>'Saisie des données'!$F$18+7</f>
        <v>2029</v>
      </c>
      <c r="F93" s="212">
        <f>F81+F17*'Saisie des données'!H$61</f>
        <v>862773.52093855513</v>
      </c>
      <c r="G93" s="82"/>
      <c r="H93" s="80">
        <f>'Saisie des données'!$F$18+7</f>
        <v>2029</v>
      </c>
      <c r="I93" s="212">
        <f>I81+I17*'Saisie des données'!L$61</f>
        <v>1141162.027828519</v>
      </c>
      <c r="J93" s="87"/>
      <c r="K93" s="15"/>
      <c r="L93" s="80">
        <f>'Saisie des données'!$F$18+7</f>
        <v>2029</v>
      </c>
      <c r="M93" s="212">
        <f>M81+M17*'Saisie des données'!Q$61</f>
        <v>1251286.2283427306</v>
      </c>
      <c r="N93" s="82"/>
      <c r="O93" s="80">
        <f>'Saisie des données'!$F$18+7</f>
        <v>2029</v>
      </c>
      <c r="P93" s="212">
        <f>P81+P17*'Saisie des données'!U$61</f>
        <v>1155184.0533598315</v>
      </c>
      <c r="Q93" s="82"/>
      <c r="R93" s="80">
        <f>'Saisie des données'!$F$18+7</f>
        <v>2029</v>
      </c>
      <c r="S93" s="212" t="e">
        <f>S81+S17*'Saisie des données'!Y$61</f>
        <v>#VALUE!</v>
      </c>
    </row>
    <row r="94" spans="1:19" ht="15.5" outlineLevel="1" x14ac:dyDescent="0.35">
      <c r="A94" s="15"/>
      <c r="B94" s="80">
        <f>'Saisie des données'!$F$18+8</f>
        <v>2030</v>
      </c>
      <c r="C94" s="212">
        <f>C82+C18*'Saisie des données'!D$61</f>
        <v>1240036.7163596118</v>
      </c>
      <c r="D94" s="82"/>
      <c r="E94" s="80">
        <f>'Saisie des données'!$F$18+8</f>
        <v>2030</v>
      </c>
      <c r="F94" s="212">
        <f>F82+F18*'Saisie des données'!H$61</f>
        <v>888656.72656671167</v>
      </c>
      <c r="G94" s="82"/>
      <c r="H94" s="80">
        <f>'Saisie des données'!$F$18+8</f>
        <v>2030</v>
      </c>
      <c r="I94" s="212">
        <f>I82+I18*'Saisie des données'!L$61</f>
        <v>1175396.8886633744</v>
      </c>
      <c r="J94" s="87"/>
      <c r="K94" s="15"/>
      <c r="L94" s="80">
        <f>'Saisie des données'!$F$18+8</f>
        <v>2030</v>
      </c>
      <c r="M94" s="212">
        <f>M82+M18*'Saisie des données'!Q$61</f>
        <v>1288824.8151930121</v>
      </c>
      <c r="N94" s="82"/>
      <c r="O94" s="80">
        <f>'Saisie des données'!$F$18+8</f>
        <v>2030</v>
      </c>
      <c r="P94" s="212">
        <f>P82+P18*'Saisie des données'!U$61</f>
        <v>1189839.5749606262</v>
      </c>
      <c r="Q94" s="82"/>
      <c r="R94" s="80">
        <f>'Saisie des données'!$F$18+8</f>
        <v>2030</v>
      </c>
      <c r="S94" s="212" t="e">
        <f>S82+S18*'Saisie des données'!Y$61</f>
        <v>#VALUE!</v>
      </c>
    </row>
    <row r="95" spans="1:19" ht="15.5" outlineLevel="1" x14ac:dyDescent="0.35">
      <c r="A95" s="15"/>
      <c r="B95" s="80">
        <f>'Saisie des données'!$F$18+9</f>
        <v>2031</v>
      </c>
      <c r="C95" s="212">
        <f>C83+C19*'Saisie des données'!D$61</f>
        <v>1277237.8178504005</v>
      </c>
      <c r="D95" s="82"/>
      <c r="E95" s="80">
        <f>'Saisie des données'!$F$18+9</f>
        <v>2031</v>
      </c>
      <c r="F95" s="212">
        <f>F83+F19*'Saisie des données'!H$61</f>
        <v>915316.4283637132</v>
      </c>
      <c r="G95" s="82"/>
      <c r="H95" s="80">
        <f>'Saisie des données'!$F$18+9</f>
        <v>2031</v>
      </c>
      <c r="I95" s="212">
        <f>I83+I19*'Saisie des données'!L$61</f>
        <v>1210658.795323276</v>
      </c>
      <c r="J95" s="87"/>
      <c r="K95" s="15"/>
      <c r="L95" s="80">
        <f>'Saisie des données'!$F$18+9</f>
        <v>2031</v>
      </c>
      <c r="M95" s="212">
        <f>M83+M19*'Saisie des données'!Q$61</f>
        <v>1327489.5596488025</v>
      </c>
      <c r="N95" s="82"/>
      <c r="O95" s="80">
        <f>'Saisie des données'!$F$18+9</f>
        <v>2031</v>
      </c>
      <c r="P95" s="212">
        <f>P83+P19*'Saisie des données'!U$61</f>
        <v>1225534.7622094455</v>
      </c>
      <c r="Q95" s="82"/>
      <c r="R95" s="80">
        <f>'Saisie des données'!$F$18+9</f>
        <v>2031</v>
      </c>
      <c r="S95" s="212" t="e">
        <f>S83+S19*'Saisie des données'!Y$61</f>
        <v>#VALUE!</v>
      </c>
    </row>
    <row r="96" spans="1:19" ht="10.4" customHeight="1" x14ac:dyDescent="0.35">
      <c r="A96" s="15"/>
      <c r="B96" s="15"/>
      <c r="C96" s="15"/>
      <c r="D96" s="15"/>
      <c r="E96" s="15"/>
      <c r="F96" s="15"/>
      <c r="G96" s="15"/>
      <c r="H96" s="15"/>
      <c r="I96" s="15"/>
      <c r="J96" s="15"/>
      <c r="K96" s="15"/>
    </row>
  </sheetData>
  <sheetProtection algorithmName="SHA-512" hashValue="lhSHhiBwJE7hvJApDe/L2xF0XKv+O9RiA5Bh0SW9agBd2XKGl21idJR0hPr4IZHv6gSXMKe+J/fOYSwov9ktVA==" saltValue="SzXQ4An6ZFNAs6XVs/QcsA==" spinCount="100000" sheet="1" formatCells="0" formatColumns="0" formatRows="0" insertColumns="0" insertRows="0" insertHyperlinks="0" deleteColumns="0" deleteRows="0" sort="0" autoFilter="0" pivotTables="0"/>
  <mergeCells count="70">
    <mergeCell ref="B43:I43"/>
    <mergeCell ref="L43:S43"/>
    <mergeCell ref="B32:C32"/>
    <mergeCell ref="E32:F32"/>
    <mergeCell ref="H32:I32"/>
    <mergeCell ref="L32:M32"/>
    <mergeCell ref="O32:P32"/>
    <mergeCell ref="O84:P84"/>
    <mergeCell ref="R84:S84"/>
    <mergeCell ref="B72:C72"/>
    <mergeCell ref="B84:C84"/>
    <mergeCell ref="E84:F84"/>
    <mergeCell ref="H84:I84"/>
    <mergeCell ref="L84:M84"/>
    <mergeCell ref="R72:S72"/>
    <mergeCell ref="O72:P72"/>
    <mergeCell ref="L72:M72"/>
    <mergeCell ref="H72:I72"/>
    <mergeCell ref="E72:F72"/>
    <mergeCell ref="B58:C58"/>
    <mergeCell ref="E58:F58"/>
    <mergeCell ref="H58:I58"/>
    <mergeCell ref="L58:M58"/>
    <mergeCell ref="O58:P58"/>
    <mergeCell ref="B46:C46"/>
    <mergeCell ref="E46:F46"/>
    <mergeCell ref="H46:I46"/>
    <mergeCell ref="L46:M46"/>
    <mergeCell ref="O46:P46"/>
    <mergeCell ref="E8:F8"/>
    <mergeCell ref="L8:M8"/>
    <mergeCell ref="O8:P8"/>
    <mergeCell ref="R8:S8"/>
    <mergeCell ref="B20:C20"/>
    <mergeCell ref="E20:F20"/>
    <mergeCell ref="L20:M20"/>
    <mergeCell ref="O20:P20"/>
    <mergeCell ref="R20:S20"/>
    <mergeCell ref="L1:S1"/>
    <mergeCell ref="L45:M45"/>
    <mergeCell ref="O45:P45"/>
    <mergeCell ref="R45:S45"/>
    <mergeCell ref="L71:M71"/>
    <mergeCell ref="O71:P71"/>
    <mergeCell ref="R71:S71"/>
    <mergeCell ref="L5:M5"/>
    <mergeCell ref="O5:P5"/>
    <mergeCell ref="R5:S5"/>
    <mergeCell ref="L7:M7"/>
    <mergeCell ref="O7:P7"/>
    <mergeCell ref="R7:S7"/>
    <mergeCell ref="R46:S46"/>
    <mergeCell ref="R58:S58"/>
    <mergeCell ref="R32:S32"/>
    <mergeCell ref="B5:C5"/>
    <mergeCell ref="E5:F5"/>
    <mergeCell ref="H5:I5"/>
    <mergeCell ref="B71:C71"/>
    <mergeCell ref="B1:I1"/>
    <mergeCell ref="B7:C7"/>
    <mergeCell ref="B45:C45"/>
    <mergeCell ref="E7:F7"/>
    <mergeCell ref="E45:F45"/>
    <mergeCell ref="E71:F71"/>
    <mergeCell ref="H7:I7"/>
    <mergeCell ref="H45:I45"/>
    <mergeCell ref="H71:I71"/>
    <mergeCell ref="H8:I8"/>
    <mergeCell ref="H20:I20"/>
    <mergeCell ref="B8:C8"/>
  </mergeCells>
  <conditionalFormatting sqref="I59 C59 F59">
    <cfRule type="colorScale" priority="23">
      <colorScale>
        <cfvo type="min"/>
        <cfvo type="percentile" val="50"/>
        <cfvo type="max"/>
        <color rgb="FF00B050"/>
        <color theme="7"/>
        <color rgb="FFFF0000"/>
      </colorScale>
    </cfRule>
  </conditionalFormatting>
  <conditionalFormatting sqref="C85 I85 F85">
    <cfRule type="colorScale" priority="22">
      <colorScale>
        <cfvo type="min"/>
        <cfvo type="percentile" val="50"/>
        <cfvo type="max"/>
        <color rgb="FF00B050"/>
        <color rgb="FFFFFF00"/>
        <color rgb="FFFF0000"/>
      </colorScale>
    </cfRule>
  </conditionalFormatting>
  <conditionalFormatting sqref="I85 F85 C85">
    <cfRule type="colorScale" priority="21">
      <colorScale>
        <cfvo type="min"/>
        <cfvo type="percentile" val="50"/>
        <cfvo type="max"/>
        <color rgb="FFF8696B"/>
        <color theme="7"/>
        <color rgb="FF63BE7B"/>
      </colorScale>
    </cfRule>
  </conditionalFormatting>
  <conditionalFormatting sqref="I85 F85 C85">
    <cfRule type="colorScale" priority="20">
      <colorScale>
        <cfvo type="min"/>
        <cfvo type="percentile" val="50"/>
        <cfvo type="max"/>
        <color rgb="FF00B050"/>
        <color theme="7"/>
        <color rgb="FFFF0000"/>
      </colorScale>
    </cfRule>
  </conditionalFormatting>
  <conditionalFormatting sqref="I59 C59 F59">
    <cfRule type="colorScale" priority="19">
      <colorScale>
        <cfvo type="min"/>
        <cfvo type="max"/>
        <color rgb="FFFFFF00"/>
        <color rgb="FFFFC000"/>
      </colorScale>
    </cfRule>
  </conditionalFormatting>
  <conditionalFormatting sqref="I85 F85 C85">
    <cfRule type="colorScale" priority="18">
      <colorScale>
        <cfvo type="min"/>
        <cfvo type="max"/>
        <color rgb="FF63BE7B"/>
        <color rgb="FFFFEF9C"/>
      </colorScale>
    </cfRule>
  </conditionalFormatting>
  <conditionalFormatting sqref="I59 C59 F59">
    <cfRule type="colorScale" priority="17">
      <colorScale>
        <cfvo type="min"/>
        <cfvo type="max"/>
        <color rgb="FF63BE7B"/>
        <color rgb="FFFFEF9C"/>
      </colorScale>
    </cfRule>
  </conditionalFormatting>
  <conditionalFormatting sqref="M59 S59 P59">
    <cfRule type="colorScale" priority="9">
      <colorScale>
        <cfvo type="min"/>
        <cfvo type="percentile" val="50"/>
        <cfvo type="max"/>
        <color rgb="FF00B050"/>
        <color theme="7"/>
        <color rgb="FFFF0000"/>
      </colorScale>
    </cfRule>
  </conditionalFormatting>
  <conditionalFormatting sqref="S85 P85 M85">
    <cfRule type="colorScale" priority="8">
      <colorScale>
        <cfvo type="min"/>
        <cfvo type="percentile" val="50"/>
        <cfvo type="max"/>
        <color rgb="FF00B050"/>
        <color rgb="FFFFFF00"/>
        <color rgb="FFFF0000"/>
      </colorScale>
    </cfRule>
  </conditionalFormatting>
  <conditionalFormatting sqref="S85 P85 M85">
    <cfRule type="colorScale" priority="7">
      <colorScale>
        <cfvo type="min"/>
        <cfvo type="percentile" val="50"/>
        <cfvo type="max"/>
        <color rgb="FFF8696B"/>
        <color theme="7"/>
        <color rgb="FF63BE7B"/>
      </colorScale>
    </cfRule>
  </conditionalFormatting>
  <conditionalFormatting sqref="S85 P85 M85">
    <cfRule type="colorScale" priority="6">
      <colorScale>
        <cfvo type="min"/>
        <cfvo type="percentile" val="50"/>
        <cfvo type="max"/>
        <color rgb="FF00B050"/>
        <color theme="7"/>
        <color rgb="FFFF0000"/>
      </colorScale>
    </cfRule>
  </conditionalFormatting>
  <conditionalFormatting sqref="S59 P59 M59">
    <cfRule type="colorScale" priority="5">
      <colorScale>
        <cfvo type="min"/>
        <cfvo type="max"/>
        <color rgb="FFFFFF00"/>
        <color rgb="FFFFC000"/>
      </colorScale>
    </cfRule>
  </conditionalFormatting>
  <conditionalFormatting sqref="S85 P85 M85">
    <cfRule type="colorScale" priority="4">
      <colorScale>
        <cfvo type="min"/>
        <cfvo type="max"/>
        <color rgb="FF63BE7B"/>
        <color rgb="FFFFEF9C"/>
      </colorScale>
    </cfRule>
  </conditionalFormatting>
  <conditionalFormatting sqref="S59 P59 M59">
    <cfRule type="colorScale" priority="3">
      <colorScale>
        <cfvo type="min"/>
        <cfvo type="max"/>
        <color rgb="FF63BE7B"/>
        <color rgb="FFFFEF9C"/>
      </colorScale>
    </cfRule>
  </conditionalFormatting>
  <conditionalFormatting sqref="C59 F59 I59 M59 P59 S59">
    <cfRule type="colorScale" priority="1">
      <colorScale>
        <cfvo type="min"/>
        <cfvo type="max"/>
        <color rgb="FF63BE7B"/>
        <color rgb="FFFFEF9C"/>
      </colorScale>
    </cfRule>
  </conditionalFormatting>
  <printOptions horizontalCentered="1" verticalCentered="1"/>
  <pageMargins left="0.25" right="0.25" top="0.5" bottom="0.5" header="0" footer="0"/>
  <pageSetup paperSize="9" scale="47" orientation="portrait" r:id="rId1"/>
  <headerFooter>
    <oddHeader>&amp;L&amp;&amp;"Calibri"&amp;10&amp;K000000Classé comme Interne&amp;K000000&amp;1#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9"/>
  <sheetViews>
    <sheetView zoomScale="80" zoomScaleNormal="80" workbookViewId="0"/>
  </sheetViews>
  <sheetFormatPr defaultColWidth="8.90625" defaultRowHeight="14.5" x14ac:dyDescent="0.35"/>
  <cols>
    <col min="1" max="16384" width="8.90625" style="7"/>
  </cols>
  <sheetData>
    <row r="1" spans="1:20" ht="15" thickBot="1" x14ac:dyDescent="0.4"/>
    <row r="2" spans="1:20" ht="24" thickBot="1" x14ac:dyDescent="0.6">
      <c r="A2" s="6"/>
      <c r="C2" s="277" t="s">
        <v>128</v>
      </c>
      <c r="D2" s="278"/>
      <c r="E2" s="278"/>
      <c r="F2" s="278"/>
      <c r="G2" s="278"/>
      <c r="H2" s="278"/>
      <c r="I2" s="278"/>
      <c r="J2" s="278"/>
      <c r="K2" s="278"/>
      <c r="L2" s="278"/>
      <c r="M2" s="278"/>
      <c r="N2" s="278"/>
      <c r="O2" s="278"/>
      <c r="P2" s="278"/>
      <c r="Q2" s="278"/>
      <c r="R2" s="278"/>
      <c r="S2" s="278"/>
      <c r="T2" s="279"/>
    </row>
    <row r="3" spans="1:20" ht="18.5" x14ac:dyDescent="0.45">
      <c r="A3" s="9" t="s">
        <v>132</v>
      </c>
    </row>
    <row r="22" spans="1:1" ht="18.5" x14ac:dyDescent="0.45">
      <c r="A22" s="9" t="s">
        <v>133</v>
      </c>
    </row>
    <row r="23" spans="1:1" x14ac:dyDescent="0.35">
      <c r="A23" s="8" t="s">
        <v>134</v>
      </c>
    </row>
    <row r="46" spans="1:20" ht="15" thickBot="1" x14ac:dyDescent="0.4"/>
    <row r="47" spans="1:20" ht="19" thickBot="1" x14ac:dyDescent="0.4">
      <c r="C47" s="277" t="s">
        <v>131</v>
      </c>
      <c r="D47" s="278"/>
      <c r="E47" s="278"/>
      <c r="F47" s="278"/>
      <c r="G47" s="278"/>
      <c r="H47" s="278"/>
      <c r="I47" s="278"/>
      <c r="J47" s="278"/>
      <c r="K47" s="278"/>
      <c r="L47" s="278"/>
      <c r="M47" s="278"/>
      <c r="N47" s="278"/>
      <c r="O47" s="278"/>
      <c r="P47" s="278"/>
      <c r="Q47" s="278"/>
      <c r="R47" s="278"/>
      <c r="S47" s="278"/>
      <c r="T47" s="279"/>
    </row>
    <row r="48" spans="1:20" ht="18.5" x14ac:dyDescent="0.45">
      <c r="A48" s="9" t="s">
        <v>132</v>
      </c>
    </row>
    <row r="68" spans="1:1" ht="18.5" x14ac:dyDescent="0.45">
      <c r="A68" s="9" t="s">
        <v>133</v>
      </c>
    </row>
    <row r="69" spans="1:1" x14ac:dyDescent="0.35">
      <c r="A69" s="8" t="s">
        <v>134</v>
      </c>
    </row>
  </sheetData>
  <sheetProtection algorithmName="SHA-512" hashValue="0kQ0BJqI6EnZ9SxlmDaiwMWvBF5w5cgbLtd4HS4etlJekTMeKD8CMV2vzgvdROTDSN6ypPCtU4Wtfco8PYxMNg==" saltValue="WmCkQa7kKVN4Gvh+Y+e/lA==" spinCount="100000" sheet="1" formatCells="0" formatColumns="0" formatRows="0" insertColumns="0" insertRows="0" insertHyperlinks="0" deleteColumns="0" deleteRows="0" sort="0" autoFilter="0" pivotTables="0"/>
  <mergeCells count="2">
    <mergeCell ref="C2:T2"/>
    <mergeCell ref="C47:T47"/>
  </mergeCells>
  <pageMargins left="0.7" right="0.7" top="0.75" bottom="0.75" header="0.3" footer="0.3"/>
  <pageSetup paperSize="9" orientation="portrait" r:id="rId1"/>
  <headerFooter>
    <oddHeader>&amp;L&amp;&amp;"Calibri"&amp;10&amp;K000000Classé comme Interne&amp;K000000&amp;1#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workbookViewId="0">
      <selection activeCell="A17" sqref="A17"/>
    </sheetView>
  </sheetViews>
  <sheetFormatPr defaultColWidth="9.08984375" defaultRowHeight="14.5" x14ac:dyDescent="0.35"/>
  <cols>
    <col min="1" max="1" width="52" customWidth="1"/>
    <col min="2" max="4" width="20.54296875" customWidth="1"/>
    <col min="5" max="5" width="20.54296875" style="192" customWidth="1"/>
    <col min="6" max="28" width="20.54296875" customWidth="1"/>
  </cols>
  <sheetData>
    <row r="1" spans="1:5" ht="31" x14ac:dyDescent="0.35">
      <c r="A1" s="3" t="s">
        <v>135</v>
      </c>
      <c r="B1" s="3" t="s">
        <v>99</v>
      </c>
      <c r="C1" s="3" t="s">
        <v>136</v>
      </c>
      <c r="D1" s="3" t="s">
        <v>137</v>
      </c>
      <c r="E1" s="200" t="s">
        <v>138</v>
      </c>
    </row>
    <row r="2" spans="1:5" x14ac:dyDescent="0.35">
      <c r="A2" s="10" t="s">
        <v>93</v>
      </c>
      <c r="B2" s="211">
        <v>3.05</v>
      </c>
      <c r="C2" s="4">
        <v>3</v>
      </c>
      <c r="D2" s="2">
        <v>0.08</v>
      </c>
      <c r="E2" s="201">
        <v>2.4</v>
      </c>
    </row>
    <row r="3" spans="1:5" x14ac:dyDescent="0.35">
      <c r="A3" s="10" t="s">
        <v>94</v>
      </c>
      <c r="B3" s="211">
        <v>2</v>
      </c>
      <c r="C3" s="4">
        <v>3</v>
      </c>
      <c r="D3" s="2">
        <v>0.08</v>
      </c>
      <c r="E3" s="201">
        <v>3.5</v>
      </c>
    </row>
    <row r="4" spans="1:5" x14ac:dyDescent="0.35">
      <c r="A4" s="10" t="s">
        <v>95</v>
      </c>
      <c r="B4" s="211">
        <v>2.95</v>
      </c>
      <c r="C4" s="4">
        <v>3</v>
      </c>
      <c r="D4" s="2">
        <v>0.05</v>
      </c>
      <c r="E4" s="201">
        <v>14</v>
      </c>
    </row>
    <row r="5" spans="1:5" x14ac:dyDescent="0.35">
      <c r="A5" s="10" t="s">
        <v>96</v>
      </c>
      <c r="B5" s="211">
        <v>3.3</v>
      </c>
      <c r="C5" s="4">
        <v>3</v>
      </c>
      <c r="D5" s="2">
        <v>0.05</v>
      </c>
      <c r="E5" s="201">
        <v>12</v>
      </c>
    </row>
    <row r="6" spans="1:5" x14ac:dyDescent="0.35">
      <c r="A6" s="10" t="s">
        <v>97</v>
      </c>
      <c r="B6" s="211">
        <v>2.9</v>
      </c>
      <c r="C6" s="4">
        <v>3</v>
      </c>
      <c r="D6" s="2">
        <v>0.08</v>
      </c>
      <c r="E6" s="201">
        <v>3.5</v>
      </c>
    </row>
    <row r="7" spans="1:5" x14ac:dyDescent="0.35">
      <c r="A7" s="10" t="s">
        <v>98</v>
      </c>
      <c r="B7" s="1" t="s">
        <v>139</v>
      </c>
      <c r="C7" s="4">
        <v>3</v>
      </c>
      <c r="D7" s="2" t="s">
        <v>139</v>
      </c>
      <c r="E7" s="201">
        <v>11.05</v>
      </c>
    </row>
    <row r="8" spans="1:5" x14ac:dyDescent="0.35">
      <c r="A8" s="10"/>
      <c r="B8" s="1"/>
      <c r="C8" s="4"/>
      <c r="D8" s="2"/>
      <c r="E8" s="201"/>
    </row>
    <row r="9" spans="1:5" x14ac:dyDescent="0.35">
      <c r="A9" s="10"/>
      <c r="B9" s="1"/>
      <c r="C9" s="4"/>
      <c r="D9" s="2"/>
      <c r="E9" s="201"/>
    </row>
    <row r="10" spans="1:5" x14ac:dyDescent="0.35">
      <c r="A10" s="10"/>
      <c r="B10" s="1"/>
      <c r="C10" s="4"/>
      <c r="D10" s="2"/>
      <c r="E10" s="201"/>
    </row>
    <row r="11" spans="1:5" x14ac:dyDescent="0.35">
      <c r="A11" s="10"/>
      <c r="B11" s="1"/>
      <c r="C11" s="4"/>
      <c r="D11" s="2"/>
      <c r="E11" s="201"/>
    </row>
    <row r="12" spans="1:5" x14ac:dyDescent="0.35">
      <c r="A12" s="10"/>
      <c r="B12" s="1"/>
      <c r="C12" s="4"/>
      <c r="D12" s="2"/>
      <c r="E12" s="201"/>
    </row>
    <row r="13" spans="1:5" x14ac:dyDescent="0.35">
      <c r="A13" s="10"/>
      <c r="B13" s="1"/>
      <c r="C13" s="4"/>
      <c r="D13" s="5"/>
      <c r="E13" s="201"/>
    </row>
    <row r="14" spans="1:5" x14ac:dyDescent="0.35">
      <c r="A14" s="10"/>
      <c r="B14" s="1"/>
      <c r="C14" s="4"/>
      <c r="D14" s="2"/>
      <c r="E14" s="201"/>
    </row>
    <row r="15" spans="1:5" x14ac:dyDescent="0.35">
      <c r="A15" s="3" t="s">
        <v>140</v>
      </c>
    </row>
    <row r="16" spans="1:5" x14ac:dyDescent="0.35">
      <c r="A16" t="s">
        <v>141</v>
      </c>
    </row>
    <row r="17" spans="1:1" x14ac:dyDescent="0.35">
      <c r="A17" t="s">
        <v>63</v>
      </c>
    </row>
  </sheetData>
  <pageMargins left="0.7" right="0.7" top="0.75" bottom="0.75" header="0.3" footer="0.3"/>
  <pageSetup paperSize="9" orientation="portrait" r:id="rId1"/>
  <headerFooter>
    <oddHeader>&amp;L&amp;&amp;"Calibri"&amp;10&amp;K000000Classé comme Interne&amp;K000000&amp;1#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A8" sqref="A8"/>
    </sheetView>
  </sheetViews>
  <sheetFormatPr defaultColWidth="9.08984375" defaultRowHeight="14.5" x14ac:dyDescent="0.35"/>
  <cols>
    <col min="1" max="1" width="14.54296875" customWidth="1"/>
    <col min="3" max="3" width="70.54296875" customWidth="1"/>
  </cols>
  <sheetData>
    <row r="1" spans="1:3" x14ac:dyDescent="0.35">
      <c r="A1" t="s">
        <v>255</v>
      </c>
      <c r="B1" t="s">
        <v>256</v>
      </c>
      <c r="C1" t="s">
        <v>257</v>
      </c>
    </row>
    <row r="2" spans="1:3" x14ac:dyDescent="0.35">
      <c r="A2" t="s">
        <v>255</v>
      </c>
      <c r="B2" s="191">
        <v>44014</v>
      </c>
      <c r="C2" t="s">
        <v>258</v>
      </c>
    </row>
    <row r="3" spans="1:3" ht="72.5" x14ac:dyDescent="0.35">
      <c r="A3" t="s">
        <v>259</v>
      </c>
      <c r="B3" s="191">
        <v>44026</v>
      </c>
      <c r="C3" s="192" t="s">
        <v>260</v>
      </c>
    </row>
    <row r="4" spans="1:3" ht="29" x14ac:dyDescent="0.35">
      <c r="A4" t="s">
        <v>261</v>
      </c>
      <c r="B4" s="191">
        <v>44035</v>
      </c>
      <c r="C4" s="192" t="s">
        <v>262</v>
      </c>
    </row>
    <row r="5" spans="1:3" ht="29" x14ac:dyDescent="0.35">
      <c r="A5" t="s">
        <v>263</v>
      </c>
      <c r="B5" s="191">
        <v>44051</v>
      </c>
      <c r="C5" s="192" t="s">
        <v>264</v>
      </c>
    </row>
    <row r="6" spans="1:3" ht="43.5" x14ac:dyDescent="0.35">
      <c r="A6" t="s">
        <v>265</v>
      </c>
      <c r="B6" s="191">
        <v>44075</v>
      </c>
      <c r="C6" s="192" t="s">
        <v>266</v>
      </c>
    </row>
    <row r="7" spans="1:3" x14ac:dyDescent="0.35">
      <c r="A7" t="s">
        <v>267</v>
      </c>
      <c r="B7" s="191">
        <v>44083</v>
      </c>
      <c r="C7" s="192"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B59"/>
  <sheetViews>
    <sheetView topLeftCell="K16" zoomScale="70" zoomScaleNormal="70" workbookViewId="0">
      <selection activeCell="R28" sqref="R28"/>
    </sheetView>
  </sheetViews>
  <sheetFormatPr defaultColWidth="9.08984375" defaultRowHeight="14.5" x14ac:dyDescent="0.35"/>
  <cols>
    <col min="1" max="1" width="5.54296875" customWidth="1"/>
    <col min="2" max="2" width="77.54296875" customWidth="1"/>
    <col min="3" max="3" width="10.54296875" customWidth="1"/>
    <col min="4" max="4" width="14.453125" customWidth="1"/>
    <col min="5" max="5" width="17.54296875" customWidth="1"/>
    <col min="6" max="6" width="13.54296875" customWidth="1"/>
    <col min="7" max="7" width="28.453125" customWidth="1"/>
    <col min="8" max="8" width="52.453125" bestFit="1" customWidth="1"/>
    <col min="9" max="9" width="18.453125" customWidth="1"/>
    <col min="10" max="11" width="10.54296875" customWidth="1"/>
    <col min="12" max="12" width="20.453125" customWidth="1"/>
    <col min="13" max="13" width="24.453125" customWidth="1"/>
    <col min="14" max="14" width="8.90625" style="190"/>
    <col min="15" max="15" width="8.90625" style="114"/>
    <col min="17" max="17" width="75.453125" customWidth="1"/>
    <col min="18" max="18" width="68.453125" customWidth="1"/>
  </cols>
  <sheetData>
    <row r="2" spans="2:28" ht="47.25" customHeight="1" x14ac:dyDescent="0.7">
      <c r="B2" s="280" t="s">
        <v>142</v>
      </c>
      <c r="C2" s="280"/>
      <c r="D2" s="280"/>
      <c r="E2" s="280"/>
      <c r="F2" s="280"/>
      <c r="G2" s="280"/>
      <c r="H2" s="280"/>
      <c r="I2" s="280"/>
      <c r="J2" s="280"/>
      <c r="K2" s="280"/>
      <c r="L2" s="280"/>
      <c r="M2" s="280"/>
      <c r="N2" s="113"/>
      <c r="Q2" s="281" t="s">
        <v>143</v>
      </c>
      <c r="R2" s="281"/>
      <c r="S2" s="281"/>
      <c r="T2" s="281"/>
    </row>
    <row r="3" spans="2:28" ht="15" customHeight="1" x14ac:dyDescent="0.45">
      <c r="B3" s="115"/>
      <c r="C3" s="115"/>
      <c r="D3" s="115"/>
      <c r="E3" s="115"/>
      <c r="F3" s="115"/>
      <c r="G3" s="115"/>
      <c r="H3" s="115"/>
      <c r="I3" s="115"/>
      <c r="J3" s="115"/>
      <c r="K3" s="115"/>
      <c r="L3" s="115"/>
      <c r="M3" s="115"/>
      <c r="N3" s="116"/>
      <c r="O3" s="117"/>
      <c r="P3" s="115"/>
      <c r="Q3" s="282" t="s">
        <v>144</v>
      </c>
      <c r="R3" s="282"/>
      <c r="S3" s="282"/>
      <c r="T3" s="282"/>
      <c r="U3" s="115"/>
      <c r="V3" s="115"/>
      <c r="W3" s="115"/>
      <c r="X3" s="115"/>
      <c r="Y3" s="115"/>
      <c r="Z3" s="115"/>
      <c r="AA3" s="115"/>
      <c r="AB3" s="115"/>
    </row>
    <row r="4" spans="2:28" ht="35.25" customHeight="1" x14ac:dyDescent="0.45">
      <c r="B4" s="282" t="s">
        <v>145</v>
      </c>
      <c r="C4" s="282"/>
      <c r="D4" s="282"/>
      <c r="E4" s="282"/>
      <c r="F4" s="282"/>
      <c r="G4" s="282"/>
      <c r="H4" s="282"/>
      <c r="I4" s="282"/>
      <c r="J4" s="118"/>
      <c r="K4" s="118"/>
      <c r="L4" s="118"/>
      <c r="M4" s="115"/>
      <c r="N4" s="116"/>
      <c r="O4" s="117"/>
      <c r="P4" s="115"/>
      <c r="Q4" s="282"/>
      <c r="R4" s="282"/>
      <c r="S4" s="282"/>
      <c r="T4" s="282"/>
      <c r="U4" s="115"/>
      <c r="V4" s="115"/>
      <c r="W4" s="115"/>
      <c r="X4" s="115"/>
      <c r="Y4" s="115"/>
      <c r="Z4" s="115"/>
      <c r="AA4" s="115"/>
      <c r="AB4" s="115"/>
    </row>
    <row r="5" spans="2:28" ht="18.5" x14ac:dyDescent="0.45">
      <c r="B5" s="282"/>
      <c r="C5" s="282"/>
      <c r="D5" s="282"/>
      <c r="E5" s="282"/>
      <c r="F5" s="282"/>
      <c r="G5" s="282"/>
      <c r="H5" s="282"/>
      <c r="I5" s="282"/>
      <c r="J5" s="118"/>
      <c r="K5" s="118"/>
      <c r="L5" s="118"/>
      <c r="M5" s="119"/>
      <c r="N5" s="116"/>
      <c r="O5" s="117"/>
      <c r="P5" s="115"/>
      <c r="Q5" s="282"/>
      <c r="R5" s="282"/>
      <c r="S5" s="282"/>
      <c r="T5" s="282"/>
      <c r="U5" s="115"/>
      <c r="V5" s="115"/>
      <c r="W5" s="115"/>
      <c r="X5" s="115"/>
      <c r="Y5" s="115"/>
      <c r="Z5" s="115"/>
      <c r="AA5" s="115"/>
      <c r="AB5" s="115"/>
    </row>
    <row r="6" spans="2:28" ht="15.75" customHeight="1" thickBot="1" x14ac:dyDescent="0.5">
      <c r="B6" s="115"/>
      <c r="C6" s="115"/>
      <c r="D6" s="115"/>
      <c r="E6" s="115"/>
      <c r="F6" s="115"/>
      <c r="G6" s="120"/>
      <c r="H6" s="120"/>
      <c r="I6" s="283"/>
      <c r="J6" s="283"/>
      <c r="K6" s="283"/>
      <c r="L6" s="283"/>
      <c r="M6" s="283"/>
      <c r="N6" s="116"/>
      <c r="O6" s="117"/>
      <c r="P6" s="115"/>
      <c r="Q6" s="115"/>
      <c r="R6" s="115"/>
      <c r="S6" s="115"/>
      <c r="T6" s="115"/>
      <c r="U6" s="115"/>
      <c r="V6" s="115"/>
      <c r="W6" s="115"/>
      <c r="X6" s="115"/>
      <c r="Y6" s="115"/>
      <c r="Z6" s="115"/>
      <c r="AA6" s="115"/>
      <c r="AB6" s="115"/>
    </row>
    <row r="7" spans="2:28" ht="21" x14ac:dyDescent="0.45">
      <c r="B7" s="121" t="s">
        <v>146</v>
      </c>
      <c r="C7" s="284" t="s">
        <v>147</v>
      </c>
      <c r="D7" s="285"/>
      <c r="E7" s="285"/>
      <c r="F7" s="285"/>
      <c r="G7" s="285"/>
      <c r="H7" s="285"/>
      <c r="I7" s="285"/>
      <c r="J7" s="285"/>
      <c r="K7" s="285"/>
      <c r="L7" s="285"/>
      <c r="M7" s="286"/>
      <c r="N7" s="116"/>
      <c r="O7" s="117"/>
      <c r="P7" s="115"/>
      <c r="Q7" s="122" t="s">
        <v>146</v>
      </c>
      <c r="R7" s="123" t="s">
        <v>147</v>
      </c>
      <c r="S7" s="115"/>
      <c r="T7" s="115"/>
      <c r="U7" s="115"/>
      <c r="V7" s="115"/>
      <c r="W7" s="115"/>
      <c r="X7" s="115"/>
      <c r="Y7" s="115"/>
      <c r="Z7" s="115"/>
      <c r="AA7" s="115"/>
      <c r="AB7" s="115"/>
    </row>
    <row r="8" spans="2:28" ht="21" x14ac:dyDescent="0.45">
      <c r="B8" s="124" t="s">
        <v>148</v>
      </c>
      <c r="C8" s="302" t="s">
        <v>149</v>
      </c>
      <c r="D8" s="303"/>
      <c r="E8" s="303"/>
      <c r="F8" s="303"/>
      <c r="G8" s="303"/>
      <c r="H8" s="304"/>
      <c r="I8" s="305" t="s">
        <v>150</v>
      </c>
      <c r="J8" s="305"/>
      <c r="K8" s="305"/>
      <c r="L8" s="305"/>
      <c r="M8" s="306"/>
      <c r="N8" s="125"/>
      <c r="O8" s="117"/>
      <c r="P8" s="115"/>
      <c r="Q8" s="126" t="s">
        <v>148</v>
      </c>
      <c r="R8" s="127" t="s">
        <v>149</v>
      </c>
      <c r="S8" s="115"/>
      <c r="T8" s="115"/>
      <c r="U8" s="115"/>
      <c r="V8" s="115"/>
      <c r="W8" s="115"/>
      <c r="X8" s="115"/>
      <c r="Y8" s="115"/>
      <c r="Z8" s="115"/>
      <c r="AA8" s="115"/>
      <c r="AB8" s="115"/>
    </row>
    <row r="9" spans="2:28" ht="21" x14ac:dyDescent="0.45">
      <c r="B9" s="124" t="s">
        <v>151</v>
      </c>
      <c r="C9" s="307" t="s">
        <v>152</v>
      </c>
      <c r="D9" s="295"/>
      <c r="E9" s="295"/>
      <c r="F9" s="295"/>
      <c r="G9" s="295"/>
      <c r="H9" s="128" t="s">
        <v>153</v>
      </c>
      <c r="I9" s="295" t="s">
        <v>154</v>
      </c>
      <c r="J9" s="295"/>
      <c r="K9" s="295"/>
      <c r="L9" s="295"/>
      <c r="M9" s="296"/>
      <c r="N9" s="125"/>
      <c r="O9" s="117"/>
      <c r="P9" s="115"/>
      <c r="Q9" s="126" t="s">
        <v>151</v>
      </c>
      <c r="R9" s="129" t="s">
        <v>152</v>
      </c>
      <c r="S9" s="115"/>
      <c r="T9" s="115"/>
      <c r="U9" s="115"/>
      <c r="V9" s="115"/>
      <c r="W9" s="115"/>
      <c r="X9" s="115"/>
      <c r="Y9" s="115"/>
      <c r="Z9" s="115"/>
      <c r="AA9" s="115"/>
      <c r="AB9" s="115"/>
    </row>
    <row r="10" spans="2:28" ht="21" x14ac:dyDescent="0.45">
      <c r="B10" s="130" t="s">
        <v>155</v>
      </c>
      <c r="C10" s="308" t="s">
        <v>156</v>
      </c>
      <c r="D10" s="309"/>
      <c r="E10" s="309"/>
      <c r="F10" s="309"/>
      <c r="G10" s="310"/>
      <c r="H10" s="131" t="s">
        <v>157</v>
      </c>
      <c r="I10" s="311" t="s">
        <v>158</v>
      </c>
      <c r="J10" s="311"/>
      <c r="K10" s="311"/>
      <c r="L10" s="311"/>
      <c r="M10" s="312"/>
      <c r="N10" s="125"/>
      <c r="O10" s="117"/>
      <c r="P10" s="115"/>
      <c r="Q10" s="132" t="s">
        <v>155</v>
      </c>
      <c r="R10" s="133" t="s">
        <v>156</v>
      </c>
      <c r="S10" s="115"/>
      <c r="T10" s="115"/>
      <c r="U10" s="115"/>
      <c r="V10" s="115"/>
      <c r="W10" s="115"/>
      <c r="X10" s="115"/>
      <c r="Y10" s="115"/>
      <c r="Z10" s="115"/>
      <c r="AA10" s="115"/>
      <c r="AB10" s="115"/>
    </row>
    <row r="11" spans="2:28" ht="21" customHeight="1" x14ac:dyDescent="0.45">
      <c r="B11" s="130" t="s">
        <v>159</v>
      </c>
      <c r="C11" s="287" t="s">
        <v>160</v>
      </c>
      <c r="D11" s="288"/>
      <c r="E11" s="288"/>
      <c r="F11" s="288"/>
      <c r="G11" s="289"/>
      <c r="H11" s="134" t="s">
        <v>161</v>
      </c>
      <c r="I11" s="290" t="s">
        <v>162</v>
      </c>
      <c r="J11" s="290"/>
      <c r="K11" s="290"/>
      <c r="L11" s="290"/>
      <c r="M11" s="291"/>
      <c r="N11" s="135"/>
      <c r="O11" s="117"/>
      <c r="P11" s="115"/>
      <c r="Q11" s="132" t="s">
        <v>159</v>
      </c>
      <c r="R11" s="136" t="s">
        <v>160</v>
      </c>
      <c r="S11" s="115"/>
      <c r="T11" s="115"/>
      <c r="U11" s="115"/>
      <c r="V11" s="115"/>
      <c r="W11" s="115"/>
      <c r="X11" s="115"/>
      <c r="Y11" s="115"/>
      <c r="Z11" s="115"/>
      <c r="AA11" s="115"/>
      <c r="AB11" s="115"/>
    </row>
    <row r="12" spans="2:28" ht="21" x14ac:dyDescent="0.45">
      <c r="B12" s="124" t="s">
        <v>163</v>
      </c>
      <c r="C12" s="292" t="s">
        <v>164</v>
      </c>
      <c r="D12" s="293"/>
      <c r="E12" s="293"/>
      <c r="F12" s="293"/>
      <c r="G12" s="294"/>
      <c r="H12" s="137" t="s">
        <v>165</v>
      </c>
      <c r="I12" s="295" t="s">
        <v>166</v>
      </c>
      <c r="J12" s="295"/>
      <c r="K12" s="295"/>
      <c r="L12" s="295"/>
      <c r="M12" s="296"/>
      <c r="N12" s="138"/>
      <c r="O12" s="117"/>
      <c r="P12" s="115"/>
      <c r="Q12" s="126" t="s">
        <v>163</v>
      </c>
      <c r="R12" s="139" t="s">
        <v>164</v>
      </c>
      <c r="S12" s="115"/>
      <c r="T12" s="115"/>
      <c r="U12" s="115"/>
      <c r="V12" s="115"/>
      <c r="W12" s="115"/>
      <c r="X12" s="115"/>
      <c r="Y12" s="115"/>
      <c r="Z12" s="115"/>
      <c r="AA12" s="115"/>
      <c r="AB12" s="115"/>
    </row>
    <row r="13" spans="2:28" ht="21" x14ac:dyDescent="0.45">
      <c r="B13" s="124" t="s">
        <v>167</v>
      </c>
      <c r="C13" s="297" t="s">
        <v>168</v>
      </c>
      <c r="D13" s="298"/>
      <c r="E13" s="298"/>
      <c r="F13" s="298"/>
      <c r="G13" s="299"/>
      <c r="H13" s="140" t="s">
        <v>169</v>
      </c>
      <c r="I13" s="300" t="s">
        <v>168</v>
      </c>
      <c r="J13" s="300"/>
      <c r="K13" s="300"/>
      <c r="L13" s="300"/>
      <c r="M13" s="301"/>
      <c r="N13" s="141"/>
      <c r="O13" s="117"/>
      <c r="P13" s="115"/>
      <c r="Q13" s="126" t="s">
        <v>167</v>
      </c>
      <c r="R13" s="142" t="s">
        <v>168</v>
      </c>
      <c r="S13" s="115"/>
      <c r="T13" s="115"/>
      <c r="U13" s="115"/>
      <c r="V13" s="115"/>
      <c r="W13" s="115"/>
      <c r="X13" s="115"/>
      <c r="Y13" s="115"/>
      <c r="Z13" s="115"/>
      <c r="AA13" s="115"/>
      <c r="AB13" s="115"/>
    </row>
    <row r="14" spans="2:28" ht="45" customHeight="1" x14ac:dyDescent="0.45">
      <c r="B14" s="143" t="s">
        <v>170</v>
      </c>
      <c r="C14" s="323" t="s">
        <v>171</v>
      </c>
      <c r="D14" s="324"/>
      <c r="E14" s="325"/>
      <c r="F14" s="326" t="s">
        <v>172</v>
      </c>
      <c r="G14" s="325"/>
      <c r="H14" s="144" t="s">
        <v>173</v>
      </c>
      <c r="I14" s="326" t="s">
        <v>174</v>
      </c>
      <c r="J14" s="324"/>
      <c r="K14" s="325"/>
      <c r="L14" s="326" t="s">
        <v>175</v>
      </c>
      <c r="M14" s="327"/>
      <c r="N14" s="145"/>
      <c r="O14" s="117"/>
      <c r="P14" s="115"/>
      <c r="Q14" s="146" t="s">
        <v>170</v>
      </c>
      <c r="R14" s="147" t="s">
        <v>176</v>
      </c>
      <c r="S14" s="115"/>
      <c r="T14" s="115"/>
      <c r="U14" s="115"/>
      <c r="V14" s="115"/>
      <c r="W14" s="115"/>
      <c r="X14" s="115"/>
      <c r="Y14" s="115"/>
      <c r="Z14" s="115"/>
      <c r="AA14" s="115"/>
      <c r="AB14" s="115"/>
    </row>
    <row r="15" spans="2:28" ht="34.5" customHeight="1" x14ac:dyDescent="0.45">
      <c r="B15" s="148" t="s">
        <v>177</v>
      </c>
      <c r="C15" s="313" t="s">
        <v>178</v>
      </c>
      <c r="D15" s="314"/>
      <c r="E15" s="315"/>
      <c r="F15" s="328" t="s">
        <v>179</v>
      </c>
      <c r="G15" s="329"/>
      <c r="H15" s="128" t="s">
        <v>180</v>
      </c>
      <c r="I15" s="316" t="s">
        <v>179</v>
      </c>
      <c r="J15" s="314"/>
      <c r="K15" s="315"/>
      <c r="L15" s="316" t="s">
        <v>179</v>
      </c>
      <c r="M15" s="317"/>
      <c r="N15" s="149"/>
      <c r="O15" s="117"/>
      <c r="P15" s="115"/>
      <c r="Q15" s="150" t="s">
        <v>177</v>
      </c>
      <c r="R15" s="129" t="s">
        <v>181</v>
      </c>
      <c r="S15" s="115"/>
      <c r="T15" s="115"/>
      <c r="U15" s="115"/>
      <c r="V15" s="115"/>
      <c r="W15" s="115"/>
      <c r="X15" s="115"/>
      <c r="Y15" s="115"/>
      <c r="Z15" s="115"/>
      <c r="AA15" s="115"/>
      <c r="AB15" s="115"/>
    </row>
    <row r="16" spans="2:28" ht="18.5" x14ac:dyDescent="0.45">
      <c r="B16" s="151" t="s">
        <v>182</v>
      </c>
      <c r="C16" s="313" t="s">
        <v>183</v>
      </c>
      <c r="D16" s="314"/>
      <c r="E16" s="315"/>
      <c r="F16" s="316" t="s">
        <v>183</v>
      </c>
      <c r="G16" s="315"/>
      <c r="H16" s="128" t="s">
        <v>183</v>
      </c>
      <c r="I16" s="316" t="s">
        <v>183</v>
      </c>
      <c r="J16" s="314"/>
      <c r="K16" s="315"/>
      <c r="L16" s="316" t="s">
        <v>183</v>
      </c>
      <c r="M16" s="317"/>
      <c r="N16" s="125"/>
      <c r="O16" s="117"/>
      <c r="P16" s="115"/>
      <c r="Q16" s="152" t="s">
        <v>182</v>
      </c>
      <c r="R16" s="129" t="s">
        <v>181</v>
      </c>
      <c r="S16" s="115"/>
      <c r="T16" s="115"/>
      <c r="U16" s="115"/>
      <c r="V16" s="115"/>
      <c r="W16" s="115"/>
      <c r="X16" s="115"/>
      <c r="Y16" s="115"/>
      <c r="Z16" s="115"/>
      <c r="AA16" s="115"/>
      <c r="AB16" s="115"/>
    </row>
    <row r="17" spans="2:28" ht="21" x14ac:dyDescent="0.45">
      <c r="B17" s="148" t="s">
        <v>184</v>
      </c>
      <c r="C17" s="318" t="s">
        <v>185</v>
      </c>
      <c r="D17" s="319"/>
      <c r="E17" s="320"/>
      <c r="F17" s="321" t="s">
        <v>186</v>
      </c>
      <c r="G17" s="320"/>
      <c r="H17" s="153" t="s">
        <v>185</v>
      </c>
      <c r="I17" s="321" t="s">
        <v>186</v>
      </c>
      <c r="J17" s="319"/>
      <c r="K17" s="320"/>
      <c r="L17" s="321" t="s">
        <v>186</v>
      </c>
      <c r="M17" s="322"/>
      <c r="N17" s="125"/>
      <c r="O17" s="117"/>
      <c r="P17" s="115"/>
      <c r="Q17" s="150" t="s">
        <v>184</v>
      </c>
      <c r="R17" s="142" t="s">
        <v>186</v>
      </c>
      <c r="S17" s="115"/>
      <c r="T17" s="115"/>
      <c r="U17" s="115"/>
      <c r="V17" s="115"/>
      <c r="W17" s="115"/>
      <c r="X17" s="115"/>
      <c r="Y17" s="115"/>
      <c r="Z17" s="115"/>
      <c r="AA17" s="115"/>
      <c r="AB17" s="115"/>
    </row>
    <row r="18" spans="2:28" ht="21" x14ac:dyDescent="0.45">
      <c r="B18" s="154" t="s">
        <v>187</v>
      </c>
      <c r="C18" s="330">
        <v>3.05</v>
      </c>
      <c r="D18" s="331"/>
      <c r="E18" s="332"/>
      <c r="F18" s="333">
        <v>3.05</v>
      </c>
      <c r="G18" s="332"/>
      <c r="H18" s="155">
        <v>2</v>
      </c>
      <c r="I18" s="333">
        <v>3.3</v>
      </c>
      <c r="J18" s="331"/>
      <c r="K18" s="332"/>
      <c r="L18" s="333">
        <v>2.9</v>
      </c>
      <c r="M18" s="334"/>
      <c r="N18" s="145"/>
      <c r="O18" s="117"/>
      <c r="P18" s="115"/>
      <c r="Q18" s="156" t="s">
        <v>187</v>
      </c>
      <c r="R18" s="139" t="s">
        <v>181</v>
      </c>
      <c r="S18" s="115"/>
      <c r="T18" s="115"/>
      <c r="U18" s="115"/>
      <c r="V18" s="115"/>
      <c r="W18" s="115"/>
      <c r="X18" s="115"/>
      <c r="Y18" s="115"/>
      <c r="Z18" s="115"/>
      <c r="AA18" s="115"/>
      <c r="AB18" s="115"/>
    </row>
    <row r="19" spans="2:28" ht="18.5" x14ac:dyDescent="0.45">
      <c r="B19" s="154" t="s">
        <v>188</v>
      </c>
      <c r="C19" s="340">
        <v>3</v>
      </c>
      <c r="D19" s="341"/>
      <c r="E19" s="342"/>
      <c r="F19" s="343">
        <v>3</v>
      </c>
      <c r="G19" s="342"/>
      <c r="H19" s="157">
        <v>3</v>
      </c>
      <c r="I19" s="344">
        <v>3</v>
      </c>
      <c r="J19" s="345"/>
      <c r="K19" s="346"/>
      <c r="L19" s="345">
        <v>3</v>
      </c>
      <c r="M19" s="347"/>
      <c r="N19" s="158"/>
      <c r="O19" s="117"/>
      <c r="P19" s="115"/>
      <c r="Q19" s="156" t="s">
        <v>188</v>
      </c>
      <c r="R19" s="159">
        <v>3</v>
      </c>
      <c r="S19" s="115"/>
      <c r="T19" s="115"/>
      <c r="U19" s="115"/>
      <c r="V19" s="115"/>
      <c r="W19" s="115"/>
      <c r="X19" s="115"/>
      <c r="Y19" s="115"/>
      <c r="Z19" s="115"/>
      <c r="AA19" s="115"/>
      <c r="AB19" s="115"/>
    </row>
    <row r="20" spans="2:28" ht="21" x14ac:dyDescent="0.45">
      <c r="B20" s="160" t="s">
        <v>189</v>
      </c>
      <c r="C20" s="330">
        <f>C18*3</f>
        <v>9.1499999999999986</v>
      </c>
      <c r="D20" s="331"/>
      <c r="E20" s="332"/>
      <c r="F20" s="333">
        <f>F18*3</f>
        <v>9.1499999999999986</v>
      </c>
      <c r="G20" s="332"/>
      <c r="H20" s="155">
        <f>H18*3</f>
        <v>6</v>
      </c>
      <c r="I20" s="333">
        <f>I18*3</f>
        <v>9.8999999999999986</v>
      </c>
      <c r="J20" s="331"/>
      <c r="K20" s="332"/>
      <c r="L20" s="331">
        <f>L18*L19</f>
        <v>8.6999999999999993</v>
      </c>
      <c r="M20" s="334"/>
      <c r="N20" s="161"/>
      <c r="O20" s="117"/>
      <c r="P20" s="115"/>
      <c r="Q20" s="162" t="s">
        <v>189</v>
      </c>
      <c r="R20" s="139" t="s">
        <v>181</v>
      </c>
      <c r="S20" s="115"/>
      <c r="T20" s="115"/>
      <c r="U20" s="115"/>
      <c r="V20" s="115"/>
      <c r="W20" s="115"/>
      <c r="X20" s="115"/>
      <c r="Y20" s="115"/>
      <c r="Z20" s="115"/>
      <c r="AA20" s="115"/>
      <c r="AB20" s="115"/>
    </row>
    <row r="21" spans="2:28" ht="21.5" thickBot="1" x14ac:dyDescent="0.5">
      <c r="B21" s="160" t="s">
        <v>190</v>
      </c>
      <c r="C21" s="335">
        <v>0.1</v>
      </c>
      <c r="D21" s="336"/>
      <c r="E21" s="337"/>
      <c r="F21" s="338">
        <v>0.08</v>
      </c>
      <c r="G21" s="337"/>
      <c r="H21" s="163">
        <v>0.08</v>
      </c>
      <c r="I21" s="338">
        <v>0.05</v>
      </c>
      <c r="J21" s="336"/>
      <c r="K21" s="337"/>
      <c r="L21" s="338">
        <v>0.08</v>
      </c>
      <c r="M21" s="339"/>
      <c r="N21" s="158"/>
      <c r="O21" s="117"/>
      <c r="P21" s="115"/>
      <c r="Q21" s="162" t="s">
        <v>190</v>
      </c>
      <c r="R21" s="164" t="s">
        <v>181</v>
      </c>
      <c r="S21" s="115"/>
      <c r="T21" s="115"/>
      <c r="U21" s="115"/>
      <c r="V21" s="115"/>
      <c r="W21" s="115"/>
      <c r="X21" s="115"/>
      <c r="Y21" s="115"/>
      <c r="Z21" s="115"/>
      <c r="AA21" s="115"/>
      <c r="AB21" s="115"/>
    </row>
    <row r="22" spans="2:28" ht="33" customHeight="1" thickBot="1" x14ac:dyDescent="0.5">
      <c r="B22" s="160" t="s">
        <v>191</v>
      </c>
      <c r="C22" s="353">
        <v>0.1</v>
      </c>
      <c r="D22" s="354"/>
      <c r="E22" s="355"/>
      <c r="F22" s="356">
        <v>0.08</v>
      </c>
      <c r="G22" s="355"/>
      <c r="H22" s="165">
        <v>0.08</v>
      </c>
      <c r="I22" s="356">
        <v>0.05</v>
      </c>
      <c r="J22" s="354"/>
      <c r="K22" s="355"/>
      <c r="L22" s="356">
        <v>0.08</v>
      </c>
      <c r="M22" s="357"/>
      <c r="N22" s="166"/>
      <c r="O22" s="117"/>
      <c r="P22" s="115"/>
      <c r="Q22" s="162" t="s">
        <v>191</v>
      </c>
      <c r="R22" s="167" t="s">
        <v>181</v>
      </c>
      <c r="S22" s="115"/>
      <c r="T22" s="115"/>
      <c r="U22" s="115"/>
      <c r="V22" s="115"/>
      <c r="W22" s="115"/>
      <c r="X22" s="115"/>
      <c r="Y22" s="115"/>
      <c r="Z22" s="115"/>
      <c r="AA22" s="115"/>
      <c r="AB22" s="115"/>
    </row>
    <row r="23" spans="2:28" ht="37.5" customHeight="1" x14ac:dyDescent="0.45">
      <c r="B23" s="160" t="s">
        <v>192</v>
      </c>
      <c r="C23" s="358">
        <f>C20/(1-C22)</f>
        <v>10.166666666666664</v>
      </c>
      <c r="D23" s="359"/>
      <c r="E23" s="360"/>
      <c r="F23" s="361">
        <f>F20/(1-F22)</f>
        <v>9.9456521739130412</v>
      </c>
      <c r="G23" s="360"/>
      <c r="H23" s="168">
        <f>H20/(1-H22)</f>
        <v>6.5217391304347823</v>
      </c>
      <c r="I23" s="361">
        <f>I20/(1-I22)</f>
        <v>10.421052631578947</v>
      </c>
      <c r="J23" s="359"/>
      <c r="K23" s="360"/>
      <c r="L23" s="361">
        <f>L20/(1-L22)</f>
        <v>9.4565217391304337</v>
      </c>
      <c r="M23" s="362"/>
      <c r="N23" s="169"/>
      <c r="O23" s="117"/>
      <c r="P23" s="115"/>
      <c r="Q23" s="162" t="s">
        <v>192</v>
      </c>
      <c r="R23" s="170" t="s">
        <v>181</v>
      </c>
      <c r="S23" s="115"/>
      <c r="T23" s="115"/>
      <c r="U23" s="115"/>
      <c r="V23" s="115"/>
      <c r="W23" s="115"/>
      <c r="X23" s="115"/>
      <c r="Y23" s="115"/>
      <c r="Z23" s="115"/>
      <c r="AA23" s="115"/>
      <c r="AB23" s="115"/>
    </row>
    <row r="24" spans="2:28" ht="41.25" customHeight="1" x14ac:dyDescent="0.45">
      <c r="B24" s="124" t="s">
        <v>193</v>
      </c>
      <c r="C24" s="348">
        <v>40256</v>
      </c>
      <c r="D24" s="349"/>
      <c r="E24" s="350"/>
      <c r="F24" s="349">
        <v>43024</v>
      </c>
      <c r="G24" s="350"/>
      <c r="H24" s="171" t="s">
        <v>194</v>
      </c>
      <c r="I24" s="351">
        <v>40409</v>
      </c>
      <c r="J24" s="349"/>
      <c r="K24" s="350"/>
      <c r="L24" s="351">
        <v>42565</v>
      </c>
      <c r="M24" s="352"/>
      <c r="N24" s="158"/>
      <c r="O24" s="117"/>
      <c r="P24" s="115"/>
      <c r="Q24" s="126" t="s">
        <v>193</v>
      </c>
      <c r="R24" s="172">
        <v>40116</v>
      </c>
      <c r="S24" s="115"/>
      <c r="T24" s="115"/>
      <c r="U24" s="115"/>
      <c r="V24" s="115"/>
      <c r="W24" s="115"/>
      <c r="X24" s="115"/>
      <c r="Y24" s="115"/>
      <c r="Z24" s="115"/>
      <c r="AA24" s="115"/>
      <c r="AB24" s="115"/>
    </row>
    <row r="25" spans="2:28" ht="21" x14ac:dyDescent="0.45">
      <c r="B25" s="124" t="s">
        <v>195</v>
      </c>
      <c r="C25" s="313" t="s">
        <v>196</v>
      </c>
      <c r="D25" s="314"/>
      <c r="E25" s="315"/>
      <c r="F25" s="316" t="s">
        <v>196</v>
      </c>
      <c r="G25" s="315"/>
      <c r="H25" s="128" t="s">
        <v>196</v>
      </c>
      <c r="I25" s="316" t="s">
        <v>196</v>
      </c>
      <c r="J25" s="314"/>
      <c r="K25" s="315"/>
      <c r="L25" s="316" t="s">
        <v>196</v>
      </c>
      <c r="M25" s="317"/>
      <c r="N25" s="173"/>
      <c r="O25" s="117"/>
      <c r="P25" s="115"/>
      <c r="Q25" s="126" t="s">
        <v>195</v>
      </c>
      <c r="R25" s="129" t="s">
        <v>196</v>
      </c>
      <c r="S25" s="115"/>
      <c r="T25" s="115"/>
      <c r="U25" s="115"/>
      <c r="V25" s="115"/>
      <c r="W25" s="115"/>
      <c r="X25" s="115"/>
      <c r="Y25" s="115"/>
      <c r="Z25" s="115"/>
      <c r="AA25" s="115"/>
      <c r="AB25" s="115"/>
    </row>
    <row r="26" spans="2:28" ht="67.5" customHeight="1" x14ac:dyDescent="0.45">
      <c r="B26" s="124" t="s">
        <v>197</v>
      </c>
      <c r="C26" s="318" t="s">
        <v>198</v>
      </c>
      <c r="D26" s="319"/>
      <c r="E26" s="320"/>
      <c r="F26" s="321" t="s">
        <v>198</v>
      </c>
      <c r="G26" s="320"/>
      <c r="H26" s="153" t="s">
        <v>199</v>
      </c>
      <c r="I26" s="363" t="s">
        <v>200</v>
      </c>
      <c r="J26" s="364"/>
      <c r="K26" s="365"/>
      <c r="L26" s="375" t="s">
        <v>201</v>
      </c>
      <c r="M26" s="322"/>
      <c r="N26" s="125"/>
      <c r="O26" s="117"/>
      <c r="P26" s="115"/>
      <c r="Q26" s="126" t="s">
        <v>197</v>
      </c>
      <c r="R26" s="142" t="s">
        <v>202</v>
      </c>
      <c r="S26" s="115"/>
      <c r="T26" s="115"/>
      <c r="U26" s="115"/>
      <c r="V26" s="115"/>
      <c r="W26" s="115"/>
      <c r="X26" s="115"/>
      <c r="Y26" s="115"/>
      <c r="Z26" s="115"/>
      <c r="AA26" s="115"/>
      <c r="AB26" s="115"/>
    </row>
    <row r="27" spans="2:28" ht="50.25" customHeight="1" x14ac:dyDescent="0.45">
      <c r="B27" s="124" t="s">
        <v>203</v>
      </c>
      <c r="C27" s="313" t="s">
        <v>204</v>
      </c>
      <c r="D27" s="314"/>
      <c r="E27" s="315"/>
      <c r="F27" s="316" t="s">
        <v>205</v>
      </c>
      <c r="G27" s="315"/>
      <c r="H27" s="128" t="s">
        <v>205</v>
      </c>
      <c r="I27" s="321" t="s">
        <v>205</v>
      </c>
      <c r="J27" s="319"/>
      <c r="K27" s="320"/>
      <c r="L27" s="316" t="s">
        <v>206</v>
      </c>
      <c r="M27" s="317"/>
      <c r="N27" s="145"/>
      <c r="O27" s="117"/>
      <c r="P27" s="115"/>
      <c r="Q27" s="126" t="s">
        <v>203</v>
      </c>
      <c r="R27" s="129" t="s">
        <v>204</v>
      </c>
      <c r="S27" s="115"/>
      <c r="T27" s="115"/>
      <c r="U27" s="115"/>
      <c r="V27" s="115"/>
      <c r="W27" s="115"/>
      <c r="X27" s="115"/>
      <c r="Y27" s="115"/>
      <c r="Z27" s="115"/>
      <c r="AA27" s="115"/>
      <c r="AB27" s="115"/>
    </row>
    <row r="28" spans="2:28" ht="63" x14ac:dyDescent="0.45">
      <c r="B28" s="124" t="s">
        <v>207</v>
      </c>
      <c r="C28" s="313" t="s">
        <v>208</v>
      </c>
      <c r="D28" s="314"/>
      <c r="E28" s="315"/>
      <c r="F28" s="316" t="s">
        <v>209</v>
      </c>
      <c r="G28" s="315"/>
      <c r="H28" s="128" t="s">
        <v>210</v>
      </c>
      <c r="I28" s="363" t="s">
        <v>211</v>
      </c>
      <c r="J28" s="364"/>
      <c r="K28" s="365"/>
      <c r="L28" s="321" t="s">
        <v>212</v>
      </c>
      <c r="M28" s="322"/>
      <c r="N28" s="125"/>
      <c r="O28" s="117"/>
      <c r="P28" s="115"/>
      <c r="Q28" s="126" t="s">
        <v>207</v>
      </c>
      <c r="R28" s="142" t="s">
        <v>213</v>
      </c>
      <c r="S28" s="115"/>
      <c r="T28" s="115"/>
      <c r="U28" s="115"/>
      <c r="V28" s="115"/>
      <c r="W28" s="115"/>
      <c r="X28" s="115"/>
      <c r="Y28" s="115"/>
      <c r="Z28" s="115"/>
      <c r="AA28" s="115"/>
      <c r="AB28" s="115"/>
    </row>
    <row r="29" spans="2:28" ht="21" x14ac:dyDescent="0.45">
      <c r="B29" s="174" t="s">
        <v>214</v>
      </c>
      <c r="C29" s="366" t="s">
        <v>215</v>
      </c>
      <c r="D29" s="367"/>
      <c r="E29" s="368"/>
      <c r="F29" s="369" t="s">
        <v>216</v>
      </c>
      <c r="G29" s="368"/>
      <c r="H29" s="175" t="s">
        <v>217</v>
      </c>
      <c r="I29" s="370" t="s">
        <v>218</v>
      </c>
      <c r="J29" s="371"/>
      <c r="K29" s="372"/>
      <c r="L29" s="373" t="s">
        <v>219</v>
      </c>
      <c r="M29" s="374"/>
      <c r="N29" s="125"/>
      <c r="O29" s="117"/>
      <c r="P29" s="115"/>
      <c r="Q29" s="126" t="s">
        <v>220</v>
      </c>
      <c r="R29" s="142"/>
      <c r="S29" s="115"/>
      <c r="T29" s="115"/>
      <c r="U29" s="115"/>
      <c r="V29" s="115"/>
      <c r="W29" s="115"/>
      <c r="X29" s="115"/>
      <c r="Y29" s="115"/>
      <c r="Z29" s="115"/>
      <c r="AA29" s="115"/>
      <c r="AB29" s="115"/>
    </row>
    <row r="30" spans="2:28" ht="21" x14ac:dyDescent="0.45">
      <c r="B30" s="176" t="s">
        <v>221</v>
      </c>
      <c r="C30" s="366" t="s">
        <v>222</v>
      </c>
      <c r="D30" s="367"/>
      <c r="E30" s="368"/>
      <c r="F30" s="369" t="s">
        <v>223</v>
      </c>
      <c r="G30" s="368"/>
      <c r="H30" s="175" t="s">
        <v>224</v>
      </c>
      <c r="I30" s="370" t="s">
        <v>225</v>
      </c>
      <c r="J30" s="371"/>
      <c r="K30" s="372"/>
      <c r="L30" s="373" t="s">
        <v>226</v>
      </c>
      <c r="M30" s="374"/>
      <c r="N30" s="125"/>
      <c r="O30" s="117"/>
      <c r="P30" s="115"/>
      <c r="Q30" s="126" t="s">
        <v>227</v>
      </c>
      <c r="R30" s="142"/>
      <c r="S30" s="115"/>
      <c r="T30" s="115"/>
      <c r="U30" s="115"/>
      <c r="V30" s="115"/>
      <c r="W30" s="115"/>
      <c r="X30" s="115"/>
      <c r="Y30" s="115"/>
      <c r="Z30" s="115"/>
      <c r="AA30" s="115"/>
      <c r="AB30" s="115"/>
    </row>
    <row r="31" spans="2:28" ht="21" x14ac:dyDescent="0.45">
      <c r="B31" s="124" t="s">
        <v>228</v>
      </c>
      <c r="C31" s="313" t="s">
        <v>229</v>
      </c>
      <c r="D31" s="314"/>
      <c r="E31" s="315"/>
      <c r="F31" s="316" t="s">
        <v>230</v>
      </c>
      <c r="G31" s="315"/>
      <c r="H31" s="128" t="s">
        <v>230</v>
      </c>
      <c r="I31" s="316" t="s">
        <v>229</v>
      </c>
      <c r="J31" s="314"/>
      <c r="K31" s="315"/>
      <c r="L31" s="316" t="s">
        <v>229</v>
      </c>
      <c r="M31" s="317"/>
      <c r="N31" s="125"/>
      <c r="O31" s="117"/>
      <c r="P31" s="115"/>
      <c r="Q31" s="126" t="s">
        <v>228</v>
      </c>
      <c r="R31" s="129" t="s">
        <v>229</v>
      </c>
      <c r="S31" s="115"/>
      <c r="T31" s="115"/>
      <c r="U31" s="115"/>
      <c r="V31" s="115"/>
      <c r="W31" s="115"/>
      <c r="X31" s="115"/>
      <c r="Y31" s="115"/>
      <c r="Z31" s="115"/>
      <c r="AA31" s="115"/>
      <c r="AB31" s="115"/>
    </row>
    <row r="32" spans="2:28" ht="203.25" customHeight="1" x14ac:dyDescent="0.45">
      <c r="B32" s="177" t="s">
        <v>231</v>
      </c>
      <c r="C32" s="318" t="s">
        <v>232</v>
      </c>
      <c r="D32" s="319"/>
      <c r="E32" s="320"/>
      <c r="F32" s="319" t="s">
        <v>233</v>
      </c>
      <c r="G32" s="320"/>
      <c r="H32" s="153" t="s">
        <v>234</v>
      </c>
      <c r="I32" s="321" t="s">
        <v>181</v>
      </c>
      <c r="J32" s="319"/>
      <c r="K32" s="320"/>
      <c r="L32" s="321" t="s">
        <v>235</v>
      </c>
      <c r="M32" s="322"/>
      <c r="N32" s="125"/>
      <c r="O32" s="117"/>
      <c r="P32" s="115"/>
      <c r="Q32" s="126" t="s">
        <v>231</v>
      </c>
      <c r="R32" s="142" t="s">
        <v>181</v>
      </c>
      <c r="S32" s="115"/>
      <c r="T32" s="115"/>
      <c r="U32" s="115"/>
      <c r="V32" s="115"/>
      <c r="W32" s="115"/>
      <c r="X32" s="115"/>
      <c r="Y32" s="115"/>
      <c r="Z32" s="115"/>
      <c r="AA32" s="115"/>
      <c r="AB32" s="115"/>
    </row>
    <row r="33" spans="2:28" ht="261" customHeight="1" x14ac:dyDescent="0.45">
      <c r="B33" s="177" t="s">
        <v>236</v>
      </c>
      <c r="C33" s="318" t="s">
        <v>181</v>
      </c>
      <c r="D33" s="319"/>
      <c r="E33" s="320"/>
      <c r="F33" s="321" t="s">
        <v>181</v>
      </c>
      <c r="G33" s="320"/>
      <c r="H33" s="153" t="s">
        <v>181</v>
      </c>
      <c r="I33" s="321" t="s">
        <v>181</v>
      </c>
      <c r="J33" s="319"/>
      <c r="K33" s="320"/>
      <c r="L33" s="321" t="s">
        <v>181</v>
      </c>
      <c r="M33" s="322"/>
      <c r="N33" s="145"/>
      <c r="O33" s="117"/>
      <c r="P33" s="115"/>
      <c r="Q33" s="126" t="s">
        <v>236</v>
      </c>
      <c r="R33" s="142" t="s">
        <v>181</v>
      </c>
      <c r="S33" s="115"/>
      <c r="T33" s="115"/>
      <c r="U33" s="115"/>
      <c r="V33" s="115"/>
      <c r="W33" s="115"/>
      <c r="X33" s="115"/>
      <c r="Y33" s="115"/>
      <c r="Z33" s="115"/>
      <c r="AA33" s="115"/>
      <c r="AB33" s="115"/>
    </row>
    <row r="34" spans="2:28" ht="102" customHeight="1" x14ac:dyDescent="0.45">
      <c r="B34" s="178" t="s">
        <v>237</v>
      </c>
      <c r="C34" s="381" t="s">
        <v>238</v>
      </c>
      <c r="D34" s="382"/>
      <c r="E34" s="383"/>
      <c r="F34" s="382" t="s">
        <v>239</v>
      </c>
      <c r="G34" s="383"/>
      <c r="H34" s="171" t="s">
        <v>180</v>
      </c>
      <c r="I34" s="384" t="s">
        <v>240</v>
      </c>
      <c r="J34" s="382"/>
      <c r="K34" s="383"/>
      <c r="L34" s="385" t="s">
        <v>241</v>
      </c>
      <c r="M34" s="386"/>
      <c r="N34" s="145"/>
      <c r="O34" s="117"/>
      <c r="P34" s="115"/>
      <c r="Q34" s="150" t="s">
        <v>237</v>
      </c>
      <c r="R34" s="179" t="s">
        <v>242</v>
      </c>
      <c r="S34" s="115"/>
      <c r="T34" s="115"/>
      <c r="U34" s="115"/>
      <c r="V34" s="115"/>
      <c r="W34" s="115"/>
      <c r="X34" s="115"/>
      <c r="Y34" s="115"/>
      <c r="Z34" s="115"/>
      <c r="AA34" s="115"/>
      <c r="AB34" s="115"/>
    </row>
    <row r="35" spans="2:28" ht="175.5" customHeight="1" x14ac:dyDescent="0.45">
      <c r="B35" s="178" t="s">
        <v>243</v>
      </c>
      <c r="C35" s="387" t="s">
        <v>244</v>
      </c>
      <c r="D35" s="388"/>
      <c r="E35" s="388"/>
      <c r="F35" s="320"/>
      <c r="G35" s="388"/>
      <c r="H35" s="153" t="s">
        <v>180</v>
      </c>
      <c r="I35" s="388"/>
      <c r="J35" s="388"/>
      <c r="K35" s="388"/>
      <c r="L35" s="295"/>
      <c r="M35" s="296"/>
      <c r="N35" s="173"/>
      <c r="O35" s="117"/>
      <c r="P35" s="115"/>
      <c r="Q35" s="180" t="s">
        <v>243</v>
      </c>
      <c r="R35" s="181" t="s">
        <v>181</v>
      </c>
      <c r="S35" s="115"/>
      <c r="T35" s="115"/>
      <c r="U35" s="115"/>
      <c r="V35" s="115"/>
      <c r="W35" s="115"/>
      <c r="X35" s="115"/>
      <c r="Y35" s="115"/>
      <c r="Z35" s="115"/>
      <c r="AA35" s="115"/>
      <c r="AB35" s="115"/>
    </row>
    <row r="36" spans="2:28" ht="19" thickBot="1" x14ac:dyDescent="0.5">
      <c r="B36" s="182" t="s">
        <v>245</v>
      </c>
      <c r="C36" s="376" t="s">
        <v>181</v>
      </c>
      <c r="D36" s="377"/>
      <c r="E36" s="377"/>
      <c r="F36" s="377" t="s">
        <v>181</v>
      </c>
      <c r="G36" s="377"/>
      <c r="H36" s="183" t="s">
        <v>180</v>
      </c>
      <c r="I36" s="377" t="s">
        <v>181</v>
      </c>
      <c r="J36" s="377"/>
      <c r="K36" s="377"/>
      <c r="L36" s="378" t="s">
        <v>181</v>
      </c>
      <c r="M36" s="379"/>
      <c r="N36" s="145"/>
      <c r="O36" s="117"/>
      <c r="P36" s="115"/>
      <c r="Q36" s="184" t="s">
        <v>245</v>
      </c>
      <c r="R36" s="185" t="s">
        <v>181</v>
      </c>
      <c r="S36" s="115"/>
      <c r="T36" s="115"/>
      <c r="U36" s="115"/>
      <c r="V36" s="115"/>
      <c r="W36" s="115"/>
      <c r="X36" s="115"/>
      <c r="Y36" s="115"/>
      <c r="Z36" s="115"/>
      <c r="AA36" s="115"/>
      <c r="AB36" s="115"/>
    </row>
    <row r="37" spans="2:28" ht="42" customHeight="1" x14ac:dyDescent="0.45">
      <c r="B37" s="380" t="s">
        <v>246</v>
      </c>
      <c r="C37" s="380"/>
      <c r="D37" s="380"/>
      <c r="E37" s="380"/>
      <c r="F37" s="380"/>
      <c r="G37" s="380"/>
      <c r="H37" s="380"/>
      <c r="I37" s="380"/>
      <c r="J37" s="380"/>
      <c r="K37" s="380"/>
      <c r="L37" s="380"/>
      <c r="M37" s="380"/>
      <c r="N37" s="145"/>
      <c r="O37" s="186"/>
      <c r="P37" s="187"/>
      <c r="Q37" s="380" t="str">
        <f>B37</f>
        <v>1 Source: WHO PQ webpage: WHO updates these webpages as new information on products becomes available. Please refer to these pages (WHO PQ link) for the most up-to-date information. For presentations not yet WHO prequalified, data is based on discussions with manufacturers and partners in 2019.</v>
      </c>
      <c r="R37" s="380"/>
      <c r="S37" s="115"/>
      <c r="T37" s="115"/>
      <c r="U37" s="115"/>
      <c r="V37" s="115"/>
      <c r="W37" s="115"/>
      <c r="X37" s="115"/>
      <c r="Y37" s="115"/>
      <c r="Z37" s="115"/>
      <c r="AA37" s="115"/>
      <c r="AB37" s="115"/>
    </row>
    <row r="38" spans="2:28" ht="20.9" customHeight="1" x14ac:dyDescent="0.45">
      <c r="B38" s="390" t="s">
        <v>247</v>
      </c>
      <c r="C38" s="390"/>
      <c r="D38" s="390"/>
      <c r="E38" s="390"/>
      <c r="F38" s="390"/>
      <c r="G38" s="390"/>
      <c r="H38" s="390"/>
      <c r="I38" s="390"/>
      <c r="J38" s="390"/>
      <c r="K38" s="390"/>
      <c r="L38" s="390"/>
      <c r="M38" s="390"/>
      <c r="N38" s="188"/>
      <c r="O38" s="186"/>
      <c r="P38" s="187"/>
      <c r="Q38" s="282" t="str">
        <f>B38</f>
        <v>2 Source: UNICEF PRODUCT MENU FOR VACCINES SUPPLIED BY UNICEF FOR GAVI, THE VACCINE ALLIANCE (https://www.unicef.org/supply/files/Product_Menu_Jan_2020.pdf)</v>
      </c>
      <c r="R38" s="282"/>
      <c r="S38" s="115"/>
      <c r="T38" s="115"/>
      <c r="U38" s="115"/>
      <c r="V38" s="115"/>
      <c r="W38" s="115"/>
      <c r="X38" s="115"/>
      <c r="Y38" s="115"/>
      <c r="Z38" s="115"/>
      <c r="AA38" s="115"/>
      <c r="AB38" s="115"/>
    </row>
    <row r="39" spans="2:28" ht="18.5" x14ac:dyDescent="0.45">
      <c r="B39" s="390" t="s">
        <v>248</v>
      </c>
      <c r="C39" s="390"/>
      <c r="D39" s="390"/>
      <c r="E39" s="390"/>
      <c r="F39" s="390"/>
      <c r="G39" s="390"/>
      <c r="H39" s="390"/>
      <c r="I39" s="390"/>
      <c r="J39" s="390"/>
      <c r="K39" s="390"/>
      <c r="L39" s="390"/>
      <c r="M39" s="390"/>
      <c r="N39" s="188"/>
      <c r="O39" s="186"/>
      <c r="P39" s="187"/>
      <c r="Q39" s="282" t="str">
        <f>B39</f>
        <v>3 Source: WHO position paper: http://www.who.int/immunization/documents/positionpapers/en/</v>
      </c>
      <c r="R39" s="389"/>
      <c r="S39" s="115"/>
      <c r="T39" s="115"/>
      <c r="U39" s="115"/>
      <c r="V39" s="115"/>
      <c r="W39" s="115"/>
      <c r="X39" s="115"/>
      <c r="Y39" s="115"/>
      <c r="Z39" s="115"/>
      <c r="AA39" s="115"/>
      <c r="AB39" s="115"/>
    </row>
    <row r="40" spans="2:28" ht="18.5" x14ac:dyDescent="0.45">
      <c r="B40" s="390" t="s">
        <v>249</v>
      </c>
      <c r="C40" s="390"/>
      <c r="D40" s="390"/>
      <c r="E40" s="390"/>
      <c r="F40" s="390"/>
      <c r="G40" s="390"/>
      <c r="H40" s="390"/>
      <c r="I40" s="390"/>
      <c r="J40" s="390"/>
      <c r="K40" s="390"/>
      <c r="L40" s="390"/>
      <c r="M40" s="390"/>
      <c r="N40" s="188"/>
      <c r="O40" s="186"/>
      <c r="P40" s="187"/>
      <c r="Q40" s="187" t="str">
        <f>B40</f>
        <v xml:space="preserve">4 Source: Gavi Secretariat, see definitions tab for details </v>
      </c>
      <c r="R40" s="187"/>
      <c r="S40" s="115"/>
      <c r="T40" s="115"/>
      <c r="U40" s="115"/>
      <c r="V40" s="115"/>
      <c r="W40" s="115"/>
      <c r="X40" s="115"/>
      <c r="Y40" s="115"/>
      <c r="Z40" s="115"/>
      <c r="AA40" s="115"/>
      <c r="AB40" s="115"/>
    </row>
    <row r="41" spans="2:28" ht="18.5" x14ac:dyDescent="0.45">
      <c r="B41" s="390" t="s">
        <v>250</v>
      </c>
      <c r="C41" s="390"/>
      <c r="D41" s="390"/>
      <c r="E41" s="390"/>
      <c r="F41" s="390"/>
      <c r="G41" s="390"/>
      <c r="H41" s="390"/>
      <c r="I41" s="390"/>
      <c r="J41" s="390"/>
      <c r="K41" s="390"/>
      <c r="L41" s="390"/>
      <c r="M41" s="390"/>
      <c r="N41" s="188"/>
      <c r="O41" s="186"/>
      <c r="P41" s="187"/>
      <c r="Q41" s="187" t="str">
        <f>B41</f>
        <v>5 Source: Review of WHO vaccine wastage rate tool, 2019</v>
      </c>
      <c r="R41" s="187"/>
      <c r="S41" s="115"/>
      <c r="T41" s="115"/>
      <c r="U41" s="115"/>
      <c r="V41" s="115"/>
      <c r="W41" s="115"/>
      <c r="X41" s="115"/>
      <c r="Y41" s="115"/>
      <c r="Z41" s="115"/>
      <c r="AA41" s="115"/>
      <c r="AB41" s="115"/>
    </row>
    <row r="42" spans="2:28" ht="18.5" x14ac:dyDescent="0.45">
      <c r="B42" s="389" t="s">
        <v>251</v>
      </c>
      <c r="C42" s="389"/>
      <c r="D42" s="389"/>
      <c r="E42" s="389"/>
      <c r="F42" s="389"/>
      <c r="G42" s="389"/>
      <c r="H42" s="389"/>
      <c r="I42" s="389"/>
      <c r="J42" s="389"/>
      <c r="K42" s="389"/>
      <c r="L42" s="389"/>
      <c r="M42" s="389"/>
      <c r="N42" s="189"/>
      <c r="O42" s="186"/>
      <c r="P42" s="187"/>
      <c r="Q42" s="187"/>
      <c r="R42" s="187"/>
      <c r="S42" s="115"/>
      <c r="T42" s="115"/>
      <c r="U42" s="115"/>
      <c r="V42" s="115"/>
      <c r="W42" s="115"/>
      <c r="X42" s="115"/>
      <c r="Y42" s="115"/>
      <c r="Z42" s="115"/>
      <c r="AA42" s="115"/>
      <c r="AB42" s="115"/>
    </row>
    <row r="43" spans="2:28" ht="44.25" customHeight="1" x14ac:dyDescent="0.45">
      <c r="B43" s="282" t="s">
        <v>252</v>
      </c>
      <c r="C43" s="282"/>
      <c r="D43" s="282"/>
      <c r="E43" s="282"/>
      <c r="F43" s="282"/>
      <c r="G43" s="282"/>
      <c r="H43" s="282"/>
      <c r="I43" s="282"/>
      <c r="J43" s="282"/>
      <c r="K43" s="282"/>
      <c r="L43" s="282"/>
      <c r="M43" s="282"/>
      <c r="N43" s="188"/>
      <c r="O43" s="186"/>
      <c r="P43" s="187"/>
      <c r="Q43" s="187"/>
      <c r="R43" s="187"/>
      <c r="S43" s="115"/>
      <c r="T43" s="115"/>
      <c r="U43" s="115"/>
      <c r="V43" s="115"/>
      <c r="W43" s="115"/>
      <c r="X43" s="115"/>
      <c r="Y43" s="115"/>
      <c r="Z43" s="115"/>
      <c r="AA43" s="115"/>
      <c r="AB43" s="115"/>
    </row>
    <row r="44" spans="2:28" ht="18.5" x14ac:dyDescent="0.45">
      <c r="B44" s="282" t="s">
        <v>253</v>
      </c>
      <c r="C44" s="282"/>
      <c r="D44" s="282"/>
      <c r="E44" s="282"/>
      <c r="F44" s="282"/>
      <c r="G44" s="282"/>
      <c r="H44" s="282"/>
      <c r="I44" s="282"/>
      <c r="J44" s="282"/>
      <c r="K44" s="282"/>
      <c r="L44" s="282"/>
      <c r="M44" s="282"/>
      <c r="N44" s="188"/>
      <c r="O44" s="186"/>
      <c r="P44" s="187"/>
      <c r="Q44" s="187"/>
      <c r="R44" s="187"/>
      <c r="S44" s="115"/>
      <c r="T44" s="115"/>
      <c r="U44" s="115"/>
      <c r="V44" s="115"/>
      <c r="W44" s="115"/>
      <c r="X44" s="115"/>
      <c r="Y44" s="115"/>
      <c r="Z44" s="115"/>
      <c r="AA44" s="115"/>
      <c r="AB44" s="115"/>
    </row>
    <row r="45" spans="2:28" ht="18.5" x14ac:dyDescent="0.45">
      <c r="B45" s="187" t="s">
        <v>254</v>
      </c>
      <c r="C45" s="187"/>
      <c r="D45" s="187"/>
      <c r="E45" s="187"/>
      <c r="F45" s="187"/>
      <c r="G45" s="187"/>
      <c r="H45" s="187"/>
      <c r="I45" s="187"/>
      <c r="J45" s="187"/>
      <c r="K45" s="187"/>
      <c r="L45" s="187"/>
      <c r="M45" s="187"/>
      <c r="N45" s="188"/>
      <c r="O45" s="186"/>
      <c r="P45" s="187"/>
      <c r="Q45" s="187"/>
      <c r="R45" s="187"/>
      <c r="S45" s="115"/>
      <c r="T45" s="115"/>
      <c r="U45" s="115"/>
      <c r="V45" s="115"/>
      <c r="W45" s="115"/>
      <c r="X45" s="115"/>
      <c r="Y45" s="115"/>
      <c r="Z45" s="115"/>
      <c r="AA45" s="115"/>
      <c r="AB45" s="115"/>
    </row>
    <row r="46" spans="2:28" ht="18.5" x14ac:dyDescent="0.45">
      <c r="B46" s="187"/>
      <c r="C46" s="187"/>
      <c r="D46" s="187"/>
      <c r="E46" s="187"/>
      <c r="F46" s="187"/>
      <c r="G46" s="187"/>
      <c r="H46" s="187"/>
      <c r="I46" s="187"/>
      <c r="J46" s="187"/>
      <c r="K46" s="187"/>
      <c r="L46" s="187"/>
      <c r="M46" s="187"/>
      <c r="N46" s="188"/>
      <c r="O46" s="186"/>
      <c r="P46" s="187"/>
      <c r="Q46" s="187"/>
      <c r="R46" s="187"/>
      <c r="S46" s="115"/>
      <c r="T46" s="115"/>
      <c r="U46" s="115"/>
      <c r="V46" s="115"/>
      <c r="W46" s="115"/>
      <c r="X46" s="115"/>
      <c r="Y46" s="115"/>
      <c r="Z46" s="115"/>
      <c r="AA46" s="115"/>
      <c r="AB46" s="115"/>
    </row>
    <row r="47" spans="2:28" ht="18.5" x14ac:dyDescent="0.45">
      <c r="B47" s="187"/>
      <c r="C47" s="187"/>
      <c r="D47" s="187"/>
      <c r="E47" s="187"/>
      <c r="F47" s="187"/>
      <c r="G47" s="187"/>
      <c r="H47" s="187"/>
      <c r="I47" s="187"/>
      <c r="J47" s="187"/>
      <c r="K47" s="187"/>
      <c r="L47" s="187"/>
      <c r="M47" s="187"/>
      <c r="N47" s="188"/>
      <c r="O47" s="186"/>
      <c r="P47" s="187"/>
      <c r="Q47" s="187"/>
      <c r="R47" s="187"/>
      <c r="S47" s="115"/>
      <c r="T47" s="115"/>
      <c r="U47" s="115"/>
      <c r="V47" s="115"/>
      <c r="W47" s="115"/>
      <c r="X47" s="115"/>
      <c r="Y47" s="115"/>
      <c r="Z47" s="115"/>
      <c r="AA47" s="115"/>
      <c r="AB47" s="115"/>
    </row>
    <row r="48" spans="2:28" ht="18.5" x14ac:dyDescent="0.45">
      <c r="B48" s="115"/>
      <c r="C48" s="115"/>
      <c r="D48" s="115"/>
      <c r="E48" s="115"/>
      <c r="F48" s="115"/>
      <c r="G48" s="115"/>
      <c r="H48" s="115"/>
      <c r="I48" s="115"/>
      <c r="J48" s="115"/>
      <c r="K48" s="115"/>
      <c r="L48" s="115"/>
      <c r="M48" s="115"/>
      <c r="N48" s="116"/>
      <c r="O48" s="117"/>
      <c r="P48" s="115"/>
      <c r="Q48" s="115"/>
      <c r="R48" s="115"/>
      <c r="S48" s="115"/>
      <c r="T48" s="115"/>
      <c r="U48" s="115"/>
      <c r="V48" s="115"/>
      <c r="W48" s="115"/>
      <c r="X48" s="115"/>
      <c r="Y48" s="115"/>
      <c r="Z48" s="115"/>
      <c r="AA48" s="115"/>
      <c r="AB48" s="115"/>
    </row>
    <row r="49" spans="2:28" ht="18.5" x14ac:dyDescent="0.45">
      <c r="B49" s="115"/>
      <c r="C49" s="115"/>
      <c r="D49" s="115"/>
      <c r="E49" s="115"/>
      <c r="F49" s="115"/>
      <c r="G49" s="115"/>
      <c r="H49" s="115"/>
      <c r="I49" s="115"/>
      <c r="J49" s="115"/>
      <c r="K49" s="115"/>
      <c r="L49" s="115"/>
      <c r="M49" s="115"/>
      <c r="N49" s="116"/>
      <c r="O49" s="117"/>
      <c r="P49" s="115"/>
      <c r="Q49" s="115"/>
      <c r="R49" s="115"/>
      <c r="S49" s="115"/>
      <c r="T49" s="115"/>
      <c r="U49" s="115"/>
      <c r="V49" s="115"/>
      <c r="W49" s="115"/>
      <c r="X49" s="115"/>
      <c r="Y49" s="115"/>
      <c r="Z49" s="115"/>
      <c r="AA49" s="115"/>
      <c r="AB49" s="115"/>
    </row>
    <row r="50" spans="2:28" ht="18.5" x14ac:dyDescent="0.45">
      <c r="B50" s="115"/>
      <c r="C50" s="115"/>
      <c r="D50" s="115"/>
      <c r="E50" s="115"/>
      <c r="F50" s="115"/>
      <c r="G50" s="115"/>
      <c r="H50" s="115"/>
      <c r="I50" s="115"/>
      <c r="J50" s="115"/>
      <c r="K50" s="115"/>
      <c r="L50" s="115"/>
      <c r="M50" s="115"/>
      <c r="N50" s="116"/>
      <c r="O50" s="117"/>
      <c r="P50" s="115"/>
      <c r="Q50" s="115"/>
      <c r="R50" s="115"/>
      <c r="S50" s="115"/>
      <c r="T50" s="115"/>
      <c r="U50" s="115"/>
      <c r="V50" s="115"/>
      <c r="W50" s="115"/>
      <c r="X50" s="115"/>
      <c r="Y50" s="115"/>
      <c r="Z50" s="115"/>
      <c r="AA50" s="115"/>
      <c r="AB50" s="115"/>
    </row>
    <row r="51" spans="2:28" ht="18.5" x14ac:dyDescent="0.45">
      <c r="B51" s="115"/>
      <c r="C51" s="115"/>
      <c r="D51" s="115"/>
      <c r="E51" s="115"/>
      <c r="F51" s="115"/>
      <c r="G51" s="115"/>
      <c r="H51" s="115"/>
      <c r="I51" s="115"/>
      <c r="J51" s="115"/>
      <c r="K51" s="115"/>
      <c r="L51" s="115"/>
      <c r="M51" s="115"/>
      <c r="N51" s="116"/>
      <c r="O51" s="117"/>
      <c r="P51" s="115"/>
      <c r="Q51" s="115"/>
      <c r="R51" s="115"/>
      <c r="S51" s="115"/>
      <c r="T51" s="115"/>
      <c r="U51" s="115"/>
      <c r="V51" s="115"/>
      <c r="W51" s="115"/>
      <c r="X51" s="115"/>
      <c r="Y51" s="115"/>
      <c r="Z51" s="115"/>
      <c r="AA51" s="115"/>
      <c r="AB51" s="115"/>
    </row>
    <row r="52" spans="2:28" ht="18.5" x14ac:dyDescent="0.45">
      <c r="B52" s="115"/>
      <c r="C52" s="115"/>
      <c r="D52" s="115"/>
      <c r="E52" s="115"/>
      <c r="F52" s="115"/>
      <c r="G52" s="115"/>
      <c r="H52" s="115"/>
      <c r="I52" s="115"/>
      <c r="J52" s="115"/>
      <c r="K52" s="115"/>
      <c r="L52" s="115"/>
      <c r="M52" s="115"/>
      <c r="N52" s="116"/>
      <c r="O52" s="117"/>
      <c r="P52" s="115"/>
      <c r="Q52" s="115"/>
      <c r="R52" s="115"/>
      <c r="S52" s="115"/>
      <c r="T52" s="115"/>
      <c r="U52" s="115"/>
      <c r="V52" s="115"/>
      <c r="W52" s="115"/>
      <c r="X52" s="115"/>
      <c r="Y52" s="115"/>
      <c r="Z52" s="115"/>
      <c r="AA52" s="115"/>
      <c r="AB52" s="115"/>
    </row>
    <row r="53" spans="2:28" ht="18.5" x14ac:dyDescent="0.45">
      <c r="B53" s="115"/>
      <c r="C53" s="115"/>
      <c r="D53" s="115"/>
      <c r="E53" s="115"/>
      <c r="F53" s="115"/>
      <c r="G53" s="115"/>
      <c r="H53" s="115"/>
      <c r="I53" s="115"/>
      <c r="J53" s="115"/>
      <c r="K53" s="115"/>
      <c r="L53" s="115"/>
      <c r="M53" s="115"/>
      <c r="N53" s="116"/>
      <c r="O53" s="117"/>
      <c r="P53" s="115"/>
      <c r="Q53" s="115"/>
      <c r="R53" s="115"/>
      <c r="S53" s="115"/>
      <c r="T53" s="115"/>
      <c r="U53" s="115"/>
      <c r="V53" s="115"/>
      <c r="W53" s="115"/>
      <c r="X53" s="115"/>
      <c r="Y53" s="115"/>
      <c r="Z53" s="115"/>
      <c r="AA53" s="115"/>
      <c r="AB53" s="115"/>
    </row>
    <row r="54" spans="2:28" ht="18.5" x14ac:dyDescent="0.45">
      <c r="B54" s="115"/>
      <c r="C54" s="115"/>
      <c r="D54" s="115"/>
      <c r="E54" s="115"/>
      <c r="F54" s="115"/>
      <c r="G54" s="115"/>
      <c r="H54" s="115"/>
      <c r="I54" s="115"/>
      <c r="J54" s="115"/>
      <c r="K54" s="115"/>
      <c r="L54" s="115"/>
      <c r="M54" s="115"/>
      <c r="N54" s="116"/>
      <c r="O54" s="117"/>
      <c r="P54" s="115"/>
      <c r="Q54" s="115"/>
      <c r="R54" s="115"/>
      <c r="S54" s="115"/>
      <c r="T54" s="115"/>
      <c r="U54" s="115"/>
      <c r="V54" s="115"/>
      <c r="W54" s="115"/>
      <c r="X54" s="115"/>
      <c r="Y54" s="115"/>
      <c r="Z54" s="115"/>
      <c r="AA54" s="115"/>
      <c r="AB54" s="115"/>
    </row>
    <row r="55" spans="2:28" ht="18.5" x14ac:dyDescent="0.45">
      <c r="B55" s="115"/>
      <c r="C55" s="115"/>
      <c r="D55" s="115"/>
      <c r="E55" s="115"/>
      <c r="F55" s="115"/>
      <c r="G55" s="115"/>
      <c r="H55" s="115"/>
      <c r="I55" s="115"/>
      <c r="J55" s="115"/>
      <c r="K55" s="115"/>
      <c r="L55" s="115"/>
      <c r="M55" s="115"/>
      <c r="N55" s="116"/>
      <c r="O55" s="117"/>
      <c r="P55" s="115"/>
      <c r="Q55" s="115"/>
      <c r="R55" s="115"/>
      <c r="S55" s="115"/>
      <c r="T55" s="115"/>
      <c r="U55" s="115"/>
      <c r="V55" s="115"/>
      <c r="W55" s="115"/>
      <c r="X55" s="115"/>
      <c r="Y55" s="115"/>
      <c r="Z55" s="115"/>
      <c r="AA55" s="115"/>
      <c r="AB55" s="115"/>
    </row>
    <row r="56" spans="2:28" ht="18.5" x14ac:dyDescent="0.45">
      <c r="B56" s="115"/>
      <c r="C56" s="115"/>
      <c r="D56" s="115"/>
      <c r="E56" s="115"/>
      <c r="F56" s="115"/>
      <c r="G56" s="115"/>
      <c r="H56" s="115"/>
      <c r="I56" s="115"/>
      <c r="J56" s="115"/>
      <c r="K56" s="115"/>
      <c r="L56" s="115"/>
      <c r="M56" s="115"/>
      <c r="N56" s="116"/>
      <c r="O56" s="117"/>
      <c r="P56" s="115"/>
      <c r="Q56" s="115"/>
      <c r="R56" s="115"/>
      <c r="S56" s="115"/>
      <c r="T56" s="115"/>
      <c r="U56" s="115"/>
      <c r="V56" s="115"/>
      <c r="W56" s="115"/>
      <c r="X56" s="115"/>
      <c r="Y56" s="115"/>
      <c r="Z56" s="115"/>
      <c r="AA56" s="115"/>
      <c r="AB56" s="115"/>
    </row>
    <row r="57" spans="2:28" ht="18.5" x14ac:dyDescent="0.45">
      <c r="B57" s="115"/>
      <c r="C57" s="115"/>
      <c r="D57" s="115"/>
      <c r="E57" s="115"/>
      <c r="F57" s="115"/>
      <c r="G57" s="115"/>
      <c r="H57" s="115"/>
      <c r="I57" s="115"/>
      <c r="J57" s="115"/>
      <c r="K57" s="115"/>
      <c r="L57" s="115"/>
      <c r="M57" s="115"/>
      <c r="N57" s="116"/>
      <c r="O57" s="117"/>
      <c r="P57" s="115"/>
      <c r="Q57" s="115"/>
      <c r="R57" s="115"/>
      <c r="S57" s="115"/>
      <c r="T57" s="115"/>
      <c r="U57" s="115"/>
      <c r="V57" s="115"/>
      <c r="W57" s="115"/>
      <c r="X57" s="115"/>
      <c r="Y57" s="115"/>
      <c r="Z57" s="115"/>
      <c r="AA57" s="115"/>
      <c r="AB57" s="115"/>
    </row>
    <row r="58" spans="2:28" ht="18.5" x14ac:dyDescent="0.45">
      <c r="B58" s="115"/>
      <c r="C58" s="115"/>
      <c r="D58" s="115"/>
      <c r="E58" s="115"/>
      <c r="F58" s="115"/>
      <c r="G58" s="115"/>
      <c r="H58" s="115"/>
      <c r="I58" s="115"/>
      <c r="J58" s="115"/>
      <c r="K58" s="115"/>
      <c r="L58" s="115"/>
      <c r="M58" s="115"/>
      <c r="N58" s="116"/>
      <c r="O58" s="117"/>
      <c r="P58" s="115"/>
      <c r="Q58" s="115"/>
      <c r="R58" s="115"/>
      <c r="S58" s="115"/>
      <c r="T58" s="115"/>
      <c r="U58" s="115"/>
      <c r="V58" s="115"/>
      <c r="W58" s="115"/>
      <c r="X58" s="115"/>
      <c r="Y58" s="115"/>
      <c r="Z58" s="115"/>
      <c r="AA58" s="115"/>
      <c r="AB58" s="115"/>
    </row>
    <row r="59" spans="2:28" ht="18.5" x14ac:dyDescent="0.45">
      <c r="B59" s="115"/>
      <c r="C59" s="115"/>
      <c r="D59" s="115"/>
      <c r="E59" s="115"/>
      <c r="F59" s="115"/>
      <c r="G59" s="115"/>
      <c r="H59" s="115"/>
      <c r="I59" s="115"/>
      <c r="J59" s="115"/>
      <c r="K59" s="115"/>
      <c r="L59" s="115"/>
      <c r="M59" s="115"/>
      <c r="N59" s="116"/>
      <c r="O59" s="117"/>
      <c r="P59" s="115"/>
      <c r="Q59" s="115"/>
      <c r="R59" s="115"/>
      <c r="S59" s="115"/>
      <c r="T59" s="115"/>
      <c r="U59" s="115"/>
      <c r="V59" s="115"/>
      <c r="W59" s="115"/>
      <c r="X59" s="115"/>
      <c r="Y59" s="115"/>
      <c r="Z59" s="115"/>
      <c r="AA59" s="115"/>
      <c r="AB59" s="115"/>
    </row>
  </sheetData>
  <mergeCells count="121">
    <mergeCell ref="B42:M42"/>
    <mergeCell ref="B43:M43"/>
    <mergeCell ref="B44:M44"/>
    <mergeCell ref="B38:M38"/>
    <mergeCell ref="Q38:R38"/>
    <mergeCell ref="B39:M39"/>
    <mergeCell ref="Q39:R39"/>
    <mergeCell ref="B40:M40"/>
    <mergeCell ref="B41:M41"/>
    <mergeCell ref="C36:E36"/>
    <mergeCell ref="F36:G36"/>
    <mergeCell ref="I36:K36"/>
    <mergeCell ref="L36:M36"/>
    <mergeCell ref="B37:M37"/>
    <mergeCell ref="Q37:R37"/>
    <mergeCell ref="C34:E34"/>
    <mergeCell ref="F34:G34"/>
    <mergeCell ref="I34:K34"/>
    <mergeCell ref="L34:M34"/>
    <mergeCell ref="C35:E35"/>
    <mergeCell ref="F35:G35"/>
    <mergeCell ref="I35:K35"/>
    <mergeCell ref="L35:M35"/>
    <mergeCell ref="C32:E32"/>
    <mergeCell ref="F32:G32"/>
    <mergeCell ref="I32:K32"/>
    <mergeCell ref="L32:M32"/>
    <mergeCell ref="C33:E33"/>
    <mergeCell ref="F33:G33"/>
    <mergeCell ref="I33:K33"/>
    <mergeCell ref="L33:M33"/>
    <mergeCell ref="C30:E30"/>
    <mergeCell ref="F30:G30"/>
    <mergeCell ref="I30:K30"/>
    <mergeCell ref="L30:M30"/>
    <mergeCell ref="C31:E31"/>
    <mergeCell ref="F31:G31"/>
    <mergeCell ref="I31:K31"/>
    <mergeCell ref="L31:M31"/>
    <mergeCell ref="C28:E28"/>
    <mergeCell ref="F28:G28"/>
    <mergeCell ref="I28:K28"/>
    <mergeCell ref="L28:M28"/>
    <mergeCell ref="C29:E29"/>
    <mergeCell ref="F29:G29"/>
    <mergeCell ref="I29:K29"/>
    <mergeCell ref="L29:M29"/>
    <mergeCell ref="C26:E26"/>
    <mergeCell ref="F26:G26"/>
    <mergeCell ref="I26:K26"/>
    <mergeCell ref="L26:M26"/>
    <mergeCell ref="C27:E27"/>
    <mergeCell ref="F27:G27"/>
    <mergeCell ref="I27:K27"/>
    <mergeCell ref="L27:M27"/>
    <mergeCell ref="C24:E24"/>
    <mergeCell ref="F24:G24"/>
    <mergeCell ref="I24:K24"/>
    <mergeCell ref="L24:M24"/>
    <mergeCell ref="C25:E25"/>
    <mergeCell ref="F25:G25"/>
    <mergeCell ref="I25:K25"/>
    <mergeCell ref="L25:M25"/>
    <mergeCell ref="C22:E22"/>
    <mergeCell ref="F22:G22"/>
    <mergeCell ref="I22:K22"/>
    <mergeCell ref="L22:M22"/>
    <mergeCell ref="C23:E23"/>
    <mergeCell ref="F23:G23"/>
    <mergeCell ref="I23:K23"/>
    <mergeCell ref="L23:M23"/>
    <mergeCell ref="C20:E20"/>
    <mergeCell ref="F20:G20"/>
    <mergeCell ref="I20:K20"/>
    <mergeCell ref="L20:M20"/>
    <mergeCell ref="C21:E21"/>
    <mergeCell ref="F21:G21"/>
    <mergeCell ref="I21:K21"/>
    <mergeCell ref="L21:M21"/>
    <mergeCell ref="C18:E18"/>
    <mergeCell ref="F18:G18"/>
    <mergeCell ref="I18:K18"/>
    <mergeCell ref="L18:M18"/>
    <mergeCell ref="C19:E19"/>
    <mergeCell ref="F19:G19"/>
    <mergeCell ref="I19:K19"/>
    <mergeCell ref="L19:M19"/>
    <mergeCell ref="C17:E17"/>
    <mergeCell ref="F17:G17"/>
    <mergeCell ref="I17:K17"/>
    <mergeCell ref="L17:M17"/>
    <mergeCell ref="C14:E14"/>
    <mergeCell ref="F14:G14"/>
    <mergeCell ref="I14:K14"/>
    <mergeCell ref="L14:M14"/>
    <mergeCell ref="C15:E15"/>
    <mergeCell ref="F15:G15"/>
    <mergeCell ref="I15:K15"/>
    <mergeCell ref="L15:M15"/>
    <mergeCell ref="C13:G13"/>
    <mergeCell ref="I13:M13"/>
    <mergeCell ref="C8:H8"/>
    <mergeCell ref="I8:M8"/>
    <mergeCell ref="C9:G9"/>
    <mergeCell ref="I9:M9"/>
    <mergeCell ref="C10:G10"/>
    <mergeCell ref="I10:M10"/>
    <mergeCell ref="C16:E16"/>
    <mergeCell ref="F16:G16"/>
    <mergeCell ref="I16:K16"/>
    <mergeCell ref="L16:M16"/>
    <mergeCell ref="B2:M2"/>
    <mergeCell ref="Q2:T2"/>
    <mergeCell ref="Q3:T5"/>
    <mergeCell ref="B4:I5"/>
    <mergeCell ref="I6:M6"/>
    <mergeCell ref="C7:M7"/>
    <mergeCell ref="C11:G11"/>
    <mergeCell ref="I11:M11"/>
    <mergeCell ref="C12:G12"/>
    <mergeCell ref="I12:M12"/>
  </mergeCells>
  <hyperlinks>
    <hyperlink ref="I34" r:id="rId1" xr:uid="{00000000-0004-0000-0600-000000000000}"/>
    <hyperlink ref="C34" r:id="rId2" xr:uid="{00000000-0004-0000-0600-000001000000}"/>
    <hyperlink ref="R34" r:id="rId3" xr:uid="{00000000-0004-0000-0600-000002000000}"/>
    <hyperlink ref="L34" r:id="rId4" xr:uid="{00000000-0004-0000-0600-000003000000}"/>
    <hyperlink ref="F34" r:id="rId5" xr:uid="{00000000-0004-0000-0600-000004000000}"/>
  </hyperlinks>
  <pageMargins left="0.7" right="0.7" top="0.75" bottom="0.75" header="0.3" footer="0.3"/>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312894DE0F6D4481F3D57F5C97C1BB" ma:contentTypeVersion="18" ma:contentTypeDescription="Create a new document." ma:contentTypeScope="" ma:versionID="3647964662e872905284fd87a48b0931">
  <xsd:schema xmlns:xsd="http://www.w3.org/2001/XMLSchema" xmlns:xs="http://www.w3.org/2001/XMLSchema" xmlns:p="http://schemas.microsoft.com/office/2006/metadata/properties" xmlns:ns3="c847c303-283e-437c-90a5-0fabe07fd8ac" xmlns:ns4="d0706217-df7c-4bf4-936d-b09aa3b837af" xmlns:ns5="7616a5cd-119c-483e-8aa3-5015e6666b37" targetNamespace="http://schemas.microsoft.com/office/2006/metadata/properties" ma:root="true" ma:fieldsID="bb083320f89f9d2973ec5ddbbe550b21" ns3:_="" ns4:_="" ns5:_="">
    <xsd:import namespace="c847c303-283e-437c-90a5-0fabe07fd8ac"/>
    <xsd:import namespace="d0706217-df7c-4bf4-936d-b09aa3b837af"/>
    <xsd:import namespace="7616a5cd-119c-483e-8aa3-5015e6666b37"/>
    <xsd:element name="properties">
      <xsd:complexType>
        <xsd:sequence>
          <xsd:element name="documentManagement">
            <xsd:complexType>
              <xsd:all>
                <xsd:element ref="ns3:SharedWithUsers" minOccurs="0"/>
                <xsd:element ref="ns3:SharedWithDetails" minOccurs="0"/>
                <xsd:element ref="ns3:SharingHintHash" minOccurs="0"/>
                <xsd:element ref="ns3:TaxKeywordTaxHTField" minOccurs="0"/>
                <xsd:element ref="ns4:TaxCatchAll"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Location"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7c303-283e-437c-90a5-0fabe07fd8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TaxKeywordTaxHTField" ma:index="12" nillable="true" ma:taxonomy="true" ma:internalName="TaxKeywordTaxHTField" ma:taxonomyFieldName="TaxKeyword" ma:displayName="Enterprise Keywords" ma:fieldId="{23f27201-bee3-471e-b2e7-b64fd8b7ca38}" ma:taxonomyMulti="true" ma:sspId="93cb0222-e980-4273-ad97-85dba3159c09"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5c9c43c-17cf-4ee2-9b3d-9a6103e42a22}" ma:internalName="TaxCatchAll" ma:showField="CatchAllData" ma:web="c847c303-283e-437c-90a5-0fabe07fd8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16a5cd-119c-483e-8aa3-5015e6666b3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c847c303-283e-437c-90a5-0fabe07fd8ac">
      <Terms xmlns="http://schemas.microsoft.com/office/infopath/2007/PartnerControls"/>
    </TaxKeywordTaxHTField>
    <TaxCatchAll xmlns="d0706217-df7c-4bf4-936d-b09aa3b837af"/>
  </documentManagement>
</p:properties>
</file>

<file path=customXml/itemProps1.xml><?xml version="1.0" encoding="utf-8"?>
<ds:datastoreItem xmlns:ds="http://schemas.openxmlformats.org/officeDocument/2006/customXml" ds:itemID="{769E5AC5-64B2-4B7B-9D75-A7C00E9C1AC0}">
  <ds:schemaRefs>
    <ds:schemaRef ds:uri="http://schemas.microsoft.com/sharepoint/v3/contenttype/forms"/>
  </ds:schemaRefs>
</ds:datastoreItem>
</file>

<file path=customXml/itemProps2.xml><?xml version="1.0" encoding="utf-8"?>
<ds:datastoreItem xmlns:ds="http://schemas.openxmlformats.org/officeDocument/2006/customXml" ds:itemID="{6BAE6F1F-44AD-425D-85FB-BEF7BF582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7c303-283e-437c-90a5-0fabe07fd8ac"/>
    <ds:schemaRef ds:uri="d0706217-df7c-4bf4-936d-b09aa3b837af"/>
    <ds:schemaRef ds:uri="7616a5cd-119c-483e-8aa3-5015e6666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C1983F-F266-4005-8EC6-D5065FD7537B}">
  <ds:schemaRefs>
    <ds:schemaRef ds:uri="http://purl.org/dc/terms/"/>
    <ds:schemaRef ds:uri="7616a5cd-119c-483e-8aa3-5015e6666b37"/>
    <ds:schemaRef ds:uri="c847c303-283e-437c-90a5-0fabe07fd8ac"/>
    <ds:schemaRef ds:uri="http://schemas.microsoft.com/office/2006/documentManagement/types"/>
    <ds:schemaRef ds:uri="d0706217-df7c-4bf4-936d-b09aa3b837a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Saisie des données</vt:lpstr>
      <vt:lpstr>Résultats</vt:lpstr>
      <vt:lpstr>Graphiques</vt:lpstr>
      <vt:lpstr>Vaccine options</vt:lpstr>
      <vt:lpstr>Version</vt:lpstr>
      <vt:lpstr>DPP</vt:lpstr>
      <vt:lpstr>Résultats!Print_Area</vt:lpstr>
      <vt:lpstr>'Saisie des données'!Print_Area</vt:lpstr>
    </vt:vector>
  </TitlesOfParts>
  <Company>PATH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Newhouse, Lauren</cp:lastModifiedBy>
  <cp:lastPrinted>2020-06-11T18:11:43Z</cp:lastPrinted>
  <dcterms:created xsi:type="dcterms:W3CDTF">2018-05-24T13:25:57Z</dcterms:created>
  <dcterms:modified xsi:type="dcterms:W3CDTF">2020-09-30T18:15:12Z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5e72d3-b6ef-4c9c-b371-eb3c79f627ee_Enabled">
    <vt:lpwstr>true</vt:lpwstr>
  </property>
  <property fmtid="{D5CDD505-2E9C-101B-9397-08002B2CF9AE}" pid="3" name="MSIP_Label_8f5e72d3-b6ef-4c9c-b371-eb3c79f627ee_SetDate">
    <vt:lpwstr>2019-12-04T11:02:07Z</vt:lpwstr>
  </property>
  <property fmtid="{D5CDD505-2E9C-101B-9397-08002B2CF9AE}" pid="4" name="MSIP_Label_8f5e72d3-b6ef-4c9c-b371-eb3c79f627ee_Method">
    <vt:lpwstr>Privileged</vt:lpwstr>
  </property>
  <property fmtid="{D5CDD505-2E9C-101B-9397-08002B2CF9AE}" pid="5" name="MSIP_Label_8f5e72d3-b6ef-4c9c-b371-eb3c79f627ee_Name">
    <vt:lpwstr>8f5e72d3-b6ef-4c9c-b371-eb3c79f627ee</vt:lpwstr>
  </property>
  <property fmtid="{D5CDD505-2E9C-101B-9397-08002B2CF9AE}" pid="6" name="MSIP_Label_8f5e72d3-b6ef-4c9c-b371-eb3c79f627ee_SiteId">
    <vt:lpwstr>1de6d9f3-0daf-4df6-b9d6-5959f16f6118</vt:lpwstr>
  </property>
  <property fmtid="{D5CDD505-2E9C-101B-9397-08002B2CF9AE}" pid="7" name="MSIP_Label_8f5e72d3-b6ef-4c9c-b371-eb3c79f627ee_ActionId">
    <vt:lpwstr>b8e400df-7c36-45f2-9454-000070304384</vt:lpwstr>
  </property>
  <property fmtid="{D5CDD505-2E9C-101B-9397-08002B2CF9AE}" pid="8" name="MSIP_Label_8f5e72d3-b6ef-4c9c-b371-eb3c79f627ee_ContentBits">
    <vt:lpwstr>1</vt:lpwstr>
  </property>
  <property fmtid="{D5CDD505-2E9C-101B-9397-08002B2CF9AE}" pid="9" name="ContentTypeId">
    <vt:lpwstr>0x010100C8312894DE0F6D4481F3D57F5C97C1BB</vt:lpwstr>
  </property>
</Properties>
</file>