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newhouse\Box Sync\Pneumococcal Vaccine Project\PCV cost calculator\Spanish versions\"/>
    </mc:Choice>
  </mc:AlternateContent>
  <xr:revisionPtr revIDLastSave="0" documentId="13_ncr:1_{3F675EA1-5FF3-406F-A576-26A600B7AC32}" xr6:coauthVersionLast="45" xr6:coauthVersionMax="45" xr10:uidLastSave="{00000000-0000-0000-0000-000000000000}"/>
  <workbookProtection workbookAlgorithmName="SHA-512" workbookHashValue="l52Wcewq/XFju6PcQnUdPgPzbBZfXLwOjVhlF+FfKmrNcaQss7L0op6D9JQawpcWRZZKKwDQv4PL6XAAQ1oj+w==" workbookSaltValue="ZHDyzDFF3FsW0J2+8yoSMw==" workbookSpinCount="100000" lockStructure="1"/>
  <bookViews>
    <workbookView xWindow="-110" yWindow="-110" windowWidth="19420" windowHeight="10420" xr2:uid="{00000000-000D-0000-FFFF-FFFF00000000}"/>
  </bookViews>
  <sheets>
    <sheet name="INSTRUCCIONES" sheetId="10" r:id="rId1"/>
    <sheet name="Datos del modelo" sheetId="2" r:id="rId2"/>
    <sheet name="Resultados" sheetId="9" r:id="rId3"/>
    <sheet name="Gráficos" sheetId="6" r:id="rId4"/>
    <sheet name="Vaccine options" sheetId="3" state="hidden" r:id="rId5"/>
    <sheet name="Version" sheetId="12" state="hidden" r:id="rId6"/>
    <sheet name="DPP" sheetId="11" state="hidden" r:id="rId7"/>
  </sheets>
  <definedNames>
    <definedName name="_xlnm.Print_Area" localSheetId="1">'Datos del modelo'!$A$1:$N$64</definedName>
    <definedName name="_xlnm.Print_Area" localSheetId="2">Resultados!$A$1:$J$96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2" l="1"/>
  <c r="D42" i="2" s="1"/>
  <c r="D38" i="2" l="1"/>
  <c r="D35" i="2"/>
  <c r="D41" i="2"/>
  <c r="D37" i="2"/>
  <c r="D44" i="2"/>
  <c r="D40" i="2"/>
  <c r="D36" i="2"/>
  <c r="D43" i="2"/>
  <c r="D39" i="2"/>
  <c r="Y32" i="2"/>
  <c r="U32" i="2"/>
  <c r="Q32" i="2"/>
  <c r="L32" i="2"/>
  <c r="H32" i="2"/>
  <c r="D32" i="2"/>
  <c r="Y33" i="2" l="1"/>
  <c r="Y44" i="2" l="1"/>
  <c r="Y40" i="2"/>
  <c r="Y36" i="2"/>
  <c r="Y43" i="2"/>
  <c r="Y39" i="2"/>
  <c r="Y35" i="2"/>
  <c r="Y41" i="2"/>
  <c r="Y42" i="2"/>
  <c r="Y38" i="2"/>
  <c r="Y37" i="2"/>
  <c r="Y45" i="2"/>
  <c r="U45" i="2"/>
  <c r="Q45" i="2"/>
  <c r="L45" i="2"/>
  <c r="H45" i="2"/>
  <c r="D45" i="2"/>
  <c r="Z48" i="2" l="1"/>
  <c r="Y47" i="2" s="1"/>
  <c r="Y49" i="2" s="1"/>
  <c r="Y46" i="2"/>
  <c r="X44" i="2"/>
  <c r="X43" i="2"/>
  <c r="X42" i="2"/>
  <c r="X41" i="2"/>
  <c r="X40" i="2"/>
  <c r="X39" i="2"/>
  <c r="X38" i="2"/>
  <c r="X37" i="2"/>
  <c r="X36" i="2"/>
  <c r="X35" i="2"/>
  <c r="V48" i="2"/>
  <c r="U47" i="2" s="1"/>
  <c r="U49" i="2" s="1"/>
  <c r="U46" i="2"/>
  <c r="T44" i="2"/>
  <c r="T43" i="2"/>
  <c r="T42" i="2"/>
  <c r="T41" i="2"/>
  <c r="T40" i="2"/>
  <c r="T39" i="2"/>
  <c r="T38" i="2"/>
  <c r="T37" i="2"/>
  <c r="T36" i="2"/>
  <c r="T35" i="2"/>
  <c r="U33" i="2"/>
  <c r="R48" i="2"/>
  <c r="Q47" i="2" s="1"/>
  <c r="Q49" i="2" s="1"/>
  <c r="Q46" i="2"/>
  <c r="P44" i="2"/>
  <c r="P43" i="2"/>
  <c r="P42" i="2"/>
  <c r="P41" i="2"/>
  <c r="P40" i="2"/>
  <c r="P39" i="2"/>
  <c r="P38" i="2"/>
  <c r="P37" i="2"/>
  <c r="P36" i="2"/>
  <c r="P35" i="2"/>
  <c r="Q33" i="2"/>
  <c r="M48" i="2"/>
  <c r="L47" i="2" s="1"/>
  <c r="L49" i="2" s="1"/>
  <c r="L46" i="2"/>
  <c r="K44" i="2"/>
  <c r="K43" i="2"/>
  <c r="K42" i="2"/>
  <c r="K41" i="2"/>
  <c r="K40" i="2"/>
  <c r="K39" i="2"/>
  <c r="K38" i="2"/>
  <c r="K37" i="2"/>
  <c r="K36" i="2"/>
  <c r="K35" i="2"/>
  <c r="L33" i="2"/>
  <c r="H33" i="2"/>
  <c r="I48" i="2"/>
  <c r="H47" i="2" s="1"/>
  <c r="H49" i="2" s="1"/>
  <c r="H46" i="2"/>
  <c r="G44" i="2"/>
  <c r="G43" i="2"/>
  <c r="G42" i="2"/>
  <c r="G41" i="2"/>
  <c r="G40" i="2"/>
  <c r="G39" i="2"/>
  <c r="G38" i="2"/>
  <c r="G37" i="2"/>
  <c r="G36" i="2"/>
  <c r="G35" i="2"/>
  <c r="E48" i="2"/>
  <c r="D47" i="2" s="1"/>
  <c r="D49" i="2" s="1"/>
  <c r="D46" i="2"/>
  <c r="H44" i="2" l="1"/>
  <c r="H40" i="2"/>
  <c r="H36" i="2"/>
  <c r="H43" i="2"/>
  <c r="H39" i="2"/>
  <c r="H35" i="2"/>
  <c r="H41" i="2"/>
  <c r="H42" i="2"/>
  <c r="H38" i="2"/>
  <c r="H37" i="2"/>
  <c r="L42" i="2"/>
  <c r="L38" i="2"/>
  <c r="L35" i="2"/>
  <c r="L41" i="2"/>
  <c r="L37" i="2"/>
  <c r="L43" i="2"/>
  <c r="L44" i="2"/>
  <c r="L40" i="2"/>
  <c r="L36" i="2"/>
  <c r="L39" i="2"/>
  <c r="Q44" i="2"/>
  <c r="Q40" i="2"/>
  <c r="Q36" i="2"/>
  <c r="Q37" i="2"/>
  <c r="Q43" i="2"/>
  <c r="Q39" i="2"/>
  <c r="Q35" i="2"/>
  <c r="Q41" i="2"/>
  <c r="Q42" i="2"/>
  <c r="Q38" i="2"/>
  <c r="U42" i="2"/>
  <c r="U38" i="2"/>
  <c r="U43" i="2"/>
  <c r="U39" i="2"/>
  <c r="U41" i="2"/>
  <c r="U37" i="2"/>
  <c r="U44" i="2"/>
  <c r="U40" i="2"/>
  <c r="U36" i="2"/>
  <c r="U35" i="2"/>
  <c r="Q41" i="11"/>
  <c r="Q40" i="11"/>
  <c r="Q39" i="11"/>
  <c r="Q38" i="11"/>
  <c r="Q37" i="11"/>
  <c r="L20" i="11"/>
  <c r="L23" i="11" s="1"/>
  <c r="I20" i="11"/>
  <c r="I23" i="11" s="1"/>
  <c r="H20" i="11"/>
  <c r="H23" i="11" s="1"/>
  <c r="F20" i="11"/>
  <c r="F23" i="11" s="1"/>
  <c r="C20" i="11"/>
  <c r="C23" i="11" s="1"/>
  <c r="R11" i="9" l="1"/>
  <c r="R12" i="9"/>
  <c r="R13" i="9"/>
  <c r="R14" i="9"/>
  <c r="R15" i="9"/>
  <c r="R16" i="9"/>
  <c r="R17" i="9"/>
  <c r="R18" i="9"/>
  <c r="R19" i="9"/>
  <c r="O11" i="9"/>
  <c r="O12" i="9"/>
  <c r="O13" i="9"/>
  <c r="O14" i="9"/>
  <c r="O15" i="9"/>
  <c r="O16" i="9"/>
  <c r="O17" i="9"/>
  <c r="O18" i="9"/>
  <c r="O19" i="9"/>
  <c r="R10" i="9"/>
  <c r="O10" i="9"/>
  <c r="L11" i="9"/>
  <c r="L12" i="9"/>
  <c r="L13" i="9"/>
  <c r="L14" i="9"/>
  <c r="L15" i="9"/>
  <c r="L16" i="9"/>
  <c r="L17" i="9"/>
  <c r="L18" i="9"/>
  <c r="L19" i="9"/>
  <c r="L10" i="9"/>
  <c r="H11" i="9"/>
  <c r="H12" i="9"/>
  <c r="H13" i="9"/>
  <c r="H14" i="9"/>
  <c r="H15" i="9"/>
  <c r="H16" i="9"/>
  <c r="H17" i="9"/>
  <c r="H18" i="9"/>
  <c r="H19" i="9"/>
  <c r="H10" i="9"/>
  <c r="E11" i="9"/>
  <c r="E12" i="9"/>
  <c r="E13" i="9"/>
  <c r="E14" i="9"/>
  <c r="E15" i="9"/>
  <c r="E16" i="9"/>
  <c r="E17" i="9"/>
  <c r="E18" i="9"/>
  <c r="E19" i="9"/>
  <c r="E10" i="9"/>
  <c r="B11" i="9"/>
  <c r="B12" i="9"/>
  <c r="B13" i="9"/>
  <c r="B14" i="9"/>
  <c r="B15" i="9"/>
  <c r="B16" i="9"/>
  <c r="B17" i="9"/>
  <c r="B18" i="9"/>
  <c r="B19" i="9"/>
  <c r="B10" i="9"/>
  <c r="R42" i="9"/>
  <c r="R41" i="9"/>
  <c r="R40" i="9"/>
  <c r="R39" i="9"/>
  <c r="R38" i="9"/>
  <c r="R37" i="9"/>
  <c r="R36" i="9"/>
  <c r="R35" i="9"/>
  <c r="R34" i="9"/>
  <c r="R33" i="9"/>
  <c r="O42" i="9"/>
  <c r="O41" i="9"/>
  <c r="O40" i="9"/>
  <c r="O39" i="9"/>
  <c r="O38" i="9"/>
  <c r="O37" i="9"/>
  <c r="O36" i="9"/>
  <c r="O35" i="9"/>
  <c r="O34" i="9"/>
  <c r="O33" i="9"/>
  <c r="L42" i="9"/>
  <c r="L41" i="9"/>
  <c r="L40" i="9"/>
  <c r="L39" i="9"/>
  <c r="L38" i="9"/>
  <c r="L37" i="9"/>
  <c r="L36" i="9"/>
  <c r="L35" i="9"/>
  <c r="L34" i="9"/>
  <c r="L33" i="9"/>
  <c r="H42" i="9"/>
  <c r="H41" i="9"/>
  <c r="H40" i="9"/>
  <c r="H39" i="9"/>
  <c r="H38" i="9"/>
  <c r="H37" i="9"/>
  <c r="H36" i="9"/>
  <c r="H35" i="9"/>
  <c r="H34" i="9"/>
  <c r="H33" i="9"/>
  <c r="E42" i="9"/>
  <c r="E41" i="9"/>
  <c r="E40" i="9"/>
  <c r="E39" i="9"/>
  <c r="E38" i="9"/>
  <c r="E37" i="9"/>
  <c r="E36" i="9"/>
  <c r="E35" i="9"/>
  <c r="E34" i="9"/>
  <c r="E33" i="9"/>
  <c r="B42" i="9"/>
  <c r="B41" i="9"/>
  <c r="B40" i="9"/>
  <c r="B39" i="9"/>
  <c r="B38" i="9"/>
  <c r="B37" i="9"/>
  <c r="B36" i="9"/>
  <c r="B35" i="9"/>
  <c r="B34" i="9"/>
  <c r="B33" i="9"/>
  <c r="I22" i="2"/>
  <c r="I21" i="2"/>
  <c r="I20" i="2"/>
  <c r="I19" i="2"/>
  <c r="I18" i="2"/>
  <c r="I17" i="2"/>
  <c r="I16" i="2"/>
  <c r="I15" i="2"/>
  <c r="I14" i="2"/>
  <c r="I13" i="2"/>
  <c r="E79" i="9"/>
  <c r="X63" i="2"/>
  <c r="T63" i="2"/>
  <c r="P63" i="2"/>
  <c r="K63" i="2"/>
  <c r="G63" i="2"/>
  <c r="C63" i="2"/>
  <c r="C44" i="2"/>
  <c r="C43" i="2"/>
  <c r="C42" i="2"/>
  <c r="C41" i="2"/>
  <c r="C40" i="2"/>
  <c r="C39" i="2"/>
  <c r="C38" i="2"/>
  <c r="C37" i="2"/>
  <c r="C36" i="2"/>
  <c r="C35" i="2"/>
  <c r="R95" i="9"/>
  <c r="O95" i="9"/>
  <c r="L95" i="9"/>
  <c r="R94" i="9"/>
  <c r="O94" i="9"/>
  <c r="L94" i="9"/>
  <c r="R93" i="9"/>
  <c r="O93" i="9"/>
  <c r="L93" i="9"/>
  <c r="R92" i="9"/>
  <c r="O92" i="9"/>
  <c r="L92" i="9"/>
  <c r="R91" i="9"/>
  <c r="O91" i="9"/>
  <c r="L91" i="9"/>
  <c r="R90" i="9"/>
  <c r="O90" i="9"/>
  <c r="L90" i="9"/>
  <c r="R89" i="9"/>
  <c r="O89" i="9"/>
  <c r="L89" i="9"/>
  <c r="R88" i="9"/>
  <c r="O88" i="9"/>
  <c r="L88" i="9"/>
  <c r="R87" i="9"/>
  <c r="O87" i="9"/>
  <c r="L87" i="9"/>
  <c r="R86" i="9"/>
  <c r="O86" i="9"/>
  <c r="L86" i="9"/>
  <c r="R83" i="9"/>
  <c r="O83" i="9"/>
  <c r="L83" i="9"/>
  <c r="R82" i="9"/>
  <c r="O82" i="9"/>
  <c r="L82" i="9"/>
  <c r="R81" i="9"/>
  <c r="O81" i="9"/>
  <c r="L81" i="9"/>
  <c r="R80" i="9"/>
  <c r="O80" i="9"/>
  <c r="L80" i="9"/>
  <c r="R79" i="9"/>
  <c r="O79" i="9"/>
  <c r="L79" i="9"/>
  <c r="R78" i="9"/>
  <c r="O78" i="9"/>
  <c r="L78" i="9"/>
  <c r="R77" i="9"/>
  <c r="O77" i="9"/>
  <c r="L77" i="9"/>
  <c r="R76" i="9"/>
  <c r="O76" i="9"/>
  <c r="L76" i="9"/>
  <c r="R75" i="9"/>
  <c r="O75" i="9"/>
  <c r="L75" i="9"/>
  <c r="R74" i="9"/>
  <c r="O74" i="9"/>
  <c r="L74" i="9"/>
  <c r="R69" i="9"/>
  <c r="O69" i="9"/>
  <c r="L69" i="9"/>
  <c r="R68" i="9"/>
  <c r="O68" i="9"/>
  <c r="L68" i="9"/>
  <c r="R67" i="9"/>
  <c r="O67" i="9"/>
  <c r="L67" i="9"/>
  <c r="R66" i="9"/>
  <c r="O66" i="9"/>
  <c r="L66" i="9"/>
  <c r="R65" i="9"/>
  <c r="O65" i="9"/>
  <c r="L65" i="9"/>
  <c r="R64" i="9"/>
  <c r="O64" i="9"/>
  <c r="L64" i="9"/>
  <c r="R63" i="9"/>
  <c r="O63" i="9"/>
  <c r="L63" i="9"/>
  <c r="R62" i="9"/>
  <c r="O62" i="9"/>
  <c r="L62" i="9"/>
  <c r="R61" i="9"/>
  <c r="O61" i="9"/>
  <c r="L61" i="9"/>
  <c r="R60" i="9"/>
  <c r="O60" i="9"/>
  <c r="L60" i="9"/>
  <c r="R57" i="9"/>
  <c r="O57" i="9"/>
  <c r="L57" i="9"/>
  <c r="R56" i="9"/>
  <c r="O56" i="9"/>
  <c r="L56" i="9"/>
  <c r="R55" i="9"/>
  <c r="O55" i="9"/>
  <c r="L55" i="9"/>
  <c r="R54" i="9"/>
  <c r="O54" i="9"/>
  <c r="L54" i="9"/>
  <c r="R53" i="9"/>
  <c r="O53" i="9"/>
  <c r="L53" i="9"/>
  <c r="R52" i="9"/>
  <c r="O52" i="9"/>
  <c r="L52" i="9"/>
  <c r="R51" i="9"/>
  <c r="O51" i="9"/>
  <c r="L51" i="9"/>
  <c r="R50" i="9"/>
  <c r="O50" i="9"/>
  <c r="L50" i="9"/>
  <c r="R49" i="9"/>
  <c r="O49" i="9"/>
  <c r="L49" i="9"/>
  <c r="R48" i="9"/>
  <c r="O48" i="9"/>
  <c r="L48" i="9"/>
  <c r="R31" i="9"/>
  <c r="O31" i="9"/>
  <c r="L31" i="9"/>
  <c r="R30" i="9"/>
  <c r="O30" i="9"/>
  <c r="L30" i="9"/>
  <c r="R29" i="9"/>
  <c r="O29" i="9"/>
  <c r="L29" i="9"/>
  <c r="R28" i="9"/>
  <c r="O28" i="9"/>
  <c r="L28" i="9"/>
  <c r="R27" i="9"/>
  <c r="O27" i="9"/>
  <c r="L27" i="9"/>
  <c r="R26" i="9"/>
  <c r="O26" i="9"/>
  <c r="L26" i="9"/>
  <c r="R25" i="9"/>
  <c r="O25" i="9"/>
  <c r="L25" i="9"/>
  <c r="R24" i="9"/>
  <c r="O24" i="9"/>
  <c r="L24" i="9"/>
  <c r="R23" i="9"/>
  <c r="O23" i="9"/>
  <c r="L23" i="9"/>
  <c r="R22" i="9"/>
  <c r="O22" i="9"/>
  <c r="L22" i="9"/>
  <c r="R5" i="9"/>
  <c r="O5" i="9"/>
  <c r="L5" i="9"/>
  <c r="H5" i="9"/>
  <c r="E5" i="9"/>
  <c r="B5" i="9"/>
  <c r="H95" i="9"/>
  <c r="E95" i="9"/>
  <c r="B95" i="9"/>
  <c r="H94" i="9"/>
  <c r="E94" i="9"/>
  <c r="B94" i="9"/>
  <c r="H93" i="9"/>
  <c r="E93" i="9"/>
  <c r="B93" i="9"/>
  <c r="H92" i="9"/>
  <c r="E92" i="9"/>
  <c r="B92" i="9"/>
  <c r="H91" i="9"/>
  <c r="E91" i="9"/>
  <c r="B91" i="9"/>
  <c r="H90" i="9"/>
  <c r="E90" i="9"/>
  <c r="B90" i="9"/>
  <c r="H89" i="9"/>
  <c r="E89" i="9"/>
  <c r="B89" i="9"/>
  <c r="H88" i="9"/>
  <c r="E88" i="9"/>
  <c r="B88" i="9"/>
  <c r="H87" i="9"/>
  <c r="E87" i="9"/>
  <c r="B87" i="9"/>
  <c r="H86" i="9"/>
  <c r="E86" i="9"/>
  <c r="B86" i="9"/>
  <c r="H83" i="9"/>
  <c r="E83" i="9"/>
  <c r="B83" i="9"/>
  <c r="H82" i="9"/>
  <c r="E82" i="9"/>
  <c r="B82" i="9"/>
  <c r="H81" i="9"/>
  <c r="E81" i="9"/>
  <c r="B81" i="9"/>
  <c r="H80" i="9"/>
  <c r="E80" i="9"/>
  <c r="B80" i="9"/>
  <c r="H79" i="9"/>
  <c r="B79" i="9"/>
  <c r="H78" i="9"/>
  <c r="E78" i="9"/>
  <c r="B78" i="9"/>
  <c r="H77" i="9"/>
  <c r="E77" i="9"/>
  <c r="B77" i="9"/>
  <c r="H76" i="9"/>
  <c r="E76" i="9"/>
  <c r="B76" i="9"/>
  <c r="H75" i="9"/>
  <c r="E75" i="9"/>
  <c r="B75" i="9"/>
  <c r="H74" i="9"/>
  <c r="E74" i="9"/>
  <c r="B74" i="9"/>
  <c r="H69" i="9"/>
  <c r="E69" i="9"/>
  <c r="B69" i="9"/>
  <c r="H68" i="9"/>
  <c r="E68" i="9"/>
  <c r="B68" i="9"/>
  <c r="H67" i="9"/>
  <c r="E67" i="9"/>
  <c r="B67" i="9"/>
  <c r="H66" i="9"/>
  <c r="E66" i="9"/>
  <c r="B66" i="9"/>
  <c r="H65" i="9"/>
  <c r="E65" i="9"/>
  <c r="B65" i="9"/>
  <c r="H64" i="9"/>
  <c r="E64" i="9"/>
  <c r="B64" i="9"/>
  <c r="H63" i="9"/>
  <c r="E63" i="9"/>
  <c r="B63" i="9"/>
  <c r="H62" i="9"/>
  <c r="E62" i="9"/>
  <c r="B62" i="9"/>
  <c r="H61" i="9"/>
  <c r="E61" i="9"/>
  <c r="B61" i="9"/>
  <c r="H60" i="9"/>
  <c r="E60" i="9"/>
  <c r="B60" i="9"/>
  <c r="H57" i="9"/>
  <c r="E57" i="9"/>
  <c r="B57" i="9"/>
  <c r="H56" i="9"/>
  <c r="E56" i="9"/>
  <c r="B56" i="9"/>
  <c r="H55" i="9"/>
  <c r="E55" i="9"/>
  <c r="B55" i="9"/>
  <c r="H54" i="9"/>
  <c r="E54" i="9"/>
  <c r="B54" i="9"/>
  <c r="H53" i="9"/>
  <c r="E53" i="9"/>
  <c r="B53" i="9"/>
  <c r="H52" i="9"/>
  <c r="E52" i="9"/>
  <c r="B52" i="9"/>
  <c r="H51" i="9"/>
  <c r="E51" i="9"/>
  <c r="B51" i="9"/>
  <c r="H50" i="9"/>
  <c r="E50" i="9"/>
  <c r="B50" i="9"/>
  <c r="H49" i="9"/>
  <c r="E49" i="9"/>
  <c r="B49" i="9"/>
  <c r="H48" i="9"/>
  <c r="E48" i="9"/>
  <c r="B48" i="9"/>
  <c r="H31" i="9"/>
  <c r="E31" i="9"/>
  <c r="B31" i="9"/>
  <c r="H30" i="9"/>
  <c r="E30" i="9"/>
  <c r="B30" i="9"/>
  <c r="H29" i="9"/>
  <c r="E29" i="9"/>
  <c r="B29" i="9"/>
  <c r="H28" i="9"/>
  <c r="E28" i="9"/>
  <c r="B28" i="9"/>
  <c r="H27" i="9"/>
  <c r="E27" i="9"/>
  <c r="B27" i="9"/>
  <c r="H26" i="9"/>
  <c r="E26" i="9"/>
  <c r="B26" i="9"/>
  <c r="H25" i="9"/>
  <c r="E25" i="9"/>
  <c r="B25" i="9"/>
  <c r="H24" i="9"/>
  <c r="E24" i="9"/>
  <c r="B24" i="9"/>
  <c r="H23" i="9"/>
  <c r="E23" i="9"/>
  <c r="B23" i="9"/>
  <c r="H22" i="9"/>
  <c r="E22" i="9"/>
  <c r="B22" i="9"/>
  <c r="S13" i="9" l="1"/>
  <c r="S25" i="9" s="1"/>
  <c r="C17" i="9"/>
  <c r="C29" i="9" s="1"/>
  <c r="C13" i="9"/>
  <c r="C25" i="9" s="1"/>
  <c r="S19" i="9"/>
  <c r="S31" i="9" s="1"/>
  <c r="P10" i="9"/>
  <c r="P22" i="9" s="1"/>
  <c r="P17" i="9"/>
  <c r="P29" i="9" s="1"/>
  <c r="P19" i="9"/>
  <c r="P31" i="9" s="1"/>
  <c r="P13" i="9"/>
  <c r="P25" i="9" s="1"/>
  <c r="P18" i="9"/>
  <c r="P30" i="9" s="1"/>
  <c r="P82" i="9" s="1"/>
  <c r="P14" i="9"/>
  <c r="P26" i="9" s="1"/>
  <c r="S15" i="9"/>
  <c r="S27" i="9" s="1"/>
  <c r="C18" i="9"/>
  <c r="C30" i="9" s="1"/>
  <c r="F11" i="9"/>
  <c r="F23" i="9" s="1"/>
  <c r="S11" i="9"/>
  <c r="S23" i="9" s="1"/>
  <c r="I11" i="9"/>
  <c r="P11" i="9"/>
  <c r="P23" i="9" s="1"/>
  <c r="I15" i="9"/>
  <c r="I27" i="9" s="1"/>
  <c r="F16" i="9"/>
  <c r="F28" i="9" s="1"/>
  <c r="I17" i="9"/>
  <c r="I29" i="9" s="1"/>
  <c r="C14" i="9"/>
  <c r="C26" i="9" s="1"/>
  <c r="F10" i="9"/>
  <c r="F22" i="9" s="1"/>
  <c r="F17" i="9"/>
  <c r="F29" i="9" s="1"/>
  <c r="I13" i="9"/>
  <c r="I25" i="9" s="1"/>
  <c r="M19" i="9"/>
  <c r="M31" i="9" s="1"/>
  <c r="P15" i="9"/>
  <c r="P27" i="9" s="1"/>
  <c r="S17" i="9"/>
  <c r="S29" i="9" s="1"/>
  <c r="F18" i="9"/>
  <c r="F30" i="9" s="1"/>
  <c r="F13" i="9"/>
  <c r="F25" i="9" s="1"/>
  <c r="I10" i="9"/>
  <c r="I22" i="9" s="1"/>
  <c r="I18" i="9"/>
  <c r="I30" i="9" s="1"/>
  <c r="M17" i="9"/>
  <c r="M29" i="9" s="1"/>
  <c r="M15" i="9"/>
  <c r="M27" i="9" s="1"/>
  <c r="M13" i="9"/>
  <c r="M25" i="9" s="1"/>
  <c r="S10" i="9"/>
  <c r="S22" i="9" s="1"/>
  <c r="P16" i="9"/>
  <c r="P28" i="9" s="1"/>
  <c r="P12" i="9"/>
  <c r="P24" i="9" s="1"/>
  <c r="C11" i="9"/>
  <c r="C23" i="9" s="1"/>
  <c r="F14" i="9"/>
  <c r="F26" i="9" s="1"/>
  <c r="F12" i="9"/>
  <c r="F24" i="9" s="1"/>
  <c r="I16" i="9"/>
  <c r="I28" i="9" s="1"/>
  <c r="I14" i="9"/>
  <c r="I26" i="9" s="1"/>
  <c r="M10" i="9"/>
  <c r="M22" i="9" s="1"/>
  <c r="M18" i="9"/>
  <c r="M30" i="9" s="1"/>
  <c r="S18" i="9"/>
  <c r="S30" i="9" s="1"/>
  <c r="S16" i="9"/>
  <c r="S28" i="9" s="1"/>
  <c r="S14" i="9"/>
  <c r="S26" i="9" s="1"/>
  <c r="S12" i="9"/>
  <c r="S24" i="9" s="1"/>
  <c r="F15" i="9"/>
  <c r="F27" i="9" s="1"/>
  <c r="I19" i="9"/>
  <c r="I31" i="9" s="1"/>
  <c r="I12" i="9"/>
  <c r="I24" i="9" s="1"/>
  <c r="M16" i="9"/>
  <c r="M28" i="9" s="1"/>
  <c r="M14" i="9"/>
  <c r="M26" i="9" s="1"/>
  <c r="M12" i="9"/>
  <c r="M24" i="9" s="1"/>
  <c r="M11" i="9"/>
  <c r="M23" i="9" s="1"/>
  <c r="C12" i="9"/>
  <c r="C24" i="9" s="1"/>
  <c r="C16" i="9"/>
  <c r="C28" i="9" s="1"/>
  <c r="C10" i="9"/>
  <c r="C15" i="9"/>
  <c r="C27" i="9" s="1"/>
  <c r="C19" i="9"/>
  <c r="C31" i="9" s="1"/>
  <c r="F19" i="9"/>
  <c r="F31" i="9" s="1"/>
  <c r="C54" i="9" l="1"/>
  <c r="C80" i="9"/>
  <c r="C92" i="9" s="1"/>
  <c r="F53" i="9"/>
  <c r="F65" i="9" s="1"/>
  <c r="F79" i="9"/>
  <c r="F91" i="9" s="1"/>
  <c r="I54" i="9"/>
  <c r="I66" i="9" s="1"/>
  <c r="I80" i="9"/>
  <c r="I92" i="9" s="1"/>
  <c r="P50" i="9"/>
  <c r="P62" i="9" s="1"/>
  <c r="P76" i="9"/>
  <c r="P88" i="9" s="1"/>
  <c r="F77" i="9"/>
  <c r="F89" i="9" s="1"/>
  <c r="F51" i="9"/>
  <c r="F63" i="9" s="1"/>
  <c r="C78" i="9"/>
  <c r="C90" i="9" s="1"/>
  <c r="C52" i="9"/>
  <c r="C64" i="9" s="1"/>
  <c r="C41" i="9"/>
  <c r="C82" i="9"/>
  <c r="C94" i="9" s="1"/>
  <c r="C56" i="9"/>
  <c r="C68" i="9" s="1"/>
  <c r="S83" i="9"/>
  <c r="S95" i="9" s="1"/>
  <c r="S57" i="9"/>
  <c r="S69" i="9" s="1"/>
  <c r="C76" i="9"/>
  <c r="C88" i="9" s="1"/>
  <c r="C50" i="9"/>
  <c r="C62" i="9" s="1"/>
  <c r="S50" i="9"/>
  <c r="S62" i="9" s="1"/>
  <c r="S76" i="9"/>
  <c r="S88" i="9" s="1"/>
  <c r="F35" i="9"/>
  <c r="F76" i="9"/>
  <c r="F88" i="9" s="1"/>
  <c r="F50" i="9"/>
  <c r="F62" i="9" s="1"/>
  <c r="M40" i="9"/>
  <c r="M55" i="9"/>
  <c r="M67" i="9" s="1"/>
  <c r="M81" i="9"/>
  <c r="M93" i="9" s="1"/>
  <c r="I51" i="9"/>
  <c r="I63" i="9" s="1"/>
  <c r="I77" i="9"/>
  <c r="I89" i="9" s="1"/>
  <c r="S53" i="9"/>
  <c r="S65" i="9" s="1"/>
  <c r="S79" i="9"/>
  <c r="S91" i="9" s="1"/>
  <c r="C77" i="9"/>
  <c r="C89" i="9" s="1"/>
  <c r="C51" i="9"/>
  <c r="C63" i="9" s="1"/>
  <c r="M75" i="9"/>
  <c r="M49" i="9"/>
  <c r="M61" i="9" s="1"/>
  <c r="I50" i="9"/>
  <c r="I62" i="9" s="1"/>
  <c r="I76" i="9"/>
  <c r="I88" i="9" s="1"/>
  <c r="S78" i="9"/>
  <c r="S90" i="9" s="1"/>
  <c r="S52" i="9"/>
  <c r="S64" i="9" s="1"/>
  <c r="M48" i="9"/>
  <c r="M60" i="9" s="1"/>
  <c r="M74" i="9"/>
  <c r="M86" i="9" s="1"/>
  <c r="F78" i="9"/>
  <c r="F90" i="9" s="1"/>
  <c r="F52" i="9"/>
  <c r="F64" i="9" s="1"/>
  <c r="S48" i="9"/>
  <c r="S74" i="9"/>
  <c r="I82" i="9"/>
  <c r="I94" i="9" s="1"/>
  <c r="I56" i="9"/>
  <c r="I68" i="9" s="1"/>
  <c r="S55" i="9"/>
  <c r="S67" i="9" s="1"/>
  <c r="S81" i="9"/>
  <c r="S93" i="9" s="1"/>
  <c r="F40" i="9"/>
  <c r="F81" i="9"/>
  <c r="F93" i="9" s="1"/>
  <c r="F55" i="9"/>
  <c r="F67" i="9" s="1"/>
  <c r="F80" i="9"/>
  <c r="F92" i="9" s="1"/>
  <c r="F54" i="9"/>
  <c r="F66" i="9" s="1"/>
  <c r="S75" i="9"/>
  <c r="S87" i="9" s="1"/>
  <c r="S49" i="9"/>
  <c r="S61" i="9" s="1"/>
  <c r="P52" i="9"/>
  <c r="P64" i="9" s="1"/>
  <c r="P78" i="9"/>
  <c r="P90" i="9" s="1"/>
  <c r="P40" i="9"/>
  <c r="P55" i="9"/>
  <c r="P67" i="9" s="1"/>
  <c r="P81" i="9"/>
  <c r="P93" i="9" s="1"/>
  <c r="C55" i="9"/>
  <c r="C67" i="9" s="1"/>
  <c r="C81" i="9"/>
  <c r="C93" i="9" s="1"/>
  <c r="F83" i="9"/>
  <c r="F95" i="9" s="1"/>
  <c r="F57" i="9"/>
  <c r="F69" i="9" s="1"/>
  <c r="M78" i="9"/>
  <c r="M90" i="9" s="1"/>
  <c r="M52" i="9"/>
  <c r="M64" i="9" s="1"/>
  <c r="S82" i="9"/>
  <c r="S94" i="9" s="1"/>
  <c r="S56" i="9"/>
  <c r="S68" i="9" s="1"/>
  <c r="M79" i="9"/>
  <c r="M91" i="9" s="1"/>
  <c r="M53" i="9"/>
  <c r="M65" i="9" s="1"/>
  <c r="M83" i="9"/>
  <c r="M95" i="9" s="1"/>
  <c r="M57" i="9"/>
  <c r="M69" i="9" s="1"/>
  <c r="P75" i="9"/>
  <c r="P87" i="9" s="1"/>
  <c r="P49" i="9"/>
  <c r="P61" i="9" s="1"/>
  <c r="P51" i="9"/>
  <c r="P63" i="9" s="1"/>
  <c r="P77" i="9"/>
  <c r="P89" i="9" s="1"/>
  <c r="C83" i="9"/>
  <c r="C95" i="9" s="1"/>
  <c r="C57" i="9"/>
  <c r="C69" i="9" s="1"/>
  <c r="M54" i="9"/>
  <c r="M66" i="9" s="1"/>
  <c r="M80" i="9"/>
  <c r="M92" i="9" s="1"/>
  <c r="M82" i="9"/>
  <c r="M94" i="9" s="1"/>
  <c r="M56" i="9"/>
  <c r="M68" i="9" s="1"/>
  <c r="P54" i="9"/>
  <c r="P66" i="9" s="1"/>
  <c r="P80" i="9"/>
  <c r="P92" i="9" s="1"/>
  <c r="F41" i="9"/>
  <c r="F82" i="9"/>
  <c r="F94" i="9" s="1"/>
  <c r="F56" i="9"/>
  <c r="F68" i="9" s="1"/>
  <c r="I40" i="9"/>
  <c r="I55" i="9"/>
  <c r="I67" i="9" s="1"/>
  <c r="I81" i="9"/>
  <c r="I93" i="9" s="1"/>
  <c r="P42" i="9"/>
  <c r="P83" i="9"/>
  <c r="P95" i="9" s="1"/>
  <c r="P57" i="9"/>
  <c r="P69" i="9" s="1"/>
  <c r="C53" i="9"/>
  <c r="C65" i="9" s="1"/>
  <c r="C79" i="9"/>
  <c r="C91" i="9" s="1"/>
  <c r="M50" i="9"/>
  <c r="M62" i="9" s="1"/>
  <c r="M76" i="9"/>
  <c r="M88" i="9" s="1"/>
  <c r="I83" i="9"/>
  <c r="I95" i="9" s="1"/>
  <c r="I57" i="9"/>
  <c r="I69" i="9" s="1"/>
  <c r="S80" i="9"/>
  <c r="S92" i="9" s="1"/>
  <c r="S54" i="9"/>
  <c r="S66" i="9" s="1"/>
  <c r="I78" i="9"/>
  <c r="I90" i="9" s="1"/>
  <c r="I52" i="9"/>
  <c r="I64" i="9" s="1"/>
  <c r="C49" i="9"/>
  <c r="C61" i="9" s="1"/>
  <c r="C75" i="9"/>
  <c r="C87" i="9" s="1"/>
  <c r="M51" i="9"/>
  <c r="M63" i="9" s="1"/>
  <c r="M77" i="9"/>
  <c r="M89" i="9" s="1"/>
  <c r="I48" i="9"/>
  <c r="I60" i="9" s="1"/>
  <c r="I74" i="9"/>
  <c r="I86" i="9" s="1"/>
  <c r="P38" i="9"/>
  <c r="P79" i="9"/>
  <c r="P91" i="9" s="1"/>
  <c r="P53" i="9"/>
  <c r="P65" i="9" s="1"/>
  <c r="F48" i="9"/>
  <c r="F74" i="9"/>
  <c r="I53" i="9"/>
  <c r="I65" i="9" s="1"/>
  <c r="I79" i="9"/>
  <c r="I91" i="9" s="1"/>
  <c r="F75" i="9"/>
  <c r="F87" i="9" s="1"/>
  <c r="F49" i="9"/>
  <c r="F61" i="9" s="1"/>
  <c r="P41" i="9"/>
  <c r="P94" i="9"/>
  <c r="P56" i="9"/>
  <c r="P68" i="9" s="1"/>
  <c r="P33" i="9"/>
  <c r="P74" i="9"/>
  <c r="P86" i="9" s="1"/>
  <c r="P48" i="9"/>
  <c r="P60" i="9" s="1"/>
  <c r="S51" i="9"/>
  <c r="S63" i="9" s="1"/>
  <c r="S77" i="9"/>
  <c r="S89" i="9" s="1"/>
  <c r="P37" i="9"/>
  <c r="I42" i="9"/>
  <c r="I9" i="9"/>
  <c r="I23" i="9"/>
  <c r="M9" i="9"/>
  <c r="C36" i="9"/>
  <c r="P34" i="9"/>
  <c r="P21" i="9"/>
  <c r="I38" i="9"/>
  <c r="S40" i="9"/>
  <c r="P39" i="9"/>
  <c r="P36" i="9"/>
  <c r="S35" i="9"/>
  <c r="F38" i="9"/>
  <c r="F37" i="9"/>
  <c r="F34" i="9"/>
  <c r="C34" i="9"/>
  <c r="M35" i="9"/>
  <c r="I39" i="9"/>
  <c r="I33" i="9"/>
  <c r="M39" i="9"/>
  <c r="I35" i="9"/>
  <c r="P35" i="9"/>
  <c r="F36" i="9"/>
  <c r="M33" i="9"/>
  <c r="S9" i="9"/>
  <c r="P9" i="9"/>
  <c r="C40" i="9"/>
  <c r="C37" i="9"/>
  <c r="F39" i="9"/>
  <c r="I36" i="9"/>
  <c r="M36" i="9"/>
  <c r="M34" i="9"/>
  <c r="C38" i="9"/>
  <c r="F33" i="9"/>
  <c r="F21" i="9"/>
  <c r="M38" i="9"/>
  <c r="M21" i="9"/>
  <c r="I37" i="9"/>
  <c r="S34" i="9"/>
  <c r="S37" i="9"/>
  <c r="S38" i="9"/>
  <c r="S39" i="9"/>
  <c r="S36" i="9"/>
  <c r="M37" i="9"/>
  <c r="C39" i="9"/>
  <c r="C66" i="9"/>
  <c r="S41" i="9"/>
  <c r="S42" i="9"/>
  <c r="F42" i="9"/>
  <c r="C35" i="9"/>
  <c r="M41" i="9"/>
  <c r="C42" i="9"/>
  <c r="C22" i="9"/>
  <c r="C9" i="9"/>
  <c r="F9" i="9"/>
  <c r="S33" i="9"/>
  <c r="S21" i="9"/>
  <c r="M42" i="9"/>
  <c r="I41" i="9"/>
  <c r="C48" i="9" l="1"/>
  <c r="C74" i="9"/>
  <c r="I75" i="9"/>
  <c r="I87" i="9" s="1"/>
  <c r="I85" i="9" s="1"/>
  <c r="I49" i="9"/>
  <c r="I61" i="9" s="1"/>
  <c r="I59" i="9" s="1"/>
  <c r="I21" i="9"/>
  <c r="I34" i="9"/>
  <c r="P85" i="9"/>
  <c r="P59" i="9"/>
  <c r="P73" i="9"/>
  <c r="P47" i="9"/>
  <c r="S60" i="9"/>
  <c r="S59" i="9" s="1"/>
  <c r="S47" i="9"/>
  <c r="S86" i="9"/>
  <c r="S85" i="9" s="1"/>
  <c r="S73" i="9"/>
  <c r="C33" i="9"/>
  <c r="C21" i="9"/>
  <c r="M47" i="9"/>
  <c r="F47" i="9"/>
  <c r="F60" i="9"/>
  <c r="F59" i="9" s="1"/>
  <c r="M59" i="9"/>
  <c r="F86" i="9"/>
  <c r="F85" i="9" s="1"/>
  <c r="F73" i="9"/>
  <c r="M87" i="9"/>
  <c r="M85" i="9" s="1"/>
  <c r="M73" i="9"/>
  <c r="I47" i="9" l="1"/>
  <c r="I73" i="9"/>
  <c r="C86" i="9"/>
  <c r="C85" i="9" s="1"/>
  <c r="C73" i="9"/>
  <c r="C60" i="9"/>
  <c r="C59" i="9" s="1"/>
  <c r="C4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tc={71D6E3CF-BB7E-4CEA-BA00-03223B6EE05A}</author>
  </authors>
  <commentList>
    <comment ref="A1"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Overall, this looks good. Have you already field-tested it, or in some way gathered user-feedback? If not, it may be useful to get input after launch, to help refine it as/if needed;</t>
      </text>
    </comment>
  </commentList>
</comments>
</file>

<file path=xl/sharedStrings.xml><?xml version="1.0" encoding="utf-8"?>
<sst xmlns="http://schemas.openxmlformats.org/spreadsheetml/2006/main" count="680" uniqueCount="288">
  <si>
    <t xml:space="preserve">Calculadora de costos de la vacuna neumocócica conjugada </t>
  </si>
  <si>
    <t>Guía del usuario</t>
  </si>
  <si>
    <r>
      <rPr>
        <sz val="11"/>
        <color rgb="FF000000"/>
        <rFont val="Calibri"/>
        <family val="2"/>
        <scheme val="minor"/>
      </rPr>
      <t>Si tiene dudas o necesita asistencia, póngase en contacto con el equipo de Health Economics &amp; Outcomes Research de PATH:</t>
    </r>
    <r>
      <rPr>
        <sz val="11"/>
        <color rgb="FF000000"/>
        <rFont val="Calibri"/>
        <family val="2"/>
        <scheme val="minor"/>
      </rPr>
      <t xml:space="preserve"> </t>
    </r>
    <r>
      <rPr>
        <u/>
        <sz val="11"/>
        <color rgb="FF000000"/>
        <rFont val="Calibri"/>
        <family val="2"/>
        <scheme val="minor"/>
      </rPr>
      <t>HEOR@path.org</t>
    </r>
  </si>
  <si>
    <t>Versión 1.5</t>
  </si>
  <si>
    <t>La herramienta calcula los costos anuales y para un periodo total de 10 años. Los cálculos del costo de las vacunas (es decir, la adquisición de vacunas y de suministros y los envíos internacionales) y de los costos de los programas de vacunación (es decir, el costo de la vacuna y de su administración) se presentan de forma independiente para dos perspectivas: 1) la perspectiva de los países y 2) la perspectiva conjunta de los países y Gavi (solo aplicable a los países elegibles de Gavi). La perspectiva de los países contempla solamente los gastos que se cubren con el presupuesto nacional, mientras que la perspectiva conjunta de los países y Gavi también tiene en cuenta el cofinanciamiento de las vacunas y las subvenciones de Gavi. Todos los datos de los costos se presentan en US$. Si se desea utilizar la moneda local, la conversión de la divisa se deberá realizar de forma independiente antes de introducir los valores en los campos correspondientes.</t>
  </si>
  <si>
    <t>La herramienta consta de tres hojas de trabajo:</t>
  </si>
  <si>
    <r>
      <rPr>
        <sz val="11"/>
        <color theme="1"/>
        <rFont val="Calibri"/>
        <family val="2"/>
        <scheme val="minor"/>
      </rPr>
      <t>1.</t>
    </r>
    <r>
      <rPr>
        <sz val="7"/>
        <color theme="1"/>
        <rFont val="Times New Roman"/>
        <family val="1"/>
      </rPr>
      <t xml:space="preserve">      </t>
    </r>
    <r>
      <rPr>
        <b/>
        <sz val="11"/>
        <color theme="1"/>
        <rFont val="Calibri"/>
        <family val="2"/>
        <scheme val="minor"/>
      </rPr>
      <t>Hoja de</t>
    </r>
    <r>
      <rPr>
        <sz val="11"/>
        <color theme="1"/>
        <rFont val="Calibri"/>
        <family val="2"/>
        <scheme val="minor"/>
      </rPr>
      <t xml:space="preserve"> </t>
    </r>
    <r>
      <rPr>
        <b/>
        <sz val="11"/>
        <color theme="1"/>
        <rFont val="Calibri"/>
        <family val="2"/>
        <scheme val="minor"/>
      </rPr>
      <t>datos del modelo</t>
    </r>
    <r>
      <rPr>
        <sz val="11"/>
        <color theme="1"/>
        <rFont val="Calibri"/>
        <family val="2"/>
        <scheme val="minor"/>
      </rPr>
      <t>, donde el usuario decide qué vacunas desea comparar y ajusta los datos introducidos en función del contexto del país.</t>
    </r>
  </si>
  <si>
    <r>
      <rPr>
        <sz val="11"/>
        <color theme="1"/>
        <rFont val="Calibri"/>
        <family val="2"/>
        <scheme val="minor"/>
      </rPr>
      <t>2.</t>
    </r>
    <r>
      <rPr>
        <sz val="7"/>
        <color theme="1"/>
        <rFont val="Times New Roman"/>
        <family val="1"/>
      </rPr>
      <t xml:space="preserve">      </t>
    </r>
    <r>
      <rPr>
        <b/>
        <sz val="11"/>
        <color theme="1"/>
        <rFont val="Calibri"/>
        <family val="2"/>
        <scheme val="minor"/>
      </rPr>
      <t>Hoja de</t>
    </r>
    <r>
      <rPr>
        <sz val="11"/>
        <color theme="1"/>
        <rFont val="Calibri"/>
        <family val="2"/>
        <scheme val="minor"/>
      </rPr>
      <t xml:space="preserve"> </t>
    </r>
    <r>
      <rPr>
        <b/>
        <sz val="11"/>
        <color theme="1"/>
        <rFont val="Calibri"/>
        <family val="2"/>
        <scheme val="minor"/>
      </rPr>
      <t>resultados</t>
    </r>
    <r>
      <rPr>
        <sz val="11"/>
        <color theme="1"/>
        <rFont val="Calibri"/>
        <family val="2"/>
        <scheme val="minor"/>
      </rPr>
      <t>, donde el usuario puede consultar las proyecciones de los costos.</t>
    </r>
  </si>
  <si>
    <r>
      <rPr>
        <b/>
        <sz val="11"/>
        <color rgb="FFFF0000"/>
        <rFont val="Calibri"/>
        <family val="2"/>
        <scheme val="minor"/>
      </rPr>
      <t>Descargo de responsabilidad:</t>
    </r>
    <r>
      <rPr>
        <b/>
        <sz val="11"/>
        <color rgb="FFFF0000"/>
        <rFont val="Calibri"/>
        <family val="2"/>
        <scheme val="minor"/>
      </rPr>
      <t xml:space="preserve"> </t>
    </r>
    <r>
      <rPr>
        <sz val="11"/>
        <color rgb="FFFF0000"/>
        <rFont val="Calibri"/>
        <family val="2"/>
        <scheme val="minor"/>
      </rPr>
      <t>La calculadora de costos de la vacuna neumocócica conjugada es una herramienta cuyo objetivo es fundamentar la toma de decisiones sobre la introducción de vacunas y la selección de productos.</t>
    </r>
    <r>
      <rPr>
        <sz val="11"/>
        <color rgb="FFFF0000"/>
        <rFont val="Calibri"/>
        <family val="2"/>
        <scheme val="minor"/>
      </rPr>
      <t xml:space="preserve"> </t>
    </r>
    <r>
      <rPr>
        <sz val="11"/>
        <color rgb="FFFF0000"/>
        <rFont val="Calibri"/>
        <family val="2"/>
        <scheme val="minor"/>
      </rPr>
      <t>Cabe destacar que el costo es tan solo una única consideración, y que los responsables de la toma de decisiones relativas a la introducción de nuevas vacunas y de seleccionar productos también deben tener en cuenta otros aspectos.</t>
    </r>
    <r>
      <rPr>
        <sz val="11"/>
        <color rgb="FFFF0000"/>
        <rFont val="Calibri"/>
        <family val="2"/>
        <scheme val="minor"/>
      </rPr>
      <t xml:space="preserve"> </t>
    </r>
    <r>
      <rPr>
        <sz val="11"/>
        <color rgb="FFFF0000"/>
        <rFont val="Calibri"/>
        <family val="2"/>
        <scheme val="minor"/>
      </rPr>
      <t xml:space="preserve">La finalidad de este modelo es ofrecer información sobre los </t>
    </r>
    <r>
      <rPr>
        <b/>
        <sz val="11"/>
        <color rgb="FFFF0000"/>
        <rFont val="Calibri"/>
        <family val="2"/>
        <scheme val="minor"/>
      </rPr>
      <t>posibles</t>
    </r>
    <r>
      <rPr>
        <sz val="11"/>
        <color rgb="FFFF0000"/>
        <rFont val="Calibri"/>
        <family val="2"/>
        <scheme val="minor"/>
      </rPr>
      <t xml:space="preserve"> costos de las alternativas entre varios productos y no debe reemplazar la planificación presupuestaria detallada una vez que se ha seleccionado el producto en cuestión.</t>
    </r>
  </si>
  <si>
    <r>
      <rPr>
        <b/>
        <sz val="11"/>
        <color theme="1"/>
        <rFont val="Calibri"/>
        <family val="2"/>
        <scheme val="minor"/>
      </rPr>
      <t>Hoja de datos del modelo</t>
    </r>
    <r>
      <rPr>
        <sz val="11"/>
        <color theme="1"/>
        <rFont val="Calibri"/>
        <family val="2"/>
        <scheme val="minor"/>
      </rPr>
      <t xml:space="preserve"> </t>
    </r>
  </si>
  <si>
    <t xml:space="preserve">En esta hoja, el usuario debe introducir datos en todos los recuadros con un fondo amarillo. Si se dispone de ellos, los datos predeterminados ya aparecerán completados, junto con la fuente de la información. Tenga en cuenta que los datos predeterminados solo corresponden a los países actualmente elegibles para Gavi. Los países que no son elegibles para recibir los fondos de Gavi deberán confirmar todos los datos introducidos de forma individual. Para obtener resultados, se deberán completar los tres pasos que se describen a continuación. </t>
  </si>
  <si>
    <t>Introduzca la información relacionada con el año inicial que quiere analizar, teniendo en cuenta que será el primer año de un programa de 10 años. Introduzca la información necesaria sobre la población destinataria y la tasa de crecimiento anual de la población.</t>
  </si>
  <si>
    <t>Indique aquí si su país se encuentra actualmente en la fase inicial de autofinanciamiento de Gavi o en otra fase de transición. Si su país no es elegible para recibir ayuda de Gavi, introduzca 100 % para indicar que su país cubrirá el costo total de la compra de vacunas.</t>
  </si>
  <si>
    <t>Si su país se encuentra en la fase inicial de autofinanciamiento de Gavi, los cálculos del cofinanciamiento se mostrarán de forma automática por dosis de conformidad con las guías de Gavi (es decir, US$0.20 por dosis para vacunas de dos dosis y US$0.13 por dosis para vacunas de tres dosis).</t>
  </si>
  <si>
    <t xml:space="preserve">Por último, introduzca la cantidad de apoyo económico al que su país podría ser elegible a través de la subvención para la introducción de vacunas (VIG, por sus siglas en inglés) o de la subvención para el cambio de productos (SG, por sus siglas en inglés) de Gavi. En la parte derecha de la hoja de trabajo, se encuentra un cuadro que explica cómo calcular la VIG o la SG. Si desea más información, también puede consultar las guías de asistencia de Gavi.  </t>
  </si>
  <si>
    <t>Guías de asistencia de Gavi</t>
  </si>
  <si>
    <t>Subsección sobre costos de la vacuna</t>
  </si>
  <si>
    <t>Perfiles de productos detallados de Gavi</t>
  </si>
  <si>
    <t>Para países que no pertenecen a Gavi, debe introducir el precio de la vacuna a la que tiene acceso para cada opción. La información sobre el precio de la vacuna que pagan otros países está disponible en la base de datos de la OMS/MI4A.</t>
  </si>
  <si>
    <t>Base de datos de la OMS/MI4A para la compra de vacunas</t>
  </si>
  <si>
    <t>Para obtener más información sobre las vacunas VNC, lea el documento sobre la posición de la OMS.</t>
  </si>
  <si>
    <t>Posición de la OMS sobre las vacunas VNC</t>
  </si>
  <si>
    <t>La cantidad de cofinanciamiento anual por dosis no se puede modificar puesto que se deriva de los cálculos basados en el precio de las vacunas y en la cuota de cofinanciamiento que figuran en el Paso 2.</t>
  </si>
  <si>
    <t>A continuación, deberá ajustar los siguientes datos en función de la información local:</t>
  </si>
  <si>
    <r>
      <rPr>
        <sz val="11"/>
        <color theme="1"/>
        <rFont val="Symbol"/>
        <family val="1"/>
        <charset val="2"/>
      </rPr>
      <t>·</t>
    </r>
    <r>
      <rPr>
        <sz val="11"/>
        <color theme="1"/>
        <rFont val="Symbol"/>
        <family val="1"/>
        <charset val="2"/>
      </rPr>
      <t xml:space="preserve"> </t>
    </r>
    <r>
      <rPr>
        <i/>
        <sz val="11"/>
        <color theme="1"/>
        <rFont val="Calibri"/>
        <family val="2"/>
        <scheme val="minor"/>
      </rPr>
      <t>Tasa de desperdicio</t>
    </r>
    <r>
      <rPr>
        <sz val="11"/>
        <color theme="1"/>
        <rFont val="Calibri"/>
        <family val="2"/>
        <scheme val="minor"/>
      </rPr>
      <t>:</t>
    </r>
    <r>
      <rPr>
        <sz val="11"/>
        <color theme="1"/>
        <rFont val="Calibri"/>
        <family val="2"/>
        <scheme val="minor"/>
      </rPr>
      <t xml:space="preserve"> </t>
    </r>
    <r>
      <rPr>
        <sz val="11"/>
        <color theme="1"/>
        <rFont val="Calibri"/>
        <family val="2"/>
        <scheme val="minor"/>
      </rPr>
      <t>Aunque la herramienta extraiga la información estándar de cada producto, podrá modificar este campo con la información específica del programa de vacunación de su país.</t>
    </r>
  </si>
  <si>
    <t>Sitio web de UNICEF: tasas de tramitación</t>
  </si>
  <si>
    <t>Sitio web de UNICEF: precios</t>
  </si>
  <si>
    <r>
      <rPr>
        <sz val="11"/>
        <color theme="1"/>
        <rFont val="Symbol"/>
        <family val="1"/>
        <charset val="2"/>
      </rPr>
      <t>·</t>
    </r>
    <r>
      <rPr>
        <sz val="7"/>
        <color theme="1"/>
        <rFont val="Times New Roman"/>
        <family val="1"/>
      </rPr>
      <t> </t>
    </r>
    <r>
      <rPr>
        <i/>
        <sz val="11"/>
        <color theme="1"/>
        <rFont val="Calibri"/>
        <family val="2"/>
        <scheme val="minor"/>
      </rPr>
      <t>Precio por jeringa:</t>
    </r>
    <r>
      <rPr>
        <sz val="11"/>
        <color theme="1"/>
        <rFont val="Calibri"/>
        <family val="2"/>
        <scheme val="minor"/>
      </rPr>
      <t xml:space="preserve"> </t>
    </r>
    <r>
      <rPr>
        <sz val="11"/>
        <color theme="1"/>
        <rFont val="Calibri"/>
        <family val="2"/>
        <scheme val="minor"/>
      </rPr>
      <t>Introduzca el precio de las jeringas que se utilicen en las actividades de vacunación de tipo VNC.</t>
    </r>
    <r>
      <rPr>
        <sz val="11"/>
        <color theme="1"/>
        <rFont val="Calibri"/>
        <family val="2"/>
        <scheme val="minor"/>
      </rPr>
      <t xml:space="preserve"> </t>
    </r>
    <r>
      <rPr>
        <sz val="11"/>
        <color theme="1"/>
        <rFont val="Calibri"/>
        <family val="2"/>
        <scheme val="minor"/>
      </rPr>
      <t>En el sitio web de UNICEF se pueden consultar los precios estándar.</t>
    </r>
  </si>
  <si>
    <t xml:space="preserve">El resto de datos que se deben introducir en esta hoja están relacionados con los costos de los programas de vacunas. </t>
  </si>
  <si>
    <t>Costos del programa de vacunación</t>
  </si>
  <si>
    <t>Los costos del programa de vacunación incluyen el costo de la vacuna y los costos incrementales del sistema de salud. Los costos incrementales del sistema de salud hacen referencia a todos los gastos adicionales necesarios para administrar la vacuna, además del costo directo correspondiente a la adquisición de la misma y los productos básicos. Los costos incrementales del sistema de salud incluyen todos los gastos necesarios adicionales relacionados con los profesionales, las dietas y gastos de viaje, los equipos de cadena de frío, los vehículos, el transporte y combustible, la gestión del programa, la formación y el desarrollo de capacidades, la movilización social y promoción, la vigilancia de la enfermedad y las actividades relacionadas con los eventos adversos posteriores a la vacunación (EAPV), y la gestión de residuos. Se excluirá cualquier costo del sistema ya imputado al sistema de vacunación (costos compartidos). Por ejemplo, no se incluirá el costo del transporte de la vacuna VNC si forma parte del mismo transporte utilizado para otras vacunas. Solo deberá reflejarse cualquier viaje adicional que pueda ser necesario.</t>
  </si>
  <si>
    <t>Una vez ajustados los datos de cada opción de vacuna que desee comparar, podrá avanzar a la hoja de resultados.</t>
  </si>
  <si>
    <t>Hoja de resultados</t>
  </si>
  <si>
    <t>La hoja de resultados presenta la información de los costos por año, así como el total de los 10 años, para las dos perspectivas previamente descritas y por cada opción de vacuna indicada en la hoja de datos del modelo.</t>
  </si>
  <si>
    <t>Los resultados se muestran en tres subsecciones:</t>
  </si>
  <si>
    <t xml:space="preserve">Esta sección presenta los resultados en función del número de dosis administradas y del número de dosis necesarias para el programa de vacunación VNC. El número de dosis necesarias es igual al número de dosis administradas más el número de dosis desperdiciadas. Esta sección también calcula los requisitos anuales y decenales en función del volumen de la cadena de frío, teniendo en cuenta el volumen por dosis de la cadena de frío de cada vacuna multiplicado por el número total de dosis necesarias. Tenga en cuenta que el volumen total solo debe utilizarse a modo indicativo, ya que variará en función del número de envíos de vacunas por año y del sistema de distribución de vacunas del país. </t>
  </si>
  <si>
    <r>
      <rPr>
        <sz val="11"/>
        <color theme="1"/>
        <rFont val="Calibri"/>
        <family val="2"/>
        <scheme val="minor"/>
      </rPr>
      <t>Esta sección facilita los costos</t>
    </r>
    <r>
      <rPr>
        <sz val="11"/>
        <color rgb="FF000000"/>
        <rFont val="Calibri"/>
        <family val="2"/>
        <scheme val="minor"/>
      </rPr>
      <t xml:space="preserve"> únicamente</t>
    </r>
    <r>
      <rPr>
        <sz val="11"/>
        <color theme="1"/>
        <rFont val="Calibri"/>
        <family val="2"/>
        <scheme val="minor"/>
      </rPr>
      <t xml:space="preserve"> desde la perspectiva del país.</t>
    </r>
    <r>
      <rPr>
        <sz val="11"/>
        <color theme="1"/>
        <rFont val="Calibri"/>
        <family val="2"/>
        <scheme val="minor"/>
      </rPr>
      <t xml:space="preserve"> </t>
    </r>
    <r>
      <rPr>
        <sz val="11"/>
        <color theme="1"/>
        <rFont val="Calibri"/>
        <family val="2"/>
        <scheme val="minor"/>
      </rPr>
      <t>Los costos de la vacuna, correspondientes a la adquisición de la vacuna y de los productos básicos, se presentan por separado del costo total del programa de vacunación, que incluye tanto los costos de la vacuna como los costos incrementales del sistema de salud.</t>
    </r>
  </si>
  <si>
    <r>
      <rPr>
        <sz val="11"/>
        <color theme="1"/>
        <rFont val="Calibri"/>
        <family val="2"/>
        <scheme val="minor"/>
      </rPr>
      <t>Esta sección presenta los costos</t>
    </r>
    <r>
      <rPr>
        <sz val="11"/>
        <color rgb="FF000000"/>
        <rFont val="Calibri"/>
        <family val="2"/>
        <scheme val="minor"/>
      </rPr>
      <t xml:space="preserve"> tanto</t>
    </r>
    <r>
      <rPr>
        <sz val="11"/>
        <color theme="1"/>
        <rFont val="Calibri"/>
        <family val="2"/>
        <scheme val="minor"/>
      </rPr>
      <t xml:space="preserve"> desde la perspectiva del país como de Gavi (y solo es aplicable a los países elegibles para Gavi).</t>
    </r>
    <r>
      <rPr>
        <sz val="11"/>
        <color theme="1"/>
        <rFont val="Calibri"/>
        <family val="2"/>
        <scheme val="minor"/>
      </rPr>
      <t xml:space="preserve"> </t>
    </r>
    <r>
      <rPr>
        <sz val="11"/>
        <color theme="1"/>
        <rFont val="Calibri"/>
        <family val="2"/>
        <scheme val="minor"/>
      </rPr>
      <t>Las subcategorías son similares a las que figuran en la subsección de costos para el país.</t>
    </r>
  </si>
  <si>
    <t>Hoja de gráficos</t>
  </si>
  <si>
    <t>La hoja de gráficos ofrece una representación gráfica de los mismos resultados que se muestran en la hoja previa. Se presentan las mismas perspectivas y subcategorías. Una vez que finalice su primer análisis, si realiza cambios en la hoja de datos del modelo, las hojas de resultados y gráficos se actualizarán automáticamente para mostrar los nuevos resultados.</t>
  </si>
  <si>
    <t>Fórmulas de cálculo utilizadas en la herramienta de comparación de costos*</t>
  </si>
  <si>
    <r>
      <rPr>
        <u/>
        <sz val="11"/>
        <color theme="1"/>
        <rFont val="Calibri"/>
        <family val="2"/>
        <scheme val="minor"/>
      </rPr>
      <t>Número de dosis administradas</t>
    </r>
    <r>
      <rPr>
        <sz val="11"/>
        <color theme="1"/>
        <rFont val="Calibri"/>
        <family val="2"/>
        <scheme val="minor"/>
      </rPr>
      <t> = cohorte de nacimiento x cobertura Dosis 1 + cohorte de nacimiento x cobertura Dosis 2 + cohorte de nacimiento x cobertura Dosis 3</t>
    </r>
  </si>
  <si>
    <r>
      <rPr>
        <u/>
        <sz val="11"/>
        <color theme="1"/>
        <rFont val="Calibri"/>
        <family val="2"/>
        <scheme val="minor"/>
      </rPr>
      <t>Total de dosis necesarias</t>
    </r>
    <r>
      <rPr>
        <sz val="11"/>
        <color theme="1"/>
        <rFont val="Calibri"/>
        <family val="2"/>
        <scheme val="minor"/>
      </rPr>
      <t> = número de dosis administradas x factor de desperdicio</t>
    </r>
  </si>
  <si>
    <r>
      <rPr>
        <u/>
        <sz val="11"/>
        <color theme="1"/>
        <rFont val="Calibri"/>
        <family val="2"/>
        <scheme val="minor"/>
      </rPr>
      <t>Volumen total de la cadena de frío necesario</t>
    </r>
    <r>
      <rPr>
        <sz val="11"/>
        <color theme="1"/>
        <rFont val="Calibri"/>
        <family val="2"/>
        <scheme val="minor"/>
      </rPr>
      <t> = volumen de la cadena de frío por dosis en cm</t>
    </r>
    <r>
      <rPr>
        <vertAlign val="superscript"/>
        <sz val="11"/>
        <color theme="1"/>
        <rFont val="Calibri"/>
        <family val="2"/>
        <scheme val="minor"/>
      </rPr>
      <t>3</t>
    </r>
    <r>
      <rPr>
        <sz val="11"/>
        <color theme="1"/>
        <rFont val="Calibri"/>
        <family val="2"/>
        <scheme val="minor"/>
      </rPr>
      <t> x total de dosis necesarias</t>
    </r>
  </si>
  <si>
    <r>
      <rPr>
        <u/>
        <sz val="11"/>
        <color theme="1"/>
        <rFont val="Calibri"/>
        <family val="2"/>
        <scheme val="minor"/>
      </rPr>
      <t>Factor de desperdicio </t>
    </r>
    <r>
      <rPr>
        <sz val="11"/>
        <color theme="1"/>
        <rFont val="Calibri"/>
        <family val="2"/>
        <scheme val="minor"/>
      </rPr>
      <t>= (1 / (1 - tasa de desperdicio))</t>
    </r>
  </si>
  <si>
    <r>
      <rPr>
        <u/>
        <sz val="11"/>
        <color theme="1"/>
        <rFont val="Calibri"/>
        <family val="2"/>
        <scheme val="minor"/>
      </rPr>
      <t>Costo de la vacuna (costo para el país)</t>
    </r>
    <r>
      <rPr>
        <sz val="11"/>
        <color theme="1"/>
        <rFont val="Calibri"/>
        <family val="2"/>
        <scheme val="minor"/>
      </rPr>
      <t> = total de dosis necesarias x (cantidad de cofinanciamiento por dosis + cantidad de cofinanciamiento por dosis x tramitación internacional + cantidad de cofinanciamiento por dosis x transporte internacional) + (número de dosis administradas / volumen de caja de seguridad x precio por caja de seguridad) + (número de dosis administradas x precio por jeringa)</t>
    </r>
  </si>
  <si>
    <r>
      <rPr>
        <u/>
        <sz val="11"/>
        <color theme="1"/>
        <rFont val="Calibri"/>
        <family val="2"/>
        <scheme val="minor"/>
      </rPr>
      <t>Costo del programa de vacunación (costo para el país)</t>
    </r>
    <r>
      <rPr>
        <sz val="11"/>
        <color theme="1"/>
        <rFont val="Calibri"/>
        <family val="2"/>
        <scheme val="minor"/>
      </rPr>
      <t> = costo de la vacuna + número de dosis administradas x costo incremental de la administración por dosis + costos de introducción o de sustitución - VIG o SG (solo el Año 1)</t>
    </r>
  </si>
  <si>
    <r>
      <rPr>
        <u/>
        <sz val="11"/>
        <color theme="1"/>
        <rFont val="Calibri"/>
        <family val="2"/>
        <scheme val="minor"/>
      </rPr>
      <t>Costo de la vacuna (costo para el país + Gavi)</t>
    </r>
    <r>
      <rPr>
        <sz val="11"/>
        <color theme="1"/>
        <rFont val="Calibri"/>
        <family val="2"/>
        <scheme val="minor"/>
      </rPr>
      <t> = total de dosis necesarias x (precio de la vacuna por dosis + precio de la vacuna por dosis x tramitación internacional + precio de la vacuna por dosis x transporte internacional) + (número de dosis administradas / volumen de caja de seguridad x precio por caja de seguridad) + (número de dosis administradas x precio por jeringa)</t>
    </r>
  </si>
  <si>
    <r>
      <rPr>
        <u/>
        <sz val="11"/>
        <color theme="1"/>
        <rFont val="Calibri"/>
        <family val="2"/>
        <scheme val="minor"/>
      </rPr>
      <t>Costo del programa de vacunación (costo para el país + Gavi)</t>
    </r>
    <r>
      <rPr>
        <sz val="11"/>
        <color theme="1"/>
        <rFont val="Calibri"/>
        <family val="2"/>
        <scheme val="minor"/>
      </rPr>
      <t> = costo de la vacuna + número de dosis administradas x costo incremental de la administración por dosis + costos de introducción o de sustitución (solo el Año 1)</t>
    </r>
  </si>
  <si>
    <t xml:space="preserve">* x = multiplicación </t>
  </si>
  <si>
    <t>Versión 1.5 / 9 de setiembre de 2020</t>
  </si>
  <si>
    <t>Calculadora de costos de la vacuna neumocócica conjugada</t>
  </si>
  <si>
    <r>
      <rPr>
        <sz val="10"/>
        <color theme="1"/>
        <rFont val="Calibri"/>
        <family val="2"/>
        <scheme val="minor"/>
      </rPr>
      <t>Si tiene dudas o necesita asistencia, póngase en contacto con el equipo de Health Economics and Outcomes Research de PATH:</t>
    </r>
    <r>
      <rPr>
        <sz val="10"/>
        <color theme="1"/>
        <rFont val="Calibri"/>
        <family val="2"/>
        <scheme val="minor"/>
      </rPr>
      <t xml:space="preserve"> </t>
    </r>
    <r>
      <rPr>
        <u/>
        <sz val="10"/>
        <color theme="1"/>
        <rFont val="Calibri"/>
        <family val="2"/>
        <scheme val="minor"/>
      </rPr>
      <t>HEOR@path.org</t>
    </r>
  </si>
  <si>
    <t>Una herramienta sencilla para evaluar y comparar los costos de los programas de vacunación con vacunas neumocócicas conjugadas con todos los productos de VNC disponibles en el mercado mundial</t>
  </si>
  <si>
    <t>La calculadora de costos de la vacuna neumocócica conjugada es una herramienta para ayudar a los países a comparar productos y los costos estimados de los programas de vacunación con diferentes vacunas VNC. Para ello, puede analizar hasta seis opciones de vacunas al mismo tiempo. Los costos se calculan anualmente y para un periodo total de 10 años. El usuario debe introducir datos en todos los recuadros con un fondo amarillo. Si se dispone de ellos, los datos predeterminados ya aparecerán completados, junto con la fuente de la información. Tenga en cuenta que los datos predeterminados son para los países actualmente elegibles para Gavi. Los países que no son elegibles para recibir los fondos de Gavi deberán confirmar todos los datos introducidos de forma individual. La herramienta genera costos proyectados en función de la mejor información disponible para cada vacuna. Todos los datos de los costos se presentan en US$. Si se desea utilizar la moneda local, la conversión de la divisa se deberá realizar de forma independiente antes de introducir los valores en los campos correspondientes.</t>
  </si>
  <si>
    <r>
      <rPr>
        <b/>
        <sz val="16"/>
        <color rgb="FFFF0000"/>
        <rFont val="Calibri"/>
        <family val="2"/>
        <scheme val="minor"/>
      </rPr>
      <t>PASO 2</t>
    </r>
    <r>
      <rPr>
        <b/>
        <sz val="16"/>
        <color theme="1"/>
        <rFont val="Calibri"/>
        <family val="2"/>
        <scheme val="minor"/>
      </rPr>
      <t>:</t>
    </r>
    <r>
      <rPr>
        <b/>
        <sz val="16"/>
        <color theme="1"/>
        <rFont val="Calibri"/>
        <family val="2"/>
        <scheme val="minor"/>
      </rPr>
      <t xml:space="preserve"> </t>
    </r>
    <r>
      <rPr>
        <b/>
        <sz val="16"/>
        <color theme="1"/>
        <rFont val="Calibri"/>
        <family val="2"/>
        <scheme val="minor"/>
      </rPr>
      <t>COFINANCIAMIENTO Y AYUDA FINANCIERA</t>
    </r>
  </si>
  <si>
    <t>Fase de transición de Gavi: seleccione la opción que corresponda en el menú desplegable de la derecha</t>
  </si>
  <si>
    <t>Otra fase de transición</t>
  </si>
  <si>
    <r>
      <rPr>
        <b/>
        <i/>
        <sz val="10"/>
        <color theme="1"/>
        <rFont val="Calibri"/>
        <family val="2"/>
        <scheme val="minor"/>
      </rPr>
      <t xml:space="preserve">Cálculo de la subvención para la introducción de vacunas de Gavi (VIG)
</t>
    </r>
    <r>
      <rPr>
        <i/>
        <sz val="10"/>
        <color theme="1"/>
        <rFont val="Calibri"/>
        <family val="2"/>
        <scheme val="minor"/>
      </rPr>
      <t>El cálculo de la VIG depende de la fase de transición de Gavi del país:</t>
    </r>
    <r>
      <rPr>
        <i/>
        <sz val="10"/>
        <color theme="1"/>
        <rFont val="Calibri"/>
        <family val="2"/>
        <scheme val="minor"/>
      </rPr>
      <t xml:space="preserve">
</t>
    </r>
    <r>
      <rPr>
        <i/>
        <u/>
        <sz val="10"/>
        <color theme="1"/>
        <rFont val="Calibri"/>
        <family val="2"/>
        <scheme val="minor"/>
      </rPr>
      <t>Países en fase inicial de autofinanciamiento</t>
    </r>
    <r>
      <rPr>
        <i/>
        <sz val="10"/>
        <color theme="1"/>
        <rFont val="Calibri"/>
        <family val="2"/>
        <scheme val="minor"/>
      </rPr>
      <t>:</t>
    </r>
    <r>
      <rPr>
        <i/>
        <sz val="10"/>
        <color theme="1"/>
        <rFont val="Calibri"/>
        <family val="2"/>
        <scheme val="minor"/>
      </rPr>
      <t xml:space="preserve"> </t>
    </r>
    <r>
      <rPr>
        <i/>
        <sz val="10"/>
        <color theme="1"/>
        <rFont val="Calibri"/>
        <family val="2"/>
        <scheme val="minor"/>
      </rPr>
      <t>US$0.80 por lactante en la cohorte de nacimiento* en el año de introducción, o una suma fija de US$100,000, la cifra que sea mayor.</t>
    </r>
    <r>
      <rPr>
        <i/>
        <sz val="10"/>
        <color theme="1"/>
        <rFont val="Calibri"/>
        <family val="2"/>
        <scheme val="minor"/>
      </rPr>
      <t xml:space="preserve"> 
</t>
    </r>
    <r>
      <rPr>
        <i/>
        <u/>
        <sz val="10"/>
        <color theme="1"/>
        <rFont val="Calibri"/>
        <family val="2"/>
        <scheme val="minor"/>
      </rPr>
      <t>Países en fase de transición preparatoria</t>
    </r>
    <r>
      <rPr>
        <i/>
        <sz val="10"/>
        <color theme="1"/>
        <rFont val="Calibri"/>
        <family val="2"/>
        <scheme val="minor"/>
      </rPr>
      <t>:</t>
    </r>
    <r>
      <rPr>
        <i/>
        <sz val="10"/>
        <color theme="1"/>
        <rFont val="Calibri"/>
        <family val="2"/>
        <scheme val="minor"/>
      </rPr>
      <t xml:space="preserve"> </t>
    </r>
    <r>
      <rPr>
        <i/>
        <sz val="10"/>
        <color theme="1"/>
        <rFont val="Calibri"/>
        <family val="2"/>
        <scheme val="minor"/>
      </rPr>
      <t>US$0.70 por lactante en la cohorte de nacimiento* en el año de introducción, o una suma fija de US$100,000, la cifra que sea mayor.</t>
    </r>
    <r>
      <rPr>
        <i/>
        <sz val="10"/>
        <color theme="1"/>
        <rFont val="Calibri"/>
        <family val="2"/>
        <scheme val="minor"/>
      </rPr>
      <t xml:space="preserve">
</t>
    </r>
    <r>
      <rPr>
        <i/>
        <u/>
        <sz val="10"/>
        <color theme="1"/>
        <rFont val="Calibri"/>
        <family val="2"/>
        <scheme val="minor"/>
      </rPr>
      <t>Países en fase de transición acelerada</t>
    </r>
    <r>
      <rPr>
        <i/>
        <sz val="10"/>
        <color theme="1"/>
        <rFont val="Calibri"/>
        <family val="2"/>
        <scheme val="minor"/>
      </rPr>
      <t>:</t>
    </r>
    <r>
      <rPr>
        <i/>
        <sz val="10"/>
        <color theme="1"/>
        <rFont val="Calibri"/>
        <family val="2"/>
        <scheme val="minor"/>
      </rPr>
      <t xml:space="preserve"> </t>
    </r>
    <r>
      <rPr>
        <i/>
        <sz val="10"/>
        <color theme="1"/>
        <rFont val="Calibri"/>
        <family val="2"/>
        <scheme val="minor"/>
      </rPr>
      <t>US$0.60 por lactante en la cohorte de nacimiento* en el año de introducción, o una suma fija de US$100,000, la cifra que sea mayor.</t>
    </r>
    <r>
      <rPr>
        <i/>
        <sz val="10"/>
        <color theme="1"/>
        <rFont val="Calibri"/>
        <family val="2"/>
        <scheme val="minor"/>
      </rPr>
      <t xml:space="preserve"> 
</t>
    </r>
    <r>
      <rPr>
        <b/>
        <i/>
        <sz val="10"/>
        <color theme="1"/>
        <rFont val="Calibri"/>
        <family val="2"/>
        <scheme val="minor"/>
      </rPr>
      <t xml:space="preserve">Cálculo </t>
    </r>
    <r>
      <rPr>
        <b/>
        <i/>
        <sz val="10"/>
        <color rgb="FF000000"/>
        <rFont val="Calibri"/>
        <family val="2"/>
        <scheme val="minor"/>
      </rPr>
      <t xml:space="preserve">de la subvención para el cambio de productos (SG) </t>
    </r>
    <r>
      <rPr>
        <b/>
        <i/>
        <sz val="10"/>
        <color theme="1"/>
        <rFont val="Calibri"/>
        <family val="2"/>
        <scheme val="minor"/>
      </rPr>
      <t>de Gavi</t>
    </r>
    <r>
      <rPr>
        <i/>
        <sz val="10"/>
        <color theme="1"/>
        <rFont val="Calibri"/>
        <family val="2"/>
        <scheme val="minor"/>
      </rPr>
      <t xml:space="preserve">
El cálculo de la SG es igual para todos los países y corresponde hasta US$0.25 por lactante en la cohorte de nacimiento*.</t>
    </r>
    <r>
      <rPr>
        <i/>
        <sz val="10"/>
        <color theme="1"/>
        <rFont val="Calibri"/>
        <family val="2"/>
        <scheme val="minor"/>
      </rPr>
      <t xml:space="preserve">
</t>
    </r>
    <r>
      <rPr>
        <i/>
        <sz val="10"/>
        <color theme="1"/>
        <rFont val="Calibri"/>
        <family val="2"/>
        <scheme val="minor"/>
      </rPr>
      <t>*Cohorte de nacimiento = nacidos vivos en el año de introducción</t>
    </r>
    <r>
      <rPr>
        <i/>
        <sz val="10"/>
        <color theme="1"/>
        <rFont val="Calibri"/>
        <family val="2"/>
        <scheme val="minor"/>
      </rPr>
      <t xml:space="preserve">
</t>
    </r>
  </si>
  <si>
    <r>
      <rPr>
        <b/>
        <sz val="12"/>
        <color theme="1"/>
        <rFont val="Calibri"/>
        <family val="2"/>
        <scheme val="minor"/>
      </rPr>
      <t>Cuota de cofinanciamiento</t>
    </r>
    <r>
      <rPr>
        <b/>
        <sz val="12"/>
        <color theme="1"/>
        <rFont val="Calibri"/>
        <family val="2"/>
        <scheme val="minor"/>
      </rPr>
      <t xml:space="preserve"> del país</t>
    </r>
    <r>
      <rPr>
        <b/>
        <sz val="12"/>
        <color theme="1"/>
        <rFont val="Calibri"/>
        <family val="2"/>
        <scheme val="minor"/>
      </rPr>
      <t xml:space="preserve"> </t>
    </r>
  </si>
  <si>
    <t xml:space="preserve">
&gt;&gt;&gt;&gt;&gt;&gt;&gt;&gt;  COMENZAR AQUÍ  &gt;&gt;&gt;&gt;&gt;&gt;&gt;</t>
  </si>
  <si>
    <r>
      <rPr>
        <b/>
        <sz val="16"/>
        <color rgb="FFFF0000"/>
        <rFont val="Calibri"/>
        <family val="2"/>
        <scheme val="minor"/>
      </rPr>
      <t>PASO 1</t>
    </r>
    <r>
      <rPr>
        <b/>
        <sz val="16"/>
        <color theme="1"/>
        <rFont val="Calibri"/>
        <family val="2"/>
        <scheme val="minor"/>
      </rPr>
      <t>:</t>
    </r>
    <r>
      <rPr>
        <b/>
        <sz val="16"/>
        <color theme="1"/>
        <rFont val="Calibri"/>
        <family val="2"/>
        <scheme val="minor"/>
      </rPr>
      <t xml:space="preserve"> </t>
    </r>
    <r>
      <rPr>
        <b/>
        <sz val="16"/>
        <color theme="1"/>
        <rFont val="Calibri"/>
        <family val="2"/>
        <scheme val="minor"/>
      </rPr>
      <t>PROGRAMA DE VACUNACIÓN</t>
    </r>
  </si>
  <si>
    <t>Año inicial</t>
  </si>
  <si>
    <t>Población destinataria</t>
  </si>
  <si>
    <t>niños por año</t>
  </si>
  <si>
    <t>Índice anual de crecimiento de la población</t>
  </si>
  <si>
    <t>%</t>
  </si>
  <si>
    <t>Cobertura prevista de la dosis 1</t>
  </si>
  <si>
    <t>cobertura anual</t>
  </si>
  <si>
    <t>Cobertura prevista de la dosis 2</t>
  </si>
  <si>
    <t>Cobertura prevista de la dosis 3</t>
  </si>
  <si>
    <t>Subvención para la introducción de vacunas (VIG) o subvención para el cambio de productos (SG) de Gavi</t>
  </si>
  <si>
    <t>La VIG y la SG son subsidios puntuales que facilita Gavi para cubrir una parte de los costos relacionados con la introducción o el cambio a una nueva vacuna. Consulte las recomendaciones para realizar los cálculos en el cuadro lateral</t>
  </si>
  <si>
    <r>
      <rPr>
        <b/>
        <sz val="16"/>
        <color rgb="FFFF0000"/>
        <rFont val="Calibri"/>
        <family val="2"/>
        <scheme val="minor"/>
      </rPr>
      <t>PASO 3</t>
    </r>
    <r>
      <rPr>
        <b/>
        <sz val="16"/>
        <color theme="1"/>
        <rFont val="Calibri"/>
        <family val="2"/>
        <scheme val="minor"/>
      </rPr>
      <t>:</t>
    </r>
    <r>
      <rPr>
        <b/>
        <sz val="16"/>
        <color theme="1"/>
        <rFont val="Calibri"/>
        <family val="2"/>
        <scheme val="minor"/>
      </rPr>
      <t xml:space="preserve"> </t>
    </r>
    <r>
      <rPr>
        <b/>
        <sz val="16"/>
        <color theme="1"/>
        <rFont val="Calibri"/>
        <family val="2"/>
        <scheme val="minor"/>
      </rPr>
      <t>OPCIONES DE VACUNAS VNC</t>
    </r>
    <r>
      <rPr>
        <b/>
        <sz val="16"/>
        <color theme="1"/>
        <rFont val="Calibri"/>
        <family val="2"/>
        <scheme val="minor"/>
      </rPr>
      <t xml:space="preserve">                                                                               </t>
    </r>
  </si>
  <si>
    <t>OPCIONES ADICIONALES</t>
  </si>
  <si>
    <t>Para consultar los perfiles detallados de los productos de vacunas, visite:</t>
  </si>
  <si>
    <t>Para más información sobre los precios de vacunas fuera de Gavi:</t>
  </si>
  <si>
    <t>COSTO DE LA VACUNA</t>
  </si>
  <si>
    <t>OPCIÓN 1</t>
  </si>
  <si>
    <t>OPCIÓN 2</t>
  </si>
  <si>
    <t>OPCIÓN 3</t>
  </si>
  <si>
    <t>OPCIÓN 4</t>
  </si>
  <si>
    <t>OPCIÓN 5</t>
  </si>
  <si>
    <t>OPCIÓN 6</t>
  </si>
  <si>
    <t>Seleccionar vacuna y presentación &gt;&gt;&gt;</t>
  </si>
  <si>
    <t>Synflorix, decavalente, 4 dosis/frasco líquido</t>
  </si>
  <si>
    <t>PNEUMOSIL, decavalente, 5 dosis/frasco líquido</t>
  </si>
  <si>
    <t>PNEUMOSIL, decavalente, 1 dosis/frasco líquido</t>
  </si>
  <si>
    <t>Prevenar 13, tridecavalente, 1 dosis/frasco líquido</t>
  </si>
  <si>
    <t>Prevenar 13, tridecavalente, 4 dosis/frasco líquido</t>
  </si>
  <si>
    <t>Synflorix, decavalente, 1 dosis/frasco líquido</t>
  </si>
  <si>
    <t>Precio por dosis</t>
  </si>
  <si>
    <t>Comentarios</t>
  </si>
  <si>
    <t>Cantidad de cofinanciamiento por dosis</t>
  </si>
  <si>
    <t>-</t>
  </si>
  <si>
    <t>Número de dosis en el esquema</t>
  </si>
  <si>
    <r>
      <rPr>
        <b/>
        <sz val="12"/>
        <color theme="1"/>
        <rFont val="Calibri"/>
        <family val="2"/>
        <scheme val="minor"/>
      </rPr>
      <t>Volumen de la cadena de frío por dosis (en cm</t>
    </r>
    <r>
      <rPr>
        <b/>
        <vertAlign val="superscript"/>
        <sz val="12"/>
        <color theme="1"/>
        <rFont val="Calibri"/>
        <family val="2"/>
        <scheme val="minor"/>
      </rPr>
      <t>3</t>
    </r>
    <r>
      <rPr>
        <b/>
        <sz val="12"/>
        <color theme="1"/>
        <rFont val="Calibri"/>
        <family val="2"/>
        <scheme val="minor"/>
      </rPr>
      <t>)</t>
    </r>
  </si>
  <si>
    <t>Tasa de desperdicio</t>
  </si>
  <si>
    <t>Según los perfiles de productos detallados de Gavi, se calcula que la tasa de desperdicio de esta presentación es de unos</t>
  </si>
  <si>
    <t>Factor de desperdicio</t>
  </si>
  <si>
    <t>Tramitación internacional</t>
  </si>
  <si>
    <t>como porcentaje del precio de la vacuna</t>
  </si>
  <si>
    <t>Transporte internacional</t>
  </si>
  <si>
    <t>Precio de caja de seguridad</t>
  </si>
  <si>
    <t>predeterminado por UNICEF</t>
  </si>
  <si>
    <t>Volumen de caja de seguridad</t>
  </si>
  <si>
    <t>N.º de dosis por caja/bolsa de seguridad</t>
  </si>
  <si>
    <t>Precio por jeringa</t>
  </si>
  <si>
    <t>COSTOS DEL PROGRAMA DE VACUNACIÓN</t>
  </si>
  <si>
    <t>Costos puntuales de introducción o de sustitución</t>
  </si>
  <si>
    <t>suma fija o presupuesto en el primer año</t>
  </si>
  <si>
    <t>Costo incremental de la administración por dosis</t>
  </si>
  <si>
    <t xml:space="preserve">US$ por dosis administrada;
posible fuente de datos: el catálogo de costos de administración de las vacunas cuyo enlace se encuentra a continuación </t>
  </si>
  <si>
    <t>IDCC</t>
  </si>
  <si>
    <t>RESULTADOS</t>
  </si>
  <si>
    <t>RESULTADOS PARA OPCIONES ADICIONALES</t>
  </si>
  <si>
    <t>PROGRAMA DE VACUNACIÓN</t>
  </si>
  <si>
    <t>Número de dosis administradas</t>
  </si>
  <si>
    <t>Total
para 10 años</t>
  </si>
  <si>
    <r>
      <rPr>
        <b/>
        <sz val="12"/>
        <color theme="1"/>
        <rFont val="Calibri"/>
        <family val="2"/>
        <scheme val="minor"/>
      </rPr>
      <t xml:space="preserve">Total de dosis necesarias
</t>
    </r>
    <r>
      <rPr>
        <i/>
        <sz val="10"/>
        <color theme="1"/>
        <rFont val="Calibri"/>
        <family val="2"/>
        <scheme val="minor"/>
      </rPr>
      <t>incluye las dosis desperdiciadas</t>
    </r>
  </si>
  <si>
    <r>
      <rPr>
        <b/>
        <sz val="12"/>
        <color theme="1"/>
        <rFont val="Calibri"/>
        <family val="2"/>
        <scheme val="minor"/>
      </rPr>
      <t>Volumen total de la cadena de frío necesario*
en cm</t>
    </r>
    <r>
      <rPr>
        <b/>
        <vertAlign val="superscript"/>
        <sz val="12"/>
        <color theme="1"/>
        <rFont val="Calibri"/>
        <family val="2"/>
        <scheme val="minor"/>
      </rPr>
      <t>3</t>
    </r>
  </si>
  <si>
    <t>*El volumen total de la cadena de frío necesario se aporta como indicación del volumen de un año completo de suministro de vacunas. Deben considerarse el número de envíos de vacunas recibidos por año, así como los sistemas de almacenamiento y distribución a nivel provincial/regional y de distritos, al calcular el espacio de cadena de frío necesario.</t>
  </si>
  <si>
    <t>COSTO PARA EL PAÍS</t>
  </si>
  <si>
    <r>
      <rPr>
        <b/>
        <sz val="12"/>
        <color theme="1"/>
        <rFont val="Calibri"/>
        <family val="2"/>
        <scheme val="minor"/>
      </rPr>
      <t xml:space="preserve">Costo de la vacuna
</t>
    </r>
    <r>
      <rPr>
        <i/>
        <sz val="10"/>
        <color theme="1"/>
        <rFont val="Calibri"/>
        <family val="2"/>
        <scheme val="minor"/>
      </rPr>
      <t>Costo de la adquisición de las vacunas y de los suministros</t>
    </r>
  </si>
  <si>
    <r>
      <rPr>
        <b/>
        <sz val="12"/>
        <color theme="1"/>
        <rFont val="Calibri"/>
        <family val="2"/>
        <scheme val="minor"/>
      </rPr>
      <t xml:space="preserve">Costo del programa de vacunación
</t>
    </r>
    <r>
      <rPr>
        <i/>
        <sz val="10"/>
        <color theme="1"/>
        <rFont val="Calibri"/>
        <family val="2"/>
        <scheme val="minor"/>
      </rPr>
      <t>Costo de la vacuna + costos incrementales del sistema de salud</t>
    </r>
  </si>
  <si>
    <t>COSTO PARA EL PAÍS + GAVI</t>
  </si>
  <si>
    <t>Resumen de resultados para 10 años</t>
  </si>
  <si>
    <t>Resultados anuales</t>
  </si>
  <si>
    <t>Tenga en cuenta que las cifras de las escalas de los ejes verticales son diferentes</t>
  </si>
  <si>
    <t>Vacuna y presentación</t>
  </si>
  <si>
    <t>Dosis en el esquema</t>
  </si>
  <si>
    <t>Desperdicio</t>
  </si>
  <si>
    <t>Volumen de la cadena de frío (cm3) por dosis</t>
  </si>
  <si>
    <t>?</t>
  </si>
  <si>
    <t>Fase de transición de Gavi</t>
  </si>
  <si>
    <t>Fase inicial de autofinanciamiento</t>
  </si>
  <si>
    <t>ON THE                              MENU</t>
  </si>
  <si>
    <t>OTHER PREQUALIFIED VACCINES NOT ON THE GAVI MENU</t>
  </si>
  <si>
    <t>The vaccines listed below are not offered by Gavi and are not listed in the country application portal.   The vaccines listed in this section are provided for information only.   The DPPs will be updated on a fixed schedule (approximately every 6 months) or with more frequency if required.</t>
  </si>
  <si>
    <t xml:space="preserve">The vaccines listed below are currently offered by Gavi and listed in the country application portal.   
</t>
  </si>
  <si>
    <r>
      <t>Vaccine group</t>
    </r>
    <r>
      <rPr>
        <vertAlign val="superscript"/>
        <sz val="14"/>
        <color indexed="8"/>
        <rFont val="Calibri"/>
        <family val="2"/>
      </rPr>
      <t xml:space="preserve">1 </t>
    </r>
  </si>
  <si>
    <t>Pneumococcal conjugate vaccine (PCV)</t>
  </si>
  <si>
    <r>
      <t>Vaccine type</t>
    </r>
    <r>
      <rPr>
        <vertAlign val="superscript"/>
        <sz val="14"/>
        <color indexed="8"/>
        <rFont val="Calibri"/>
        <family val="2"/>
      </rPr>
      <t xml:space="preserve">1 </t>
    </r>
  </si>
  <si>
    <t>Pneumococcal conjugate vaccine, 10 valent</t>
  </si>
  <si>
    <t xml:space="preserve">Pneumococcal conjugate vaccine, 13 valent </t>
  </si>
  <si>
    <r>
      <t>Serotypes</t>
    </r>
    <r>
      <rPr>
        <vertAlign val="superscript"/>
        <sz val="14"/>
        <color indexed="8"/>
        <rFont val="Calibri"/>
        <family val="2"/>
      </rPr>
      <t>1</t>
    </r>
  </si>
  <si>
    <t>1, 4, 5, 6B, 7F, 9V, 14, 18C, 19F and 23F</t>
  </si>
  <si>
    <t>1, 5, 6A, 6B, 7F, 9V, 14, 19A, 19F, 23F</t>
  </si>
  <si>
    <t xml:space="preserve">1, 3, 4, 5, 6A, 6B, 7F, 9V, 14, 18C, 19A, 19F, 23F </t>
  </si>
  <si>
    <r>
      <t>Manufacturer</t>
    </r>
    <r>
      <rPr>
        <b/>
        <vertAlign val="superscript"/>
        <sz val="14"/>
        <color indexed="8"/>
        <rFont val="Calibri"/>
        <family val="2"/>
      </rPr>
      <t>1</t>
    </r>
  </si>
  <si>
    <t>GlaxoSmithKline</t>
  </si>
  <si>
    <t>Serum Institute of India Ltd.</t>
  </si>
  <si>
    <t>Pfizer</t>
  </si>
  <si>
    <r>
      <t>Vaccine trade name</t>
    </r>
    <r>
      <rPr>
        <b/>
        <vertAlign val="superscript"/>
        <sz val="14"/>
        <color indexed="8"/>
        <rFont val="Calibri"/>
        <family val="2"/>
      </rPr>
      <t>1</t>
    </r>
  </si>
  <si>
    <t>Synflorix</t>
  </si>
  <si>
    <t>Pneumosil</t>
  </si>
  <si>
    <t>Prevenar 13</t>
  </si>
  <si>
    <r>
      <t>Country of manufacture</t>
    </r>
    <r>
      <rPr>
        <vertAlign val="superscript"/>
        <sz val="14"/>
        <color indexed="8"/>
        <rFont val="Calibri"/>
        <family val="2"/>
      </rPr>
      <t>1</t>
    </r>
  </si>
  <si>
    <t>Belgium</t>
  </si>
  <si>
    <t>India</t>
  </si>
  <si>
    <t>UK</t>
  </si>
  <si>
    <r>
      <t>National regulatory agency</t>
    </r>
    <r>
      <rPr>
        <vertAlign val="superscript"/>
        <sz val="14"/>
        <color indexed="8"/>
        <rFont val="Calibri"/>
        <family val="2"/>
      </rPr>
      <t>1</t>
    </r>
  </si>
  <si>
    <t>European Medicines Agency (EMA)</t>
  </si>
  <si>
    <t>DCGI (India)</t>
  </si>
  <si>
    <r>
      <t>Presentation (doses per container, primary container type, pharmaceutical form)</t>
    </r>
    <r>
      <rPr>
        <b/>
        <vertAlign val="superscript"/>
        <sz val="14"/>
        <color indexed="8"/>
        <rFont val="Calibri"/>
        <family val="2"/>
      </rPr>
      <t>1</t>
    </r>
  </si>
  <si>
    <t>PCV10, 2 doses/vial, liquid****</t>
  </si>
  <si>
    <t>PCV10, 4 doses/vial, liquid</t>
  </si>
  <si>
    <t>PCV10, 5 doses/vial, liquid</t>
  </si>
  <si>
    <t>PCV13, 1 dose/vial, liquid</t>
  </si>
  <si>
    <t>PCV13, 4 doses/vial, liquid</t>
  </si>
  <si>
    <t>1 dose vial, liquid</t>
  </si>
  <si>
    <r>
      <t>Product availability 2020</t>
    </r>
    <r>
      <rPr>
        <vertAlign val="superscript"/>
        <sz val="14"/>
        <color indexed="8"/>
        <rFont val="Calibri"/>
        <family val="2"/>
      </rPr>
      <t>2</t>
    </r>
  </si>
  <si>
    <t>not available</t>
  </si>
  <si>
    <t>needs planning</t>
  </si>
  <si>
    <t>TBD</t>
  </si>
  <si>
    <t>n/a</t>
  </si>
  <si>
    <t>Routine and/or campaign</t>
  </si>
  <si>
    <t>routine</t>
  </si>
  <si>
    <r>
      <t>WHO recommended vaccine schedule</t>
    </r>
    <r>
      <rPr>
        <vertAlign val="superscript"/>
        <sz val="14"/>
        <color indexed="8"/>
        <rFont val="Calibri"/>
        <family val="2"/>
      </rPr>
      <t>3</t>
    </r>
  </si>
  <si>
    <t>3  doses</t>
  </si>
  <si>
    <t>3 doses</t>
  </si>
  <si>
    <r>
      <t>2020 price per dose (USD)</t>
    </r>
    <r>
      <rPr>
        <vertAlign val="superscript"/>
        <sz val="14"/>
        <color indexed="8"/>
        <rFont val="Calibri"/>
        <family val="2"/>
      </rPr>
      <t>4</t>
    </r>
  </si>
  <si>
    <t>Doses per fully immunised person</t>
  </si>
  <si>
    <r>
      <t xml:space="preserve">2020 price per fully immunised person (USD) </t>
    </r>
    <r>
      <rPr>
        <vertAlign val="superscript"/>
        <sz val="14"/>
        <color indexed="8"/>
        <rFont val="Calibri"/>
        <family val="2"/>
      </rPr>
      <t>4</t>
    </r>
  </si>
  <si>
    <r>
      <t>Indicative wastage rate</t>
    </r>
    <r>
      <rPr>
        <vertAlign val="superscript"/>
        <sz val="14"/>
        <color indexed="8"/>
        <rFont val="Calibri"/>
        <family val="2"/>
      </rPr>
      <t>5</t>
    </r>
  </si>
  <si>
    <r>
      <t>Country specific actual wastage rate (</t>
    </r>
    <r>
      <rPr>
        <b/>
        <sz val="14"/>
        <color indexed="8"/>
        <rFont val="Calibri"/>
        <family val="2"/>
      </rPr>
      <t>input required</t>
    </r>
    <r>
      <rPr>
        <sz val="14"/>
        <color indexed="8"/>
        <rFont val="Calibri"/>
        <family val="2"/>
      </rPr>
      <t>)</t>
    </r>
    <r>
      <rPr>
        <vertAlign val="superscript"/>
        <sz val="14"/>
        <color indexed="8"/>
        <rFont val="Calibri"/>
        <family val="2"/>
      </rPr>
      <t>4</t>
    </r>
  </si>
  <si>
    <r>
      <t>2020 wastage adjusted price per fully immunised person (USD)</t>
    </r>
    <r>
      <rPr>
        <vertAlign val="superscript"/>
        <sz val="14"/>
        <color indexed="8"/>
        <rFont val="Calibri"/>
        <family val="2"/>
      </rPr>
      <t>4</t>
    </r>
  </si>
  <si>
    <r>
      <t>WHO PQ-date</t>
    </r>
    <r>
      <rPr>
        <vertAlign val="superscript"/>
        <sz val="14"/>
        <color indexed="8"/>
        <rFont val="Calibri"/>
        <family val="2"/>
      </rPr>
      <t>1</t>
    </r>
  </si>
  <si>
    <t>Prequalification expected in Q1 2020</t>
  </si>
  <si>
    <r>
      <t>Administration</t>
    </r>
    <r>
      <rPr>
        <vertAlign val="superscript"/>
        <sz val="14"/>
        <color indexed="8"/>
        <rFont val="Calibri"/>
        <family val="2"/>
      </rPr>
      <t>1</t>
    </r>
  </si>
  <si>
    <t>intramuscular</t>
  </si>
  <si>
    <r>
      <t>Secondary packaging</t>
    </r>
    <r>
      <rPr>
        <vertAlign val="superscript"/>
        <sz val="14"/>
        <color indexed="8"/>
        <rFont val="Calibri"/>
        <family val="2"/>
      </rPr>
      <t>1</t>
    </r>
  </si>
  <si>
    <t>carton of 100 vials</t>
  </si>
  <si>
    <t>carton of 300 vials</t>
  </si>
  <si>
    <r>
      <rPr>
        <sz val="14"/>
        <color indexed="55"/>
        <rFont val="Calibri"/>
        <family val="2"/>
      </rPr>
      <t>carton of 25 vials</t>
    </r>
    <r>
      <rPr>
        <sz val="14"/>
        <color indexed="8"/>
        <rFont val="Calibri"/>
        <family val="2"/>
      </rPr>
      <t xml:space="preserve">
carton of 50 vials *</t>
    </r>
  </si>
  <si>
    <r>
      <rPr>
        <sz val="14"/>
        <color indexed="55"/>
        <rFont val="Calibri"/>
        <family val="2"/>
      </rPr>
      <t>carton of 25 vials</t>
    </r>
    <r>
      <rPr>
        <sz val="14"/>
        <color indexed="8"/>
        <rFont val="Calibri"/>
        <family val="2"/>
      </rPr>
      <t xml:space="preserve">
</t>
    </r>
    <r>
      <rPr>
        <sz val="14"/>
        <rFont val="Calibri"/>
        <family val="2"/>
      </rPr>
      <t>carton of 50 vials</t>
    </r>
    <r>
      <rPr>
        <sz val="14"/>
        <color indexed="55"/>
        <rFont val="Calibri"/>
        <family val="2"/>
      </rPr>
      <t xml:space="preserve"> *</t>
    </r>
  </si>
  <si>
    <t>carton of 1 vial
carton of 10 vials
carton of 100 vials</t>
  </si>
  <si>
    <r>
      <t>Shelf-life</t>
    </r>
    <r>
      <rPr>
        <vertAlign val="superscript"/>
        <sz val="14"/>
        <color indexed="8"/>
        <rFont val="Calibri"/>
        <family val="2"/>
      </rPr>
      <t>1</t>
    </r>
  </si>
  <si>
    <t>48 months at 2 - 8 °C</t>
  </si>
  <si>
    <t>36 months at 2 - 8 °C</t>
  </si>
  <si>
    <t>36 months at  2 - 8 °C</t>
  </si>
  <si>
    <r>
      <t>Cold chain volume per dose (cm</t>
    </r>
    <r>
      <rPr>
        <vertAlign val="superscript"/>
        <sz val="14"/>
        <color indexed="8"/>
        <rFont val="Calibri"/>
        <family val="2"/>
      </rPr>
      <t>3</t>
    </r>
    <r>
      <rPr>
        <sz val="14"/>
        <color indexed="8"/>
        <rFont val="Calibri"/>
        <family val="2"/>
      </rPr>
      <t>)</t>
    </r>
    <r>
      <rPr>
        <vertAlign val="superscript"/>
        <sz val="14"/>
        <color indexed="8"/>
        <rFont val="Calibri"/>
        <family val="2"/>
      </rPr>
      <t>1</t>
    </r>
  </si>
  <si>
    <r>
      <t>4.8 cm</t>
    </r>
    <r>
      <rPr>
        <vertAlign val="superscript"/>
        <sz val="14"/>
        <color indexed="8"/>
        <rFont val="Calibri"/>
        <family val="2"/>
      </rPr>
      <t>3</t>
    </r>
  </si>
  <si>
    <r>
      <t>2.4 cm</t>
    </r>
    <r>
      <rPr>
        <sz val="14"/>
        <color indexed="8"/>
        <rFont val="Calibri"/>
        <family val="2"/>
      </rPr>
      <t>³</t>
    </r>
  </si>
  <si>
    <r>
      <t>3.5 cm</t>
    </r>
    <r>
      <rPr>
        <sz val="14"/>
        <color theme="1"/>
        <rFont val="Calibri"/>
        <family val="2"/>
      </rPr>
      <t>³</t>
    </r>
  </si>
  <si>
    <r>
      <t>12 cm</t>
    </r>
    <r>
      <rPr>
        <vertAlign val="superscript"/>
        <sz val="14"/>
        <color indexed="8"/>
        <rFont val="Calibri"/>
        <family val="2"/>
      </rPr>
      <t>3</t>
    </r>
    <r>
      <rPr>
        <sz val="14"/>
        <color indexed="8"/>
        <rFont val="Calibri"/>
        <family val="2"/>
      </rPr>
      <t>*</t>
    </r>
  </si>
  <si>
    <r>
      <t>3.5 cm</t>
    </r>
    <r>
      <rPr>
        <sz val="14"/>
        <color indexed="8"/>
        <rFont val="Calibri"/>
        <family val="2"/>
      </rPr>
      <t>³</t>
    </r>
    <r>
      <rPr>
        <sz val="14"/>
        <color indexed="8"/>
        <rFont val="Calibri"/>
        <family val="2"/>
      </rPr>
      <t>*</t>
    </r>
  </si>
  <si>
    <r>
      <t>carton of 1 vial : 58 cm</t>
    </r>
    <r>
      <rPr>
        <vertAlign val="superscript"/>
        <sz val="14"/>
        <color indexed="8"/>
        <rFont val="Calibri"/>
        <family val="2"/>
      </rPr>
      <t>3</t>
    </r>
    <r>
      <rPr>
        <sz val="14"/>
        <color indexed="8"/>
        <rFont val="Calibri"/>
        <family val="2"/>
      </rPr>
      <t xml:space="preserve">
carton of 10 vials : 11.5 cm</t>
    </r>
    <r>
      <rPr>
        <vertAlign val="superscript"/>
        <sz val="14"/>
        <color indexed="8"/>
        <rFont val="Calibri"/>
        <family val="2"/>
      </rPr>
      <t>3</t>
    </r>
    <r>
      <rPr>
        <sz val="14"/>
        <color indexed="8"/>
        <rFont val="Calibri"/>
        <family val="2"/>
      </rPr>
      <t xml:space="preserve">
carton of 100 vials :10 cm</t>
    </r>
    <r>
      <rPr>
        <vertAlign val="superscript"/>
        <sz val="14"/>
        <color indexed="8"/>
        <rFont val="Calibri"/>
        <family val="2"/>
      </rPr>
      <t>3</t>
    </r>
  </si>
  <si>
    <r>
      <t>Cold chain volume per fully immunised person  (cm³)</t>
    </r>
    <r>
      <rPr>
        <sz val="14"/>
        <rFont val="Calibri"/>
        <family val="2"/>
      </rPr>
      <t xml:space="preserve">¹ </t>
    </r>
  </si>
  <si>
    <r>
      <t>14.4 cm</t>
    </r>
    <r>
      <rPr>
        <vertAlign val="superscript"/>
        <sz val="14"/>
        <rFont val="Calibri"/>
        <family val="2"/>
      </rPr>
      <t>3</t>
    </r>
  </si>
  <si>
    <r>
      <t>7.2 cm</t>
    </r>
    <r>
      <rPr>
        <sz val="14"/>
        <rFont val="Calibri"/>
        <family val="2"/>
      </rPr>
      <t>³</t>
    </r>
  </si>
  <si>
    <r>
      <t>10.5 cm</t>
    </r>
    <r>
      <rPr>
        <sz val="14"/>
        <rFont val="Calibri"/>
        <family val="2"/>
      </rPr>
      <t>³</t>
    </r>
  </si>
  <si>
    <r>
      <t>36 cm</t>
    </r>
    <r>
      <rPr>
        <vertAlign val="superscript"/>
        <sz val="14"/>
        <rFont val="Calibri"/>
        <family val="2"/>
      </rPr>
      <t>3</t>
    </r>
    <r>
      <rPr>
        <sz val="14"/>
        <rFont val="Calibri"/>
        <family val="2"/>
      </rPr>
      <t>*</t>
    </r>
  </si>
  <si>
    <t>10.5 cm³</t>
  </si>
  <si>
    <t xml:space="preserve">Cold chain volume per fully immunised person  (cm³)¹ </t>
  </si>
  <si>
    <r>
      <t xml:space="preserve">Wastage adjusted cold chain volume per fully immunised person  (cm³)¹ </t>
    </r>
    <r>
      <rPr>
        <sz val="14"/>
        <rFont val="Calibri"/>
        <family val="2"/>
      </rPr>
      <t xml:space="preserve">⁵ </t>
    </r>
  </si>
  <si>
    <r>
      <t>16.0 cm</t>
    </r>
    <r>
      <rPr>
        <vertAlign val="superscript"/>
        <sz val="14"/>
        <rFont val="Calibri"/>
        <family val="2"/>
      </rPr>
      <t>3</t>
    </r>
  </si>
  <si>
    <r>
      <t>8.0 cm</t>
    </r>
    <r>
      <rPr>
        <sz val="14"/>
        <rFont val="Calibri"/>
        <family val="2"/>
      </rPr>
      <t>³</t>
    </r>
  </si>
  <si>
    <r>
      <t>11.67 cm</t>
    </r>
    <r>
      <rPr>
        <sz val="14"/>
        <rFont val="Calibri"/>
        <family val="2"/>
      </rPr>
      <t>³</t>
    </r>
  </si>
  <si>
    <r>
      <t>37.89 cm</t>
    </r>
    <r>
      <rPr>
        <vertAlign val="superscript"/>
        <sz val="14"/>
        <rFont val="Calibri"/>
        <family val="2"/>
      </rPr>
      <t>3</t>
    </r>
    <r>
      <rPr>
        <sz val="14"/>
        <rFont val="Calibri"/>
        <family val="2"/>
      </rPr>
      <t>*</t>
    </r>
  </si>
  <si>
    <t>11.67 cm³</t>
  </si>
  <si>
    <t xml:space="preserve">Wastage adjusted cold chain volume per fully immunised person  (cm³)¹ ⁵ </t>
  </si>
  <si>
    <r>
      <t>Vaccine vial monitor type</t>
    </r>
    <r>
      <rPr>
        <vertAlign val="superscript"/>
        <sz val="14"/>
        <color indexed="8"/>
        <rFont val="Calibri"/>
        <family val="2"/>
      </rPr>
      <t>1</t>
    </r>
  </si>
  <si>
    <t xml:space="preserve">Type 30 </t>
  </si>
  <si>
    <t>Type 30</t>
  </si>
  <si>
    <r>
      <t>Handling open vials</t>
    </r>
    <r>
      <rPr>
        <vertAlign val="superscript"/>
        <sz val="14"/>
        <color indexed="8"/>
        <rFont val="Calibri"/>
        <family val="2"/>
      </rPr>
      <t>1</t>
    </r>
  </si>
  <si>
    <t>WHO recommends that opened vials of 
this vaccine should be discarded 6 hours after opening or at the end of the immunization session, whichever comes first.**</t>
  </si>
  <si>
    <t>WHO recommends that opened vials of this vaccine may be kept for use in subsequent immunization sessions (up to a maximum of 28 days) provided the conditions outlined in the WHO Policy Statement: The use of opened multi-dose vials of vaccine in subsequent immunization sessions are met.***</t>
  </si>
  <si>
    <t>28 days from the withdrawal of the first injection if held at 2 to 8°C</t>
  </si>
  <si>
    <t>WHO recommends that opened vials of this vaccine may be kept for use in subsequent immunization sessions (up to a maximum of 28 days) provided the conditions outlined in the WHO Policy Statement. The use of opened multi-dose vials of vaccine in subsequent immunization sessions are met.***</t>
  </si>
  <si>
    <t>Controlled Temperature Chain (CTC)¹</t>
  </si>
  <si>
    <r>
      <t>WHO PQ link</t>
    </r>
    <r>
      <rPr>
        <vertAlign val="superscript"/>
        <sz val="14"/>
        <color indexed="8"/>
        <rFont val="Calibri"/>
        <family val="2"/>
      </rPr>
      <t>1</t>
    </r>
  </si>
  <si>
    <t>https://extranet.who.int/gavi/PQ_Web/PreviewVaccine.aspx?nav=0&amp;ID=198</t>
  </si>
  <si>
    <t>https://extranet.who.int/gavi/PQ_Web/PreviewVaccine.aspx?nav=0&amp;ID=341</t>
  </si>
  <si>
    <t>https://extranet.who.int/gavi/PQ_Web/PreviewVaccine.aspx?nav=0&amp;ID=221</t>
  </si>
  <si>
    <t>https://extranet.who.int/gavi/PQ_Web/PreviewVaccine.aspx?nav=0&amp;ID=317</t>
  </si>
  <si>
    <t>https://extranet.who.int/gavi/PQ_Web/PreviewVaccine.aspx?nav=0&amp;ID=191</t>
  </si>
  <si>
    <r>
      <t>Remarks WHO</t>
    </r>
    <r>
      <rPr>
        <vertAlign val="superscript"/>
        <sz val="14"/>
        <color indexed="8"/>
        <rFont val="Calibri"/>
        <family val="2"/>
      </rPr>
      <t>1</t>
    </r>
  </si>
  <si>
    <t xml:space="preserve">A two dose preservative-free liquid presentation is  a novel presentation for UN supported EPI programmes. Therefore its use requires specific training for immunization staff and it will undergo formal post-introduction monitoring.** </t>
  </si>
  <si>
    <t>Notes</t>
  </si>
  <si>
    <t>1 Source: WHO PQ webpage: WHO updates these webpages as new information on products becomes available. Please refer to these pages (WHO PQ link) for the most up-to-date information. For presentations not yet WHO prequalified, data is based on discussions with manufacturers and partners in 2019.</t>
  </si>
  <si>
    <t>2 Source: UNICEF PRODUCT MENU FOR VACCINES SUPPLIED BY UNICEF FOR GAVI, THE VACCINE ALLIANCE (https://www.unicef.org/supply/files/Product_Menu_Jan_2020.pdf)</t>
  </si>
  <si>
    <t>3 Source: WHO position paper: http://www.who.int/immunization/documents/positionpapers/en/</t>
  </si>
  <si>
    <t xml:space="preserve">4 Source: Gavi Secretariat, see definitions tab for details </t>
  </si>
  <si>
    <t>5 Source: Review of WHO vaccine wastage rate tool, 2019</t>
  </si>
  <si>
    <t>* This secondary packaging is procured for Gavi countries by UNICEF. For this presentation, the secondary packaging without an asterisk in grey font is not procured on behalf of Gavi.</t>
  </si>
  <si>
    <t>**For more information see: http://www.who.int/immunization_standards/vaccine_quality/synflorix_pqnote_2dose_2012/en/ 
and http://www.who.int/immunization_standards/vaccine_quality/synflorix_pqnote/en/</t>
  </si>
  <si>
    <t>*** For more information see: https://extranet.who.int/gavi/PQ_Web/</t>
  </si>
  <si>
    <t>**** Presentation no longer available starting 2020. Last doses will be shipped in 2019</t>
  </si>
  <si>
    <t>Version 1.0</t>
  </si>
  <si>
    <t>Date</t>
  </si>
  <si>
    <t>Change</t>
  </si>
  <si>
    <t>Adaptation from RV tool</t>
  </si>
  <si>
    <t>Version 1.1</t>
  </si>
  <si>
    <t>Added syringes in model inputs, calculation of vaccine costs and formulas
Added Pneumosil 1 dose vial
Added link to WHO/MI4A database
Added link to WHO PCV Position paper
Added a disclaimer re: cold chain volume in model inputs sheet</t>
  </si>
  <si>
    <t>Version 1.2</t>
  </si>
  <si>
    <t>Incoporated feedback from HQ review
Remove reference to negative cold chain</t>
  </si>
  <si>
    <t>Version 1.3</t>
  </si>
  <si>
    <t>Incorporated feedback from Gail Rodgers and Emily Nickels
Updated PCv product data with latest PCV product profile slide deck from Gavi</t>
  </si>
  <si>
    <t>Version 1.4</t>
  </si>
  <si>
    <t>Remove Synflorix 2 dose vial as not produced anymore
Open the cells related to vaccine price/co fi so that non Gavi countries could indicate their own non-Gavi price</t>
  </si>
  <si>
    <t>Version 1.5</t>
  </si>
  <si>
    <t>Incorporated feedback from HQ review (Debbie A)</t>
  </si>
  <si>
    <r>
      <t xml:space="preserve">La </t>
    </r>
    <r>
      <rPr>
        <b/>
        <sz val="11"/>
        <color rgb="FF000000"/>
        <rFont val="Calibri"/>
        <family val="2"/>
        <scheme val="minor"/>
      </rPr>
      <t>calculadora de costos de la vacuna neumocócica conjugada (VNC)</t>
    </r>
    <r>
      <rPr>
        <sz val="11"/>
        <color rgb="FF000000"/>
        <rFont val="Calibri"/>
        <family val="2"/>
        <scheme val="minor"/>
      </rPr>
      <t xml:space="preserve"> es una herramienta sencilla para evaluar y comparar los costos de los programas de vacunación de VNC con cada producto VNC disponible en el mercado mundial.</t>
    </r>
    <r>
      <rPr>
        <sz val="11"/>
        <color theme="1"/>
        <rFont val="Calibri"/>
        <family val="2"/>
        <scheme val="minor"/>
      </rPr>
      <t xml:space="preserve"> Su finalidad es ayudar a los responsables de formular políticas a nivel nacional a comparar los productos y calcular los costos de los programas de vacunación con diferentes vacunas VNC. Para ello, se puede analizar hasta seis opciones de vacunas al mismo tiempo. Cualquier país interesado en comparar los costos de diferentes vacunas VNC puede utilizar esta herramienta, independientemente de que dicho país sea o no elegible para recibir cofinanciamiento de Gavi, la Alianza para la Vacunación. </t>
    </r>
  </si>
  <si>
    <r>
      <t>3.</t>
    </r>
    <r>
      <rPr>
        <sz val="7"/>
        <color theme="1"/>
        <rFont val="Times New Roman"/>
        <family val="1"/>
      </rPr>
      <t xml:space="preserve">      </t>
    </r>
    <r>
      <rPr>
        <b/>
        <sz val="11"/>
        <color theme="1"/>
        <rFont val="Calibri"/>
        <family val="2"/>
        <scheme val="minor"/>
      </rPr>
      <t>Hoja de</t>
    </r>
    <r>
      <rPr>
        <sz val="11"/>
        <color theme="1"/>
        <rFont val="Calibri"/>
        <family val="2"/>
        <scheme val="minor"/>
      </rPr>
      <t xml:space="preserve"> </t>
    </r>
    <r>
      <rPr>
        <b/>
        <sz val="11"/>
        <color theme="1"/>
        <rFont val="Calibri"/>
        <family val="2"/>
        <scheme val="minor"/>
      </rPr>
      <t>gráficos</t>
    </r>
    <r>
      <rPr>
        <sz val="11"/>
        <color theme="1"/>
        <rFont val="Calibri"/>
        <family val="2"/>
        <scheme val="minor"/>
      </rPr>
      <t>, donde se muestran los mismos resultados en gráficos.</t>
    </r>
  </si>
  <si>
    <t>Introduzca la información relativa a la cobertura prevista de la vacuna para las dosis 1, 2 y 3. Puede utilizar los cálculos de la cobertura a partir de la vigilancia de antígenos de su programa de vacunación, que se facilitan al mismo tiempo que se administra la vacuna VNC. También puede optar por utilizar objetivos de cálculo de la cobertura o cálculos previstos de la cobertura. Tenga en cuenta que esto afectará al número de dosis necesarias para mantener las actividades de vacunación de tipo VNC.</t>
  </si>
  <si>
    <t>Si su país se encuentra actualmente en otra fase de transición de Gavi (transición preparatoria o acelerada), deberá introducir la cuota de cofinanciamiento de su país para cada uno de los 10 años. Si desconoce dicha cuota, póngase en contacto con su gerente del país (Senior Country Manager).</t>
  </si>
  <si>
    <r>
      <t>La herramienta le permite comparar hasta seis opciones de vacuna a la vez. Utilice el menú desplegable para seleccionar los productos que desea comparar. Al seleccionar cada uno de ellos, los datos predeterminados relacionados con los productos aparecerán automáticamente en las siguientes filas. Todas las características de las vacunas se extraen de los perfiles de productos detallados de Gavi</t>
    </r>
    <r>
      <rPr>
        <sz val="11"/>
        <color rgb="FF000000"/>
        <rFont val="Calibri"/>
        <family val="2"/>
        <scheme val="minor"/>
      </rPr>
      <t xml:space="preserve">, </t>
    </r>
    <r>
      <rPr>
        <sz val="11"/>
        <color theme="1"/>
        <rFont val="Calibri"/>
        <family val="2"/>
        <scheme val="minor"/>
      </rPr>
      <t>incluido el precio por dosis, el número de dosis en el esquema y la tasa de desperdicio.</t>
    </r>
  </si>
  <si>
    <r>
      <t xml:space="preserve">· </t>
    </r>
    <r>
      <rPr>
        <i/>
        <sz val="11"/>
        <color theme="1"/>
        <rFont val="Calibri"/>
        <family val="2"/>
        <scheme val="minor"/>
      </rPr>
      <t>Tramitación internacional:</t>
    </r>
    <r>
      <rPr>
        <sz val="11"/>
        <color theme="1"/>
        <rFont val="Calibri"/>
        <family val="2"/>
        <scheme val="minor"/>
      </rPr>
      <t xml:space="preserve"> Se trata de una tarifa habitual de UNICEF para cubrir los servicios de adquisiciones. Se expresa como porcentaje del precio de la vacuna. En el sitio web de UNICEF se pueden consultar las tasas estándar.</t>
    </r>
  </si>
  <si>
    <r>
      <t>·</t>
    </r>
    <r>
      <rPr>
        <sz val="7"/>
        <color theme="1"/>
        <rFont val="Times New Roman"/>
        <family val="1"/>
      </rPr>
      <t xml:space="preserve"> </t>
    </r>
    <r>
      <rPr>
        <i/>
        <sz val="11"/>
        <color theme="1"/>
        <rFont val="Calibri"/>
        <family val="2"/>
        <scheme val="minor"/>
      </rPr>
      <t>Transporte internacional:</t>
    </r>
    <r>
      <rPr>
        <sz val="11"/>
        <color theme="1"/>
        <rFont val="Calibri"/>
        <family val="2"/>
        <scheme val="minor"/>
      </rPr>
      <t xml:space="preserve"> Corresponde al costo del envío internacional de las vacunas y se expresa como porcentaje del precio de la vacuna. La oficina local de UNICEF podría facilitarle información general para ayudarle a definir este valor utilizando datos de envíos y facturas previos.</t>
    </r>
  </si>
  <si>
    <r>
      <t>·</t>
    </r>
    <r>
      <rPr>
        <sz val="7"/>
        <color theme="1"/>
        <rFont val="Times New Roman"/>
        <family val="1"/>
      </rPr>
      <t> </t>
    </r>
    <r>
      <rPr>
        <i/>
        <sz val="11"/>
        <color theme="1"/>
        <rFont val="Calibri"/>
        <family val="2"/>
        <scheme val="minor"/>
      </rPr>
      <t>Precio de caja de seguridad:</t>
    </r>
    <r>
      <rPr>
        <sz val="11"/>
        <color theme="1"/>
        <rFont val="Calibri"/>
        <family val="2"/>
        <scheme val="minor"/>
      </rPr>
      <t xml:space="preserve"> Introduzca el precio de la caja de seguridad que se utilice en las actividades de vacunación de tipo VNC. En el sitio web de UNICEF se pueden consultar los precios estándar.</t>
    </r>
  </si>
  <si>
    <r>
      <t>·</t>
    </r>
    <r>
      <rPr>
        <sz val="7"/>
        <color theme="1"/>
        <rFont val="Times New Roman"/>
        <family val="1"/>
      </rPr>
      <t xml:space="preserve"> </t>
    </r>
    <r>
      <rPr>
        <i/>
        <sz val="11"/>
        <color theme="1"/>
        <rFont val="Calibri"/>
        <family val="2"/>
        <scheme val="minor"/>
      </rPr>
      <t>Volumen de caja/bolsa de seguridad:</t>
    </r>
    <r>
      <rPr>
        <sz val="11"/>
        <color theme="1"/>
        <rFont val="Calibri"/>
        <family val="2"/>
        <scheme val="minor"/>
      </rPr>
      <t xml:space="preserve"> El número de dosis que puede contener una caja o bolsa. Se necesita para calcular cuántas cajas o bolsas son necesarias para las actividades de vacunación de tipo VNC.</t>
    </r>
  </si>
  <si>
    <t>En la herramienta, tiene la opción de introducir por separado los costos de introducción o de sustitución y otros costos de administración. Para cada vacuna que desee comparar, introduzca la cantidad presupuestada para los costos puntuales de introducción o sustitución. Se deberán contemplar aquí únicamente los costos iniciales, por ejemplo, los gastos relacionados con la microplanificación, la capacitación o la comunicación. Normalmente solo se suelen contemplar los gastos en los que se incurre el primer año para poner en marcha el programa de VNC o sustituir los productos de las vacunas.</t>
  </si>
  <si>
    <t>Catálogo de costos de administración de las vacunas</t>
  </si>
  <si>
    <t>El resto de costos recurrentes deben reflejarse en el costo incremental de administración por dosis para cada vacuna comparada. Tenga en cuenta que puede variar de un producto a otro en función de su presentación, los requisitos de almacenamiento y la facilidad de administración. Puede consultar información sobre el costo incremental por dosis de diversos estudios y países en el Catálogo de costos de administración de las vacunas (Immunization Delivery Cost Catalogue - IDCC).</t>
  </si>
  <si>
    <r>
      <t>1.</t>
    </r>
    <r>
      <rPr>
        <sz val="7"/>
        <color theme="1"/>
        <rFont val="Times New Roman"/>
        <family val="1"/>
      </rPr>
      <t xml:space="preserve">      </t>
    </r>
    <r>
      <rPr>
        <u/>
        <sz val="11"/>
        <color theme="1"/>
        <rFont val="Calibri"/>
        <family val="2"/>
        <scheme val="minor"/>
      </rPr>
      <t>Programa de vacunación</t>
    </r>
  </si>
  <si>
    <r>
      <t>2.</t>
    </r>
    <r>
      <rPr>
        <sz val="7"/>
        <color theme="1"/>
        <rFont val="Times New Roman"/>
        <family val="1"/>
      </rPr>
      <t xml:space="preserve">      </t>
    </r>
    <r>
      <rPr>
        <u/>
        <sz val="11"/>
        <color theme="1"/>
        <rFont val="Calibri"/>
        <family val="2"/>
        <scheme val="minor"/>
      </rPr>
      <t>Costo para el país</t>
    </r>
  </si>
  <si>
    <r>
      <t>3.</t>
    </r>
    <r>
      <rPr>
        <sz val="7"/>
        <color theme="1"/>
        <rFont val="Times New Roman"/>
        <family val="1"/>
      </rPr>
      <t xml:space="preserve">      </t>
    </r>
    <r>
      <rPr>
        <u/>
        <sz val="11"/>
        <color theme="1"/>
        <rFont val="Calibri"/>
        <family val="2"/>
        <scheme val="minor"/>
      </rPr>
      <t>Costo para el país y Gavi</t>
    </r>
  </si>
  <si>
    <r>
      <t>Nota:</t>
    </r>
    <r>
      <rPr>
        <sz val="11"/>
        <color theme="1"/>
        <rFont val="Calibri"/>
        <family val="2"/>
        <scheme val="minor"/>
      </rPr>
      <t xml:space="preserve"> En las subsecciones 2 y 3 se utiliza el formato condicional para destacar las celdas de costos para 10 años que presentan la opción de vacuna menos costosa (color verde oscuro) y la opción de vacuna más costosa (color amarillo)</t>
    </r>
    <r>
      <rPr>
        <b/>
        <sz val="11"/>
        <color theme="1"/>
        <rFont val="Calibri"/>
        <family val="2"/>
        <scheme val="minor"/>
      </rPr>
      <t>.</t>
    </r>
  </si>
  <si>
    <r>
      <rPr>
        <sz val="11"/>
        <color theme="1"/>
        <rFont val="Calibri"/>
        <family val="2"/>
        <scheme val="minor"/>
      </rPr>
      <t xml:space="preserve">Asegúrese de introducir todos los datos de esta pestaña para los siguientes tres pasos </t>
    </r>
    <r>
      <rPr>
        <u/>
        <sz val="11"/>
        <color theme="1"/>
        <rFont val="Calibri"/>
        <family val="2"/>
        <scheme val="minor"/>
      </rPr>
      <t>antes</t>
    </r>
    <r>
      <rPr>
        <sz val="11"/>
        <color theme="1"/>
        <rFont val="Calibri"/>
        <family val="2"/>
        <scheme val="minor"/>
      </rPr>
      <t xml:space="preserve"> de pasar a la pestaña de </t>
    </r>
    <r>
      <rPr>
        <b/>
        <sz val="11"/>
        <color theme="1"/>
        <rFont val="Calibri"/>
        <family val="2"/>
        <scheme val="minor"/>
      </rPr>
      <t>Resultados</t>
    </r>
    <r>
      <rPr>
        <sz val="11"/>
        <color theme="1"/>
        <rFont val="Calibri"/>
        <family val="2"/>
        <scheme val="minor"/>
      </rPr>
      <t xml:space="preserve">:
- Paso 1: Programa de vacunación 
- Paso 2: Cofinanciamiento y ayuda financiera
- Paso 3: Opciones de VNC
</t>
    </r>
    <r>
      <rPr>
        <b/>
        <i/>
        <u/>
        <sz val="11"/>
        <color rgb="FFFF0000"/>
        <rFont val="Calibri"/>
        <family val="2"/>
        <scheme val="minor"/>
      </rPr>
      <t>Descargo de responsabilidad</t>
    </r>
    <r>
      <rPr>
        <sz val="11"/>
        <color theme="1"/>
        <rFont val="Calibri"/>
        <family val="2"/>
        <scheme val="minor"/>
      </rPr>
      <t xml:space="preserve">
</t>
    </r>
    <r>
      <rPr>
        <i/>
        <sz val="11"/>
        <color rgb="FFFF0000"/>
        <rFont val="Calibri"/>
        <family val="2"/>
        <scheme val="minor"/>
      </rPr>
      <t xml:space="preserve">La calculadora de costos de la vacuna neumocócica conjugada es una herramienta cuyo objetivo es fundamentar la toma de decisiones sobre la introducción de vacunas y la selección de productos. Cabe destacar que el costo es tan solo una única consideración, y que los responsables de la toma de decisiones relativas a la introducción de nuevas vacunas y de seleccionar productos también deben tener en cuenta otros aspectos. La finalidad de este modelo es ofrecer información sobre los </t>
    </r>
    <r>
      <rPr>
        <b/>
        <i/>
        <sz val="11"/>
        <color rgb="FFFF0000"/>
        <rFont val="Calibri"/>
        <family val="2"/>
        <scheme val="minor"/>
      </rPr>
      <t>posibles</t>
    </r>
    <r>
      <rPr>
        <i/>
        <sz val="11"/>
        <color rgb="FFFF0000"/>
        <rFont val="Calibri"/>
        <family val="2"/>
        <scheme val="minor"/>
      </rPr>
      <t xml:space="preserve"> costos de las alternativas entre varios productos y no debe reemplazar la planificación presupuestaria detallada una vez que se ha seleccionado el producto en cuestión. </t>
    </r>
  </si>
  <si>
    <t>Paso 1: Programa de vacunación</t>
  </si>
  <si>
    <t>Paso 2: Cofinanciamiento y ayuda financiera</t>
  </si>
  <si>
    <t>Paso 3: Opciones de vacunas VNC</t>
  </si>
  <si>
    <t>Si ha seleccionado "Otra fase de transición", introduzca a continuación la cuota de cofinanciamiento del país</t>
  </si>
  <si>
    <t>Porcentaje del precio de la vacuna por dosis o "fracción de precio"
No se utiliza si ha seleccionado antes "Fase inicial de autofinanciamiento"
Si desconoce la cuota de cofinanciamiento de su país, póngase en contacto con su su gerente del país
Los países que no pertenecen a Gavi deben introducir 100 % todos los años
Si está previsto que su país pase de la fase inicial de autofinanciamiento a la fase de transición preparatoria durante el periodo de 10 años, póngase en contacto con HEOR@path.org para evaluar cómo ajustar el modelo</t>
  </si>
  <si>
    <t>El sitio web de Gavi</t>
  </si>
  <si>
    <t>Los costos del programa de vacunación incluyen el costo de la vacuna y los costos incrementales del sistema de salud. Los costos incrementales del sistema de salud hacen referencia a todos los gastos adicionales necesarios para administrar la vacuna, además del costo directo correspondiente a la adquisición de la misma y los productos básicos. Los costos incrementales del sistema de salud incluyen todos los gastos necesarios adicionales relacionados con el personal, las dietas y gastos de viaje, los equipos de cadena de frío, los vehículos, el transporte y combustible, la gestión del programa, la formación y el desarrollo de capacidades, la movilización social y la abogacía, la vigilancia de la enfermedad y las actividades relacionadas con los eventos adversos posteriores a la vacunación (EAPV), y la gestión de residuos. Se excluirá cualquier costo del sistema ya imputado al sistema de vacunación (costos compartidos). Por ejemplo, no se incluirá el costo del transporte de la vacuna VNC si forma parte del mismo transporte utilizado para otras vacunas. Solo deberá reflejarse cualquier viaje adicional que pueda ser necesario.</t>
  </si>
  <si>
    <t>El formato condicional destaca las celdas de costos para 10 años que presentan la opción menos costosa (color verde) y la más costosa (color amarillo)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</si>
</sst>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quot;$&quot;#,##0.00"/>
    <numFmt numFmtId="165" formatCode="&quot;$&quot;#,##0"/>
    <numFmt numFmtId="166" formatCode="[$$-409]#,##0.00"/>
    <numFmt numFmtId="167" formatCode="_(* #,##0_);_(* \(#,##0\);_(* &quot;-&quot;??_);_(@_)"/>
    <numFmt numFmtId="168" formatCode="0.0%"/>
    <numFmt numFmtId="169" formatCode="&quot;US$&quot;#\,##0"/>
    <numFmt numFmtId="170" formatCode="&quot;US$&quot;#,##0.00_);\(&quot;US$&quot;#,##0.00\)"/>
    <numFmt numFmtId="171" formatCode="&quot;US$&quot;#,##0.00"/>
    <numFmt numFmtId="172" formatCode="&quot;US$&quot;#\,###\,##0"/>
    <numFmt numFmtId="173" formatCode="&quot;US$&quot;#\,###\,##0.00"/>
    <numFmt numFmtId="174" formatCode="&quot;US$&quot;##0.00"/>
  </numFmts>
  <fonts count="67"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i/>
      <sz val="10"/>
      <color theme="1"/>
      <name val="Calibri"/>
      <family val="2"/>
      <scheme val="minor"/>
    </font>
    <font>
      <b/>
      <sz val="20"/>
      <color theme="1"/>
      <name val="Calibri"/>
      <family val="2"/>
      <scheme val="minor"/>
    </font>
    <font>
      <sz val="14"/>
      <name val="Calibri"/>
      <family val="2"/>
    </font>
    <font>
      <u/>
      <sz val="11"/>
      <color rgb="FF0000FF"/>
      <name val="Calibri"/>
      <family val="2"/>
      <scheme val="minor"/>
    </font>
    <font>
      <i/>
      <sz val="11"/>
      <color theme="1"/>
      <name val="Calibri"/>
      <family val="2"/>
      <scheme val="minor"/>
    </font>
    <font>
      <i/>
      <sz val="14"/>
      <color theme="1"/>
      <name val="Calibri"/>
      <family val="2"/>
      <scheme val="minor"/>
    </font>
    <font>
      <b/>
      <sz val="18"/>
      <color theme="1"/>
      <name val="Calibri"/>
      <family val="2"/>
      <scheme val="minor"/>
    </font>
    <font>
      <sz val="12"/>
      <color theme="1"/>
      <name val="Calibri"/>
      <family val="2"/>
      <scheme val="minor"/>
    </font>
    <font>
      <b/>
      <sz val="12"/>
      <color rgb="FFFF0000"/>
      <name val="Calibri"/>
      <family val="2"/>
      <scheme val="minor"/>
    </font>
    <font>
      <b/>
      <sz val="14"/>
      <color rgb="FFFF0000"/>
      <name val="Calibri"/>
      <family val="2"/>
      <scheme val="minor"/>
    </font>
    <font>
      <b/>
      <sz val="11"/>
      <name val="Calibri"/>
      <family val="2"/>
      <scheme val="minor"/>
    </font>
    <font>
      <sz val="11"/>
      <name val="Calibri"/>
      <family val="2"/>
      <scheme val="minor"/>
    </font>
    <font>
      <i/>
      <sz val="10"/>
      <name val="Calibri"/>
      <family val="2"/>
      <scheme val="minor"/>
    </font>
    <font>
      <b/>
      <sz val="12"/>
      <color theme="1"/>
      <name val="Calibri"/>
      <family val="2"/>
      <scheme val="minor"/>
    </font>
    <font>
      <b/>
      <sz val="12"/>
      <name val="Calibri"/>
      <family val="2"/>
      <scheme val="minor"/>
    </font>
    <font>
      <b/>
      <sz val="14"/>
      <name val="Calibri"/>
      <family val="2"/>
      <scheme val="minor"/>
    </font>
    <font>
      <i/>
      <sz val="11"/>
      <name val="Calibri"/>
      <family val="2"/>
      <scheme val="minor"/>
    </font>
    <font>
      <b/>
      <sz val="16"/>
      <color theme="1"/>
      <name val="Calibri"/>
      <family val="2"/>
      <scheme val="minor"/>
    </font>
    <font>
      <b/>
      <sz val="16"/>
      <color rgb="FFFF0000"/>
      <name val="Calibri"/>
      <family val="2"/>
      <scheme val="minor"/>
    </font>
    <font>
      <i/>
      <sz val="12"/>
      <color theme="1"/>
      <name val="Calibri"/>
      <family val="2"/>
      <scheme val="minor"/>
    </font>
    <font>
      <sz val="12"/>
      <name val="Calibri"/>
      <family val="2"/>
      <scheme val="minor"/>
    </font>
    <font>
      <i/>
      <sz val="12"/>
      <name val="Calibri"/>
      <family val="2"/>
      <scheme val="minor"/>
    </font>
    <font>
      <b/>
      <i/>
      <sz val="10"/>
      <color theme="1"/>
      <name val="Calibri"/>
      <family val="2"/>
      <scheme val="minor"/>
    </font>
    <font>
      <i/>
      <u/>
      <sz val="10"/>
      <color theme="1"/>
      <name val="Calibri"/>
      <family val="2"/>
      <scheme val="minor"/>
    </font>
    <font>
      <i/>
      <sz val="14"/>
      <name val="Calibri"/>
      <family val="2"/>
      <scheme val="minor"/>
    </font>
    <font>
      <sz val="10"/>
      <color theme="1"/>
      <name val="Calibri"/>
      <family val="2"/>
      <scheme val="minor"/>
    </font>
    <font>
      <u/>
      <sz val="10"/>
      <color theme="1"/>
      <name val="Calibri"/>
      <family val="2"/>
      <scheme val="minor"/>
    </font>
    <font>
      <u/>
      <sz val="14"/>
      <color rgb="FF0000FF"/>
      <name val="Calibri"/>
      <family val="2"/>
      <scheme val="minor"/>
    </font>
    <font>
      <b/>
      <vertAlign val="superscript"/>
      <sz val="12"/>
      <color theme="1"/>
      <name val="Calibri"/>
      <family val="2"/>
      <scheme val="minor"/>
    </font>
    <font>
      <sz val="11"/>
      <color rgb="FFFF0000"/>
      <name val="Calibri"/>
      <family val="2"/>
      <scheme val="minor"/>
    </font>
    <font>
      <b/>
      <sz val="22"/>
      <color rgb="FF000000"/>
      <name val="Calibri"/>
      <family val="2"/>
      <scheme val="minor"/>
    </font>
    <font>
      <sz val="16"/>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u/>
      <sz val="11"/>
      <color theme="1"/>
      <name val="Calibri"/>
      <family val="2"/>
      <scheme val="minor"/>
    </font>
    <font>
      <sz val="11"/>
      <color theme="1"/>
      <name val="Symbol"/>
      <family val="1"/>
      <charset val="2"/>
    </font>
    <font>
      <vertAlign val="superscript"/>
      <sz val="11"/>
      <color theme="1"/>
      <name val="Calibri"/>
      <family val="2"/>
      <scheme val="minor"/>
    </font>
    <font>
      <b/>
      <sz val="11"/>
      <color rgb="FFFF0000"/>
      <name val="Calibri"/>
      <family val="2"/>
      <scheme val="minor"/>
    </font>
    <font>
      <u/>
      <sz val="11"/>
      <color rgb="FF000000"/>
      <name val="Calibri"/>
      <family val="2"/>
      <scheme val="minor"/>
    </font>
    <font>
      <i/>
      <sz val="11"/>
      <color rgb="FF000000"/>
      <name val="Calibri"/>
      <family val="2"/>
      <scheme val="minor"/>
    </font>
    <font>
      <b/>
      <sz val="24"/>
      <color rgb="FF00B050"/>
      <name val="Calibri"/>
      <family val="2"/>
      <scheme val="minor"/>
    </font>
    <font>
      <b/>
      <sz val="24"/>
      <color rgb="FFFF0000"/>
      <name val="Calibri"/>
      <family val="2"/>
      <scheme val="minor"/>
    </font>
    <font>
      <sz val="14"/>
      <color theme="1"/>
      <name val="Calibri"/>
      <family val="2"/>
      <scheme val="minor"/>
    </font>
    <font>
      <vertAlign val="superscript"/>
      <sz val="14"/>
      <color indexed="8"/>
      <name val="Calibri"/>
      <family val="2"/>
    </font>
    <font>
      <b/>
      <vertAlign val="superscript"/>
      <sz val="14"/>
      <color indexed="8"/>
      <name val="Calibri"/>
      <family val="2"/>
    </font>
    <font>
      <b/>
      <sz val="14"/>
      <color indexed="8"/>
      <name val="Calibri"/>
      <family val="2"/>
    </font>
    <font>
      <sz val="14"/>
      <color indexed="8"/>
      <name val="Calibri"/>
      <family val="2"/>
    </font>
    <font>
      <sz val="14"/>
      <color indexed="55"/>
      <name val="Calibri"/>
      <family val="2"/>
    </font>
    <font>
      <sz val="14"/>
      <color theme="1"/>
      <name val="Calibri"/>
      <family val="2"/>
    </font>
    <font>
      <sz val="14"/>
      <name val="Calibri"/>
      <family val="2"/>
      <scheme val="minor"/>
    </font>
    <font>
      <vertAlign val="superscript"/>
      <sz val="14"/>
      <name val="Calibri"/>
      <family val="2"/>
    </font>
    <font>
      <u/>
      <sz val="14"/>
      <color theme="10"/>
      <name val="Calibri"/>
      <family val="2"/>
      <scheme val="minor"/>
    </font>
    <font>
      <u/>
      <sz val="16"/>
      <color theme="10"/>
      <name val="Calibri"/>
      <family val="2"/>
      <scheme val="minor"/>
    </font>
    <font>
      <i/>
      <u/>
      <sz val="11"/>
      <color theme="1"/>
      <name val="Calibri"/>
      <family val="2"/>
      <scheme val="minor"/>
    </font>
    <font>
      <i/>
      <u/>
      <sz val="11"/>
      <color rgb="FF000000"/>
      <name val="Calibri"/>
      <family val="2"/>
      <scheme val="minor"/>
    </font>
    <font>
      <b/>
      <i/>
      <sz val="12"/>
      <color theme="1"/>
      <name val="Calibri"/>
      <family val="2"/>
      <scheme val="minor"/>
    </font>
    <font>
      <b/>
      <i/>
      <sz val="10"/>
      <color rgb="FF000000"/>
      <name val="Calibri"/>
      <family val="2"/>
      <scheme val="minor"/>
    </font>
    <font>
      <i/>
      <sz val="9"/>
      <color theme="1"/>
      <name val="Calibri"/>
      <family val="2"/>
      <scheme val="minor"/>
    </font>
    <font>
      <sz val="7"/>
      <color theme="1"/>
      <name val="Calibri"/>
      <family val="2"/>
      <scheme val="minor"/>
    </font>
    <font>
      <b/>
      <i/>
      <u/>
      <sz val="11"/>
      <color rgb="FFFF0000"/>
      <name val="Calibri"/>
      <family val="2"/>
      <scheme val="minor"/>
    </font>
    <font>
      <i/>
      <sz val="11"/>
      <color rgb="FFFF0000"/>
      <name val="Calibri"/>
      <family val="2"/>
      <scheme val="minor"/>
    </font>
    <font>
      <b/>
      <i/>
      <sz val="11"/>
      <color rgb="FFFF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rgb="FFFFFF00"/>
      </top>
      <bottom style="medium">
        <color rgb="FFFFFF00"/>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499984740745262"/>
      </right>
      <top/>
      <bottom/>
      <diagonal/>
    </border>
    <border>
      <left style="thin">
        <color indexed="64"/>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theme="0" tint="-0.149967955565050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theme="0" tint="-0.14996795556505021"/>
      </top>
      <bottom style="thin">
        <color theme="0" tint="-0.14996795556505021"/>
      </bottom>
      <diagonal/>
    </border>
    <border>
      <left style="medium">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medium">
        <color indexed="64"/>
      </left>
      <right style="medium">
        <color indexed="64"/>
      </right>
      <top style="thin">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style="medium">
        <color indexed="64"/>
      </right>
      <top style="thin">
        <color theme="0" tint="-0.14996795556505021"/>
      </top>
      <bottom/>
      <diagonal/>
    </border>
    <border>
      <left style="thin">
        <color indexed="64"/>
      </left>
      <right style="thin">
        <color indexed="64"/>
      </right>
      <top style="thin">
        <color theme="0" tint="-0.14996795556505021"/>
      </top>
      <bottom/>
      <diagonal/>
    </border>
    <border>
      <left style="thin">
        <color indexed="64"/>
      </left>
      <right style="medium">
        <color indexed="64"/>
      </right>
      <top style="thin">
        <color theme="0" tint="-0.14996795556505021"/>
      </top>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rgb="FFFFFF00"/>
      </bottom>
      <diagonal/>
    </border>
    <border>
      <left/>
      <right/>
      <top style="thin">
        <color theme="0" tint="-0.14996795556505021"/>
      </top>
      <bottom style="medium">
        <color rgb="FFFFFF00"/>
      </bottom>
      <diagonal/>
    </border>
    <border>
      <left/>
      <right style="thin">
        <color indexed="64"/>
      </right>
      <top style="thin">
        <color theme="0" tint="-0.14996795556505021"/>
      </top>
      <bottom style="medium">
        <color rgb="FFFFFF00"/>
      </bottom>
      <diagonal/>
    </border>
    <border>
      <left style="thin">
        <color indexed="64"/>
      </left>
      <right/>
      <top style="thin">
        <color theme="0" tint="-0.14996795556505021"/>
      </top>
      <bottom style="medium">
        <color rgb="FFFFFF00"/>
      </bottom>
      <diagonal/>
    </border>
    <border>
      <left/>
      <right style="medium">
        <color indexed="64"/>
      </right>
      <top style="thin">
        <color theme="0" tint="-0.14996795556505021"/>
      </top>
      <bottom style="medium">
        <color rgb="FFFFFF00"/>
      </bottom>
      <diagonal/>
    </border>
    <border>
      <left style="medium">
        <color indexed="64"/>
      </left>
      <right style="medium">
        <color indexed="64"/>
      </right>
      <top style="thin">
        <color theme="0" tint="-0.14996795556505021"/>
      </top>
      <bottom/>
      <diagonal/>
    </border>
    <border>
      <left style="medium">
        <color indexed="64"/>
      </left>
      <right/>
      <top style="medium">
        <color rgb="FFFFFF00"/>
      </top>
      <bottom style="medium">
        <color rgb="FFFFFF00"/>
      </bottom>
      <diagonal/>
    </border>
    <border>
      <left/>
      <right/>
      <top style="medium">
        <color rgb="FFFFFF00"/>
      </top>
      <bottom style="medium">
        <color rgb="FFFFFF00"/>
      </bottom>
      <diagonal/>
    </border>
    <border>
      <left/>
      <right style="thin">
        <color indexed="64"/>
      </right>
      <top style="medium">
        <color rgb="FFFFFF00"/>
      </top>
      <bottom style="medium">
        <color rgb="FFFFFF00"/>
      </bottom>
      <diagonal/>
    </border>
    <border>
      <left/>
      <right style="medium">
        <color indexed="64"/>
      </right>
      <top style="medium">
        <color rgb="FFFFFF00"/>
      </top>
      <bottom style="medium">
        <color rgb="FFFFFF00"/>
      </bottom>
      <diagonal/>
    </border>
    <border>
      <left style="medium">
        <color indexed="64"/>
      </left>
      <right/>
      <top style="medium">
        <color rgb="FFFFFF00"/>
      </top>
      <bottom style="thin">
        <color theme="0" tint="-0.14996795556505021"/>
      </bottom>
      <diagonal/>
    </border>
    <border>
      <left/>
      <right/>
      <top style="medium">
        <color rgb="FFFFFF00"/>
      </top>
      <bottom style="thin">
        <color theme="0" tint="-0.14996795556505021"/>
      </bottom>
      <diagonal/>
    </border>
    <border>
      <left/>
      <right style="thin">
        <color indexed="64"/>
      </right>
      <top style="medium">
        <color rgb="FFFFFF00"/>
      </top>
      <bottom style="thin">
        <color theme="0" tint="-0.14996795556505021"/>
      </bottom>
      <diagonal/>
    </border>
    <border>
      <left style="thin">
        <color indexed="64"/>
      </left>
      <right/>
      <top style="medium">
        <color rgb="FFFFFF00"/>
      </top>
      <bottom style="thin">
        <color theme="0" tint="-0.14996795556505021"/>
      </bottom>
      <diagonal/>
    </border>
    <border>
      <left/>
      <right style="medium">
        <color indexed="64"/>
      </right>
      <top style="medium">
        <color rgb="FFFFFF00"/>
      </top>
      <bottom style="thin">
        <color theme="0" tint="-0.14996795556505021"/>
      </bottom>
      <diagonal/>
    </border>
    <border>
      <left style="medium">
        <color indexed="64"/>
      </left>
      <right style="medium">
        <color indexed="64"/>
      </right>
      <top/>
      <bottom style="thin">
        <color theme="0" tint="-0.14996795556505021"/>
      </bottom>
      <diagonal/>
    </border>
    <border>
      <left style="medium">
        <color indexed="64"/>
      </left>
      <right style="medium">
        <color indexed="64"/>
      </right>
      <top/>
      <bottom/>
      <diagonal/>
    </border>
    <border>
      <left style="medium">
        <color indexed="64"/>
      </left>
      <right style="medium">
        <color indexed="64"/>
      </right>
      <top style="thin">
        <color theme="0" tint="-0.14996795556505021"/>
      </top>
      <bottom style="thin">
        <color theme="0" tint="-0.14993743705557422"/>
      </bottom>
      <diagonal/>
    </border>
    <border>
      <left style="medium">
        <color indexed="64"/>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style="medium">
        <color indexed="64"/>
      </right>
      <top style="thin">
        <color theme="0" tint="-0.14993743705557422"/>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3" fontId="2" fillId="0" borderId="0" applyFont="0" applyFill="0" applyBorder="0" applyAlignment="0" applyProtection="0"/>
  </cellStyleXfs>
  <cellXfs count="391">
    <xf numFmtId="0" fontId="0" fillId="0" borderId="0" xfId="0"/>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0" xfId="0" applyFont="1" applyAlignment="1">
      <alignment horizontal="center" vertical="center"/>
    </xf>
    <xf numFmtId="37" fontId="0" fillId="0" borderId="0" xfId="1" applyNumberFormat="1" applyFont="1" applyAlignment="1">
      <alignment horizontal="center" vertical="center"/>
    </xf>
    <xf numFmtId="9" fontId="0" fillId="0" borderId="0" xfId="0" applyNumberFormat="1" applyAlignment="1">
      <alignment horizontal="center"/>
    </xf>
    <xf numFmtId="0" fontId="10" fillId="4" borderId="0" xfId="0" applyFont="1" applyFill="1"/>
    <xf numFmtId="0" fontId="0" fillId="4" borderId="0" xfId="0" applyFill="1"/>
    <xf numFmtId="0" fontId="20" fillId="4" borderId="0" xfId="0" applyFont="1" applyFill="1" applyAlignment="1">
      <alignment vertical="center"/>
    </xf>
    <xf numFmtId="0" fontId="3" fillId="4" borderId="0" xfId="0" applyFont="1" applyFill="1"/>
    <xf numFmtId="0" fontId="0" fillId="0" borderId="0" xfId="0" applyAlignment="1">
      <alignment horizontal="left" vertical="center"/>
    </xf>
    <xf numFmtId="0" fontId="0" fillId="5" borderId="0" xfId="0" applyFill="1" applyAlignment="1" applyProtection="1">
      <alignment horizontal="center" vertical="center"/>
      <protection hidden="1"/>
    </xf>
    <xf numFmtId="0" fontId="29" fillId="5" borderId="0" xfId="0" applyFont="1" applyFill="1" applyAlignment="1" applyProtection="1">
      <alignment horizontal="left" vertical="center"/>
      <protection hidden="1"/>
    </xf>
    <xf numFmtId="0" fontId="0" fillId="5" borderId="15" xfId="0"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5" fillId="5" borderId="0" xfId="0" applyFont="1" applyFill="1" applyAlignment="1" applyProtection="1">
      <alignment horizontal="left" vertical="center"/>
      <protection hidden="1"/>
    </xf>
    <xf numFmtId="0" fontId="0" fillId="5" borderId="0" xfId="0" applyFill="1" applyAlignment="1" applyProtection="1">
      <alignment vertical="center" wrapText="1"/>
      <protection hidden="1"/>
    </xf>
    <xf numFmtId="0" fontId="0" fillId="5" borderId="12"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3" fillId="5" borderId="0" xfId="0" applyFont="1" applyFill="1" applyBorder="1" applyAlignment="1" applyProtection="1">
      <alignment vertical="center"/>
      <protection hidden="1"/>
    </xf>
    <xf numFmtId="0" fontId="31" fillId="5" borderId="8" xfId="3" applyFont="1" applyFill="1" applyBorder="1" applyAlignment="1" applyProtection="1">
      <alignment horizontal="center" vertical="center"/>
      <protection hidden="1"/>
    </xf>
    <xf numFmtId="0" fontId="0" fillId="5" borderId="0" xfId="0" applyFont="1" applyFill="1" applyBorder="1" applyAlignment="1" applyProtection="1">
      <alignment vertical="center" wrapText="1"/>
      <protection hidden="1"/>
    </xf>
    <xf numFmtId="0" fontId="17" fillId="3" borderId="1" xfId="0" applyFont="1" applyFill="1" applyBorder="1" applyAlignment="1" applyProtection="1">
      <alignment vertical="center" wrapText="1"/>
      <protection hidden="1"/>
    </xf>
    <xf numFmtId="0" fontId="12" fillId="5" borderId="15" xfId="0" applyFont="1" applyFill="1" applyBorder="1" applyAlignment="1" applyProtection="1">
      <alignment vertical="center"/>
      <protection hidden="1"/>
    </xf>
    <xf numFmtId="0" fontId="1" fillId="5" borderId="0" xfId="0" applyFont="1" applyFill="1" applyBorder="1" applyAlignment="1" applyProtection="1">
      <alignment vertical="center" wrapText="1"/>
      <protection hidden="1"/>
    </xf>
    <xf numFmtId="9" fontId="0" fillId="5" borderId="0" xfId="0" applyNumberFormat="1" applyFill="1" applyBorder="1" applyAlignment="1" applyProtection="1">
      <alignment horizontal="center" vertical="center"/>
      <protection hidden="1"/>
    </xf>
    <xf numFmtId="0" fontId="11" fillId="3" borderId="1" xfId="0" applyFont="1" applyFill="1" applyBorder="1" applyAlignment="1" applyProtection="1">
      <alignment horizontal="center" vertical="center" wrapText="1"/>
      <protection hidden="1"/>
    </xf>
    <xf numFmtId="0" fontId="11" fillId="5" borderId="0" xfId="0" applyFont="1" applyFill="1" applyAlignment="1" applyProtection="1">
      <alignment vertical="center" wrapText="1"/>
      <protection hidden="1"/>
    </xf>
    <xf numFmtId="0" fontId="11" fillId="5" borderId="15" xfId="0" applyFont="1" applyFill="1" applyBorder="1" applyAlignment="1" applyProtection="1">
      <alignment vertical="center" wrapText="1"/>
      <protection hidden="1"/>
    </xf>
    <xf numFmtId="0" fontId="17" fillId="3" borderId="1"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17" fillId="3" borderId="1"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center" vertical="center" wrapText="1"/>
      <protection hidden="1"/>
    </xf>
    <xf numFmtId="0" fontId="18" fillId="3" borderId="1" xfId="0" applyFont="1" applyFill="1" applyBorder="1" applyAlignment="1" applyProtection="1">
      <alignment horizontal="center" vertical="center" wrapText="1"/>
      <protection hidden="1"/>
    </xf>
    <xf numFmtId="0" fontId="25" fillId="3" borderId="1" xfId="0" applyFont="1" applyFill="1" applyBorder="1" applyAlignment="1" applyProtection="1">
      <alignment horizontal="center" vertical="center" wrapText="1"/>
      <protection hidden="1"/>
    </xf>
    <xf numFmtId="0" fontId="0" fillId="5" borderId="15" xfId="0" applyFill="1" applyBorder="1" applyAlignment="1" applyProtection="1">
      <alignment vertical="center" wrapText="1"/>
      <protection hidden="1"/>
    </xf>
    <xf numFmtId="165" fontId="0" fillId="5" borderId="0" xfId="0" applyNumberFormat="1" applyFill="1" applyBorder="1" applyAlignment="1" applyProtection="1">
      <alignment horizontal="center" vertical="center"/>
      <protection hidden="1"/>
    </xf>
    <xf numFmtId="0" fontId="7" fillId="5" borderId="0" xfId="3" applyFill="1" applyAlignment="1" applyProtection="1">
      <alignment horizontal="center" vertical="center"/>
      <protection hidden="1"/>
    </xf>
    <xf numFmtId="0" fontId="0" fillId="5" borderId="0" xfId="0" applyFill="1" applyBorder="1" applyAlignment="1" applyProtection="1">
      <alignment vertical="center" wrapText="1"/>
      <protection hidden="1"/>
    </xf>
    <xf numFmtId="0" fontId="14" fillId="5" borderId="0" xfId="0" applyFont="1" applyFill="1" applyBorder="1" applyAlignment="1" applyProtection="1">
      <alignment horizontal="center" vertical="center" wrapText="1"/>
      <protection hidden="1"/>
    </xf>
    <xf numFmtId="9" fontId="15" fillId="5" borderId="0" xfId="2" applyNumberFormat="1" applyFont="1" applyFill="1" applyBorder="1" applyAlignment="1" applyProtection="1">
      <alignment horizontal="center" vertical="center"/>
      <protection hidden="1"/>
    </xf>
    <xf numFmtId="0" fontId="16" fillId="5"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center" vertical="center" wrapText="1"/>
      <protection hidden="1"/>
    </xf>
    <xf numFmtId="0" fontId="0" fillId="5" borderId="0" xfId="0" applyFont="1" applyFill="1" applyAlignment="1" applyProtection="1">
      <alignment horizontal="left" vertical="center"/>
      <protection hidden="1"/>
    </xf>
    <xf numFmtId="0" fontId="7" fillId="5" borderId="0" xfId="3" applyFill="1" applyAlignment="1" applyProtection="1">
      <alignment horizontal="left" vertical="center"/>
      <protection hidden="1"/>
    </xf>
    <xf numFmtId="0" fontId="17" fillId="5" borderId="0" xfId="0" applyFont="1" applyFill="1" applyBorder="1" applyAlignment="1" applyProtection="1">
      <alignment horizontal="center" vertical="center" wrapText="1"/>
      <protection hidden="1"/>
    </xf>
    <xf numFmtId="4" fontId="11" fillId="3" borderId="1" xfId="0" applyNumberFormat="1" applyFont="1" applyFill="1" applyBorder="1" applyAlignment="1" applyProtection="1">
      <alignment horizontal="center" vertical="center"/>
      <protection hidden="1"/>
    </xf>
    <xf numFmtId="0" fontId="0" fillId="5" borderId="9" xfId="0" applyFill="1" applyBorder="1" applyAlignment="1" applyProtection="1">
      <alignment horizontal="center" vertical="center"/>
      <protection hidden="1"/>
    </xf>
    <xf numFmtId="1" fontId="11" fillId="3" borderId="1" xfId="2" applyNumberFormat="1" applyFont="1" applyFill="1" applyBorder="1" applyAlignment="1" applyProtection="1">
      <alignment horizontal="center" vertical="center"/>
      <protection hidden="1"/>
    </xf>
    <xf numFmtId="4" fontId="11" fillId="3" borderId="1" xfId="2" applyNumberFormat="1" applyFont="1" applyFill="1" applyBorder="1" applyAlignment="1" applyProtection="1">
      <alignment horizontal="center" vertical="center"/>
      <protection hidden="1"/>
    </xf>
    <xf numFmtId="0" fontId="0" fillId="5" borderId="0" xfId="0" applyFill="1" applyAlignment="1" applyProtection="1">
      <alignment horizontal="center" vertical="center" wrapText="1"/>
      <protection hidden="1"/>
    </xf>
    <xf numFmtId="0" fontId="3" fillId="5" borderId="0"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wrapText="1"/>
      <protection hidden="1"/>
    </xf>
    <xf numFmtId="0" fontId="23" fillId="3" borderId="8" xfId="0" applyFont="1" applyFill="1" applyBorder="1" applyAlignment="1" applyProtection="1">
      <alignment horizontal="center" vertical="center" wrapText="1"/>
      <protection hidden="1"/>
    </xf>
    <xf numFmtId="0" fontId="23" fillId="3" borderId="13" xfId="0" applyFont="1" applyFill="1" applyBorder="1" applyAlignment="1" applyProtection="1">
      <alignment horizontal="center" vertical="center" wrapText="1"/>
      <protection hidden="1"/>
    </xf>
    <xf numFmtId="164" fontId="11" fillId="2" borderId="14" xfId="0" applyNumberFormat="1" applyFont="1" applyFill="1" applyBorder="1" applyAlignment="1" applyProtection="1">
      <alignment horizontal="center" vertical="center"/>
      <protection hidden="1"/>
    </xf>
    <xf numFmtId="0" fontId="7" fillId="3" borderId="9" xfId="3" applyFill="1" applyBorder="1" applyAlignment="1" applyProtection="1">
      <alignment horizontal="center" vertical="center" wrapText="1"/>
      <protection hidden="1"/>
    </xf>
    <xf numFmtId="164" fontId="11" fillId="2" borderId="10" xfId="0" applyNumberFormat="1" applyFont="1" applyFill="1" applyBorder="1" applyAlignment="1" applyProtection="1">
      <alignment horizontal="center" vertical="center"/>
      <protection hidden="1"/>
    </xf>
    <xf numFmtId="0" fontId="7" fillId="3" borderId="10" xfId="3" applyFill="1" applyBorder="1" applyAlignment="1" applyProtection="1">
      <alignment horizontal="center" vertical="center" wrapText="1"/>
      <protection hidden="1"/>
    </xf>
    <xf numFmtId="164" fontId="11" fillId="2" borderId="9"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164" fontId="0" fillId="5" borderId="0" xfId="0" applyNumberForma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locked="0"/>
    </xf>
    <xf numFmtId="3" fontId="11" fillId="2" borderId="1" xfId="0" applyNumberFormat="1" applyFont="1" applyFill="1" applyBorder="1" applyAlignment="1" applyProtection="1">
      <alignment horizontal="center" vertical="center"/>
      <protection locked="0"/>
    </xf>
    <xf numFmtId="9" fontId="11" fillId="2" borderId="1" xfId="2" applyFont="1" applyFill="1" applyBorder="1" applyAlignment="1" applyProtection="1">
      <alignment horizontal="center" vertical="center"/>
      <protection locked="0"/>
    </xf>
    <xf numFmtId="9" fontId="24" fillId="2" borderId="1" xfId="2" applyNumberFormat="1" applyFont="1" applyFill="1" applyBorder="1" applyAlignment="1" applyProtection="1">
      <alignment horizontal="center" vertical="center"/>
      <protection locked="0"/>
    </xf>
    <xf numFmtId="0" fontId="11" fillId="2" borderId="1" xfId="0" applyFont="1" applyFill="1" applyBorder="1" applyAlignment="1" applyProtection="1">
      <alignment vertical="center" wrapText="1"/>
      <protection locked="0"/>
    </xf>
    <xf numFmtId="9" fontId="11" fillId="2" borderId="1" xfId="0" applyNumberFormat="1" applyFont="1" applyFill="1" applyBorder="1" applyAlignment="1" applyProtection="1">
      <alignment horizontal="center" vertical="center"/>
      <protection locked="0"/>
    </xf>
    <xf numFmtId="168" fontId="11" fillId="2" borderId="1" xfId="2" applyNumberFormat="1" applyFont="1" applyFill="1" applyBorder="1" applyAlignment="1" applyProtection="1">
      <alignment horizontal="center" vertical="center"/>
      <protection locked="0"/>
    </xf>
    <xf numFmtId="1" fontId="11" fillId="2" borderId="1" xfId="2" applyNumberFormat="1" applyFont="1" applyFill="1" applyBorder="1" applyAlignment="1" applyProtection="1">
      <alignment horizontal="center" vertical="center"/>
      <protection locked="0"/>
    </xf>
    <xf numFmtId="0" fontId="0" fillId="3" borderId="21" xfId="0" applyFill="1" applyBorder="1" applyAlignment="1" applyProtection="1">
      <alignment horizontal="center" vertical="center"/>
      <protection hidden="1"/>
    </xf>
    <xf numFmtId="0" fontId="0" fillId="3" borderId="0" xfId="0" applyFill="1" applyProtection="1">
      <protection hidden="1"/>
    </xf>
    <xf numFmtId="0" fontId="10" fillId="3" borderId="12" xfId="0"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3" fillId="3" borderId="0"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23" fillId="3" borderId="1" xfId="0" applyFont="1" applyFill="1" applyBorder="1" applyAlignment="1" applyProtection="1">
      <alignment horizontal="right" vertical="center" wrapText="1"/>
      <protection hidden="1"/>
    </xf>
    <xf numFmtId="3" fontId="11" fillId="3" borderId="1" xfId="0" applyNumberFormat="1"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hidden="1"/>
    </xf>
    <xf numFmtId="167" fontId="11" fillId="3" borderId="0" xfId="4" applyNumberFormat="1" applyFont="1" applyFill="1" applyAlignment="1" applyProtection="1">
      <alignment horizontal="center" vertical="center"/>
      <protection hidden="1"/>
    </xf>
    <xf numFmtId="0" fontId="11" fillId="3" borderId="0" xfId="0" applyFont="1" applyFill="1" applyBorder="1" applyAlignment="1" applyProtection="1">
      <alignment horizontal="center" vertical="center"/>
      <protection hidden="1"/>
    </xf>
    <xf numFmtId="165" fontId="11" fillId="3" borderId="1" xfId="0" applyNumberFormat="1" applyFont="1" applyFill="1" applyBorder="1" applyAlignment="1" applyProtection="1">
      <alignment horizontal="center" vertical="center"/>
      <protection hidden="1"/>
    </xf>
    <xf numFmtId="0" fontId="0" fillId="3" borderId="23" xfId="0" applyFill="1" applyBorder="1" applyAlignment="1" applyProtection="1">
      <alignment horizontal="center" vertical="center"/>
      <protection hidden="1"/>
    </xf>
    <xf numFmtId="0" fontId="23" fillId="3" borderId="25" xfId="0" applyFont="1" applyFill="1" applyBorder="1" applyAlignment="1" applyProtection="1">
      <alignment horizontal="right" vertical="center" wrapText="1"/>
      <protection hidden="1"/>
    </xf>
    <xf numFmtId="0" fontId="0" fillId="3" borderId="22" xfId="0" applyFill="1" applyBorder="1" applyAlignment="1" applyProtection="1">
      <alignment horizontal="center" vertical="center"/>
      <protection hidden="1"/>
    </xf>
    <xf numFmtId="0" fontId="23" fillId="3" borderId="24" xfId="0" applyFont="1" applyFill="1" applyBorder="1" applyAlignment="1" applyProtection="1">
      <alignment horizontal="right" vertical="center" wrapText="1"/>
      <protection hidden="1"/>
    </xf>
    <xf numFmtId="0" fontId="23" fillId="3" borderId="10" xfId="0" applyFont="1" applyFill="1" applyBorder="1" applyAlignment="1" applyProtection="1">
      <alignment horizontal="right" vertical="center" wrapText="1"/>
      <protection hidden="1"/>
    </xf>
    <xf numFmtId="0" fontId="8" fillId="3" borderId="0" xfId="0" applyFont="1" applyFill="1" applyBorder="1" applyAlignment="1" applyProtection="1">
      <alignment horizontal="right" vertical="center" wrapText="1"/>
      <protection hidden="1"/>
    </xf>
    <xf numFmtId="165" fontId="0" fillId="3" borderId="0" xfId="0" applyNumberFormat="1" applyFill="1" applyBorder="1" applyAlignment="1" applyProtection="1">
      <alignment horizontal="center" vertical="center"/>
      <protection hidden="1"/>
    </xf>
    <xf numFmtId="0" fontId="23" fillId="3" borderId="8" xfId="0" applyFont="1" applyFill="1" applyBorder="1" applyAlignment="1" applyProtection="1">
      <alignment horizontal="center" vertical="center" wrapText="1"/>
      <protection hidden="1"/>
    </xf>
    <xf numFmtId="0" fontId="23" fillId="3" borderId="10" xfId="0" applyFont="1" applyFill="1" applyBorder="1" applyAlignment="1" applyProtection="1">
      <alignment horizontal="center" vertical="center" wrapText="1"/>
      <protection hidden="1"/>
    </xf>
    <xf numFmtId="2" fontId="11" fillId="3" borderId="1" xfId="2" applyNumberFormat="1" applyFont="1" applyFill="1" applyBorder="1" applyAlignment="1" applyProtection="1">
      <alignment horizontal="center" vertical="center"/>
      <protection hidden="1"/>
    </xf>
    <xf numFmtId="0" fontId="4" fillId="3" borderId="8" xfId="0" applyFont="1" applyFill="1" applyBorder="1" applyAlignment="1" applyProtection="1">
      <alignment horizontal="right" vertical="center" wrapText="1"/>
      <protection hidden="1"/>
    </xf>
    <xf numFmtId="9" fontId="29" fillId="3" borderId="10" xfId="2" applyFont="1" applyFill="1" applyBorder="1" applyAlignment="1" applyProtection="1">
      <alignment horizontal="right" vertical="center"/>
    </xf>
    <xf numFmtId="0" fontId="34" fillId="3" borderId="0" xfId="0" applyFont="1" applyFill="1" applyBorder="1" applyAlignment="1">
      <alignment vertical="center" wrapText="1"/>
    </xf>
    <xf numFmtId="0" fontId="0" fillId="3" borderId="0" xfId="0" applyFill="1" applyBorder="1" applyAlignment="1">
      <alignment vertical="center" wrapText="1"/>
    </xf>
    <xf numFmtId="0" fontId="35" fillId="3" borderId="0" xfId="0" applyFont="1" applyFill="1" applyBorder="1" applyAlignment="1">
      <alignment vertical="center" wrapText="1"/>
    </xf>
    <xf numFmtId="0" fontId="36" fillId="3" borderId="0" xfId="0" applyFont="1" applyFill="1" applyBorder="1" applyAlignment="1">
      <alignment horizontal="center" vertical="center" wrapText="1"/>
    </xf>
    <xf numFmtId="0" fontId="44" fillId="3" borderId="0" xfId="0" applyFont="1" applyFill="1" applyBorder="1" applyAlignment="1">
      <alignment horizontal="right" vertical="center" wrapText="1"/>
    </xf>
    <xf numFmtId="0" fontId="36" fillId="3" borderId="0" xfId="0" applyFont="1" applyFill="1" applyBorder="1" applyAlignment="1">
      <alignment vertical="center" wrapText="1"/>
    </xf>
    <xf numFmtId="0" fontId="36" fillId="3" borderId="0" xfId="0" applyFont="1" applyFill="1" applyBorder="1" applyAlignment="1">
      <alignment horizontal="right" vertical="center" wrapText="1"/>
    </xf>
    <xf numFmtId="0" fontId="1" fillId="3" borderId="0" xfId="0" applyFont="1" applyFill="1" applyBorder="1" applyAlignment="1">
      <alignment vertical="center" wrapText="1"/>
    </xf>
    <xf numFmtId="0" fontId="39" fillId="3" borderId="0" xfId="0" applyFont="1" applyFill="1" applyBorder="1" applyAlignment="1">
      <alignment horizontal="left" vertical="center" wrapText="1" indent="1"/>
    </xf>
    <xf numFmtId="0" fontId="0" fillId="3" borderId="0" xfId="0" applyFill="1" applyBorder="1" applyAlignment="1">
      <alignment horizontal="left" vertical="center" wrapText="1" indent="1"/>
    </xf>
    <xf numFmtId="0" fontId="40" fillId="3" borderId="0" xfId="0" applyFont="1" applyFill="1" applyBorder="1" applyAlignment="1">
      <alignment horizontal="left" vertical="center" wrapText="1" indent="2"/>
    </xf>
    <xf numFmtId="0" fontId="1" fillId="3" borderId="0" xfId="0" applyFont="1" applyFill="1" applyBorder="1" applyAlignment="1">
      <alignment horizontal="left" vertical="center" wrapText="1" indent="1"/>
    </xf>
    <xf numFmtId="0" fontId="39" fillId="3" borderId="0" xfId="0" applyFont="1" applyFill="1" applyBorder="1" applyAlignment="1">
      <alignment vertical="center" wrapText="1"/>
    </xf>
    <xf numFmtId="0" fontId="42" fillId="3" borderId="0" xfId="0" applyFont="1" applyFill="1" applyBorder="1" applyAlignment="1">
      <alignment horizontal="center" vertical="center" wrapText="1"/>
    </xf>
    <xf numFmtId="0" fontId="7" fillId="3" borderId="0" xfId="3" applyFill="1" applyBorder="1" applyAlignment="1">
      <alignment horizontal="left" indent="5"/>
    </xf>
    <xf numFmtId="0" fontId="40" fillId="3" borderId="0" xfId="0" applyFont="1" applyFill="1" applyBorder="1" applyAlignment="1">
      <alignment horizontal="left" vertical="center" indent="2"/>
    </xf>
    <xf numFmtId="0" fontId="45" fillId="0" borderId="0" xfId="0" applyFont="1" applyFill="1" applyAlignment="1">
      <alignment horizontal="left"/>
    </xf>
    <xf numFmtId="0" fontId="0" fillId="6" borderId="0" xfId="0" applyFill="1"/>
    <xf numFmtId="0" fontId="47" fillId="0" borderId="0" xfId="0" applyFont="1"/>
    <xf numFmtId="0" fontId="47" fillId="0" borderId="0" xfId="0" applyFont="1" applyFill="1"/>
    <xf numFmtId="0" fontId="47" fillId="6" borderId="0" xfId="0" applyFont="1" applyFill="1"/>
    <xf numFmtId="0" fontId="47" fillId="0" borderId="0" xfId="0" applyFont="1" applyAlignment="1">
      <alignment horizontal="left" vertical="top" wrapText="1"/>
    </xf>
    <xf numFmtId="0" fontId="47" fillId="0" borderId="0" xfId="0" applyFont="1" applyAlignment="1">
      <alignment wrapText="1"/>
    </xf>
    <xf numFmtId="0" fontId="47" fillId="0" borderId="26" xfId="0" applyFont="1" applyBorder="1" applyAlignment="1">
      <alignment wrapText="1"/>
    </xf>
    <xf numFmtId="0" fontId="47" fillId="0" borderId="27" xfId="0" applyFont="1" applyBorder="1" applyAlignment="1">
      <alignment horizontal="left" vertical="center"/>
    </xf>
    <xf numFmtId="0" fontId="47" fillId="7" borderId="27" xfId="0" applyFont="1" applyFill="1" applyBorder="1" applyAlignment="1">
      <alignment horizontal="left" vertical="center"/>
    </xf>
    <xf numFmtId="0" fontId="47" fillId="7" borderId="30" xfId="0" applyFont="1" applyFill="1" applyBorder="1" applyAlignment="1">
      <alignment horizontal="center" vertical="center"/>
    </xf>
    <xf numFmtId="0" fontId="47" fillId="0" borderId="31" xfId="0" applyFont="1" applyBorder="1" applyAlignment="1">
      <alignment horizontal="left" vertical="center"/>
    </xf>
    <xf numFmtId="0" fontId="47" fillId="0" borderId="0" xfId="0" applyFont="1" applyFill="1" applyBorder="1" applyAlignment="1">
      <alignment horizontal="center" vertical="center"/>
    </xf>
    <xf numFmtId="0" fontId="47" fillId="7" borderId="31" xfId="0" applyFont="1" applyFill="1" applyBorder="1" applyAlignment="1">
      <alignment horizontal="left" vertical="center"/>
    </xf>
    <xf numFmtId="0" fontId="47" fillId="7" borderId="37" xfId="0" applyFont="1" applyFill="1" applyBorder="1" applyAlignment="1">
      <alignment horizontal="center" vertical="center"/>
    </xf>
    <xf numFmtId="0" fontId="47" fillId="0" borderId="40" xfId="0" applyFont="1" applyBorder="1" applyAlignment="1">
      <alignment horizontal="center" vertical="center"/>
    </xf>
    <xf numFmtId="0" fontId="47" fillId="7" borderId="42" xfId="0" applyFont="1" applyFill="1" applyBorder="1" applyAlignment="1">
      <alignment horizontal="center" vertical="center"/>
    </xf>
    <xf numFmtId="0" fontId="3" fillId="0" borderId="31" xfId="0" applyFont="1" applyBorder="1" applyAlignment="1">
      <alignment horizontal="left" vertical="center"/>
    </xf>
    <xf numFmtId="2" fontId="3" fillId="0" borderId="40" xfId="0" applyNumberFormat="1" applyFont="1" applyBorder="1" applyAlignment="1">
      <alignment horizontal="center" vertical="center"/>
    </xf>
    <xf numFmtId="0" fontId="3" fillId="7" borderId="31" xfId="0" applyFont="1" applyFill="1" applyBorder="1" applyAlignment="1">
      <alignment horizontal="left" vertical="center"/>
    </xf>
    <xf numFmtId="2" fontId="3" fillId="7" borderId="42" xfId="0" applyNumberFormat="1" applyFont="1" applyFill="1" applyBorder="1" applyAlignment="1">
      <alignment horizontal="center" vertical="center"/>
    </xf>
    <xf numFmtId="0" fontId="3" fillId="0" borderId="40" xfId="0" applyFont="1" applyBorder="1" applyAlignment="1">
      <alignment horizontal="center" vertical="center" wrapText="1"/>
    </xf>
    <xf numFmtId="2" fontId="3" fillId="0" borderId="0" xfId="0" applyNumberFormat="1" applyFont="1" applyFill="1" applyBorder="1" applyAlignment="1">
      <alignment horizontal="center" vertical="center"/>
    </xf>
    <xf numFmtId="0" fontId="3" fillId="7" borderId="42" xfId="0" applyFont="1" applyFill="1" applyBorder="1" applyAlignment="1">
      <alignment horizontal="center" vertical="center" wrapText="1"/>
    </xf>
    <xf numFmtId="2" fontId="47" fillId="0" borderId="40" xfId="0" applyNumberFormat="1" applyFont="1" applyBorder="1" applyAlignment="1">
      <alignment horizontal="center" vertical="center"/>
    </xf>
    <xf numFmtId="0" fontId="3" fillId="0" borderId="0" xfId="0" applyFont="1" applyFill="1" applyBorder="1" applyAlignment="1">
      <alignment horizontal="center" vertical="center" wrapText="1"/>
    </xf>
    <xf numFmtId="2" fontId="47" fillId="7" borderId="42" xfId="0" applyNumberFormat="1" applyFont="1" applyFill="1" applyBorder="1" applyAlignment="1">
      <alignment horizontal="center" vertical="center"/>
    </xf>
    <xf numFmtId="0" fontId="47" fillId="0" borderId="48" xfId="0" applyFont="1" applyBorder="1" applyAlignment="1">
      <alignment horizontal="center" vertical="center" wrapText="1"/>
    </xf>
    <xf numFmtId="2" fontId="47" fillId="0" borderId="0" xfId="0" applyNumberFormat="1" applyFont="1" applyFill="1" applyBorder="1" applyAlignment="1">
      <alignment horizontal="center" vertical="center"/>
    </xf>
    <xf numFmtId="0" fontId="47" fillId="7" borderId="42"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34" xfId="0" applyFont="1" applyBorder="1" applyAlignment="1">
      <alignment horizontal="center" vertical="center"/>
    </xf>
    <xf numFmtId="0" fontId="47" fillId="0" borderId="0" xfId="0" applyFont="1" applyFill="1" applyBorder="1" applyAlignment="1">
      <alignment horizontal="center" vertical="center" wrapText="1"/>
    </xf>
    <xf numFmtId="0" fontId="3" fillId="7" borderId="31" xfId="0" applyFont="1" applyFill="1" applyBorder="1" applyAlignment="1">
      <alignment horizontal="left" vertical="center" wrapText="1"/>
    </xf>
    <xf numFmtId="0" fontId="3" fillId="7" borderId="42" xfId="0" applyFont="1" applyFill="1" applyBorder="1" applyAlignment="1">
      <alignment horizontal="center" vertical="center"/>
    </xf>
    <xf numFmtId="0" fontId="47" fillId="0" borderId="31" xfId="0" applyFont="1" applyBorder="1" applyAlignment="1">
      <alignment horizontal="left" vertical="center" wrapText="1"/>
    </xf>
    <xf numFmtId="0" fontId="3" fillId="0" borderId="0" xfId="0" applyFont="1" applyFill="1" applyBorder="1" applyAlignment="1">
      <alignment horizontal="center" vertical="center"/>
    </xf>
    <xf numFmtId="0" fontId="47" fillId="7" borderId="31" xfId="0" applyFont="1" applyFill="1" applyBorder="1" applyAlignment="1">
      <alignment horizontal="left" vertical="center" wrapText="1"/>
    </xf>
    <xf numFmtId="0" fontId="47" fillId="0" borderId="45" xfId="0" applyFont="1" applyBorder="1" applyAlignment="1">
      <alignment horizontal="left" vertical="center" wrapText="1"/>
    </xf>
    <xf numFmtId="0" fontId="47" fillId="7" borderId="45" xfId="0" applyFont="1" applyFill="1" applyBorder="1" applyAlignment="1">
      <alignment horizontal="left" vertical="center" wrapText="1"/>
    </xf>
    <xf numFmtId="0" fontId="47" fillId="0" borderId="40" xfId="0" applyFont="1" applyBorder="1" applyAlignment="1">
      <alignment horizontal="center" vertical="center" wrapText="1"/>
    </xf>
    <xf numFmtId="0" fontId="47" fillId="0" borderId="45" xfId="0" applyFont="1" applyBorder="1" applyAlignment="1">
      <alignment wrapText="1"/>
    </xf>
    <xf numFmtId="166" fontId="47" fillId="0" borderId="40" xfId="0" applyNumberFormat="1" applyFont="1" applyBorder="1" applyAlignment="1">
      <alignment horizontal="center" vertical="center"/>
    </xf>
    <xf numFmtId="0" fontId="47" fillId="7" borderId="45" xfId="0" applyFont="1" applyFill="1" applyBorder="1" applyAlignment="1">
      <alignment wrapText="1"/>
    </xf>
    <xf numFmtId="1" fontId="47" fillId="0" borderId="40" xfId="0" applyNumberFormat="1" applyFont="1" applyBorder="1" applyAlignment="1">
      <alignment horizontal="center" wrapText="1"/>
    </xf>
    <xf numFmtId="166" fontId="47" fillId="0" borderId="0" xfId="0" applyNumberFormat="1" applyFont="1" applyFill="1" applyBorder="1" applyAlignment="1">
      <alignment horizontal="center" vertical="center"/>
    </xf>
    <xf numFmtId="1" fontId="47" fillId="7" borderId="42" xfId="0" applyNumberFormat="1" applyFont="1" applyFill="1" applyBorder="1" applyAlignment="1">
      <alignment horizontal="center" vertical="center"/>
    </xf>
    <xf numFmtId="12" fontId="47" fillId="0" borderId="31" xfId="0" applyNumberFormat="1" applyFont="1" applyBorder="1" applyAlignment="1">
      <alignment horizontal="left" vertical="center"/>
    </xf>
    <xf numFmtId="1" fontId="47" fillId="0" borderId="0" xfId="0" applyNumberFormat="1" applyFont="1" applyFill="1" applyBorder="1" applyAlignment="1">
      <alignment horizontal="center" wrapText="1"/>
    </xf>
    <xf numFmtId="12" fontId="47" fillId="7" borderId="31" xfId="0" applyNumberFormat="1" applyFont="1" applyFill="1" applyBorder="1" applyAlignment="1">
      <alignment horizontal="left" vertical="center"/>
    </xf>
    <xf numFmtId="9" fontId="47" fillId="0" borderId="58" xfId="0" applyNumberFormat="1" applyFont="1" applyBorder="1" applyAlignment="1">
      <alignment horizontal="center" vertical="center"/>
    </xf>
    <xf numFmtId="2" fontId="47" fillId="7" borderId="59" xfId="0" applyNumberFormat="1" applyFont="1" applyFill="1" applyBorder="1" applyAlignment="1">
      <alignment horizontal="center" vertical="center"/>
    </xf>
    <xf numFmtId="9" fontId="47" fillId="8" borderId="63" xfId="0" applyNumberFormat="1" applyFont="1" applyFill="1" applyBorder="1" applyAlignment="1" applyProtection="1">
      <alignment horizontal="center" vertical="center"/>
      <protection locked="0"/>
    </xf>
    <xf numFmtId="9" fontId="47" fillId="0" borderId="0" xfId="0" applyNumberFormat="1" applyFont="1" applyFill="1" applyBorder="1" applyAlignment="1">
      <alignment horizontal="center" vertical="center"/>
    </xf>
    <xf numFmtId="9" fontId="47" fillId="7" borderId="42" xfId="0" applyNumberFormat="1" applyFont="1" applyFill="1" applyBorder="1" applyAlignment="1">
      <alignment horizontal="center" vertical="center"/>
    </xf>
    <xf numFmtId="166" fontId="47" fillId="0" borderId="68" xfId="0" applyNumberFormat="1" applyFont="1" applyBorder="1" applyAlignment="1">
      <alignment horizontal="center" vertical="center"/>
    </xf>
    <xf numFmtId="9" fontId="47" fillId="0" borderId="0" xfId="0" applyNumberFormat="1" applyFont="1" applyFill="1" applyBorder="1" applyAlignment="1" applyProtection="1">
      <alignment horizontal="center" vertical="center"/>
      <protection locked="0"/>
    </xf>
    <xf numFmtId="166" fontId="47" fillId="7" borderId="69" xfId="0" applyNumberFormat="1" applyFont="1" applyFill="1" applyBorder="1" applyAlignment="1">
      <alignment horizontal="center" vertical="center"/>
    </xf>
    <xf numFmtId="14" fontId="47" fillId="0" borderId="40" xfId="0" applyNumberFormat="1" applyFont="1" applyBorder="1" applyAlignment="1">
      <alignment horizontal="center" vertical="center"/>
    </xf>
    <xf numFmtId="14" fontId="47" fillId="7" borderId="42" xfId="0" applyNumberFormat="1" applyFont="1" applyFill="1" applyBorder="1" applyAlignment="1">
      <alignment horizontal="center" vertical="center"/>
    </xf>
    <xf numFmtId="14" fontId="47" fillId="0" borderId="0" xfId="0" applyNumberFormat="1" applyFont="1" applyFill="1" applyBorder="1" applyAlignment="1">
      <alignment horizontal="center" vertical="center"/>
    </xf>
    <xf numFmtId="0" fontId="54" fillId="0" borderId="31" xfId="0" applyFont="1" applyBorder="1" applyAlignment="1">
      <alignment horizontal="left" vertical="center"/>
    </xf>
    <xf numFmtId="0" fontId="54" fillId="0" borderId="40" xfId="0" applyFont="1" applyBorder="1" applyAlignment="1">
      <alignment horizontal="center" vertical="center"/>
    </xf>
    <xf numFmtId="0" fontId="54" fillId="0" borderId="31" xfId="0" applyFont="1" applyBorder="1" applyAlignment="1">
      <alignment horizontal="left" vertical="center" wrapText="1"/>
    </xf>
    <xf numFmtId="0" fontId="47" fillId="0" borderId="42" xfId="0" applyFont="1" applyBorder="1" applyAlignment="1">
      <alignment horizontal="left" vertical="center"/>
    </xf>
    <xf numFmtId="0" fontId="47" fillId="0" borderId="42" xfId="0" applyFont="1" applyBorder="1" applyAlignment="1">
      <alignment horizontal="left" vertical="center" wrapText="1"/>
    </xf>
    <xf numFmtId="0" fontId="57" fillId="7" borderId="70" xfId="3" applyFont="1" applyFill="1" applyBorder="1" applyAlignment="1">
      <alignment horizontal="center" vertical="center" wrapText="1"/>
    </xf>
    <xf numFmtId="0" fontId="47" fillId="7" borderId="71" xfId="0" applyFont="1" applyFill="1" applyBorder="1" applyAlignment="1">
      <alignment horizontal="left" vertical="center" wrapText="1"/>
    </xf>
    <xf numFmtId="0" fontId="47" fillId="7" borderId="71" xfId="0" applyFont="1" applyFill="1" applyBorder="1" applyAlignment="1">
      <alignment horizontal="center" vertical="center" wrapText="1"/>
    </xf>
    <xf numFmtId="0" fontId="47" fillId="0" borderId="72" xfId="0" applyFont="1" applyBorder="1" applyAlignment="1">
      <alignment horizontal="left" vertical="center" wrapText="1"/>
    </xf>
    <xf numFmtId="0" fontId="47" fillId="0" borderId="75" xfId="0" applyFont="1" applyBorder="1" applyAlignment="1">
      <alignment horizontal="center" vertical="center" wrapText="1"/>
    </xf>
    <xf numFmtId="0" fontId="47" fillId="7" borderId="77" xfId="0" applyFont="1" applyFill="1" applyBorder="1" applyAlignment="1">
      <alignment horizontal="left" vertical="center" wrapText="1"/>
    </xf>
    <xf numFmtId="0" fontId="47" fillId="7" borderId="77" xfId="0" applyFont="1" applyFill="1" applyBorder="1" applyAlignment="1">
      <alignment horizontal="center" vertical="center" wrapText="1"/>
    </xf>
    <xf numFmtId="0" fontId="47" fillId="6" borderId="0" xfId="0" applyFont="1" applyFill="1" applyAlignment="1">
      <alignment vertical="top"/>
    </xf>
    <xf numFmtId="0" fontId="47" fillId="0" borderId="0" xfId="0" applyFont="1" applyAlignment="1">
      <alignment vertical="top"/>
    </xf>
    <xf numFmtId="0" fontId="47" fillId="0" borderId="0" xfId="0" applyFont="1" applyFill="1" applyAlignment="1">
      <alignment vertical="top"/>
    </xf>
    <xf numFmtId="0" fontId="47" fillId="0" borderId="0" xfId="0" applyFont="1" applyFill="1" applyAlignment="1">
      <alignment horizontal="left" vertical="top"/>
    </xf>
    <xf numFmtId="0" fontId="0" fillId="0" borderId="0" xfId="0" applyFill="1"/>
    <xf numFmtId="15" fontId="0" fillId="0" borderId="0" xfId="0" applyNumberFormat="1"/>
    <xf numFmtId="0" fontId="0" fillId="0" borderId="0" xfId="0" applyAlignment="1">
      <alignment wrapText="1"/>
    </xf>
    <xf numFmtId="0" fontId="7" fillId="3" borderId="0" xfId="3" applyFill="1" applyBorder="1" applyAlignment="1">
      <alignment horizontal="left" vertical="center" wrapText="1" indent="5"/>
    </xf>
    <xf numFmtId="0" fontId="23" fillId="3" borderId="0" xfId="0" applyFont="1" applyFill="1" applyBorder="1" applyAlignment="1" applyProtection="1">
      <alignment horizontal="right" vertical="center" wrapText="1"/>
      <protection hidden="1"/>
    </xf>
    <xf numFmtId="3" fontId="11" fillId="3" borderId="0" xfId="0" applyNumberFormat="1" applyFont="1" applyFill="1" applyBorder="1" applyAlignment="1" applyProtection="1">
      <alignment horizontal="center" vertical="center"/>
      <protection hidden="1"/>
    </xf>
    <xf numFmtId="0" fontId="23" fillId="3" borderId="2" xfId="0" applyFont="1" applyFill="1" applyBorder="1" applyAlignment="1" applyProtection="1">
      <alignment horizontal="right" vertical="center" wrapText="1"/>
      <protection hidden="1"/>
    </xf>
    <xf numFmtId="0" fontId="58" fillId="3" borderId="0" xfId="0" applyFont="1" applyFill="1" applyBorder="1" applyAlignment="1">
      <alignment horizontal="left" vertical="center" wrapText="1" indent="1"/>
    </xf>
    <xf numFmtId="0" fontId="59" fillId="3" borderId="0" xfId="0" applyFont="1" applyFill="1" applyBorder="1" applyAlignment="1">
      <alignment horizontal="left" vertical="center" wrapText="1" indent="1"/>
    </xf>
    <xf numFmtId="0" fontId="15" fillId="3" borderId="0" xfId="0" applyFont="1" applyFill="1" applyAlignment="1">
      <alignment horizontal="left" vertical="center" wrapText="1" indent="1"/>
    </xf>
    <xf numFmtId="0" fontId="1" fillId="0" borderId="0" xfId="0" applyFont="1" applyAlignment="1">
      <alignment horizontal="center" vertical="center" wrapText="1"/>
    </xf>
    <xf numFmtId="0" fontId="0" fillId="0" borderId="0" xfId="0" applyAlignment="1">
      <alignment horizontal="center" vertical="center" wrapText="1"/>
    </xf>
    <xf numFmtId="0" fontId="60" fillId="3" borderId="1" xfId="0" applyFont="1" applyFill="1" applyBorder="1" applyAlignment="1" applyProtection="1">
      <alignment horizontal="center" vertical="center" wrapText="1"/>
      <protection hidden="1"/>
    </xf>
    <xf numFmtId="0" fontId="62" fillId="3" borderId="4" xfId="0" applyFont="1" applyFill="1" applyBorder="1" applyAlignment="1" applyProtection="1">
      <alignment horizontal="center" vertical="center" wrapText="1"/>
      <protection hidden="1"/>
    </xf>
    <xf numFmtId="0" fontId="62" fillId="3" borderId="1" xfId="0" applyFont="1" applyFill="1" applyBorder="1" applyAlignment="1" applyProtection="1">
      <alignment horizontal="center" vertical="center" wrapText="1"/>
      <protection hidden="1"/>
    </xf>
    <xf numFmtId="169" fontId="11" fillId="2" borderId="1" xfId="0" applyNumberFormat="1" applyFont="1" applyFill="1" applyBorder="1" applyAlignment="1" applyProtection="1">
      <alignment horizontal="center" vertical="center"/>
      <protection locked="0"/>
    </xf>
    <xf numFmtId="170" fontId="11" fillId="3" borderId="1" xfId="1" applyNumberFormat="1" applyFont="1" applyFill="1" applyBorder="1" applyAlignment="1" applyProtection="1">
      <alignment horizontal="center" vertical="center"/>
      <protection locked="0" hidden="1"/>
    </xf>
    <xf numFmtId="171" fontId="11" fillId="2" borderId="1" xfId="2" applyNumberFormat="1" applyFont="1" applyFill="1" applyBorder="1" applyAlignment="1" applyProtection="1">
      <alignment horizontal="center" vertical="center"/>
      <protection locked="0"/>
    </xf>
    <xf numFmtId="169" fontId="11" fillId="2" borderId="8" xfId="0" applyNumberFormat="1" applyFont="1" applyFill="1" applyBorder="1" applyAlignment="1" applyProtection="1">
      <alignment horizontal="center" vertical="center" wrapText="1"/>
      <protection locked="0"/>
    </xf>
    <xf numFmtId="171" fontId="11" fillId="2" borderId="8" xfId="0" applyNumberFormat="1" applyFont="1" applyFill="1" applyBorder="1" applyAlignment="1" applyProtection="1">
      <alignment horizontal="center" vertical="center"/>
      <protection locked="0"/>
    </xf>
    <xf numFmtId="169" fontId="11" fillId="3" borderId="1" xfId="0" applyNumberFormat="1" applyFont="1" applyFill="1" applyBorder="1" applyAlignment="1" applyProtection="1">
      <alignment horizontal="center" vertical="center"/>
      <protection hidden="1"/>
    </xf>
    <xf numFmtId="172" fontId="11" fillId="3" borderId="1" xfId="0" applyNumberFormat="1" applyFont="1" applyFill="1" applyBorder="1" applyAlignment="1" applyProtection="1">
      <alignment horizontal="center" vertical="center"/>
      <protection hidden="1"/>
    </xf>
    <xf numFmtId="169" fontId="24" fillId="3" borderId="1" xfId="0" applyNumberFormat="1" applyFont="1" applyFill="1" applyBorder="1" applyAlignment="1" applyProtection="1">
      <alignment horizontal="center" vertical="center"/>
      <protection hidden="1"/>
    </xf>
    <xf numFmtId="169" fontId="24" fillId="3" borderId="4" xfId="0" applyNumberFormat="1" applyFont="1" applyFill="1" applyBorder="1" applyAlignment="1" applyProtection="1">
      <alignment horizontal="center" vertical="center"/>
      <protection hidden="1"/>
    </xf>
    <xf numFmtId="173" fontId="11" fillId="3" borderId="1" xfId="0" applyNumberFormat="1" applyFont="1" applyFill="1" applyBorder="1" applyAlignment="1" applyProtection="1">
      <alignment horizontal="center" vertical="center"/>
      <protection hidden="1"/>
    </xf>
    <xf numFmtId="174" fontId="0" fillId="0" borderId="0" xfId="0" applyNumberFormat="1" applyAlignment="1">
      <alignment horizontal="center" vertical="center"/>
    </xf>
    <xf numFmtId="0" fontId="15" fillId="3" borderId="0" xfId="0" applyFont="1" applyFill="1" applyAlignment="1">
      <alignment horizontal="left" vertical="center" wrapText="1" indent="1"/>
    </xf>
    <xf numFmtId="0" fontId="17" fillId="3" borderId="3" xfId="0" applyFont="1" applyFill="1" applyBorder="1" applyAlignment="1" applyProtection="1">
      <alignment horizontal="center" vertical="center" wrapText="1"/>
      <protection hidden="1"/>
    </xf>
    <xf numFmtId="0" fontId="17" fillId="3" borderId="5" xfId="0" applyFont="1" applyFill="1" applyBorder="1" applyAlignment="1" applyProtection="1">
      <alignment horizontal="center" vertical="center" wrapText="1"/>
      <protection hidden="1"/>
    </xf>
    <xf numFmtId="0" fontId="17" fillId="3" borderId="4"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protection hidden="1"/>
    </xf>
    <xf numFmtId="9" fontId="11" fillId="2" borderId="11" xfId="2" applyFont="1" applyFill="1" applyBorder="1" applyAlignment="1" applyProtection="1">
      <alignment horizontal="center" vertical="center"/>
      <protection locked="0"/>
    </xf>
    <xf numFmtId="9" fontId="11" fillId="2" borderId="16" xfId="2"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wrapText="1"/>
      <protection hidden="1"/>
    </xf>
    <xf numFmtId="0" fontId="17" fillId="3" borderId="10"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4" fillId="5" borderId="9"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hidden="1"/>
    </xf>
    <xf numFmtId="0" fontId="21" fillId="3" borderId="5" xfId="0" applyFont="1" applyFill="1" applyBorder="1" applyAlignment="1" applyProtection="1">
      <alignment horizontal="center" vertical="center"/>
      <protection hidden="1"/>
    </xf>
    <xf numFmtId="0" fontId="21" fillId="3" borderId="4" xfId="0" applyFont="1" applyFill="1" applyBorder="1" applyAlignment="1" applyProtection="1">
      <alignment horizontal="center" vertical="center"/>
      <protection hidden="1"/>
    </xf>
    <xf numFmtId="0" fontId="12" fillId="5" borderId="0" xfId="0" applyNumberFormat="1" applyFont="1" applyFill="1" applyBorder="1" applyAlignment="1" applyProtection="1">
      <alignment horizontal="center" vertical="center"/>
      <protection hidden="1"/>
    </xf>
    <xf numFmtId="0" fontId="13" fillId="3" borderId="2" xfId="0" applyFont="1" applyFill="1" applyBorder="1" applyAlignment="1" applyProtection="1">
      <alignment horizontal="right" vertical="center"/>
      <protection hidden="1"/>
    </xf>
    <xf numFmtId="0" fontId="13" fillId="3" borderId="17" xfId="0" applyFont="1" applyFill="1" applyBorder="1" applyAlignment="1" applyProtection="1">
      <alignment horizontal="right" vertical="center"/>
      <protection hidden="1"/>
    </xf>
    <xf numFmtId="0" fontId="29" fillId="5" borderId="0" xfId="0" applyFont="1" applyFill="1" applyAlignment="1" applyProtection="1">
      <alignment horizontal="left" vertical="center" wrapText="1"/>
      <protection hidden="1"/>
    </xf>
    <xf numFmtId="0" fontId="21" fillId="5" borderId="3" xfId="0" applyFont="1" applyFill="1" applyBorder="1" applyAlignment="1" applyProtection="1">
      <alignment horizontal="left" vertical="center"/>
      <protection hidden="1"/>
    </xf>
    <xf numFmtId="0" fontId="21" fillId="5" borderId="5" xfId="0" applyFont="1" applyFill="1" applyBorder="1" applyAlignment="1" applyProtection="1">
      <alignment horizontal="left" vertical="center"/>
      <protection hidden="1"/>
    </xf>
    <xf numFmtId="0" fontId="21" fillId="5" borderId="4" xfId="0" applyFont="1" applyFill="1" applyBorder="1" applyAlignment="1" applyProtection="1">
      <alignment horizontal="left" vertical="center"/>
      <protection hidden="1"/>
    </xf>
    <xf numFmtId="0" fontId="0" fillId="3" borderId="11" xfId="0" applyFont="1" applyFill="1" applyBorder="1" applyAlignment="1" applyProtection="1">
      <alignment horizontal="left" vertical="center" wrapText="1"/>
      <protection hidden="1"/>
    </xf>
    <xf numFmtId="0" fontId="0" fillId="3" borderId="12" xfId="0" applyFont="1" applyFill="1" applyBorder="1" applyAlignment="1" applyProtection="1">
      <alignment horizontal="left" vertical="center" wrapText="1"/>
      <protection hidden="1"/>
    </xf>
    <xf numFmtId="0" fontId="0" fillId="3" borderId="13" xfId="0" applyFont="1" applyFill="1" applyBorder="1" applyAlignment="1" applyProtection="1">
      <alignment horizontal="left" vertical="center" wrapText="1"/>
      <protection hidden="1"/>
    </xf>
    <xf numFmtId="0" fontId="0" fillId="3" borderId="14" xfId="0" applyFont="1" applyFill="1" applyBorder="1" applyAlignment="1" applyProtection="1">
      <alignment horizontal="left" vertical="center" wrapText="1"/>
      <protection hidden="1"/>
    </xf>
    <xf numFmtId="0" fontId="0" fillId="3" borderId="0" xfId="0" applyFont="1" applyFill="1" applyBorder="1" applyAlignment="1" applyProtection="1">
      <alignment horizontal="left" vertical="center" wrapText="1"/>
      <protection hidden="1"/>
    </xf>
    <xf numFmtId="0" fontId="0" fillId="3" borderId="15" xfId="0" applyFont="1" applyFill="1" applyBorder="1" applyAlignment="1" applyProtection="1">
      <alignment horizontal="left" vertical="center" wrapText="1"/>
      <protection hidden="1"/>
    </xf>
    <xf numFmtId="0" fontId="0" fillId="3" borderId="14" xfId="0" applyFont="1"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xf numFmtId="0" fontId="0" fillId="3" borderId="15" xfId="0" applyFont="1" applyFill="1" applyBorder="1" applyAlignment="1" applyProtection="1">
      <alignment horizontal="left" vertical="top" wrapText="1"/>
      <protection hidden="1"/>
    </xf>
    <xf numFmtId="0" fontId="0" fillId="3" borderId="16" xfId="0" applyFont="1" applyFill="1" applyBorder="1" applyAlignment="1" applyProtection="1">
      <alignment horizontal="left" vertical="top" wrapText="1"/>
      <protection hidden="1"/>
    </xf>
    <xf numFmtId="0" fontId="0" fillId="3" borderId="2" xfId="0" applyFont="1" applyFill="1" applyBorder="1" applyAlignment="1" applyProtection="1">
      <alignment horizontal="left" vertical="top" wrapText="1"/>
      <protection hidden="1"/>
    </xf>
    <xf numFmtId="0" fontId="0" fillId="3" borderId="17" xfId="0" applyFont="1" applyFill="1" applyBorder="1" applyAlignment="1" applyProtection="1">
      <alignment horizontal="left" vertical="top" wrapText="1"/>
      <protection hidden="1"/>
    </xf>
    <xf numFmtId="0" fontId="63" fillId="3" borderId="8" xfId="0" applyFont="1" applyFill="1" applyBorder="1" applyAlignment="1" applyProtection="1">
      <alignment horizontal="center" vertical="center" wrapText="1"/>
      <protection hidden="1"/>
    </xf>
    <xf numFmtId="0" fontId="63" fillId="3" borderId="9" xfId="0" applyFont="1" applyFill="1" applyBorder="1" applyAlignment="1" applyProtection="1">
      <alignment horizontal="center" vertical="center" wrapText="1"/>
      <protection hidden="1"/>
    </xf>
    <xf numFmtId="0" fontId="63" fillId="3" borderId="10" xfId="0" applyFont="1" applyFill="1" applyBorder="1" applyAlignment="1" applyProtection="1">
      <alignment horizontal="center" vertical="center" wrapText="1"/>
      <protection hidden="1"/>
    </xf>
    <xf numFmtId="0" fontId="9" fillId="5" borderId="0" xfId="0" applyFont="1" applyFill="1" applyAlignment="1" applyProtection="1">
      <alignment horizontal="left" vertical="center" wrapText="1"/>
      <protection hidden="1"/>
    </xf>
    <xf numFmtId="0" fontId="21" fillId="3" borderId="3" xfId="0" applyFont="1" applyFill="1" applyBorder="1" applyAlignment="1" applyProtection="1">
      <alignment horizontal="left" vertical="center"/>
      <protection hidden="1"/>
    </xf>
    <xf numFmtId="0" fontId="21" fillId="3" borderId="5" xfId="0" applyFont="1" applyFill="1" applyBorder="1" applyAlignment="1" applyProtection="1">
      <alignment horizontal="left" vertical="center"/>
      <protection hidden="1"/>
    </xf>
    <xf numFmtId="0" fontId="21" fillId="3" borderId="4" xfId="0" applyFont="1" applyFill="1" applyBorder="1" applyAlignment="1" applyProtection="1">
      <alignment horizontal="left" vertical="center"/>
      <protection hidden="1"/>
    </xf>
    <xf numFmtId="0" fontId="24" fillId="3" borderId="3" xfId="0" applyFont="1" applyFill="1" applyBorder="1" applyAlignment="1" applyProtection="1">
      <alignment horizontal="center" vertical="center" wrapText="1"/>
      <protection hidden="1"/>
    </xf>
    <xf numFmtId="0" fontId="24" fillId="3" borderId="5" xfId="0" applyFont="1" applyFill="1" applyBorder="1" applyAlignment="1" applyProtection="1">
      <alignment horizontal="center" vertical="center" wrapText="1"/>
      <protection hidden="1"/>
    </xf>
    <xf numFmtId="0" fontId="24" fillId="3" borderId="4" xfId="0" applyFont="1" applyFill="1" applyBorder="1" applyAlignment="1" applyProtection="1">
      <alignment horizontal="center" vertical="center" wrapText="1"/>
      <protection hidden="1"/>
    </xf>
    <xf numFmtId="0" fontId="17" fillId="3" borderId="9" xfId="0" applyFont="1" applyFill="1" applyBorder="1" applyAlignment="1" applyProtection="1">
      <alignment horizontal="center" vertical="center" wrapText="1"/>
      <protection hidden="1"/>
    </xf>
    <xf numFmtId="164" fontId="12" fillId="5" borderId="12" xfId="0" applyNumberFormat="1"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1"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0" fillId="5" borderId="4" xfId="0" applyFont="1" applyFill="1" applyBorder="1" applyAlignment="1" applyProtection="1">
      <alignment horizontal="center" vertical="center"/>
      <protection hidden="1"/>
    </xf>
    <xf numFmtId="0" fontId="17" fillId="3" borderId="3" xfId="0" applyFont="1" applyFill="1" applyBorder="1" applyAlignment="1" applyProtection="1">
      <alignment horizontal="center" vertical="center"/>
      <protection hidden="1"/>
    </xf>
    <xf numFmtId="0" fontId="17" fillId="3" borderId="5" xfId="0" applyFont="1" applyFill="1" applyBorder="1" applyAlignment="1" applyProtection="1">
      <alignment horizontal="center" vertical="center"/>
      <protection hidden="1"/>
    </xf>
    <xf numFmtId="0" fontId="17" fillId="3" borderId="4" xfId="0" applyFont="1" applyFill="1" applyBorder="1" applyAlignment="1" applyProtection="1">
      <alignment horizontal="center" vertical="center"/>
      <protection hidden="1"/>
    </xf>
    <xf numFmtId="0" fontId="23" fillId="3" borderId="2" xfId="0" applyFont="1" applyFill="1" applyBorder="1" applyAlignment="1" applyProtection="1">
      <alignment horizontal="left" vertical="center" wrapText="1"/>
      <protection hidden="1"/>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45" fillId="0" borderId="0" xfId="0" applyFont="1" applyAlignment="1">
      <alignment horizontal="left"/>
    </xf>
    <xf numFmtId="0" fontId="46" fillId="0" borderId="0" xfId="0" applyFont="1" applyAlignment="1">
      <alignment horizontal="left"/>
    </xf>
    <xf numFmtId="0" fontId="47" fillId="0" borderId="0" xfId="0" applyFont="1" applyAlignment="1">
      <alignment horizontal="left" vertical="top" wrapText="1"/>
    </xf>
    <xf numFmtId="0" fontId="47" fillId="0" borderId="26" xfId="0" applyFont="1" applyBorder="1" applyAlignment="1">
      <alignment horizontal="center" wrapText="1"/>
    </xf>
    <xf numFmtId="0" fontId="47" fillId="0" borderId="28" xfId="0" applyFont="1" applyBorder="1" applyAlignment="1">
      <alignment horizontal="center" vertical="center"/>
    </xf>
    <xf numFmtId="0" fontId="47" fillId="0" borderId="7" xfId="0" applyFont="1" applyBorder="1" applyAlignment="1">
      <alignment horizontal="center" vertical="center"/>
    </xf>
    <xf numFmtId="0" fontId="47" fillId="0" borderId="29" xfId="0" applyFont="1" applyBorder="1" applyAlignment="1">
      <alignment horizontal="center" vertical="center"/>
    </xf>
    <xf numFmtId="0" fontId="3" fillId="0" borderId="3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2" fontId="47" fillId="0" borderId="31" xfId="0" applyNumberFormat="1" applyFont="1" applyBorder="1" applyAlignment="1">
      <alignment horizontal="center" vertical="center"/>
    </xf>
    <xf numFmtId="2" fontId="47" fillId="0" borderId="43" xfId="0" applyNumberFormat="1" applyFont="1" applyBorder="1" applyAlignment="1">
      <alignment horizontal="center" vertical="center"/>
    </xf>
    <xf numFmtId="2" fontId="47" fillId="0" borderId="44" xfId="0" applyNumberFormat="1" applyFont="1" applyBorder="1" applyAlignment="1">
      <alignment horizontal="center" vertical="center"/>
    </xf>
    <xf numFmtId="0" fontId="47" fillId="0" borderId="39" xfId="0" applyFont="1" applyBorder="1" applyAlignment="1">
      <alignment horizontal="center" vertical="center"/>
    </xf>
    <xf numFmtId="0" fontId="47" fillId="0" borderId="41" xfId="0" applyFont="1" applyBorder="1" applyAlignment="1">
      <alignment horizontal="center" vertical="center"/>
    </xf>
    <xf numFmtId="0" fontId="47" fillId="0" borderId="45" xfId="0" applyFont="1" applyBorder="1" applyAlignment="1">
      <alignment horizontal="center" vertical="center" wrapText="1"/>
    </xf>
    <xf numFmtId="0" fontId="47" fillId="0" borderId="46" xfId="0" applyFont="1" applyBorder="1" applyAlignment="1">
      <alignment horizontal="center" vertical="center"/>
    </xf>
    <xf numFmtId="0" fontId="47" fillId="0" borderId="47" xfId="0" applyFont="1" applyBorder="1" applyAlignment="1">
      <alignment horizontal="center" vertical="center"/>
    </xf>
    <xf numFmtId="0" fontId="47" fillId="0" borderId="49" xfId="0" applyFont="1" applyBorder="1" applyAlignment="1">
      <alignment horizontal="center" vertical="center"/>
    </xf>
    <xf numFmtId="0" fontId="47" fillId="0" borderId="50"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8" xfId="0" applyFont="1" applyBorder="1" applyAlignment="1">
      <alignment horizontal="center" vertical="center"/>
    </xf>
    <xf numFmtId="2" fontId="3" fillId="0" borderId="31" xfId="0" applyNumberFormat="1" applyFont="1" applyBorder="1" applyAlignment="1">
      <alignment horizontal="center" vertical="center"/>
    </xf>
    <xf numFmtId="2" fontId="3" fillId="0" borderId="43" xfId="0" applyNumberFormat="1" applyFont="1" applyBorder="1" applyAlignment="1">
      <alignment horizontal="center" vertical="center"/>
    </xf>
    <xf numFmtId="2" fontId="3" fillId="0" borderId="44"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1" xfId="0" applyNumberFormat="1" applyFont="1" applyBorder="1" applyAlignment="1">
      <alignment horizontal="center" vertical="center"/>
    </xf>
    <xf numFmtId="0" fontId="47" fillId="0" borderId="31"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53" xfId="0" applyFont="1" applyBorder="1" applyAlignment="1">
      <alignment horizontal="center" vertical="center"/>
    </xf>
    <xf numFmtId="0" fontId="47" fillId="0" borderId="40" xfId="0" applyFont="1" applyBorder="1" applyAlignment="1">
      <alignment horizontal="center" vertical="center"/>
    </xf>
    <xf numFmtId="0" fontId="47" fillId="0" borderId="31"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40"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4" xfId="0" applyFont="1" applyBorder="1" applyAlignment="1">
      <alignment horizontal="center" vertical="center"/>
    </xf>
    <xf numFmtId="14" fontId="47" fillId="0" borderId="53" xfId="0" applyNumberFormat="1" applyFont="1" applyBorder="1" applyAlignment="1">
      <alignment horizontal="center" vertical="center" wrapText="1"/>
    </xf>
    <xf numFmtId="14" fontId="47" fillId="0" borderId="44" xfId="0" applyNumberFormat="1" applyFont="1" applyBorder="1" applyAlignment="1">
      <alignment horizontal="center" vertical="center" wrapText="1"/>
    </xf>
    <xf numFmtId="166" fontId="47" fillId="0" borderId="31" xfId="0" applyNumberFormat="1" applyFont="1" applyBorder="1" applyAlignment="1">
      <alignment horizontal="center" vertical="center"/>
    </xf>
    <xf numFmtId="166" fontId="47" fillId="0" borderId="43" xfId="0" applyNumberFormat="1" applyFont="1" applyBorder="1" applyAlignment="1">
      <alignment horizontal="center" vertical="center"/>
    </xf>
    <xf numFmtId="166" fontId="47" fillId="0" borderId="44" xfId="0" applyNumberFormat="1" applyFont="1" applyBorder="1" applyAlignment="1">
      <alignment horizontal="center" vertical="center"/>
    </xf>
    <xf numFmtId="166" fontId="47" fillId="0" borderId="53" xfId="0" applyNumberFormat="1" applyFont="1" applyBorder="1" applyAlignment="1">
      <alignment horizontal="center" vertical="center"/>
    </xf>
    <xf numFmtId="166" fontId="47" fillId="0" borderId="40" xfId="0" applyNumberFormat="1" applyFont="1" applyBorder="1" applyAlignment="1">
      <alignment horizontal="center" vertical="center"/>
    </xf>
    <xf numFmtId="9" fontId="47" fillId="0" borderId="54" xfId="0" applyNumberFormat="1" applyFont="1" applyBorder="1" applyAlignment="1">
      <alignment horizontal="center" vertical="center"/>
    </xf>
    <xf numFmtId="9" fontId="47" fillId="0" borderId="55" xfId="0" applyNumberFormat="1" applyFont="1" applyBorder="1" applyAlignment="1">
      <alignment horizontal="center" vertical="center"/>
    </xf>
    <xf numFmtId="9" fontId="47" fillId="0" borderId="56" xfId="0" applyNumberFormat="1" applyFont="1" applyBorder="1" applyAlignment="1">
      <alignment horizontal="center" vertical="center"/>
    </xf>
    <xf numFmtId="9" fontId="47" fillId="0" borderId="57" xfId="0" applyNumberFormat="1" applyFont="1" applyBorder="1" applyAlignment="1">
      <alignment horizontal="center" vertical="center"/>
    </xf>
    <xf numFmtId="9" fontId="47" fillId="0" borderId="58" xfId="0" applyNumberFormat="1" applyFont="1" applyBorder="1" applyAlignment="1">
      <alignment horizontal="center" vertical="center"/>
    </xf>
    <xf numFmtId="1" fontId="47" fillId="0" borderId="31" xfId="0" applyNumberFormat="1" applyFont="1" applyBorder="1" applyAlignment="1">
      <alignment horizontal="center" wrapText="1"/>
    </xf>
    <xf numFmtId="1" fontId="47" fillId="0" borderId="43" xfId="0" applyNumberFormat="1" applyFont="1" applyBorder="1" applyAlignment="1">
      <alignment horizontal="center" wrapText="1"/>
    </xf>
    <xf numFmtId="1" fontId="47" fillId="0" borderId="44" xfId="0" applyNumberFormat="1" applyFont="1" applyBorder="1" applyAlignment="1">
      <alignment horizontal="center" wrapText="1"/>
    </xf>
    <xf numFmtId="1" fontId="47" fillId="0" borderId="53" xfId="0" applyNumberFormat="1" applyFont="1" applyBorder="1" applyAlignment="1">
      <alignment horizontal="center" wrapText="1"/>
    </xf>
    <xf numFmtId="1" fontId="47" fillId="0" borderId="53" xfId="0" applyNumberFormat="1" applyFont="1" applyBorder="1" applyAlignment="1">
      <alignment horizontal="center" vertical="center"/>
    </xf>
    <xf numFmtId="1" fontId="47" fillId="0" borderId="43" xfId="0" applyNumberFormat="1" applyFont="1" applyBorder="1" applyAlignment="1">
      <alignment horizontal="center" vertical="center"/>
    </xf>
    <xf numFmtId="1" fontId="47" fillId="0" borderId="44" xfId="0" applyNumberFormat="1" applyFont="1" applyBorder="1" applyAlignment="1">
      <alignment horizontal="center" vertical="center"/>
    </xf>
    <xf numFmtId="1" fontId="47" fillId="0" borderId="40" xfId="0" applyNumberFormat="1" applyFont="1" applyBorder="1" applyAlignment="1">
      <alignment horizontal="center" vertical="center"/>
    </xf>
    <xf numFmtId="14" fontId="47" fillId="0" borderId="31" xfId="0" applyNumberFormat="1" applyFont="1" applyBorder="1" applyAlignment="1">
      <alignment horizontal="center" vertical="center"/>
    </xf>
    <xf numFmtId="14" fontId="47" fillId="0" borderId="43" xfId="0" applyNumberFormat="1" applyFont="1" applyBorder="1" applyAlignment="1">
      <alignment horizontal="center" vertical="center"/>
    </xf>
    <xf numFmtId="14" fontId="47" fillId="0" borderId="44" xfId="0" applyNumberFormat="1" applyFont="1" applyBorder="1" applyAlignment="1">
      <alignment horizontal="center" vertical="center"/>
    </xf>
    <xf numFmtId="14" fontId="47" fillId="0" borderId="53" xfId="0" applyNumberFormat="1" applyFont="1" applyBorder="1" applyAlignment="1">
      <alignment horizontal="center" vertical="center"/>
    </xf>
    <xf numFmtId="14" fontId="47" fillId="0" borderId="40" xfId="0" applyNumberFormat="1" applyFont="1" applyBorder="1" applyAlignment="1">
      <alignment horizontal="center" vertical="center"/>
    </xf>
    <xf numFmtId="9" fontId="47" fillId="8" borderId="60" xfId="0" applyNumberFormat="1" applyFont="1" applyFill="1" applyBorder="1" applyAlignment="1" applyProtection="1">
      <alignment horizontal="center" vertical="center"/>
      <protection locked="0"/>
    </xf>
    <xf numFmtId="9" fontId="47" fillId="8" borderId="61" xfId="0" applyNumberFormat="1" applyFont="1" applyFill="1" applyBorder="1" applyAlignment="1" applyProtection="1">
      <alignment horizontal="center" vertical="center"/>
      <protection locked="0"/>
    </xf>
    <xf numFmtId="9" fontId="47" fillId="8" borderId="62" xfId="0" applyNumberFormat="1" applyFont="1" applyFill="1" applyBorder="1" applyAlignment="1" applyProtection="1">
      <alignment horizontal="center" vertical="center"/>
      <protection locked="0"/>
    </xf>
    <xf numFmtId="9" fontId="47" fillId="8" borderId="6" xfId="0" applyNumberFormat="1" applyFont="1" applyFill="1" applyBorder="1" applyAlignment="1" applyProtection="1">
      <alignment horizontal="center" vertical="center"/>
      <protection locked="0"/>
    </xf>
    <xf numFmtId="9" fontId="47" fillId="8" borderId="63" xfId="0" applyNumberFormat="1" applyFont="1" applyFill="1" applyBorder="1" applyAlignment="1" applyProtection="1">
      <alignment horizontal="center" vertical="center"/>
      <protection locked="0"/>
    </xf>
    <xf numFmtId="166" fontId="47" fillId="0" borderId="64" xfId="0" applyNumberFormat="1" applyFont="1" applyBorder="1" applyAlignment="1">
      <alignment horizontal="center" vertical="center"/>
    </xf>
    <xf numFmtId="166" fontId="47" fillId="0" borderId="65" xfId="0" applyNumberFormat="1" applyFont="1" applyBorder="1" applyAlignment="1">
      <alignment horizontal="center" vertical="center"/>
    </xf>
    <xf numFmtId="166" fontId="47" fillId="0" borderId="66" xfId="0" applyNumberFormat="1" applyFont="1" applyBorder="1" applyAlignment="1">
      <alignment horizontal="center" vertical="center"/>
    </xf>
    <xf numFmtId="166" fontId="47" fillId="0" borderId="67" xfId="0" applyNumberFormat="1" applyFont="1" applyBorder="1" applyAlignment="1">
      <alignment horizontal="center" vertical="center"/>
    </xf>
    <xf numFmtId="166" fontId="47" fillId="0" borderId="68" xfId="0" applyNumberFormat="1" applyFont="1" applyBorder="1" applyAlignment="1">
      <alignment horizontal="center" vertical="center"/>
    </xf>
    <xf numFmtId="0" fontId="51" fillId="0" borderId="53"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54" fillId="0" borderId="31"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4" fillId="0" borderId="53" xfId="0" applyFont="1" applyBorder="1" applyAlignment="1">
      <alignment horizontal="center" vertical="center"/>
    </xf>
    <xf numFmtId="0" fontId="6" fillId="0" borderId="5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54" fillId="0" borderId="53" xfId="0" applyFont="1" applyBorder="1" applyAlignment="1">
      <alignment horizontal="center" vertical="center" wrapText="1"/>
    </xf>
    <xf numFmtId="0" fontId="54" fillId="0" borderId="40" xfId="0" applyFont="1" applyBorder="1" applyAlignment="1">
      <alignment horizontal="center" vertical="center" wrapText="1"/>
    </xf>
    <xf numFmtId="0" fontId="53" fillId="0" borderId="53" xfId="0" applyFont="1" applyBorder="1" applyAlignment="1">
      <alignment horizontal="center" vertical="center" wrapText="1"/>
    </xf>
    <xf numFmtId="0" fontId="47" fillId="0" borderId="73" xfId="0" applyFont="1" applyBorder="1" applyAlignment="1">
      <alignment horizontal="center" vertical="center" wrapText="1"/>
    </xf>
    <xf numFmtId="0" fontId="47" fillId="0" borderId="74" xfId="0" applyFont="1" applyBorder="1" applyAlignment="1">
      <alignment horizontal="center" vertical="center" wrapText="1"/>
    </xf>
    <xf numFmtId="0" fontId="47" fillId="0" borderId="74" xfId="0" applyFont="1" applyBorder="1" applyAlignment="1">
      <alignment horizontal="center" vertical="center"/>
    </xf>
    <xf numFmtId="0" fontId="47" fillId="0" borderId="76" xfId="0" applyFont="1" applyBorder="1" applyAlignment="1">
      <alignment horizontal="center" vertical="center"/>
    </xf>
    <xf numFmtId="0" fontId="47" fillId="0" borderId="7" xfId="0" applyFont="1" applyBorder="1" applyAlignment="1">
      <alignment horizontal="left" vertical="top" wrapText="1"/>
    </xf>
    <xf numFmtId="0" fontId="7" fillId="0" borderId="31" xfId="3" applyBorder="1" applyAlignment="1">
      <alignment horizontal="center" vertical="center" wrapText="1"/>
    </xf>
    <xf numFmtId="0" fontId="56" fillId="0" borderId="43" xfId="3" applyFont="1" applyBorder="1" applyAlignment="1">
      <alignment horizontal="center" vertical="center" wrapText="1"/>
    </xf>
    <xf numFmtId="0" fontId="56" fillId="0" borderId="44" xfId="3" applyFont="1" applyBorder="1" applyAlignment="1">
      <alignment horizontal="center" vertical="center" wrapText="1"/>
    </xf>
    <xf numFmtId="0" fontId="7" fillId="0" borderId="53" xfId="3" applyBorder="1" applyAlignment="1">
      <alignment horizontal="center" vertical="center" wrapText="1"/>
    </xf>
    <xf numFmtId="0" fontId="56" fillId="0" borderId="53" xfId="3" applyFont="1" applyBorder="1" applyAlignment="1">
      <alignment horizontal="center" vertical="center" wrapText="1"/>
    </xf>
    <xf numFmtId="0" fontId="56" fillId="0" borderId="40" xfId="3"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0" xfId="0" applyFont="1" applyAlignment="1">
      <alignment horizontal="left" vertical="top"/>
    </xf>
    <xf numFmtId="0" fontId="47" fillId="0" borderId="0" xfId="0" applyFont="1" applyBorder="1" applyAlignment="1">
      <alignment horizontal="left" vertical="top"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419" b="1"/>
              <a:t>Costo de la vacuna</a:t>
            </a:r>
          </a:p>
          <a:p>
            <a:pPr>
              <a:defRPr b="1"/>
            </a:pPr>
            <a:r>
              <a:rPr lang="es-419" sz="1000" b="1"/>
              <a:t>Costo de la adquisición de las vacunas y de los suministros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0"/>
          <c:tx>
            <c:strRef>
              <c:f>'Datos del modelo'!$D$31</c:f>
              <c:strCache>
                <c:ptCount val="1"/>
                <c:pt idx="0">
                  <c:v>Synflorix, decavalente, 4 dosis/frasco líquido</c:v>
                </c:pt>
              </c:strCache>
            </c:strRef>
          </c:tx>
          <c:spPr>
            <a:solidFill>
              <a:schemeClr val="accent1"/>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Resultados!$C$48:$C$57</c:f>
              <c:numCache>
                <c:formatCode>"US$"#\,##0</c:formatCode>
                <c:ptCount val="10"/>
                <c:pt idx="0">
                  <c:v>236020.52173913043</c:v>
                </c:pt>
                <c:pt idx="1">
                  <c:v>276297.23130434781</c:v>
                </c:pt>
                <c:pt idx="2">
                  <c:v>327326.11915652169</c:v>
                </c:pt>
                <c:pt idx="3">
                  <c:v>389972.50677973911</c:v>
                </c:pt>
                <c:pt idx="4">
                  <c:v>456083.08415310859</c:v>
                </c:pt>
                <c:pt idx="5">
                  <c:v>535149.94495195802</c:v>
                </c:pt>
                <c:pt idx="6">
                  <c:v>637792.02814371022</c:v>
                </c:pt>
                <c:pt idx="7">
                  <c:v>746111.00137651071</c:v>
                </c:pt>
                <c:pt idx="8">
                  <c:v>890975.35643133125</c:v>
                </c:pt>
                <c:pt idx="9">
                  <c:v>1054373.0275351969</c:v>
                </c:pt>
              </c:numCache>
            </c:numRef>
          </c:val>
          <c:extLst>
            <c:ext xmlns:c16="http://schemas.microsoft.com/office/drawing/2014/chart" uri="{C3380CC4-5D6E-409C-BE32-E72D297353CC}">
              <c16:uniqueId val="{00000003-F1D1-4FC3-BB8D-825419D6B59B}"/>
            </c:ext>
          </c:extLst>
        </c:ser>
        <c:ser>
          <c:idx val="0"/>
          <c:order val="1"/>
          <c:tx>
            <c:strRef>
              <c:f>'Datos del modelo'!$H$31</c:f>
              <c:strCache>
                <c:ptCount val="1"/>
                <c:pt idx="0">
                  <c:v>PNEUMOSIL, decavalente, 5 dosis/frasco líquido</c:v>
                </c:pt>
              </c:strCache>
            </c:strRef>
          </c:tx>
          <c:spPr>
            <a:solidFill>
              <a:schemeClr val="accent2"/>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Resultados!$F$48:$F$57</c:f>
              <c:numCache>
                <c:formatCode>"US$"#\,##0</c:formatCode>
                <c:ptCount val="10"/>
                <c:pt idx="0">
                  <c:v>158353.39130434784</c:v>
                </c:pt>
                <c:pt idx="1">
                  <c:v>184871.92347826087</c:v>
                </c:pt>
                <c:pt idx="2">
                  <c:v>218444.29161739125</c:v>
                </c:pt>
                <c:pt idx="3">
                  <c:v>259638.0164633044</c:v>
                </c:pt>
                <c:pt idx="4">
                  <c:v>303106.76493751648</c:v>
                </c:pt>
                <c:pt idx="5">
                  <c:v>355074.96347531816</c:v>
                </c:pt>
                <c:pt idx="6">
                  <c:v>422505.95653904881</c:v>
                </c:pt>
                <c:pt idx="7">
                  <c:v>493663.2417194756</c:v>
                </c:pt>
                <c:pt idx="8">
                  <c:v>588788.56520943705</c:v>
                </c:pt>
                <c:pt idx="9">
                  <c:v>696070.85194337636</c:v>
                </c:pt>
              </c:numCache>
            </c:numRef>
          </c:val>
          <c:extLst>
            <c:ext xmlns:c16="http://schemas.microsoft.com/office/drawing/2014/chart" uri="{C3380CC4-5D6E-409C-BE32-E72D297353CC}">
              <c16:uniqueId val="{00000004-F1D1-4FC3-BB8D-825419D6B59B}"/>
            </c:ext>
          </c:extLst>
        </c:ser>
        <c:ser>
          <c:idx val="2"/>
          <c:order val="2"/>
          <c:tx>
            <c:strRef>
              <c:f>'Datos del modelo'!$L$31</c:f>
              <c:strCache>
                <c:ptCount val="1"/>
                <c:pt idx="0">
                  <c:v>PNEUMOSIL, decavalente, 1 dosis/frasco líquido</c:v>
                </c:pt>
              </c:strCache>
            </c:strRef>
          </c:tx>
          <c:spPr>
            <a:solidFill>
              <a:schemeClr val="accent3"/>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Resultados!$I$48:$I$57</c:f>
              <c:numCache>
                <c:formatCode>"US$"#\,##0</c:formatCode>
                <c:ptCount val="10"/>
                <c:pt idx="0">
                  <c:v>221732.88421052633</c:v>
                </c:pt>
                <c:pt idx="1">
                  <c:v>259478.6408421052</c:v>
                </c:pt>
                <c:pt idx="2">
                  <c:v>307296.22907789482</c:v>
                </c:pt>
                <c:pt idx="3">
                  <c:v>365996.18700724212</c:v>
                </c:pt>
                <c:pt idx="4">
                  <c:v>427941.57580618019</c:v>
                </c:pt>
                <c:pt idx="5">
                  <c:v>502023.36941214517</c:v>
                </c:pt>
                <c:pt idx="6">
                  <c:v>598188.02399388049</c:v>
                </c:pt>
                <c:pt idx="7">
                  <c:v>699670.73681804887</c:v>
                </c:pt>
                <c:pt idx="8">
                  <c:v>835385.10461256688</c:v>
                </c:pt>
                <c:pt idx="9">
                  <c:v>988459.79523334326</c:v>
                </c:pt>
              </c:numCache>
            </c:numRef>
          </c:val>
          <c:extLst>
            <c:ext xmlns:c16="http://schemas.microsoft.com/office/drawing/2014/chart" uri="{C3380CC4-5D6E-409C-BE32-E72D297353CC}">
              <c16:uniqueId val="{00000005-F1D1-4FC3-BB8D-825419D6B59B}"/>
            </c:ext>
          </c:extLst>
        </c:ser>
        <c:ser>
          <c:idx val="3"/>
          <c:order val="3"/>
          <c:tx>
            <c:strRef>
              <c:f>'Datos del modelo'!$Q$31:$R$31</c:f>
              <c:strCache>
                <c:ptCount val="1"/>
                <c:pt idx="0">
                  <c:v>Prevenar 13, tridecavalente, 1 dosis/frasco líquido</c:v>
                </c:pt>
              </c:strCache>
            </c:strRef>
          </c:tx>
          <c:spPr>
            <a:solidFill>
              <a:schemeClr val="accent4"/>
            </a:solidFill>
            <a:ln>
              <a:noFill/>
            </a:ln>
            <a:effectLst/>
          </c:spPr>
          <c:invertIfNegative val="0"/>
          <c:val>
            <c:numRef>
              <c:f>Resultados!$M$48:$M$57</c:f>
              <c:numCache>
                <c:formatCode>"US$"#\,##0</c:formatCode>
                <c:ptCount val="10"/>
                <c:pt idx="0">
                  <c:v>246804.37894736842</c:v>
                </c:pt>
                <c:pt idx="1">
                  <c:v>288991.37178947369</c:v>
                </c:pt>
                <c:pt idx="2">
                  <c:v>342444.04709052626</c:v>
                </c:pt>
                <c:pt idx="3">
                  <c:v>408069.07510938949</c:v>
                </c:pt>
                <c:pt idx="4">
                  <c:v>477323.40516700293</c:v>
                </c:pt>
                <c:pt idx="5">
                  <c:v>560152.837116885</c:v>
                </c:pt>
                <c:pt idx="6">
                  <c:v>667683.87868731492</c:v>
                </c:pt>
                <c:pt idx="7">
                  <c:v>781162.64519856533</c:v>
                </c:pt>
                <c:pt idx="8">
                  <c:v>932933.12142805546</c:v>
                </c:pt>
                <c:pt idx="9">
                  <c:v>1104122.2519156148</c:v>
                </c:pt>
              </c:numCache>
            </c:numRef>
          </c:val>
          <c:extLst>
            <c:ext xmlns:c16="http://schemas.microsoft.com/office/drawing/2014/chart" uri="{C3380CC4-5D6E-409C-BE32-E72D297353CC}">
              <c16:uniqueId val="{00000000-0D13-4A94-851B-30B2BB6C9B12}"/>
            </c:ext>
          </c:extLst>
        </c:ser>
        <c:ser>
          <c:idx val="4"/>
          <c:order val="4"/>
          <c:tx>
            <c:strRef>
              <c:f>'Datos del modelo'!$U$31:$V$31</c:f>
              <c:strCache>
                <c:ptCount val="1"/>
                <c:pt idx="0">
                  <c:v>Prevenar 13, tridecavalente, 4 dosis/frasco líquido</c:v>
                </c:pt>
              </c:strCache>
            </c:strRef>
          </c:tx>
          <c:spPr>
            <a:solidFill>
              <a:schemeClr val="accent5"/>
            </a:solidFill>
            <a:ln>
              <a:noFill/>
            </a:ln>
            <a:effectLst/>
          </c:spPr>
          <c:invertIfNegative val="0"/>
          <c:val>
            <c:numRef>
              <c:f>Resultados!$P$48:$P$57</c:f>
              <c:numCache>
                <c:formatCode>"US$"#\,##0</c:formatCode>
                <c:ptCount val="10"/>
                <c:pt idx="0">
                  <c:v>224925.21739130435</c:v>
                </c:pt>
                <c:pt idx="1">
                  <c:v>263236.47304347821</c:v>
                </c:pt>
                <c:pt idx="2">
                  <c:v>311771.57236521738</c:v>
                </c:pt>
                <c:pt idx="3">
                  <c:v>371353.29387739132</c:v>
                </c:pt>
                <c:pt idx="4">
                  <c:v>434229.32426516694</c:v>
                </c:pt>
                <c:pt idx="5">
                  <c:v>509424.94759815233</c:v>
                </c:pt>
                <c:pt idx="6">
                  <c:v>607036.87505733012</c:v>
                </c:pt>
                <c:pt idx="7">
                  <c:v>710047.03571122</c:v>
                </c:pt>
                <c:pt idx="8">
                  <c:v>847805.81482820353</c:v>
                </c:pt>
                <c:pt idx="9">
                  <c:v>1003187.0024506511</c:v>
                </c:pt>
              </c:numCache>
            </c:numRef>
          </c:val>
          <c:extLst>
            <c:ext xmlns:c16="http://schemas.microsoft.com/office/drawing/2014/chart" uri="{C3380CC4-5D6E-409C-BE32-E72D297353CC}">
              <c16:uniqueId val="{00000001-0D13-4A94-851B-30B2BB6C9B12}"/>
            </c:ext>
          </c:extLst>
        </c:ser>
        <c:ser>
          <c:idx val="5"/>
          <c:order val="5"/>
          <c:tx>
            <c:strRef>
              <c:f>'Datos del modelo'!$Y$31:$Z$31</c:f>
              <c:strCache>
                <c:ptCount val="1"/>
                <c:pt idx="0">
                  <c:v>Synflorix, decavalente, 1 dosis/frasco líquido</c:v>
                </c:pt>
              </c:strCache>
            </c:strRef>
          </c:tx>
          <c:spPr>
            <a:solidFill>
              <a:schemeClr val="accent6"/>
            </a:solidFill>
            <a:ln>
              <a:noFill/>
            </a:ln>
            <a:effectLst/>
          </c:spPr>
          <c:invertIfNegative val="0"/>
          <c:val>
            <c:numRef>
              <c:f>Resultados!$S$48:$S$57</c:f>
              <c:numCache>
                <c:formatCode>"US$"#\,##0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13-4A94-851B-30B2BB6C9B12}"/>
            </c:ext>
          </c:extLst>
        </c:ser>
        <c:dLbls>
          <c:showLegendKey val="0"/>
          <c:showVal val="0"/>
          <c:showCatName val="0"/>
          <c:showSerName val="0"/>
          <c:showPercent val="0"/>
          <c:showBubbleSize val="0"/>
        </c:dLbls>
        <c:gapWidth val="128"/>
        <c:axId val="747696848"/>
        <c:axId val="747696192"/>
      </c:barChart>
      <c:catAx>
        <c:axId val="74769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192"/>
        <c:crosses val="autoZero"/>
        <c:auto val="1"/>
        <c:lblAlgn val="ctr"/>
        <c:lblOffset val="100"/>
        <c:noMultiLvlLbl val="0"/>
      </c:catAx>
      <c:valAx>
        <c:axId val="747696192"/>
        <c:scaling>
          <c:orientation val="minMax"/>
        </c:scaling>
        <c:delete val="0"/>
        <c:axPos val="l"/>
        <c:majorGridlines>
          <c:spPr>
            <a:ln w="9525" cap="flat" cmpd="sng" algn="ctr">
              <a:solidFill>
                <a:schemeClr val="tx1">
                  <a:lumMod val="15000"/>
                  <a:lumOff val="85000"/>
                </a:schemeClr>
              </a:solidFill>
              <a:round/>
            </a:ln>
            <a:effectLst/>
          </c:spPr>
        </c:majorGridlines>
        <c:numFmt formatCode="&quot;US$ &quot;##,##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419" sz="1400" b="1" i="0" u="none" strike="noStrike" baseline="0"/>
              <a:t>Costo de la vacuna</a:t>
            </a:r>
          </a:p>
          <a:p>
            <a:pPr>
              <a:defRPr b="1"/>
            </a:pPr>
            <a:r>
              <a:rPr lang="es-419" sz="1000" b="1" i="0" u="none" strike="noStrike" baseline="0"/>
              <a:t>Costo de la adquisición de las vacunas y de los suministros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2"/>
          <c:order val="0"/>
          <c:tx>
            <c:strRef>
              <c:f>'Datos del modelo'!$D$31</c:f>
              <c:strCache>
                <c:ptCount val="1"/>
                <c:pt idx="0">
                  <c:v>Synflorix, decavalente, 4 dosis/frasco líquido</c:v>
                </c:pt>
              </c:strCache>
            </c:strRef>
          </c:tx>
          <c:spPr>
            <a:solidFill>
              <a:schemeClr val="accent1"/>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Resultados!$C$74:$C$83</c:f>
              <c:numCache>
                <c:formatCode>"US$"#\,##0</c:formatCode>
                <c:ptCount val="10"/>
                <c:pt idx="0">
                  <c:v>816146.43478260853</c:v>
                </c:pt>
                <c:pt idx="1">
                  <c:v>840630.82782608678</c:v>
                </c:pt>
                <c:pt idx="2">
                  <c:v>865849.75266086927</c:v>
                </c:pt>
                <c:pt idx="3">
                  <c:v>891825.24524069554</c:v>
                </c:pt>
                <c:pt idx="4">
                  <c:v>918580.00259791629</c:v>
                </c:pt>
                <c:pt idx="5">
                  <c:v>946137.40267585369</c:v>
                </c:pt>
                <c:pt idx="6">
                  <c:v>974521.52475612937</c:v>
                </c:pt>
                <c:pt idx="7" formatCode="&quot;$&quot;#,##0">
                  <c:v>1003757.1704988132</c:v>
                </c:pt>
                <c:pt idx="8" formatCode="&quot;$&quot;#,##0">
                  <c:v>1033869.8856137774</c:v>
                </c:pt>
                <c:pt idx="9" formatCode="&quot;$&quot;#,##0">
                  <c:v>1064885.982182191</c:v>
                </c:pt>
              </c:numCache>
            </c:numRef>
          </c:val>
          <c:extLst>
            <c:ext xmlns:c16="http://schemas.microsoft.com/office/drawing/2014/chart" uri="{C3380CC4-5D6E-409C-BE32-E72D297353CC}">
              <c16:uniqueId val="{00000000-4AF1-4ED4-A5D0-DFB0C8E6D60A}"/>
            </c:ext>
          </c:extLst>
        </c:ser>
        <c:ser>
          <c:idx val="3"/>
          <c:order val="1"/>
          <c:tx>
            <c:strRef>
              <c:f>'Datos del modelo'!$H$31</c:f>
              <c:strCache>
                <c:ptCount val="1"/>
                <c:pt idx="0">
                  <c:v>PNEUMOSIL, decavalente, 5 dosis/frasco líquido</c:v>
                </c:pt>
              </c:strCache>
            </c:strRef>
          </c:tx>
          <c:spPr>
            <a:solidFill>
              <a:schemeClr val="accent2"/>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Resultados!$F$74:$F$83</c:f>
              <c:numCache>
                <c:formatCode>"US$"#\,##0</c:formatCode>
                <c:ptCount val="10"/>
                <c:pt idx="0">
                  <c:v>538763.82608695654</c:v>
                </c:pt>
                <c:pt idx="1">
                  <c:v>554926.74086956517</c:v>
                </c:pt>
                <c:pt idx="2">
                  <c:v>571574.54309565213</c:v>
                </c:pt>
                <c:pt idx="3">
                  <c:v>588721.7793885218</c:v>
                </c:pt>
                <c:pt idx="4">
                  <c:v>606383.43277017737</c:v>
                </c:pt>
                <c:pt idx="5">
                  <c:v>624574.93575328263</c:v>
                </c:pt>
                <c:pt idx="6">
                  <c:v>643312.18382588122</c:v>
                </c:pt>
                <c:pt idx="7">
                  <c:v>662611.54934065754</c:v>
                </c:pt>
                <c:pt idx="8">
                  <c:v>682489.89582087717</c:v>
                </c:pt>
                <c:pt idx="9">
                  <c:v>702964.59269550373</c:v>
                </c:pt>
              </c:numCache>
            </c:numRef>
          </c:val>
          <c:extLst>
            <c:ext xmlns:c16="http://schemas.microsoft.com/office/drawing/2014/chart" uri="{C3380CC4-5D6E-409C-BE32-E72D297353CC}">
              <c16:uniqueId val="{00000001-4AF1-4ED4-A5D0-DFB0C8E6D60A}"/>
            </c:ext>
          </c:extLst>
        </c:ser>
        <c:ser>
          <c:idx val="0"/>
          <c:order val="2"/>
          <c:tx>
            <c:strRef>
              <c:f>'Datos del modelo'!$L$31</c:f>
              <c:strCache>
                <c:ptCount val="1"/>
                <c:pt idx="0">
                  <c:v>PNEUMOSIL, decavalente, 1 dosis/frasco líquido</c:v>
                </c:pt>
              </c:strCache>
            </c:strRef>
          </c:tx>
          <c:spPr>
            <a:solidFill>
              <a:schemeClr val="accent3"/>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Resultados!$I$74:$I$83</c:f>
              <c:numCache>
                <c:formatCode>"US$"#\,##0</c:formatCode>
                <c:ptCount val="10"/>
                <c:pt idx="0">
                  <c:v>765119.15789473685</c:v>
                </c:pt>
                <c:pt idx="1">
                  <c:v>788072.73263157893</c:v>
                </c:pt>
                <c:pt idx="2">
                  <c:v>811714.91461052618</c:v>
                </c:pt>
                <c:pt idx="3">
                  <c:v>836066.36204884225</c:v>
                </c:pt>
                <c:pt idx="4">
                  <c:v>861148.35291030724</c:v>
                </c:pt>
                <c:pt idx="5">
                  <c:v>886982.80349761643</c:v>
                </c:pt>
                <c:pt idx="6">
                  <c:v>913592.28760254488</c:v>
                </c:pt>
                <c:pt idx="7">
                  <c:v>941000.05623062141</c:v>
                </c:pt>
                <c:pt idx="8">
                  <c:v>969230.05791753985</c:v>
                </c:pt>
                <c:pt idx="9">
                  <c:v>998306.95965506637</c:v>
                </c:pt>
              </c:numCache>
            </c:numRef>
          </c:val>
          <c:extLst>
            <c:ext xmlns:c16="http://schemas.microsoft.com/office/drawing/2014/chart" uri="{C3380CC4-5D6E-409C-BE32-E72D297353CC}">
              <c16:uniqueId val="{00000002-4AF1-4ED4-A5D0-DFB0C8E6D60A}"/>
            </c:ext>
          </c:extLst>
        </c:ser>
        <c:ser>
          <c:idx val="1"/>
          <c:order val="3"/>
          <c:tx>
            <c:strRef>
              <c:f>'Datos del modelo'!$Q$31:$R$31</c:f>
              <c:strCache>
                <c:ptCount val="1"/>
                <c:pt idx="0">
                  <c:v>Prevenar 13, tridecavalente, 1 dosis/frasco líquido</c:v>
                </c:pt>
              </c:strCache>
            </c:strRef>
          </c:tx>
          <c:spPr>
            <a:solidFill>
              <a:schemeClr val="accent4"/>
            </a:solidFill>
            <a:ln>
              <a:noFill/>
            </a:ln>
            <a:effectLst/>
          </c:spPr>
          <c:invertIfNegative val="0"/>
          <c:val>
            <c:numRef>
              <c:f>Resultados!$M$74:$M$83</c:f>
              <c:numCache>
                <c:formatCode>"US$"#\,##0</c:formatCode>
                <c:ptCount val="10"/>
                <c:pt idx="0">
                  <c:v>854660.21052631573</c:v>
                </c:pt>
                <c:pt idx="1">
                  <c:v>880300.01684210508</c:v>
                </c:pt>
                <c:pt idx="2">
                  <c:v>906709.01734736818</c:v>
                </c:pt>
                <c:pt idx="3">
                  <c:v>933910.28786778939</c:v>
                </c:pt>
                <c:pt idx="4">
                  <c:v>961927.59650382295</c:v>
                </c:pt>
                <c:pt idx="5">
                  <c:v>990785.42439893761</c:v>
                </c:pt>
                <c:pt idx="6" formatCode="&quot;US$&quot;#\,###\,##0">
                  <c:v>1020508.9871309056</c:v>
                </c:pt>
                <c:pt idx="7" formatCode="&quot;US$&quot;#\,###\,##0">
                  <c:v>1051124.256744833</c:v>
                </c:pt>
                <c:pt idx="8" formatCode="&quot;US$&quot;#\,###\,##0">
                  <c:v>1082657.9844471777</c:v>
                </c:pt>
                <c:pt idx="9" formatCode="&quot;US$&quot;#\,###\,##0">
                  <c:v>1115137.723980593</c:v>
                </c:pt>
              </c:numCache>
            </c:numRef>
          </c:val>
          <c:extLst>
            <c:ext xmlns:c16="http://schemas.microsoft.com/office/drawing/2014/chart" uri="{C3380CC4-5D6E-409C-BE32-E72D297353CC}">
              <c16:uniqueId val="{00000000-50C5-4C10-B7A6-ED93AC21A2CE}"/>
            </c:ext>
          </c:extLst>
        </c:ser>
        <c:ser>
          <c:idx val="4"/>
          <c:order val="4"/>
          <c:tx>
            <c:strRef>
              <c:f>'Datos del modelo'!$U$31:$V$31</c:f>
              <c:strCache>
                <c:ptCount val="1"/>
                <c:pt idx="0">
                  <c:v>Prevenar 13, tridecavalente, 4 dosis/frasco líquido</c:v>
                </c:pt>
              </c:strCache>
            </c:strRef>
          </c:tx>
          <c:spPr>
            <a:solidFill>
              <a:schemeClr val="accent5"/>
            </a:solidFill>
            <a:ln>
              <a:noFill/>
            </a:ln>
            <a:effectLst/>
          </c:spPr>
          <c:invertIfNegative val="0"/>
          <c:val>
            <c:numRef>
              <c:f>Resultados!$P$74:$P$83</c:f>
              <c:numCache>
                <c:formatCode>"US$"#\,##0</c:formatCode>
                <c:ptCount val="10"/>
                <c:pt idx="0">
                  <c:v>776520.34782608692</c:v>
                </c:pt>
                <c:pt idx="1">
                  <c:v>799815.95826086949</c:v>
                </c:pt>
                <c:pt idx="2">
                  <c:v>823810.43700869544</c:v>
                </c:pt>
                <c:pt idx="3">
                  <c:v>848524.75011895644</c:v>
                </c:pt>
                <c:pt idx="4">
                  <c:v>873980.49262252508</c:v>
                </c:pt>
                <c:pt idx="5">
                  <c:v>900199.90740120073</c:v>
                </c:pt>
                <c:pt idx="6">
                  <c:v>927205.90462323686</c:v>
                </c:pt>
                <c:pt idx="7">
                  <c:v>955022.08176193386</c:v>
                </c:pt>
                <c:pt idx="8">
                  <c:v>983672.74421479169</c:v>
                </c:pt>
                <c:pt idx="9" formatCode="&quot;US$&quot;#\,###\,##0">
                  <c:v>1013182.9265412359</c:v>
                </c:pt>
              </c:numCache>
            </c:numRef>
          </c:val>
          <c:extLst>
            <c:ext xmlns:c16="http://schemas.microsoft.com/office/drawing/2014/chart" uri="{C3380CC4-5D6E-409C-BE32-E72D297353CC}">
              <c16:uniqueId val="{00000001-50C5-4C10-B7A6-ED93AC21A2CE}"/>
            </c:ext>
          </c:extLst>
        </c:ser>
        <c:ser>
          <c:idx val="5"/>
          <c:order val="5"/>
          <c:tx>
            <c:strRef>
              <c:f>'Datos del modelo'!$Y$31:$Z$31</c:f>
              <c:strCache>
                <c:ptCount val="1"/>
                <c:pt idx="0">
                  <c:v>Synflorix, decavalente, 1 dosis/frasco líquido</c:v>
                </c:pt>
              </c:strCache>
            </c:strRef>
          </c:tx>
          <c:spPr>
            <a:solidFill>
              <a:schemeClr val="accent6"/>
            </a:solidFill>
            <a:ln>
              <a:noFill/>
            </a:ln>
            <a:effectLst/>
          </c:spPr>
          <c:invertIfNegative val="0"/>
          <c:val>
            <c:numRef>
              <c:f>Resultados!$S$74:$S$83</c:f>
              <c:numCache>
                <c:formatCode>"US$"#\,##0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C5-4C10-B7A6-ED93AC21A2CE}"/>
            </c:ext>
          </c:extLst>
        </c:ser>
        <c:dLbls>
          <c:showLegendKey val="0"/>
          <c:showVal val="0"/>
          <c:showCatName val="0"/>
          <c:showSerName val="0"/>
          <c:showPercent val="0"/>
          <c:showBubbleSize val="0"/>
        </c:dLbls>
        <c:gapWidth val="128"/>
        <c:axId val="747696848"/>
        <c:axId val="747696192"/>
      </c:barChart>
      <c:catAx>
        <c:axId val="74769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192"/>
        <c:crosses val="autoZero"/>
        <c:auto val="1"/>
        <c:lblAlgn val="ctr"/>
        <c:lblOffset val="100"/>
        <c:noMultiLvlLbl val="0"/>
      </c:catAx>
      <c:valAx>
        <c:axId val="747696192"/>
        <c:scaling>
          <c:orientation val="minMax"/>
        </c:scaling>
        <c:delete val="0"/>
        <c:axPos val="l"/>
        <c:majorGridlines>
          <c:spPr>
            <a:ln w="9525" cap="flat" cmpd="sng" algn="ctr">
              <a:solidFill>
                <a:schemeClr val="tx1">
                  <a:lumMod val="15000"/>
                  <a:lumOff val="85000"/>
                </a:schemeClr>
              </a:solidFill>
              <a:round/>
            </a:ln>
            <a:effectLst/>
          </c:spPr>
        </c:majorGridlines>
        <c:numFmt formatCode="&quot;US$ &quot;##,##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419" b="1"/>
              <a:t>Costo del programa de vacunación</a:t>
            </a:r>
          </a:p>
          <a:p>
            <a:pPr>
              <a:defRPr b="1"/>
            </a:pPr>
            <a:r>
              <a:rPr lang="es-419" sz="1000" b="1"/>
              <a:t>Costo de la vacuna + costos incrementales del sistema de salud</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3"/>
          <c:order val="0"/>
          <c:tx>
            <c:strRef>
              <c:f>'Datos del modelo'!$D$31</c:f>
              <c:strCache>
                <c:ptCount val="1"/>
                <c:pt idx="0">
                  <c:v>Synflorix, decavalente, 4 dosis/frasco líquido</c:v>
                </c:pt>
              </c:strCache>
            </c:strRef>
          </c:tx>
          <c:spPr>
            <a:solidFill>
              <a:schemeClr val="accent1"/>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Resultados!$C$60:$C$69</c:f>
              <c:numCache>
                <c:formatCode>"US$"#\,##0</c:formatCode>
                <c:ptCount val="10"/>
                <c:pt idx="0">
                  <c:v>388770.52173913043</c:v>
                </c:pt>
                <c:pt idx="1">
                  <c:v>443929.73130434781</c:v>
                </c:pt>
                <c:pt idx="2">
                  <c:v>499987.59415652166</c:v>
                </c:pt>
                <c:pt idx="3">
                  <c:v>567813.82602973911</c:v>
                </c:pt>
                <c:pt idx="4">
                  <c:v>639259.64298060862</c:v>
                </c:pt>
                <c:pt idx="5">
                  <c:v>723821.800544283</c:v>
                </c:pt>
                <c:pt idx="6">
                  <c:v>832124.03940380493</c:v>
                </c:pt>
                <c:pt idx="7">
                  <c:v>946272.9729744083</c:v>
                </c:pt>
                <c:pt idx="8">
                  <c:v>1097142.1871771656</c:v>
                </c:pt>
                <c:pt idx="9">
                  <c:v>1266724.8632034063</c:v>
                </c:pt>
              </c:numCache>
            </c:numRef>
          </c:val>
          <c:extLst>
            <c:ext xmlns:c16="http://schemas.microsoft.com/office/drawing/2014/chart" uri="{C3380CC4-5D6E-409C-BE32-E72D297353CC}">
              <c16:uniqueId val="{00000001-5BA9-4DAE-A819-3E39818F7594}"/>
            </c:ext>
          </c:extLst>
        </c:ser>
        <c:ser>
          <c:idx val="0"/>
          <c:order val="1"/>
          <c:tx>
            <c:strRef>
              <c:f>'Datos del modelo'!$H$31</c:f>
              <c:strCache>
                <c:ptCount val="1"/>
                <c:pt idx="0">
                  <c:v>PNEUMOSIL, decavalente, 5 dosis/frasco líquido</c:v>
                </c:pt>
              </c:strCache>
            </c:strRef>
          </c:tx>
          <c:spPr>
            <a:solidFill>
              <a:schemeClr val="accent2"/>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Resultados!$F$60:$F$69</c:f>
              <c:numCache>
                <c:formatCode>"US$"#\,##0</c:formatCode>
                <c:ptCount val="10"/>
                <c:pt idx="0">
                  <c:v>311103.39130434784</c:v>
                </c:pt>
                <c:pt idx="1">
                  <c:v>352504.42347826087</c:v>
                </c:pt>
                <c:pt idx="2">
                  <c:v>391105.76661739126</c:v>
                </c:pt>
                <c:pt idx="3">
                  <c:v>437479.3357133044</c:v>
                </c:pt>
                <c:pt idx="4">
                  <c:v>486283.32376501645</c:v>
                </c:pt>
                <c:pt idx="5">
                  <c:v>543746.81906764314</c:v>
                </c:pt>
                <c:pt idx="6">
                  <c:v>616837.96779914352</c:v>
                </c:pt>
                <c:pt idx="7">
                  <c:v>693825.21331737319</c:v>
                </c:pt>
                <c:pt idx="8">
                  <c:v>794955.39595527155</c:v>
                </c:pt>
                <c:pt idx="9">
                  <c:v>908422.68761158595</c:v>
                </c:pt>
              </c:numCache>
            </c:numRef>
          </c:val>
          <c:extLst>
            <c:ext xmlns:c16="http://schemas.microsoft.com/office/drawing/2014/chart" uri="{C3380CC4-5D6E-409C-BE32-E72D297353CC}">
              <c16:uniqueId val="{00000002-5BA9-4DAE-A819-3E39818F7594}"/>
            </c:ext>
          </c:extLst>
        </c:ser>
        <c:ser>
          <c:idx val="1"/>
          <c:order val="2"/>
          <c:tx>
            <c:strRef>
              <c:f>'Datos del modelo'!$L$31</c:f>
              <c:strCache>
                <c:ptCount val="1"/>
                <c:pt idx="0">
                  <c:v>PNEUMOSIL, decavalente, 1 dosis/frasco líquido</c:v>
                </c:pt>
              </c:strCache>
            </c:strRef>
          </c:tx>
          <c:spPr>
            <a:solidFill>
              <a:schemeClr val="accent3"/>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Resultados!$I$60:$I$69</c:f>
              <c:numCache>
                <c:formatCode>"US$"#\,##0</c:formatCode>
                <c:ptCount val="10"/>
                <c:pt idx="0">
                  <c:v>374482.88421052636</c:v>
                </c:pt>
                <c:pt idx="1">
                  <c:v>427111.1408421052</c:v>
                </c:pt>
                <c:pt idx="2">
                  <c:v>479957.7040778948</c:v>
                </c:pt>
                <c:pt idx="3">
                  <c:v>543837.50625724206</c:v>
                </c:pt>
                <c:pt idx="4">
                  <c:v>611118.13463368011</c:v>
                </c:pt>
                <c:pt idx="5">
                  <c:v>690695.22500447021</c:v>
                </c:pt>
                <c:pt idx="6">
                  <c:v>792520.03525397519</c:v>
                </c:pt>
                <c:pt idx="7">
                  <c:v>899832.70841594646</c:v>
                </c:pt>
                <c:pt idx="8">
                  <c:v>1041551.9353584014</c:v>
                </c:pt>
                <c:pt idx="9">
                  <c:v>1200811.6309015527</c:v>
                </c:pt>
              </c:numCache>
            </c:numRef>
          </c:val>
          <c:extLst>
            <c:ext xmlns:c16="http://schemas.microsoft.com/office/drawing/2014/chart" uri="{C3380CC4-5D6E-409C-BE32-E72D297353CC}">
              <c16:uniqueId val="{00000003-5BA9-4DAE-A819-3E39818F7594}"/>
            </c:ext>
          </c:extLst>
        </c:ser>
        <c:ser>
          <c:idx val="2"/>
          <c:order val="3"/>
          <c:tx>
            <c:strRef>
              <c:f>'Datos del modelo'!$Q$31:$R$31</c:f>
              <c:strCache>
                <c:ptCount val="1"/>
                <c:pt idx="0">
                  <c:v>Prevenar 13, tridecavalente, 1 dosis/frasco líquido</c:v>
                </c:pt>
              </c:strCache>
            </c:strRef>
          </c:tx>
          <c:spPr>
            <a:solidFill>
              <a:schemeClr val="accent4"/>
            </a:solidFill>
            <a:ln>
              <a:noFill/>
            </a:ln>
            <a:effectLst/>
          </c:spPr>
          <c:invertIfNegative val="0"/>
          <c:val>
            <c:numRef>
              <c:f>Resultados!$M$60:$M$69</c:f>
              <c:numCache>
                <c:formatCode>"US$"#\,##0</c:formatCode>
                <c:ptCount val="10"/>
                <c:pt idx="0">
                  <c:v>399554.37894736842</c:v>
                </c:pt>
                <c:pt idx="1">
                  <c:v>456623.87178947369</c:v>
                </c:pt>
                <c:pt idx="2">
                  <c:v>515105.52209052624</c:v>
                </c:pt>
                <c:pt idx="3">
                  <c:v>585910.39435938955</c:v>
                </c:pt>
                <c:pt idx="4">
                  <c:v>660499.9639945029</c:v>
                </c:pt>
                <c:pt idx="5">
                  <c:v>748824.69270920998</c:v>
                </c:pt>
                <c:pt idx="6">
                  <c:v>862015.88994740963</c:v>
                </c:pt>
                <c:pt idx="7">
                  <c:v>981324.61679646291</c:v>
                </c:pt>
                <c:pt idx="8">
                  <c:v>1139099.9521738898</c:v>
                </c:pt>
                <c:pt idx="9">
                  <c:v>1316474.0875838243</c:v>
                </c:pt>
              </c:numCache>
            </c:numRef>
          </c:val>
          <c:extLst>
            <c:ext xmlns:c16="http://schemas.microsoft.com/office/drawing/2014/chart" uri="{C3380CC4-5D6E-409C-BE32-E72D297353CC}">
              <c16:uniqueId val="{00000000-71F4-46C2-AF79-35FDB318A168}"/>
            </c:ext>
          </c:extLst>
        </c:ser>
        <c:ser>
          <c:idx val="4"/>
          <c:order val="4"/>
          <c:tx>
            <c:strRef>
              <c:f>'Datos del modelo'!$U$31:$V$31</c:f>
              <c:strCache>
                <c:ptCount val="1"/>
                <c:pt idx="0">
                  <c:v>Prevenar 13, tridecavalente, 4 dosis/frasco líquido</c:v>
                </c:pt>
              </c:strCache>
            </c:strRef>
          </c:tx>
          <c:spPr>
            <a:solidFill>
              <a:schemeClr val="accent5"/>
            </a:solidFill>
            <a:ln>
              <a:noFill/>
            </a:ln>
            <a:effectLst/>
          </c:spPr>
          <c:invertIfNegative val="0"/>
          <c:val>
            <c:numRef>
              <c:f>Resultados!$P$60:$P$69</c:f>
              <c:numCache>
                <c:formatCode>"US$"#\,##0</c:formatCode>
                <c:ptCount val="10"/>
                <c:pt idx="0">
                  <c:v>377675.21739130432</c:v>
                </c:pt>
                <c:pt idx="1">
                  <c:v>430868.97304347821</c:v>
                </c:pt>
                <c:pt idx="2">
                  <c:v>484433.04736521735</c:v>
                </c:pt>
                <c:pt idx="3">
                  <c:v>549194.61312739132</c:v>
                </c:pt>
                <c:pt idx="4">
                  <c:v>617405.88309266698</c:v>
                </c:pt>
                <c:pt idx="5">
                  <c:v>698096.80319047731</c:v>
                </c:pt>
                <c:pt idx="6">
                  <c:v>801368.88631742483</c:v>
                </c:pt>
                <c:pt idx="7">
                  <c:v>910209.00730911759</c:v>
                </c:pt>
                <c:pt idx="8">
                  <c:v>1053972.6455740379</c:v>
                </c:pt>
                <c:pt idx="9">
                  <c:v>1215538.8381188607</c:v>
                </c:pt>
              </c:numCache>
            </c:numRef>
          </c:val>
          <c:extLst>
            <c:ext xmlns:c16="http://schemas.microsoft.com/office/drawing/2014/chart" uri="{C3380CC4-5D6E-409C-BE32-E72D297353CC}">
              <c16:uniqueId val="{00000001-71F4-46C2-AF79-35FDB318A168}"/>
            </c:ext>
          </c:extLst>
        </c:ser>
        <c:ser>
          <c:idx val="5"/>
          <c:order val="5"/>
          <c:tx>
            <c:strRef>
              <c:f>'Datos del modelo'!$Y$31:$Z$31</c:f>
              <c:strCache>
                <c:ptCount val="1"/>
                <c:pt idx="0">
                  <c:v>Synflorix, decavalente, 1 dosis/frasco líquido</c:v>
                </c:pt>
              </c:strCache>
            </c:strRef>
          </c:tx>
          <c:spPr>
            <a:solidFill>
              <a:schemeClr val="accent6"/>
            </a:solidFill>
            <a:ln>
              <a:noFill/>
            </a:ln>
            <a:effectLst/>
          </c:spPr>
          <c:invertIfNegative val="0"/>
          <c:val>
            <c:numRef>
              <c:f>Resultados!$S$60:$S$69</c:f>
              <c:numCache>
                <c:formatCode>"US$"#\,##0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F4-46C2-AF79-35FDB318A168}"/>
            </c:ext>
          </c:extLst>
        </c:ser>
        <c:dLbls>
          <c:showLegendKey val="0"/>
          <c:showVal val="0"/>
          <c:showCatName val="0"/>
          <c:showSerName val="0"/>
          <c:showPercent val="0"/>
          <c:showBubbleSize val="0"/>
        </c:dLbls>
        <c:gapWidth val="128"/>
        <c:axId val="747696848"/>
        <c:axId val="747696192"/>
      </c:barChart>
      <c:catAx>
        <c:axId val="74769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192"/>
        <c:crosses val="autoZero"/>
        <c:auto val="1"/>
        <c:lblAlgn val="ctr"/>
        <c:lblOffset val="100"/>
        <c:noMultiLvlLbl val="0"/>
      </c:catAx>
      <c:valAx>
        <c:axId val="747696192"/>
        <c:scaling>
          <c:orientation val="minMax"/>
        </c:scaling>
        <c:delete val="0"/>
        <c:axPos val="l"/>
        <c:majorGridlines>
          <c:spPr>
            <a:ln w="9525" cap="flat" cmpd="sng" algn="ctr">
              <a:solidFill>
                <a:schemeClr val="tx1">
                  <a:lumMod val="15000"/>
                  <a:lumOff val="85000"/>
                </a:schemeClr>
              </a:solidFill>
              <a:round/>
            </a:ln>
            <a:effectLst/>
          </c:spPr>
        </c:majorGridlines>
        <c:numFmt formatCode="&quot;US$ &quot;##,##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419" b="1"/>
              <a:t>Costo del programa de vacunación</a:t>
            </a:r>
          </a:p>
          <a:p>
            <a:pPr>
              <a:defRPr b="1"/>
            </a:pPr>
            <a:r>
              <a:rPr lang="es-419" sz="1000" b="1"/>
              <a:t>Costo de la vacuna + costos incrementales del sistema de salud</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3"/>
          <c:order val="0"/>
          <c:tx>
            <c:strRef>
              <c:f>'Datos del modelo'!$D$31</c:f>
              <c:strCache>
                <c:ptCount val="1"/>
                <c:pt idx="0">
                  <c:v>Synflorix, decavalente, 4 dosis/frasco líquido</c:v>
                </c:pt>
              </c:strCache>
            </c:strRef>
          </c:tx>
          <c:spPr>
            <a:solidFill>
              <a:schemeClr val="accent1"/>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Resultados!$C$86:$C$95</c:f>
              <c:numCache>
                <c:formatCode>"US$"#\,###\,##0</c:formatCode>
                <c:ptCount val="10"/>
                <c:pt idx="0" formatCode="&quot;US$&quot;#\,###\,##0.00">
                  <c:v>1038896.4347826085</c:v>
                </c:pt>
                <c:pt idx="1">
                  <c:v>1008263.3278260868</c:v>
                </c:pt>
                <c:pt idx="2">
                  <c:v>1038511.2276608692</c:v>
                </c:pt>
                <c:pt idx="3">
                  <c:v>1069666.5644906955</c:v>
                </c:pt>
                <c:pt idx="4">
                  <c:v>1101756.5614254163</c:v>
                </c:pt>
                <c:pt idx="5">
                  <c:v>1134809.2582681787</c:v>
                </c:pt>
                <c:pt idx="6">
                  <c:v>1168853.536016224</c:v>
                </c:pt>
                <c:pt idx="7">
                  <c:v>1203919.1420967109</c:v>
                </c:pt>
                <c:pt idx="8">
                  <c:v>1240036.7163596118</c:v>
                </c:pt>
                <c:pt idx="9">
                  <c:v>1277237.8178504005</c:v>
                </c:pt>
              </c:numCache>
            </c:numRef>
          </c:val>
          <c:extLst>
            <c:ext xmlns:c16="http://schemas.microsoft.com/office/drawing/2014/chart" uri="{C3380CC4-5D6E-409C-BE32-E72D297353CC}">
              <c16:uniqueId val="{00000001-A3CD-463F-AEFD-5DB87D2F6CA9}"/>
            </c:ext>
          </c:extLst>
        </c:ser>
        <c:ser>
          <c:idx val="0"/>
          <c:order val="1"/>
          <c:tx>
            <c:strRef>
              <c:f>'Datos del modelo'!$H$31</c:f>
              <c:strCache>
                <c:ptCount val="1"/>
                <c:pt idx="0">
                  <c:v>PNEUMOSIL, decavalente, 5 dosis/frasco líquido</c:v>
                </c:pt>
              </c:strCache>
            </c:strRef>
          </c:tx>
          <c:spPr>
            <a:solidFill>
              <a:schemeClr val="accent2"/>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Resultados!$F$86:$F$95</c:f>
              <c:numCache>
                <c:formatCode>"US$"#\,##0</c:formatCode>
                <c:ptCount val="10"/>
                <c:pt idx="0">
                  <c:v>761513.82608695654</c:v>
                </c:pt>
                <c:pt idx="1">
                  <c:v>722559.24086956517</c:v>
                </c:pt>
                <c:pt idx="2">
                  <c:v>744236.01809565211</c:v>
                </c:pt>
                <c:pt idx="3">
                  <c:v>766563.09863852174</c:v>
                </c:pt>
                <c:pt idx="4">
                  <c:v>789559.99159767735</c:v>
                </c:pt>
                <c:pt idx="5">
                  <c:v>813246.79134560761</c:v>
                </c:pt>
                <c:pt idx="6">
                  <c:v>837644.19508597592</c:v>
                </c:pt>
                <c:pt idx="7">
                  <c:v>862773.52093855513</c:v>
                </c:pt>
                <c:pt idx="8">
                  <c:v>888656.72656671167</c:v>
                </c:pt>
                <c:pt idx="9">
                  <c:v>915316.4283637132</c:v>
                </c:pt>
              </c:numCache>
            </c:numRef>
          </c:val>
          <c:extLst>
            <c:ext xmlns:c16="http://schemas.microsoft.com/office/drawing/2014/chart" uri="{C3380CC4-5D6E-409C-BE32-E72D297353CC}">
              <c16:uniqueId val="{00000002-A3CD-463F-AEFD-5DB87D2F6CA9}"/>
            </c:ext>
          </c:extLst>
        </c:ser>
        <c:ser>
          <c:idx val="1"/>
          <c:order val="2"/>
          <c:tx>
            <c:strRef>
              <c:f>'Datos del modelo'!$L$31</c:f>
              <c:strCache>
                <c:ptCount val="1"/>
                <c:pt idx="0">
                  <c:v>PNEUMOSIL, decavalente, 1 dosis/frasco líquido</c:v>
                </c:pt>
              </c:strCache>
            </c:strRef>
          </c:tx>
          <c:spPr>
            <a:solidFill>
              <a:schemeClr val="accent3"/>
            </a:solidFill>
            <a:ln>
              <a:noFill/>
            </a:ln>
            <a:effectLst/>
          </c:spPr>
          <c:invertIfNegative val="0"/>
          <c:cat>
            <c:numRef>
              <c:f>Resultados!$B$48:$B$57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Resultados!$I$86:$I$95</c:f>
              <c:numCache>
                <c:formatCode>"US$"#\,##0</c:formatCode>
                <c:ptCount val="10"/>
                <c:pt idx="0">
                  <c:v>987869.15789473685</c:v>
                </c:pt>
                <c:pt idx="1">
                  <c:v>955705.23263157893</c:v>
                </c:pt>
                <c:pt idx="2">
                  <c:v>984376.38961052615</c:v>
                </c:pt>
                <c:pt idx="3" formatCode="&quot;US$&quot;#\,###\,##0">
                  <c:v>1013907.6812988422</c:v>
                </c:pt>
                <c:pt idx="4" formatCode="&quot;US$&quot;#\,###\,##0">
                  <c:v>1044324.9117378072</c:v>
                </c:pt>
                <c:pt idx="5" formatCode="&quot;US$&quot;#\,###\,##0">
                  <c:v>1075654.6590899415</c:v>
                </c:pt>
                <c:pt idx="6" formatCode="&quot;US$&quot;#\,###\,##0">
                  <c:v>1107924.2988626396</c:v>
                </c:pt>
                <c:pt idx="7" formatCode="&quot;US$&quot;#\,###\,##0">
                  <c:v>1141162.027828519</c:v>
                </c:pt>
                <c:pt idx="8" formatCode="&quot;US$&quot;#\,###\,##0">
                  <c:v>1175396.8886633744</c:v>
                </c:pt>
                <c:pt idx="9" formatCode="&quot;US$&quot;#\,###\,##0">
                  <c:v>1210658.795323276</c:v>
                </c:pt>
              </c:numCache>
            </c:numRef>
          </c:val>
          <c:extLst>
            <c:ext xmlns:c16="http://schemas.microsoft.com/office/drawing/2014/chart" uri="{C3380CC4-5D6E-409C-BE32-E72D297353CC}">
              <c16:uniqueId val="{00000003-A3CD-463F-AEFD-5DB87D2F6CA9}"/>
            </c:ext>
          </c:extLst>
        </c:ser>
        <c:ser>
          <c:idx val="2"/>
          <c:order val="3"/>
          <c:tx>
            <c:strRef>
              <c:f>'Datos del modelo'!$Q$31:$R$31</c:f>
              <c:strCache>
                <c:ptCount val="1"/>
                <c:pt idx="0">
                  <c:v>Prevenar 13, tridecavalente, 1 dosis/frasco líquido</c:v>
                </c:pt>
              </c:strCache>
            </c:strRef>
          </c:tx>
          <c:spPr>
            <a:solidFill>
              <a:schemeClr val="accent4"/>
            </a:solidFill>
            <a:ln>
              <a:noFill/>
            </a:ln>
            <a:effectLst/>
          </c:spPr>
          <c:invertIfNegative val="0"/>
          <c:val>
            <c:numRef>
              <c:f>Resultados!$M$86:$M$95</c:f>
              <c:numCache>
                <c:formatCode>"US$"#\,###\,##0</c:formatCode>
                <c:ptCount val="10"/>
                <c:pt idx="0" formatCode="&quot;US$&quot;#\,###\,##0.00">
                  <c:v>1077410.2105263157</c:v>
                </c:pt>
                <c:pt idx="1">
                  <c:v>1047932.5168421051</c:v>
                </c:pt>
                <c:pt idx="2">
                  <c:v>1079370.492347368</c:v>
                </c:pt>
                <c:pt idx="3">
                  <c:v>1111751.6071177893</c:v>
                </c:pt>
                <c:pt idx="4">
                  <c:v>1145104.1553313229</c:v>
                </c:pt>
                <c:pt idx="5">
                  <c:v>1179457.2799912626</c:v>
                </c:pt>
                <c:pt idx="6">
                  <c:v>1214840.9983910003</c:v>
                </c:pt>
                <c:pt idx="7">
                  <c:v>1251286.2283427306</c:v>
                </c:pt>
                <c:pt idx="8">
                  <c:v>1288824.8151930121</c:v>
                </c:pt>
                <c:pt idx="9">
                  <c:v>1327489.5596488025</c:v>
                </c:pt>
              </c:numCache>
            </c:numRef>
          </c:val>
          <c:extLst>
            <c:ext xmlns:c16="http://schemas.microsoft.com/office/drawing/2014/chart" uri="{C3380CC4-5D6E-409C-BE32-E72D297353CC}">
              <c16:uniqueId val="{00000000-7E94-4072-B034-6717D82AFFA7}"/>
            </c:ext>
          </c:extLst>
        </c:ser>
        <c:ser>
          <c:idx val="4"/>
          <c:order val="4"/>
          <c:tx>
            <c:strRef>
              <c:f>'Datos del modelo'!$U$31:$V$31</c:f>
              <c:strCache>
                <c:ptCount val="1"/>
                <c:pt idx="0">
                  <c:v>Prevenar 13, tridecavalente, 4 dosis/frasco líquido</c:v>
                </c:pt>
              </c:strCache>
            </c:strRef>
          </c:tx>
          <c:spPr>
            <a:solidFill>
              <a:schemeClr val="accent5"/>
            </a:solidFill>
            <a:ln>
              <a:noFill/>
            </a:ln>
            <a:effectLst/>
          </c:spPr>
          <c:invertIfNegative val="0"/>
          <c:val>
            <c:numRef>
              <c:f>Resultados!$P$86:$P$95</c:f>
              <c:numCache>
                <c:formatCode>"US$"#\,##0</c:formatCode>
                <c:ptCount val="10"/>
                <c:pt idx="0">
                  <c:v>999270.34782608692</c:v>
                </c:pt>
                <c:pt idx="1">
                  <c:v>967448.45826086949</c:v>
                </c:pt>
                <c:pt idx="2">
                  <c:v>996471.91200869542</c:v>
                </c:pt>
                <c:pt idx="3" formatCode="&quot;US$&quot;#\,###\,##0">
                  <c:v>1026366.0693689564</c:v>
                </c:pt>
                <c:pt idx="4" formatCode="&quot;US$&quot;#\,###\,##0">
                  <c:v>1057157.0514500251</c:v>
                </c:pt>
                <c:pt idx="5" formatCode="&quot;US$&quot;#\,###\,##0">
                  <c:v>1088871.7629935257</c:v>
                </c:pt>
                <c:pt idx="6" formatCode="&quot;US$&quot;#\,###\,##0">
                  <c:v>1121537.9158833316</c:v>
                </c:pt>
                <c:pt idx="7" formatCode="&quot;US$&quot;#\,###\,##0">
                  <c:v>1155184.0533598315</c:v>
                </c:pt>
                <c:pt idx="8" formatCode="&quot;US$&quot;#\,###\,##0">
                  <c:v>1189839.5749606262</c:v>
                </c:pt>
                <c:pt idx="9" formatCode="&quot;US$&quot;#\,###\,##0">
                  <c:v>1225534.7622094455</c:v>
                </c:pt>
              </c:numCache>
            </c:numRef>
          </c:val>
          <c:extLst>
            <c:ext xmlns:c16="http://schemas.microsoft.com/office/drawing/2014/chart" uri="{C3380CC4-5D6E-409C-BE32-E72D297353CC}">
              <c16:uniqueId val="{00000001-7E94-4072-B034-6717D82AFFA7}"/>
            </c:ext>
          </c:extLst>
        </c:ser>
        <c:ser>
          <c:idx val="5"/>
          <c:order val="5"/>
          <c:tx>
            <c:strRef>
              <c:f>'Datos del modelo'!$Y$31:$Z$31</c:f>
              <c:strCache>
                <c:ptCount val="1"/>
                <c:pt idx="0">
                  <c:v>Synflorix, decavalente, 1 dosis/frasco líquido</c:v>
                </c:pt>
              </c:strCache>
            </c:strRef>
          </c:tx>
          <c:spPr>
            <a:solidFill>
              <a:schemeClr val="accent6"/>
            </a:solidFill>
            <a:ln>
              <a:noFill/>
            </a:ln>
            <a:effectLst/>
          </c:spPr>
          <c:invertIfNegative val="0"/>
          <c:val>
            <c:numRef>
              <c:f>Resultados!$S$86:$S$95</c:f>
              <c:numCache>
                <c:formatCode>"US$"#\,###\,##0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94-4072-B034-6717D82AFFA7}"/>
            </c:ext>
          </c:extLst>
        </c:ser>
        <c:dLbls>
          <c:showLegendKey val="0"/>
          <c:showVal val="0"/>
          <c:showCatName val="0"/>
          <c:showSerName val="0"/>
          <c:showPercent val="0"/>
          <c:showBubbleSize val="0"/>
        </c:dLbls>
        <c:gapWidth val="128"/>
        <c:axId val="747696848"/>
        <c:axId val="747696192"/>
      </c:barChart>
      <c:catAx>
        <c:axId val="74769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192"/>
        <c:crosses val="autoZero"/>
        <c:auto val="1"/>
        <c:lblAlgn val="ctr"/>
        <c:lblOffset val="100"/>
        <c:noMultiLvlLbl val="0"/>
      </c:catAx>
      <c:valAx>
        <c:axId val="747696192"/>
        <c:scaling>
          <c:orientation val="minMax"/>
        </c:scaling>
        <c:delete val="0"/>
        <c:axPos val="l"/>
        <c:majorGridlines>
          <c:spPr>
            <a:ln w="9525" cap="flat" cmpd="sng" algn="ctr">
              <a:solidFill>
                <a:schemeClr val="tx1">
                  <a:lumMod val="15000"/>
                  <a:lumOff val="85000"/>
                </a:schemeClr>
              </a:solidFill>
              <a:round/>
            </a:ln>
            <a:effectLst/>
          </c:spPr>
        </c:majorGridlines>
        <c:numFmt formatCode="&quot;US$ &quot;##,##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76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ysClr val="windowText" lastClr="000000"/>
                </a:solidFill>
                <a:latin typeface="+mn-lt"/>
                <a:ea typeface="+mn-ea"/>
                <a:cs typeface="+mn-cs"/>
              </a:defRPr>
            </a:pPr>
            <a:r>
              <a:rPr lang="es-419" sz="1400" b="1"/>
              <a:t>Costo de la</a:t>
            </a:r>
            <a:r>
              <a:rPr lang="es-419" sz="1400" b="1" baseline="0"/>
              <a:t> vacuna</a:t>
            </a:r>
          </a:p>
          <a:p>
            <a:pPr algn="ctr">
              <a:defRPr sz="1400" b="1"/>
            </a:pPr>
            <a:r>
              <a:rPr lang="es-419" sz="1000" b="1"/>
              <a:t>Costo de la adquisición de las vacunas y de los suministros</a:t>
            </a:r>
          </a:p>
        </c:rich>
      </c:tx>
      <c:layout>
        <c:manualLayout>
          <c:xMode val="edge"/>
          <c:yMode val="edge"/>
          <c:x val="0.31326768572942465"/>
          <c:y val="3.6842112049014511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5"/>
          <c:order val="0"/>
          <c:tx>
            <c:strRef>
              <c:f>'Datos del modelo'!$Y$31:$Z$31</c:f>
              <c:strCache>
                <c:ptCount val="1"/>
                <c:pt idx="0">
                  <c:v>Synflorix, decavalente, 1 dosis/frasco líquido</c:v>
                </c:pt>
              </c:strCache>
            </c:strRef>
          </c:tx>
          <c:spPr>
            <a:solidFill>
              <a:schemeClr val="accent6"/>
            </a:solidFill>
            <a:ln>
              <a:noFill/>
            </a:ln>
            <a:effectLst/>
          </c:spPr>
          <c:invertIfNegative val="0"/>
          <c:val>
            <c:numRef>
              <c:f>Resultados!$S$47</c:f>
              <c:numCache>
                <c:formatCode>"US$"#\,##0</c:formatCode>
                <c:ptCount val="1"/>
                <c:pt idx="0">
                  <c:v>0</c:v>
                </c:pt>
              </c:numCache>
            </c:numRef>
          </c:val>
          <c:extLst>
            <c:ext xmlns:c16="http://schemas.microsoft.com/office/drawing/2014/chart" uri="{C3380CC4-5D6E-409C-BE32-E72D297353CC}">
              <c16:uniqueId val="{00000004-E499-4C35-8241-0A0AF20233A1}"/>
            </c:ext>
          </c:extLst>
        </c:ser>
        <c:ser>
          <c:idx val="4"/>
          <c:order val="1"/>
          <c:tx>
            <c:strRef>
              <c:f>'Datos del modelo'!$U$31:$V$31</c:f>
              <c:strCache>
                <c:ptCount val="1"/>
                <c:pt idx="0">
                  <c:v>Prevenar 13, tridecavalente, 4 dosis/frasco líquido</c:v>
                </c:pt>
              </c:strCache>
            </c:strRef>
          </c:tx>
          <c:spPr>
            <a:solidFill>
              <a:schemeClr val="accent5"/>
            </a:solidFill>
            <a:ln>
              <a:noFill/>
            </a:ln>
            <a:effectLst/>
          </c:spPr>
          <c:invertIfNegative val="0"/>
          <c:val>
            <c:numRef>
              <c:f>Resultados!$P$47</c:f>
              <c:numCache>
                <c:formatCode>"US$"#\,##0</c:formatCode>
                <c:ptCount val="1"/>
                <c:pt idx="0">
                  <c:v>5283017.5565881161</c:v>
                </c:pt>
              </c:numCache>
            </c:numRef>
          </c:val>
          <c:extLst>
            <c:ext xmlns:c16="http://schemas.microsoft.com/office/drawing/2014/chart" uri="{C3380CC4-5D6E-409C-BE32-E72D297353CC}">
              <c16:uniqueId val="{00000003-E499-4C35-8241-0A0AF20233A1}"/>
            </c:ext>
          </c:extLst>
        </c:ser>
        <c:ser>
          <c:idx val="3"/>
          <c:order val="2"/>
          <c:tx>
            <c:strRef>
              <c:f>'Datos del modelo'!$Q$31:$R$31</c:f>
              <c:strCache>
                <c:ptCount val="1"/>
                <c:pt idx="0">
                  <c:v>Prevenar 13, tridecavalente, 1 dosis/frasco líquido</c:v>
                </c:pt>
              </c:strCache>
            </c:strRef>
          </c:tx>
          <c:spPr>
            <a:solidFill>
              <a:schemeClr val="accent4"/>
            </a:solidFill>
            <a:ln>
              <a:noFill/>
            </a:ln>
            <a:effectLst/>
          </c:spPr>
          <c:invertIfNegative val="0"/>
          <c:val>
            <c:numRef>
              <c:f>Resultados!$M$47</c:f>
              <c:numCache>
                <c:formatCode>"US$"#\,##0</c:formatCode>
                <c:ptCount val="1"/>
                <c:pt idx="0">
                  <c:v>5809687.0124501958</c:v>
                </c:pt>
              </c:numCache>
            </c:numRef>
          </c:val>
          <c:extLst>
            <c:ext xmlns:c16="http://schemas.microsoft.com/office/drawing/2014/chart" uri="{C3380CC4-5D6E-409C-BE32-E72D297353CC}">
              <c16:uniqueId val="{00000002-E499-4C35-8241-0A0AF20233A1}"/>
            </c:ext>
          </c:extLst>
        </c:ser>
        <c:ser>
          <c:idx val="2"/>
          <c:order val="3"/>
          <c:tx>
            <c:strRef>
              <c:f>'Datos del modelo'!$L$31</c:f>
              <c:strCache>
                <c:ptCount val="1"/>
                <c:pt idx="0">
                  <c:v>PNEUMOSIL, decavalente, 1 dosis/frasco líquido</c:v>
                </c:pt>
              </c:strCache>
            </c:strRef>
          </c:tx>
          <c:spPr>
            <a:solidFill>
              <a:schemeClr val="accent3"/>
            </a:solidFill>
            <a:ln>
              <a:noFill/>
            </a:ln>
            <a:effectLst/>
          </c:spPr>
          <c:invertIfNegative val="0"/>
          <c:cat>
            <c:strRef>
              <c:f>Resultados!$B$73</c:f>
              <c:strCache>
                <c:ptCount val="1"/>
                <c:pt idx="0">
                  <c:v>Total
para 10 años</c:v>
                </c:pt>
              </c:strCache>
            </c:strRef>
          </c:cat>
          <c:val>
            <c:numRef>
              <c:f>Resultados!$I$47</c:f>
              <c:numCache>
                <c:formatCode>"US$"#\,##0</c:formatCode>
                <c:ptCount val="1"/>
                <c:pt idx="0">
                  <c:v>5206172.5470139328</c:v>
                </c:pt>
              </c:numCache>
            </c:numRef>
          </c:val>
          <c:extLst>
            <c:ext xmlns:c16="http://schemas.microsoft.com/office/drawing/2014/chart" uri="{C3380CC4-5D6E-409C-BE32-E72D297353CC}">
              <c16:uniqueId val="{00000002-906A-4C35-944B-3C1C5A0D3D56}"/>
            </c:ext>
          </c:extLst>
        </c:ser>
        <c:ser>
          <c:idx val="1"/>
          <c:order val="4"/>
          <c:tx>
            <c:strRef>
              <c:f>'Datos del modelo'!$H$31</c:f>
              <c:strCache>
                <c:ptCount val="1"/>
                <c:pt idx="0">
                  <c:v>PNEUMOSIL, decavalente, 5 dosis/frasco líquido</c:v>
                </c:pt>
              </c:strCache>
            </c:strRef>
          </c:tx>
          <c:spPr>
            <a:solidFill>
              <a:schemeClr val="accent2"/>
            </a:solidFill>
            <a:ln>
              <a:noFill/>
            </a:ln>
            <a:effectLst/>
          </c:spPr>
          <c:invertIfNegative val="0"/>
          <c:cat>
            <c:strRef>
              <c:f>Resultados!$B$73</c:f>
              <c:strCache>
                <c:ptCount val="1"/>
                <c:pt idx="0">
                  <c:v>Total
para 10 años</c:v>
                </c:pt>
              </c:strCache>
            </c:strRef>
          </c:cat>
          <c:val>
            <c:numRef>
              <c:f>Resultados!$F$47</c:f>
              <c:numCache>
                <c:formatCode>"US$"#\,##0</c:formatCode>
                <c:ptCount val="1"/>
                <c:pt idx="0">
                  <c:v>3680517.9666874772</c:v>
                </c:pt>
              </c:numCache>
            </c:numRef>
          </c:val>
          <c:extLst>
            <c:ext xmlns:c16="http://schemas.microsoft.com/office/drawing/2014/chart" uri="{C3380CC4-5D6E-409C-BE32-E72D297353CC}">
              <c16:uniqueId val="{00000001-906A-4C35-944B-3C1C5A0D3D56}"/>
            </c:ext>
          </c:extLst>
        </c:ser>
        <c:ser>
          <c:idx val="0"/>
          <c:order val="5"/>
          <c:tx>
            <c:strRef>
              <c:f>'Datos del modelo'!$D$31</c:f>
              <c:strCache>
                <c:ptCount val="1"/>
                <c:pt idx="0">
                  <c:v>Synflorix, decavalente, 4 dosis/frasco líquido</c:v>
                </c:pt>
              </c:strCache>
            </c:strRef>
          </c:tx>
          <c:spPr>
            <a:solidFill>
              <a:schemeClr val="accent1"/>
            </a:solidFill>
            <a:ln>
              <a:noFill/>
            </a:ln>
            <a:effectLst/>
          </c:spPr>
          <c:invertIfNegative val="0"/>
          <c:cat>
            <c:strRef>
              <c:f>Resultados!$B$73</c:f>
              <c:strCache>
                <c:ptCount val="1"/>
                <c:pt idx="0">
                  <c:v>Total
para 10 años</c:v>
                </c:pt>
              </c:strCache>
            </c:strRef>
          </c:cat>
          <c:val>
            <c:numRef>
              <c:f>Resultados!$C$47</c:f>
              <c:numCache>
                <c:formatCode>"US$"#\,##0</c:formatCode>
                <c:ptCount val="1"/>
                <c:pt idx="0">
                  <c:v>5550100.821571555</c:v>
                </c:pt>
              </c:numCache>
            </c:numRef>
          </c:val>
          <c:extLst>
            <c:ext xmlns:c16="http://schemas.microsoft.com/office/drawing/2014/chart" uri="{C3380CC4-5D6E-409C-BE32-E72D297353CC}">
              <c16:uniqueId val="{00000000-906A-4C35-944B-3C1C5A0D3D56}"/>
            </c:ext>
          </c:extLst>
        </c:ser>
        <c:dLbls>
          <c:showLegendKey val="0"/>
          <c:showVal val="0"/>
          <c:showCatName val="0"/>
          <c:showSerName val="0"/>
          <c:showPercent val="0"/>
          <c:showBubbleSize val="0"/>
        </c:dLbls>
        <c:gapWidth val="182"/>
        <c:axId val="640941360"/>
        <c:axId val="640940704"/>
      </c:barChart>
      <c:catAx>
        <c:axId val="640941360"/>
        <c:scaling>
          <c:orientation val="minMax"/>
        </c:scaling>
        <c:delete val="1"/>
        <c:axPos val="l"/>
        <c:numFmt formatCode="General" sourceLinked="1"/>
        <c:majorTickMark val="none"/>
        <c:minorTickMark val="none"/>
        <c:tickLblPos val="nextTo"/>
        <c:crossAx val="640940704"/>
        <c:crosses val="autoZero"/>
        <c:auto val="1"/>
        <c:lblAlgn val="ctr"/>
        <c:lblOffset val="100"/>
        <c:noMultiLvlLbl val="0"/>
      </c:catAx>
      <c:valAx>
        <c:axId val="640940704"/>
        <c:scaling>
          <c:orientation val="minMax"/>
        </c:scaling>
        <c:delete val="0"/>
        <c:axPos val="b"/>
        <c:majorGridlines>
          <c:spPr>
            <a:ln w="9525" cap="flat" cmpd="sng" algn="ctr">
              <a:solidFill>
                <a:schemeClr val="tx1">
                  <a:lumMod val="15000"/>
                  <a:lumOff val="85000"/>
                </a:schemeClr>
              </a:solidFill>
              <a:round/>
            </a:ln>
            <a:effectLst/>
          </c:spPr>
        </c:majorGridlines>
        <c:numFmt formatCode="&quot;US$ &quot;##,##0" sourceLinked="0"/>
        <c:majorTickMark val="none"/>
        <c:minorTickMark val="none"/>
        <c:tickLblPos val="nextTo"/>
        <c:spPr>
          <a:noFill/>
          <a:ln>
            <a:solidFill>
              <a:schemeClr val="tx1"/>
            </a:solidFill>
          </a:ln>
          <a:effectLst/>
        </c:spPr>
        <c:txPr>
          <a:bodyPr rot="-15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4094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419" sz="1400" b="1"/>
              <a:t>Costo del</a:t>
            </a:r>
            <a:r>
              <a:rPr lang="es-419" sz="1400" b="1" baseline="0"/>
              <a:t> programa de vacunación</a:t>
            </a:r>
          </a:p>
          <a:p>
            <a:pPr>
              <a:defRPr sz="1400" b="1"/>
            </a:pPr>
            <a:r>
              <a:rPr lang="es-419" sz="1000" b="1"/>
              <a:t>Costo de la vacuna + costos incrementales del sistema de salud</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5"/>
          <c:order val="0"/>
          <c:tx>
            <c:strRef>
              <c:f>'Datos del modelo'!$Y$31:$Z$31</c:f>
              <c:strCache>
                <c:ptCount val="1"/>
                <c:pt idx="0">
                  <c:v>Synflorix, decavalente, 1 dosis/frasco líquido</c:v>
                </c:pt>
              </c:strCache>
            </c:strRef>
          </c:tx>
          <c:spPr>
            <a:solidFill>
              <a:schemeClr val="accent6"/>
            </a:solidFill>
            <a:ln>
              <a:noFill/>
            </a:ln>
            <a:effectLst/>
          </c:spPr>
          <c:invertIfNegative val="0"/>
          <c:val>
            <c:numRef>
              <c:f>Resultados!$S$59</c:f>
              <c:numCache>
                <c:formatCode>"US$"#\,###\,##0</c:formatCode>
                <c:ptCount val="1"/>
                <c:pt idx="0">
                  <c:v>0</c:v>
                </c:pt>
              </c:numCache>
            </c:numRef>
          </c:val>
          <c:extLst>
            <c:ext xmlns:c16="http://schemas.microsoft.com/office/drawing/2014/chart" uri="{C3380CC4-5D6E-409C-BE32-E72D297353CC}">
              <c16:uniqueId val="{00000002-85CD-46F1-ABAF-64AB1C3BC301}"/>
            </c:ext>
          </c:extLst>
        </c:ser>
        <c:ser>
          <c:idx val="4"/>
          <c:order val="1"/>
          <c:tx>
            <c:strRef>
              <c:f>'Datos del modelo'!$U$31:$V$31</c:f>
              <c:strCache>
                <c:ptCount val="1"/>
                <c:pt idx="0">
                  <c:v>Prevenar 13, tridecavalente, 4 dosis/frasco líquido</c:v>
                </c:pt>
              </c:strCache>
            </c:strRef>
          </c:tx>
          <c:spPr>
            <a:solidFill>
              <a:schemeClr val="accent5"/>
            </a:solidFill>
            <a:ln>
              <a:noFill/>
            </a:ln>
            <a:effectLst/>
          </c:spPr>
          <c:invertIfNegative val="0"/>
          <c:val>
            <c:numRef>
              <c:f>Resultados!$P$59</c:f>
              <c:numCache>
                <c:formatCode>"US$"#\,###\,##0</c:formatCode>
                <c:ptCount val="1"/>
                <c:pt idx="0">
                  <c:v>7138763.9145299764</c:v>
                </c:pt>
              </c:numCache>
            </c:numRef>
          </c:val>
          <c:extLst>
            <c:ext xmlns:c16="http://schemas.microsoft.com/office/drawing/2014/chart" uri="{C3380CC4-5D6E-409C-BE32-E72D297353CC}">
              <c16:uniqueId val="{00000001-85CD-46F1-ABAF-64AB1C3BC301}"/>
            </c:ext>
          </c:extLst>
        </c:ser>
        <c:ser>
          <c:idx val="3"/>
          <c:order val="2"/>
          <c:tx>
            <c:strRef>
              <c:f>'Datos del modelo'!$Q$31:$R$31</c:f>
              <c:strCache>
                <c:ptCount val="1"/>
                <c:pt idx="0">
                  <c:v>Prevenar 13, tridecavalente, 1 dosis/frasco líquido</c:v>
                </c:pt>
              </c:strCache>
            </c:strRef>
          </c:tx>
          <c:spPr>
            <a:solidFill>
              <a:schemeClr val="accent4"/>
            </a:solidFill>
            <a:ln>
              <a:noFill/>
            </a:ln>
            <a:effectLst/>
          </c:spPr>
          <c:invertIfNegative val="0"/>
          <c:val>
            <c:numRef>
              <c:f>Resultados!$M$59</c:f>
              <c:numCache>
                <c:formatCode>"US$"#\,###\,##0</c:formatCode>
                <c:ptCount val="1"/>
                <c:pt idx="0">
                  <c:v>7665433.3703920571</c:v>
                </c:pt>
              </c:numCache>
            </c:numRef>
          </c:val>
          <c:extLst>
            <c:ext xmlns:c16="http://schemas.microsoft.com/office/drawing/2014/chart" uri="{C3380CC4-5D6E-409C-BE32-E72D297353CC}">
              <c16:uniqueId val="{00000000-85CD-46F1-ABAF-64AB1C3BC301}"/>
            </c:ext>
          </c:extLst>
        </c:ser>
        <c:ser>
          <c:idx val="2"/>
          <c:order val="3"/>
          <c:tx>
            <c:strRef>
              <c:f>'Datos del modelo'!$L$31</c:f>
              <c:strCache>
                <c:ptCount val="1"/>
                <c:pt idx="0">
                  <c:v>PNEUMOSIL, decavalente, 1 dosis/frasco líquido</c:v>
                </c:pt>
              </c:strCache>
            </c:strRef>
          </c:tx>
          <c:spPr>
            <a:solidFill>
              <a:schemeClr val="accent3"/>
            </a:solidFill>
            <a:ln>
              <a:noFill/>
            </a:ln>
            <a:effectLst/>
          </c:spPr>
          <c:invertIfNegative val="0"/>
          <c:cat>
            <c:strRef>
              <c:f>Resultados!$B$85</c:f>
              <c:strCache>
                <c:ptCount val="1"/>
                <c:pt idx="0">
                  <c:v>Total
para 10 años</c:v>
                </c:pt>
              </c:strCache>
            </c:strRef>
          </c:cat>
          <c:val>
            <c:numRef>
              <c:f>Resultados!$I$59</c:f>
              <c:numCache>
                <c:formatCode>"US$"#\,###\,##0</c:formatCode>
                <c:ptCount val="1"/>
                <c:pt idx="0">
                  <c:v>7061918.9049557941</c:v>
                </c:pt>
              </c:numCache>
            </c:numRef>
          </c:val>
          <c:extLst>
            <c:ext xmlns:c16="http://schemas.microsoft.com/office/drawing/2014/chart" uri="{C3380CC4-5D6E-409C-BE32-E72D297353CC}">
              <c16:uniqueId val="{00000000-DB6A-4F41-839C-98DAAACC164F}"/>
            </c:ext>
          </c:extLst>
        </c:ser>
        <c:ser>
          <c:idx val="1"/>
          <c:order val="4"/>
          <c:tx>
            <c:strRef>
              <c:f>'Datos del modelo'!$H$31</c:f>
              <c:strCache>
                <c:ptCount val="1"/>
                <c:pt idx="0">
                  <c:v>PNEUMOSIL, decavalente, 5 dosis/frasco líquido</c:v>
                </c:pt>
              </c:strCache>
            </c:strRef>
          </c:tx>
          <c:spPr>
            <a:solidFill>
              <a:schemeClr val="accent2"/>
            </a:solidFill>
            <a:ln>
              <a:noFill/>
            </a:ln>
            <a:effectLst/>
          </c:spPr>
          <c:invertIfNegative val="0"/>
          <c:cat>
            <c:strRef>
              <c:f>Resultados!$B$85</c:f>
              <c:strCache>
                <c:ptCount val="1"/>
                <c:pt idx="0">
                  <c:v>Total
para 10 años</c:v>
                </c:pt>
              </c:strCache>
            </c:strRef>
          </c:cat>
          <c:val>
            <c:numRef>
              <c:f>Resultados!$F$59</c:f>
              <c:numCache>
                <c:formatCode>"US$"#\,###\,##0</c:formatCode>
                <c:ptCount val="1"/>
                <c:pt idx="0">
                  <c:v>5536264.3246293385</c:v>
                </c:pt>
              </c:numCache>
            </c:numRef>
          </c:val>
          <c:extLst>
            <c:ext xmlns:c16="http://schemas.microsoft.com/office/drawing/2014/chart" uri="{C3380CC4-5D6E-409C-BE32-E72D297353CC}">
              <c16:uniqueId val="{00000001-DB6A-4F41-839C-98DAAACC164F}"/>
            </c:ext>
          </c:extLst>
        </c:ser>
        <c:ser>
          <c:idx val="0"/>
          <c:order val="5"/>
          <c:tx>
            <c:strRef>
              <c:f>'Datos del modelo'!$D$31</c:f>
              <c:strCache>
                <c:ptCount val="1"/>
                <c:pt idx="0">
                  <c:v>Synflorix, decavalente, 4 dosis/frasco líquido</c:v>
                </c:pt>
              </c:strCache>
            </c:strRef>
          </c:tx>
          <c:spPr>
            <a:solidFill>
              <a:schemeClr val="accent1"/>
            </a:solidFill>
            <a:ln>
              <a:noFill/>
            </a:ln>
            <a:effectLst/>
          </c:spPr>
          <c:invertIfNegative val="0"/>
          <c:cat>
            <c:strRef>
              <c:f>Resultados!$B$85</c:f>
              <c:strCache>
                <c:ptCount val="1"/>
                <c:pt idx="0">
                  <c:v>Total
para 10 años</c:v>
                </c:pt>
              </c:strCache>
            </c:strRef>
          </c:cat>
          <c:val>
            <c:numRef>
              <c:f>Resultados!$C$59</c:f>
              <c:numCache>
                <c:formatCode>"US$"#\,###\,##0</c:formatCode>
                <c:ptCount val="1"/>
                <c:pt idx="0">
                  <c:v>7405847.1795134153</c:v>
                </c:pt>
              </c:numCache>
            </c:numRef>
          </c:val>
          <c:extLst>
            <c:ext xmlns:c16="http://schemas.microsoft.com/office/drawing/2014/chart" uri="{C3380CC4-5D6E-409C-BE32-E72D297353CC}">
              <c16:uniqueId val="{00000002-DB6A-4F41-839C-98DAAACC164F}"/>
            </c:ext>
          </c:extLst>
        </c:ser>
        <c:dLbls>
          <c:showLegendKey val="0"/>
          <c:showVal val="0"/>
          <c:showCatName val="0"/>
          <c:showSerName val="0"/>
          <c:showPercent val="0"/>
          <c:showBubbleSize val="0"/>
        </c:dLbls>
        <c:gapWidth val="182"/>
        <c:axId val="640941360"/>
        <c:axId val="640940704"/>
      </c:barChart>
      <c:catAx>
        <c:axId val="640941360"/>
        <c:scaling>
          <c:orientation val="minMax"/>
        </c:scaling>
        <c:delete val="1"/>
        <c:axPos val="l"/>
        <c:numFmt formatCode="General" sourceLinked="1"/>
        <c:majorTickMark val="none"/>
        <c:minorTickMark val="none"/>
        <c:tickLblPos val="nextTo"/>
        <c:crossAx val="640940704"/>
        <c:crosses val="autoZero"/>
        <c:auto val="1"/>
        <c:lblAlgn val="ctr"/>
        <c:lblOffset val="100"/>
        <c:noMultiLvlLbl val="0"/>
      </c:catAx>
      <c:valAx>
        <c:axId val="640940704"/>
        <c:scaling>
          <c:orientation val="minMax"/>
        </c:scaling>
        <c:delete val="0"/>
        <c:axPos val="b"/>
        <c:majorGridlines>
          <c:spPr>
            <a:ln w="9525" cap="flat" cmpd="sng" algn="ctr">
              <a:solidFill>
                <a:schemeClr val="tx1">
                  <a:lumMod val="15000"/>
                  <a:lumOff val="85000"/>
                </a:schemeClr>
              </a:solidFill>
              <a:round/>
            </a:ln>
            <a:effectLst/>
          </c:spPr>
        </c:majorGridlines>
        <c:numFmt formatCode="&quot;US$ &quot;##,##0" sourceLinked="0"/>
        <c:majorTickMark val="none"/>
        <c:minorTickMark val="none"/>
        <c:tickLblPos val="nextTo"/>
        <c:spPr>
          <a:noFill/>
          <a:ln>
            <a:solidFill>
              <a:schemeClr val="tx1"/>
            </a:solidFill>
          </a:ln>
          <a:effectLst/>
        </c:spPr>
        <c:txPr>
          <a:bodyPr rot="-15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094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419" sz="1400" b="1"/>
              <a:t>Costo de la</a:t>
            </a:r>
            <a:r>
              <a:rPr lang="es-419" sz="1400" b="1" baseline="0"/>
              <a:t> vacuna</a:t>
            </a:r>
          </a:p>
          <a:p>
            <a:pPr>
              <a:defRPr sz="1400"/>
            </a:pPr>
            <a:r>
              <a:rPr lang="es-419" sz="1000" b="1"/>
              <a:t>Costo de la adquisición de las vacunas y de los suministros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5"/>
          <c:order val="0"/>
          <c:tx>
            <c:strRef>
              <c:f>'Datos del modelo'!$Y$31:$Z$31</c:f>
              <c:strCache>
                <c:ptCount val="1"/>
                <c:pt idx="0">
                  <c:v>Synflorix, decavalente, 1 dosis/frasco líquido</c:v>
                </c:pt>
              </c:strCache>
            </c:strRef>
          </c:tx>
          <c:spPr>
            <a:solidFill>
              <a:schemeClr val="accent6"/>
            </a:solidFill>
            <a:ln>
              <a:noFill/>
            </a:ln>
            <a:effectLst/>
          </c:spPr>
          <c:invertIfNegative val="0"/>
          <c:val>
            <c:numRef>
              <c:f>Resultados!$S$73</c:f>
              <c:numCache>
                <c:formatCode>"US$"#\,###\,##0</c:formatCode>
                <c:ptCount val="1"/>
                <c:pt idx="0">
                  <c:v>0</c:v>
                </c:pt>
              </c:numCache>
            </c:numRef>
          </c:val>
          <c:extLst>
            <c:ext xmlns:c16="http://schemas.microsoft.com/office/drawing/2014/chart" uri="{C3380CC4-5D6E-409C-BE32-E72D297353CC}">
              <c16:uniqueId val="{00000002-6CCC-416C-8655-8CEC1E1E60C8}"/>
            </c:ext>
          </c:extLst>
        </c:ser>
        <c:ser>
          <c:idx val="4"/>
          <c:order val="1"/>
          <c:tx>
            <c:strRef>
              <c:f>'Datos del modelo'!$U$31:$V$31</c:f>
              <c:strCache>
                <c:ptCount val="1"/>
                <c:pt idx="0">
                  <c:v>Prevenar 13, tridecavalente, 4 dosis/frasco líquido</c:v>
                </c:pt>
              </c:strCache>
            </c:strRef>
          </c:tx>
          <c:spPr>
            <a:solidFill>
              <a:schemeClr val="accent5"/>
            </a:solidFill>
            <a:ln>
              <a:noFill/>
            </a:ln>
            <a:effectLst/>
          </c:spPr>
          <c:invertIfNegative val="0"/>
          <c:val>
            <c:numRef>
              <c:f>Resultados!$P$73</c:f>
              <c:numCache>
                <c:formatCode>"US$"#\,###\,##0</c:formatCode>
                <c:ptCount val="1"/>
                <c:pt idx="0">
                  <c:v>8901935.5503795315</c:v>
                </c:pt>
              </c:numCache>
            </c:numRef>
          </c:val>
          <c:extLst>
            <c:ext xmlns:c16="http://schemas.microsoft.com/office/drawing/2014/chart" uri="{C3380CC4-5D6E-409C-BE32-E72D297353CC}">
              <c16:uniqueId val="{00000001-6CCC-416C-8655-8CEC1E1E60C8}"/>
            </c:ext>
          </c:extLst>
        </c:ser>
        <c:ser>
          <c:idx val="3"/>
          <c:order val="2"/>
          <c:tx>
            <c:strRef>
              <c:f>'Datos del modelo'!$Q$31:$R$31</c:f>
              <c:strCache>
                <c:ptCount val="1"/>
                <c:pt idx="0">
                  <c:v>Prevenar 13, tridecavalente, 1 dosis/frasco líquido</c:v>
                </c:pt>
              </c:strCache>
            </c:strRef>
          </c:tx>
          <c:spPr>
            <a:solidFill>
              <a:schemeClr val="accent4"/>
            </a:solidFill>
            <a:ln>
              <a:noFill/>
            </a:ln>
            <a:effectLst/>
          </c:spPr>
          <c:invertIfNegative val="0"/>
          <c:val>
            <c:numRef>
              <c:f>Resultados!$M$73</c:f>
              <c:numCache>
                <c:formatCode>"US$"#\,###\,##0</c:formatCode>
                <c:ptCount val="1"/>
                <c:pt idx="0">
                  <c:v>9797721.505789848</c:v>
                </c:pt>
              </c:numCache>
            </c:numRef>
          </c:val>
          <c:extLst>
            <c:ext xmlns:c16="http://schemas.microsoft.com/office/drawing/2014/chart" uri="{C3380CC4-5D6E-409C-BE32-E72D297353CC}">
              <c16:uniqueId val="{00000000-6CCC-416C-8655-8CEC1E1E60C8}"/>
            </c:ext>
          </c:extLst>
        </c:ser>
        <c:ser>
          <c:idx val="2"/>
          <c:order val="3"/>
          <c:tx>
            <c:strRef>
              <c:f>'Datos del modelo'!$L$31</c:f>
              <c:strCache>
                <c:ptCount val="1"/>
                <c:pt idx="0">
                  <c:v>PNEUMOSIL, decavalente, 1 dosis/frasco líquido</c:v>
                </c:pt>
              </c:strCache>
            </c:strRef>
          </c:tx>
          <c:spPr>
            <a:solidFill>
              <a:schemeClr val="accent3"/>
            </a:solidFill>
            <a:ln>
              <a:noFill/>
            </a:ln>
            <a:effectLst/>
          </c:spPr>
          <c:invertIfNegative val="0"/>
          <c:cat>
            <c:strRef>
              <c:f>Resultados!$B$73</c:f>
              <c:strCache>
                <c:ptCount val="1"/>
                <c:pt idx="0">
                  <c:v>Total
para 10 años</c:v>
                </c:pt>
              </c:strCache>
            </c:strRef>
          </c:cat>
          <c:val>
            <c:numRef>
              <c:f>Resultados!$I$73</c:f>
              <c:numCache>
                <c:formatCode>"$"#,##0</c:formatCode>
                <c:ptCount val="1"/>
                <c:pt idx="0">
                  <c:v>8771233.6849993803</c:v>
                </c:pt>
              </c:numCache>
            </c:numRef>
          </c:val>
          <c:extLst>
            <c:ext xmlns:c16="http://schemas.microsoft.com/office/drawing/2014/chart" uri="{C3380CC4-5D6E-409C-BE32-E72D297353CC}">
              <c16:uniqueId val="{00000002-3E07-45B9-81F1-4CE015B56F83}"/>
            </c:ext>
          </c:extLst>
        </c:ser>
        <c:ser>
          <c:idx val="1"/>
          <c:order val="4"/>
          <c:tx>
            <c:strRef>
              <c:f>'Datos del modelo'!$H$31</c:f>
              <c:strCache>
                <c:ptCount val="1"/>
                <c:pt idx="0">
                  <c:v>PNEUMOSIL, decavalente, 5 dosis/frasco líquido</c:v>
                </c:pt>
              </c:strCache>
            </c:strRef>
          </c:tx>
          <c:spPr>
            <a:solidFill>
              <a:schemeClr val="accent2"/>
            </a:solidFill>
            <a:ln>
              <a:noFill/>
            </a:ln>
            <a:effectLst/>
          </c:spPr>
          <c:invertIfNegative val="0"/>
          <c:cat>
            <c:strRef>
              <c:f>Resultados!$B$73</c:f>
              <c:strCache>
                <c:ptCount val="1"/>
                <c:pt idx="0">
                  <c:v>Total
para 10 años</c:v>
                </c:pt>
              </c:strCache>
            </c:strRef>
          </c:cat>
          <c:val>
            <c:numRef>
              <c:f>Resultados!$F$73</c:f>
              <c:numCache>
                <c:formatCode>"$"#,##0</c:formatCode>
                <c:ptCount val="1"/>
                <c:pt idx="0">
                  <c:v>6176323.4796470758</c:v>
                </c:pt>
              </c:numCache>
            </c:numRef>
          </c:val>
          <c:extLst>
            <c:ext xmlns:c16="http://schemas.microsoft.com/office/drawing/2014/chart" uri="{C3380CC4-5D6E-409C-BE32-E72D297353CC}">
              <c16:uniqueId val="{00000001-3E07-45B9-81F1-4CE015B56F83}"/>
            </c:ext>
          </c:extLst>
        </c:ser>
        <c:ser>
          <c:idx val="0"/>
          <c:order val="5"/>
          <c:tx>
            <c:strRef>
              <c:f>'Datos del modelo'!$D$31</c:f>
              <c:strCache>
                <c:ptCount val="1"/>
                <c:pt idx="0">
                  <c:v>Synflorix, decavalente, 4 dosis/frasco líquido</c:v>
                </c:pt>
              </c:strCache>
            </c:strRef>
          </c:tx>
          <c:spPr>
            <a:solidFill>
              <a:schemeClr val="accent1"/>
            </a:solidFill>
            <a:ln>
              <a:noFill/>
            </a:ln>
            <a:effectLst/>
          </c:spPr>
          <c:invertIfNegative val="0"/>
          <c:cat>
            <c:strRef>
              <c:f>Resultados!$B$73</c:f>
              <c:strCache>
                <c:ptCount val="1"/>
                <c:pt idx="0">
                  <c:v>Total
para 10 años</c:v>
                </c:pt>
              </c:strCache>
            </c:strRef>
          </c:cat>
          <c:val>
            <c:numRef>
              <c:f>Resultados!$C$73</c:f>
              <c:numCache>
                <c:formatCode>"$"#,##0</c:formatCode>
                <c:ptCount val="1"/>
                <c:pt idx="0">
                  <c:v>9356204.228834942</c:v>
                </c:pt>
              </c:numCache>
            </c:numRef>
          </c:val>
          <c:extLst>
            <c:ext xmlns:c16="http://schemas.microsoft.com/office/drawing/2014/chart" uri="{C3380CC4-5D6E-409C-BE32-E72D297353CC}">
              <c16:uniqueId val="{00000000-3E07-45B9-81F1-4CE015B56F83}"/>
            </c:ext>
          </c:extLst>
        </c:ser>
        <c:dLbls>
          <c:showLegendKey val="0"/>
          <c:showVal val="0"/>
          <c:showCatName val="0"/>
          <c:showSerName val="0"/>
          <c:showPercent val="0"/>
          <c:showBubbleSize val="0"/>
        </c:dLbls>
        <c:gapWidth val="182"/>
        <c:axId val="640941360"/>
        <c:axId val="640940704"/>
      </c:barChart>
      <c:catAx>
        <c:axId val="640941360"/>
        <c:scaling>
          <c:orientation val="minMax"/>
        </c:scaling>
        <c:delete val="1"/>
        <c:axPos val="l"/>
        <c:numFmt formatCode="General" sourceLinked="1"/>
        <c:majorTickMark val="none"/>
        <c:minorTickMark val="none"/>
        <c:tickLblPos val="nextTo"/>
        <c:crossAx val="640940704"/>
        <c:crosses val="autoZero"/>
        <c:auto val="1"/>
        <c:lblAlgn val="ctr"/>
        <c:lblOffset val="100"/>
        <c:noMultiLvlLbl val="0"/>
      </c:catAx>
      <c:valAx>
        <c:axId val="640940704"/>
        <c:scaling>
          <c:orientation val="minMax"/>
        </c:scaling>
        <c:delete val="0"/>
        <c:axPos val="b"/>
        <c:majorGridlines>
          <c:spPr>
            <a:ln w="9525" cap="flat" cmpd="sng" algn="ctr">
              <a:solidFill>
                <a:schemeClr val="tx1">
                  <a:lumMod val="15000"/>
                  <a:lumOff val="85000"/>
                </a:schemeClr>
              </a:solidFill>
              <a:round/>
            </a:ln>
            <a:effectLst/>
          </c:spPr>
        </c:majorGridlines>
        <c:numFmt formatCode="&quot;US$ &quot;##,##0" sourceLinked="0"/>
        <c:majorTickMark val="none"/>
        <c:minorTickMark val="none"/>
        <c:tickLblPos val="nextTo"/>
        <c:spPr>
          <a:noFill/>
          <a:ln>
            <a:solidFill>
              <a:schemeClr val="tx1"/>
            </a:solidFill>
          </a:ln>
          <a:effectLst/>
        </c:spPr>
        <c:txPr>
          <a:bodyPr rot="-15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4094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419" sz="1400" b="1"/>
              <a:t>Costo del programa de vacunación</a:t>
            </a:r>
          </a:p>
          <a:p>
            <a:pPr>
              <a:defRPr sz="1400" b="1"/>
            </a:pPr>
            <a:r>
              <a:rPr lang="es-419" sz="1000" b="1"/>
              <a:t>Costo de la vacuna + costos incrementales del sistema de salud</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5"/>
          <c:order val="0"/>
          <c:tx>
            <c:strRef>
              <c:f>'Datos del modelo'!$Y$31:$Z$31</c:f>
              <c:strCache>
                <c:ptCount val="1"/>
                <c:pt idx="0">
                  <c:v>Synflorix, decavalente, 1 dosis/frasco líquido</c:v>
                </c:pt>
              </c:strCache>
            </c:strRef>
          </c:tx>
          <c:spPr>
            <a:solidFill>
              <a:schemeClr val="accent6"/>
            </a:solidFill>
            <a:ln>
              <a:noFill/>
            </a:ln>
            <a:effectLst/>
          </c:spPr>
          <c:invertIfNegative val="0"/>
          <c:val>
            <c:numRef>
              <c:f>Resultados!$S$85</c:f>
              <c:numCache>
                <c:formatCode>"US$"#\,###\,##0</c:formatCode>
                <c:ptCount val="1"/>
                <c:pt idx="0">
                  <c:v>0</c:v>
                </c:pt>
              </c:numCache>
            </c:numRef>
          </c:val>
          <c:extLst>
            <c:ext xmlns:c16="http://schemas.microsoft.com/office/drawing/2014/chart" uri="{C3380CC4-5D6E-409C-BE32-E72D297353CC}">
              <c16:uniqueId val="{00000002-A626-4AB6-AA62-830197FC4B5E}"/>
            </c:ext>
          </c:extLst>
        </c:ser>
        <c:ser>
          <c:idx val="4"/>
          <c:order val="1"/>
          <c:tx>
            <c:strRef>
              <c:f>'Datos del modelo'!$U$31:$V$31</c:f>
              <c:strCache>
                <c:ptCount val="1"/>
                <c:pt idx="0">
                  <c:v>Prevenar 13, tridecavalente, 4 dosis/frasco líquido</c:v>
                </c:pt>
              </c:strCache>
            </c:strRef>
          </c:tx>
          <c:spPr>
            <a:solidFill>
              <a:schemeClr val="accent5"/>
            </a:solidFill>
            <a:ln>
              <a:noFill/>
            </a:ln>
            <a:effectLst/>
          </c:spPr>
          <c:invertIfNegative val="0"/>
          <c:val>
            <c:numRef>
              <c:f>Resultados!$P$85</c:f>
              <c:numCache>
                <c:formatCode>"US$"#\,###\,##0</c:formatCode>
                <c:ptCount val="1"/>
                <c:pt idx="0">
                  <c:v>10827681.908321394</c:v>
                </c:pt>
              </c:numCache>
            </c:numRef>
          </c:val>
          <c:extLst>
            <c:ext xmlns:c16="http://schemas.microsoft.com/office/drawing/2014/chart" uri="{C3380CC4-5D6E-409C-BE32-E72D297353CC}">
              <c16:uniqueId val="{00000001-A626-4AB6-AA62-830197FC4B5E}"/>
            </c:ext>
          </c:extLst>
        </c:ser>
        <c:ser>
          <c:idx val="3"/>
          <c:order val="2"/>
          <c:tx>
            <c:strRef>
              <c:f>'Datos del modelo'!$Q$31:$R$31</c:f>
              <c:strCache>
                <c:ptCount val="1"/>
                <c:pt idx="0">
                  <c:v>Prevenar 13, tridecavalente, 1 dosis/frasco líquido</c:v>
                </c:pt>
              </c:strCache>
            </c:strRef>
          </c:tx>
          <c:spPr>
            <a:solidFill>
              <a:schemeClr val="accent4"/>
            </a:solidFill>
            <a:ln>
              <a:noFill/>
            </a:ln>
            <a:effectLst/>
          </c:spPr>
          <c:invertIfNegative val="0"/>
          <c:val>
            <c:numRef>
              <c:f>Resultados!$M$85</c:f>
              <c:numCache>
                <c:formatCode>"US$"#\,###\,##0</c:formatCode>
                <c:ptCount val="1"/>
                <c:pt idx="0">
                  <c:v>11723467.86373171</c:v>
                </c:pt>
              </c:numCache>
            </c:numRef>
          </c:val>
          <c:extLst>
            <c:ext xmlns:c16="http://schemas.microsoft.com/office/drawing/2014/chart" uri="{C3380CC4-5D6E-409C-BE32-E72D297353CC}">
              <c16:uniqueId val="{00000000-A626-4AB6-AA62-830197FC4B5E}"/>
            </c:ext>
          </c:extLst>
        </c:ser>
        <c:ser>
          <c:idx val="2"/>
          <c:order val="3"/>
          <c:tx>
            <c:strRef>
              <c:f>'Datos del modelo'!$L$31</c:f>
              <c:strCache>
                <c:ptCount val="1"/>
                <c:pt idx="0">
                  <c:v>PNEUMOSIL, decavalente, 1 dosis/frasco líquido</c:v>
                </c:pt>
              </c:strCache>
            </c:strRef>
          </c:tx>
          <c:spPr>
            <a:solidFill>
              <a:schemeClr val="accent3"/>
            </a:solidFill>
            <a:ln>
              <a:noFill/>
            </a:ln>
            <a:effectLst/>
          </c:spPr>
          <c:invertIfNegative val="0"/>
          <c:cat>
            <c:strRef>
              <c:f>Resultados!$B$85</c:f>
              <c:strCache>
                <c:ptCount val="1"/>
                <c:pt idx="0">
                  <c:v>Total
para 10 años</c:v>
                </c:pt>
              </c:strCache>
            </c:strRef>
          </c:cat>
          <c:val>
            <c:numRef>
              <c:f>Resultados!$I$85</c:f>
              <c:numCache>
                <c:formatCode>"US$"#\,###\,##0</c:formatCode>
                <c:ptCount val="1"/>
                <c:pt idx="0">
                  <c:v>10696980.042941242</c:v>
                </c:pt>
              </c:numCache>
            </c:numRef>
          </c:val>
          <c:extLst>
            <c:ext xmlns:c16="http://schemas.microsoft.com/office/drawing/2014/chart" uri="{C3380CC4-5D6E-409C-BE32-E72D297353CC}">
              <c16:uniqueId val="{00000002-B52E-4542-9F60-61A9D3EDD9B9}"/>
            </c:ext>
          </c:extLst>
        </c:ser>
        <c:ser>
          <c:idx val="1"/>
          <c:order val="4"/>
          <c:tx>
            <c:strRef>
              <c:f>'Datos del modelo'!$H$31</c:f>
              <c:strCache>
                <c:ptCount val="1"/>
                <c:pt idx="0">
                  <c:v>PNEUMOSIL, decavalente, 5 dosis/frasco líquido</c:v>
                </c:pt>
              </c:strCache>
            </c:strRef>
          </c:tx>
          <c:spPr>
            <a:solidFill>
              <a:schemeClr val="accent2"/>
            </a:solidFill>
            <a:ln>
              <a:noFill/>
            </a:ln>
            <a:effectLst/>
          </c:spPr>
          <c:invertIfNegative val="0"/>
          <c:cat>
            <c:strRef>
              <c:f>Resultados!$B$85</c:f>
              <c:strCache>
                <c:ptCount val="1"/>
                <c:pt idx="0">
                  <c:v>Total
para 10 años</c:v>
                </c:pt>
              </c:strCache>
            </c:strRef>
          </c:cat>
          <c:val>
            <c:numRef>
              <c:f>Resultados!$F$85</c:f>
              <c:numCache>
                <c:formatCode>"US$"#\,###\,##0</c:formatCode>
                <c:ptCount val="1"/>
                <c:pt idx="0">
                  <c:v>8102069.8375889361</c:v>
                </c:pt>
              </c:numCache>
            </c:numRef>
          </c:val>
          <c:extLst>
            <c:ext xmlns:c16="http://schemas.microsoft.com/office/drawing/2014/chart" uri="{C3380CC4-5D6E-409C-BE32-E72D297353CC}">
              <c16:uniqueId val="{00000001-B52E-4542-9F60-61A9D3EDD9B9}"/>
            </c:ext>
          </c:extLst>
        </c:ser>
        <c:ser>
          <c:idx val="0"/>
          <c:order val="5"/>
          <c:tx>
            <c:strRef>
              <c:f>'Datos del modelo'!$D$31</c:f>
              <c:strCache>
                <c:ptCount val="1"/>
                <c:pt idx="0">
                  <c:v>Synflorix, decavalente, 4 dosis/frasco líquido</c:v>
                </c:pt>
              </c:strCache>
            </c:strRef>
          </c:tx>
          <c:spPr>
            <a:solidFill>
              <a:schemeClr val="accent1"/>
            </a:solidFill>
            <a:ln>
              <a:noFill/>
            </a:ln>
            <a:effectLst/>
          </c:spPr>
          <c:invertIfNegative val="0"/>
          <c:cat>
            <c:strRef>
              <c:f>Resultados!$B$85</c:f>
              <c:strCache>
                <c:ptCount val="1"/>
                <c:pt idx="0">
                  <c:v>Total
para 10 años</c:v>
                </c:pt>
              </c:strCache>
            </c:strRef>
          </c:cat>
          <c:val>
            <c:numRef>
              <c:f>Resultados!$C$85</c:f>
              <c:numCache>
                <c:formatCode>"US$"#\,###\,##0</c:formatCode>
                <c:ptCount val="1"/>
                <c:pt idx="0">
                  <c:v>11281950.5867768</c:v>
                </c:pt>
              </c:numCache>
            </c:numRef>
          </c:val>
          <c:extLst>
            <c:ext xmlns:c16="http://schemas.microsoft.com/office/drawing/2014/chart" uri="{C3380CC4-5D6E-409C-BE32-E72D297353CC}">
              <c16:uniqueId val="{00000000-B52E-4542-9F60-61A9D3EDD9B9}"/>
            </c:ext>
          </c:extLst>
        </c:ser>
        <c:dLbls>
          <c:showLegendKey val="0"/>
          <c:showVal val="0"/>
          <c:showCatName val="0"/>
          <c:showSerName val="0"/>
          <c:showPercent val="0"/>
          <c:showBubbleSize val="0"/>
        </c:dLbls>
        <c:gapWidth val="182"/>
        <c:axId val="640941360"/>
        <c:axId val="640940704"/>
      </c:barChart>
      <c:catAx>
        <c:axId val="640941360"/>
        <c:scaling>
          <c:orientation val="minMax"/>
        </c:scaling>
        <c:delete val="1"/>
        <c:axPos val="l"/>
        <c:numFmt formatCode="General" sourceLinked="1"/>
        <c:majorTickMark val="none"/>
        <c:minorTickMark val="none"/>
        <c:tickLblPos val="nextTo"/>
        <c:crossAx val="640940704"/>
        <c:crosses val="autoZero"/>
        <c:auto val="1"/>
        <c:lblAlgn val="ctr"/>
        <c:lblOffset val="100"/>
        <c:noMultiLvlLbl val="0"/>
      </c:catAx>
      <c:valAx>
        <c:axId val="640940704"/>
        <c:scaling>
          <c:orientation val="minMax"/>
        </c:scaling>
        <c:delete val="0"/>
        <c:axPos val="b"/>
        <c:majorGridlines>
          <c:spPr>
            <a:ln w="9525" cap="flat" cmpd="sng" algn="ctr">
              <a:solidFill>
                <a:schemeClr val="tx1">
                  <a:lumMod val="15000"/>
                  <a:lumOff val="85000"/>
                </a:schemeClr>
              </a:solidFill>
              <a:round/>
            </a:ln>
            <a:effectLst/>
          </c:spPr>
        </c:majorGridlines>
        <c:numFmt formatCode="&quot;US$ &quot;##,##0" sourceLinked="0"/>
        <c:majorTickMark val="none"/>
        <c:minorTickMark val="none"/>
        <c:tickLblPos val="nextTo"/>
        <c:spPr>
          <a:noFill/>
          <a:ln>
            <a:solidFill>
              <a:schemeClr val="tx1"/>
            </a:solidFill>
          </a:ln>
          <a:effectLst/>
        </c:spPr>
        <c:txPr>
          <a:bodyPr rot="-15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094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11673840</xdr:colOff>
      <xdr:row>0</xdr:row>
      <xdr:rowOff>22860</xdr:rowOff>
    </xdr:from>
    <xdr:to>
      <xdr:col>1</xdr:col>
      <xdr:colOff>525</xdr:colOff>
      <xdr:row>3</xdr:row>
      <xdr:rowOff>9796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673840" y="22860"/>
          <a:ext cx="2231280" cy="985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204107</xdr:colOff>
      <xdr:row>1</xdr:row>
      <xdr:rowOff>27215</xdr:rowOff>
    </xdr:from>
    <xdr:to>
      <xdr:col>12</xdr:col>
      <xdr:colOff>2435387</xdr:colOff>
      <xdr:row>4</xdr:row>
      <xdr:rowOff>152400</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15661821" y="212272"/>
          <a:ext cx="2231280" cy="9960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292825</xdr:rowOff>
    </xdr:from>
    <xdr:to>
      <xdr:col>10</xdr:col>
      <xdr:colOff>397933</xdr:colOff>
      <xdr:row>45</xdr:row>
      <xdr:rowOff>52251</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69</xdr:row>
      <xdr:rowOff>53340</xdr:rowOff>
    </xdr:from>
    <xdr:to>
      <xdr:col>10</xdr:col>
      <xdr:colOff>397933</xdr:colOff>
      <xdr:row>91</xdr:row>
      <xdr:rowOff>106680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22</xdr:row>
      <xdr:rowOff>292825</xdr:rowOff>
    </xdr:from>
    <xdr:to>
      <xdr:col>21</xdr:col>
      <xdr:colOff>397933</xdr:colOff>
      <xdr:row>45</xdr:row>
      <xdr:rowOff>52251</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4354</xdr:colOff>
      <xdr:row>69</xdr:row>
      <xdr:rowOff>53340</xdr:rowOff>
    </xdr:from>
    <xdr:to>
      <xdr:col>21</xdr:col>
      <xdr:colOff>402287</xdr:colOff>
      <xdr:row>91</xdr:row>
      <xdr:rowOff>106680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3266</xdr:colOff>
      <xdr:row>3</xdr:row>
      <xdr:rowOff>21772</xdr:rowOff>
    </xdr:from>
    <xdr:to>
      <xdr:col>10</xdr:col>
      <xdr:colOff>399506</xdr:colOff>
      <xdr:row>20</xdr:row>
      <xdr:rowOff>47625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10886</xdr:colOff>
      <xdr:row>3</xdr:row>
      <xdr:rowOff>21772</xdr:rowOff>
    </xdr:from>
    <xdr:to>
      <xdr:col>21</xdr:col>
      <xdr:colOff>407126</xdr:colOff>
      <xdr:row>20</xdr:row>
      <xdr:rowOff>76200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48</xdr:row>
      <xdr:rowOff>1</xdr:rowOff>
    </xdr:from>
    <xdr:to>
      <xdr:col>10</xdr:col>
      <xdr:colOff>396240</xdr:colOff>
      <xdr:row>66</xdr:row>
      <xdr:rowOff>38101</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7620</xdr:colOff>
      <xdr:row>48</xdr:row>
      <xdr:rowOff>0</xdr:rowOff>
    </xdr:from>
    <xdr:to>
      <xdr:col>21</xdr:col>
      <xdr:colOff>403860</xdr:colOff>
      <xdr:row>66</xdr:row>
      <xdr:rowOff>47625</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1114425</xdr:colOff>
      <xdr:row>0</xdr:row>
      <xdr:rowOff>114300</xdr:rowOff>
    </xdr:from>
    <xdr:to>
      <xdr:col>1</xdr:col>
      <xdr:colOff>3110865</xdr:colOff>
      <xdr:row>3</xdr:row>
      <xdr:rowOff>321945</xdr:rowOff>
    </xdr:to>
    <xdr:pic>
      <xdr:nvPicPr>
        <xdr:cNvPr id="2" name="Picture 1" descr="File:GAVI Alliance Colour Logo.jpg">
          <a:extLst>
            <a:ext uri="{FF2B5EF4-FFF2-40B4-BE49-F238E27FC236}">
              <a16:creationId xmlns:a16="http://schemas.microsoft.com/office/drawing/2014/main" id="{C22F7D3D-FE60-4EF3-B9AD-31983D9702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0665" y="114300"/>
          <a:ext cx="1996440" cy="76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therly, Deborah" id="{0FAB0F82-76C3-4344-A09B-F116F495FF4A}" userId="S::datherly@path.org::7e6b3eab-7c46-493f-8caa-268881e673b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9-11T00:21:42.01" personId="{0FAB0F82-76C3-4344-A09B-F116F495FF4A}" id="{71D6E3CF-BB7E-4CEA-BA00-03223B6EE05A}">
    <text>Overall, this looks good. Have you already field-tested it, or in some way gathered user-feedback? If not, it may be useful to get input after launch, to help refine it as/if needed;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apps.who.int/iris/bitstream/handle/10665/310968/WER9408.pdf?ua=1" TargetMode="External"/><Relationship Id="rId13" Type="http://schemas.microsoft.com/office/2017/10/relationships/threadedComment" Target="../threadedComments/threadedComment1.xml"/><Relationship Id="rId3" Type="http://schemas.openxmlformats.org/officeDocument/2006/relationships/hyperlink" Target="https://www.unicef.org/supply/index_62330.html" TargetMode="External"/><Relationship Id="rId7" Type="http://schemas.openxmlformats.org/officeDocument/2006/relationships/hyperlink" Target="https://www.who.int/immunization/programmes_systems/procurement/mi4a/platform/module1/en/" TargetMode="External"/><Relationship Id="rId12" Type="http://schemas.openxmlformats.org/officeDocument/2006/relationships/comments" Target="../comments1.xml"/><Relationship Id="rId2" Type="http://schemas.openxmlformats.org/officeDocument/2006/relationships/hyperlink" Target="https://www.gavi.org/our-alliance/market-shaping/product-information-vaccines-cold-chain-equipment" TargetMode="External"/><Relationship Id="rId1" Type="http://schemas.openxmlformats.org/officeDocument/2006/relationships/hyperlink" Target="https://www.gavi.org/sites/default/files/document/support/Application%20guidelines%20for%20all%20types%20of%20Gavi%20Support.pdf" TargetMode="External"/><Relationship Id="rId6" Type="http://schemas.openxmlformats.org/officeDocument/2006/relationships/hyperlink" Target="https://www.unicef.org/supply/index_62309.html" TargetMode="External"/><Relationship Id="rId11" Type="http://schemas.openxmlformats.org/officeDocument/2006/relationships/vmlDrawing" Target="../drawings/vmlDrawing1.vml"/><Relationship Id="rId5" Type="http://schemas.openxmlformats.org/officeDocument/2006/relationships/hyperlink" Target="http://immunizationeconomics.org/ican-idcc" TargetMode="External"/><Relationship Id="rId10" Type="http://schemas.openxmlformats.org/officeDocument/2006/relationships/drawing" Target="../drawings/drawing1.xml"/><Relationship Id="rId4" Type="http://schemas.openxmlformats.org/officeDocument/2006/relationships/hyperlink" Target="https://www.unicef.org/supply/index_62309.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who.int/immunization/programmes_systems/procurement/mi4a/platform/module1/en/" TargetMode="External"/><Relationship Id="rId3" Type="http://schemas.openxmlformats.org/officeDocument/2006/relationships/hyperlink" Target="http://immunizationeconomics.org/ican-idcc" TargetMode="External"/><Relationship Id="rId7" Type="http://schemas.openxmlformats.org/officeDocument/2006/relationships/hyperlink" Target="http://immunizationeconomics.org/ican-idcc" TargetMode="External"/><Relationship Id="rId2" Type="http://schemas.openxmlformats.org/officeDocument/2006/relationships/hyperlink" Target="http://immunizationeconomics.org/ican-idcc" TargetMode="External"/><Relationship Id="rId1" Type="http://schemas.openxmlformats.org/officeDocument/2006/relationships/hyperlink" Target="https://www.gavi.org/library/gavi-documents/guidelines-and-forms/application-guidelines/" TargetMode="External"/><Relationship Id="rId6" Type="http://schemas.openxmlformats.org/officeDocument/2006/relationships/hyperlink" Target="http://immunizationeconomics.org/ican-idcc" TargetMode="External"/><Relationship Id="rId11" Type="http://schemas.openxmlformats.org/officeDocument/2006/relationships/drawing" Target="../drawings/drawing2.xml"/><Relationship Id="rId5" Type="http://schemas.openxmlformats.org/officeDocument/2006/relationships/hyperlink" Target="http://immunizationeconomics.org/ican-idcc" TargetMode="External"/><Relationship Id="rId10" Type="http://schemas.openxmlformats.org/officeDocument/2006/relationships/printerSettings" Target="../printerSettings/printerSettings2.bin"/><Relationship Id="rId4" Type="http://schemas.openxmlformats.org/officeDocument/2006/relationships/hyperlink" Target="http://immunizationeconomics.org/ican-idcc" TargetMode="External"/><Relationship Id="rId9" Type="http://schemas.openxmlformats.org/officeDocument/2006/relationships/hyperlink" Target="https://www.gavi.org/our-alliance/market-shaping/product-information-vaccines-cold-chain-equipmen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extranet.who.int/gavi/PQ_Web/PreviewVaccine.aspx?nav=0&amp;ID=191" TargetMode="External"/><Relationship Id="rId2" Type="http://schemas.openxmlformats.org/officeDocument/2006/relationships/hyperlink" Target="https://extranet.who.int/gavi/PQ_Web/PreviewVaccine.aspx?nav=0&amp;ID=198" TargetMode="External"/><Relationship Id="rId1" Type="http://schemas.openxmlformats.org/officeDocument/2006/relationships/hyperlink" Target="https://extranet.who.int/gavi/PQ_Web/PreviewVaccine.aspx?nav=0&amp;ID=221" TargetMode="External"/><Relationship Id="rId6" Type="http://schemas.openxmlformats.org/officeDocument/2006/relationships/drawing" Target="../drawings/drawing4.xml"/><Relationship Id="rId5" Type="http://schemas.openxmlformats.org/officeDocument/2006/relationships/hyperlink" Target="https://extranet.who.int/gavi/PQ_Web/PreviewVaccine.aspx?nav=0&amp;ID=341" TargetMode="External"/><Relationship Id="rId4" Type="http://schemas.openxmlformats.org/officeDocument/2006/relationships/hyperlink" Target="https://extranet.who.int/gavi/PQ_Web/PreviewVaccine.aspx?nav=0&amp;ID=3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8"/>
  <sheetViews>
    <sheetView tabSelected="1" zoomScale="80" zoomScaleNormal="80" zoomScaleSheetLayoutView="80" workbookViewId="0"/>
  </sheetViews>
  <sheetFormatPr defaultColWidth="8.90625" defaultRowHeight="14.5" x14ac:dyDescent="0.35"/>
  <cols>
    <col min="1" max="1" width="202.54296875" style="99" customWidth="1"/>
    <col min="2" max="16384" width="8.90625" style="99"/>
  </cols>
  <sheetData>
    <row r="1" spans="1:1" ht="28.5" x14ac:dyDescent="0.35">
      <c r="A1" s="98" t="s">
        <v>0</v>
      </c>
    </row>
    <row r="2" spans="1:1" ht="28.5" x14ac:dyDescent="0.35">
      <c r="A2" s="98"/>
    </row>
    <row r="3" spans="1:1" ht="21" x14ac:dyDescent="0.35">
      <c r="A3" s="100" t="s">
        <v>1</v>
      </c>
    </row>
    <row r="4" spans="1:1" x14ac:dyDescent="0.35">
      <c r="A4" s="101" t="s">
        <v>2</v>
      </c>
    </row>
    <row r="5" spans="1:1" ht="18" customHeight="1" x14ac:dyDescent="0.35">
      <c r="A5" s="102" t="s">
        <v>3</v>
      </c>
    </row>
    <row r="6" spans="1:1" ht="58" x14ac:dyDescent="0.35">
      <c r="A6" s="103" t="s">
        <v>263</v>
      </c>
    </row>
    <row r="7" spans="1:1" ht="8.4" customHeight="1" x14ac:dyDescent="0.35">
      <c r="A7" s="104"/>
    </row>
    <row r="8" spans="1:1" ht="82.5" customHeight="1" x14ac:dyDescent="0.35">
      <c r="A8" s="99" t="s">
        <v>4</v>
      </c>
    </row>
    <row r="9" spans="1:1" ht="8.4" customHeight="1" x14ac:dyDescent="0.35">
      <c r="A9" s="104"/>
    </row>
    <row r="10" spans="1:1" x14ac:dyDescent="0.35">
      <c r="A10" s="99" t="s">
        <v>5</v>
      </c>
    </row>
    <row r="11" spans="1:1" x14ac:dyDescent="0.35">
      <c r="A11" s="99" t="s">
        <v>6</v>
      </c>
    </row>
    <row r="12" spans="1:1" x14ac:dyDescent="0.35">
      <c r="A12" s="99" t="s">
        <v>7</v>
      </c>
    </row>
    <row r="13" spans="1:1" x14ac:dyDescent="0.35">
      <c r="A13" s="99" t="s">
        <v>264</v>
      </c>
    </row>
    <row r="14" spans="1:1" ht="8.4" customHeight="1" x14ac:dyDescent="0.35">
      <c r="A14" s="104"/>
    </row>
    <row r="15" spans="1:1" ht="43.5" x14ac:dyDescent="0.35">
      <c r="A15" s="111" t="s">
        <v>8</v>
      </c>
    </row>
    <row r="16" spans="1:1" ht="8.4" customHeight="1" x14ac:dyDescent="0.35">
      <c r="A16" s="104"/>
    </row>
    <row r="17" spans="1:1" x14ac:dyDescent="0.35">
      <c r="A17" s="105" t="s">
        <v>9</v>
      </c>
    </row>
    <row r="18" spans="1:1" ht="43.5" x14ac:dyDescent="0.35">
      <c r="A18" s="99" t="s">
        <v>10</v>
      </c>
    </row>
    <row r="19" spans="1:1" ht="8.4" customHeight="1" x14ac:dyDescent="0.35">
      <c r="A19" s="104"/>
    </row>
    <row r="20" spans="1:1" x14ac:dyDescent="0.35">
      <c r="A20" s="106" t="s">
        <v>280</v>
      </c>
    </row>
    <row r="21" spans="1:1" ht="29" x14ac:dyDescent="0.35">
      <c r="A21" s="107" t="s">
        <v>11</v>
      </c>
    </row>
    <row r="22" spans="1:1" ht="8.4" customHeight="1" x14ac:dyDescent="0.35">
      <c r="A22" s="104"/>
    </row>
    <row r="23" spans="1:1" ht="43.5" x14ac:dyDescent="0.35">
      <c r="A23" s="107" t="s">
        <v>265</v>
      </c>
    </row>
    <row r="24" spans="1:1" ht="8.4" customHeight="1" x14ac:dyDescent="0.35">
      <c r="A24" s="104"/>
    </row>
    <row r="25" spans="1:1" x14ac:dyDescent="0.35">
      <c r="A25" s="106" t="s">
        <v>281</v>
      </c>
    </row>
    <row r="26" spans="1:1" ht="29" x14ac:dyDescent="0.35">
      <c r="A26" s="107" t="s">
        <v>12</v>
      </c>
    </row>
    <row r="27" spans="1:1" ht="8.4" customHeight="1" x14ac:dyDescent="0.35">
      <c r="A27" s="104"/>
    </row>
    <row r="28" spans="1:1" ht="14.4" customHeight="1" x14ac:dyDescent="0.35">
      <c r="A28" s="107" t="s">
        <v>13</v>
      </c>
    </row>
    <row r="29" spans="1:1" ht="8.4" customHeight="1" x14ac:dyDescent="0.35">
      <c r="A29" s="104"/>
    </row>
    <row r="30" spans="1:1" ht="29" x14ac:dyDescent="0.35">
      <c r="A30" s="107" t="s">
        <v>266</v>
      </c>
    </row>
    <row r="31" spans="1:1" ht="8.4" customHeight="1" x14ac:dyDescent="0.35">
      <c r="A31" s="104"/>
    </row>
    <row r="32" spans="1:1" ht="29" x14ac:dyDescent="0.35">
      <c r="A32" s="107" t="s">
        <v>14</v>
      </c>
    </row>
    <row r="33" spans="1:1" x14ac:dyDescent="0.35">
      <c r="A33" s="112" t="s">
        <v>15</v>
      </c>
    </row>
    <row r="34" spans="1:1" ht="8.4" customHeight="1" x14ac:dyDescent="0.35">
      <c r="A34" s="104"/>
    </row>
    <row r="35" spans="1:1" x14ac:dyDescent="0.35">
      <c r="A35" s="106" t="s">
        <v>282</v>
      </c>
    </row>
    <row r="36" spans="1:1" x14ac:dyDescent="0.35">
      <c r="A36" s="198" t="s">
        <v>16</v>
      </c>
    </row>
    <row r="37" spans="1:1" ht="43.5" x14ac:dyDescent="0.35">
      <c r="A37" s="107" t="s">
        <v>267</v>
      </c>
    </row>
    <row r="38" spans="1:1" x14ac:dyDescent="0.35">
      <c r="A38" s="112" t="s">
        <v>17</v>
      </c>
    </row>
    <row r="39" spans="1:1" ht="29" x14ac:dyDescent="0.35">
      <c r="A39" s="107" t="s">
        <v>18</v>
      </c>
    </row>
    <row r="40" spans="1:1" x14ac:dyDescent="0.35">
      <c r="A40" s="194" t="s">
        <v>19</v>
      </c>
    </row>
    <row r="41" spans="1:1" x14ac:dyDescent="0.35">
      <c r="A41" s="107" t="s">
        <v>20</v>
      </c>
    </row>
    <row r="42" spans="1:1" x14ac:dyDescent="0.35">
      <c r="A42" s="194" t="s">
        <v>21</v>
      </c>
    </row>
    <row r="43" spans="1:1" ht="8.4" customHeight="1" x14ac:dyDescent="0.35">
      <c r="A43" s="104"/>
    </row>
    <row r="44" spans="1:1" x14ac:dyDescent="0.35">
      <c r="A44" s="107" t="s">
        <v>22</v>
      </c>
    </row>
    <row r="45" spans="1:1" ht="8.4" customHeight="1" x14ac:dyDescent="0.35">
      <c r="A45" s="104"/>
    </row>
    <row r="46" spans="1:1" x14ac:dyDescent="0.35">
      <c r="A46" s="107" t="s">
        <v>23</v>
      </c>
    </row>
    <row r="47" spans="1:1" x14ac:dyDescent="0.35">
      <c r="A47" s="108" t="s">
        <v>24</v>
      </c>
    </row>
    <row r="48" spans="1:1" x14ac:dyDescent="0.35">
      <c r="A48" s="108" t="s">
        <v>268</v>
      </c>
    </row>
    <row r="49" spans="1:1" x14ac:dyDescent="0.35">
      <c r="A49" s="112" t="s">
        <v>25</v>
      </c>
    </row>
    <row r="50" spans="1:1" ht="29" x14ac:dyDescent="0.35">
      <c r="A50" s="108" t="s">
        <v>269</v>
      </c>
    </row>
    <row r="51" spans="1:1" x14ac:dyDescent="0.35">
      <c r="A51" s="113" t="s">
        <v>270</v>
      </c>
    </row>
    <row r="52" spans="1:1" x14ac:dyDescent="0.35">
      <c r="A52" s="112" t="s">
        <v>26</v>
      </c>
    </row>
    <row r="53" spans="1:1" x14ac:dyDescent="0.35">
      <c r="A53" s="108" t="s">
        <v>271</v>
      </c>
    </row>
    <row r="54" spans="1:1" x14ac:dyDescent="0.35">
      <c r="A54" s="113" t="s">
        <v>27</v>
      </c>
    </row>
    <row r="55" spans="1:1" x14ac:dyDescent="0.35">
      <c r="A55" s="112" t="s">
        <v>26</v>
      </c>
    </row>
    <row r="56" spans="1:1" ht="8.4" customHeight="1" x14ac:dyDescent="0.35">
      <c r="A56" s="104"/>
    </row>
    <row r="57" spans="1:1" x14ac:dyDescent="0.35">
      <c r="A57" s="107" t="s">
        <v>28</v>
      </c>
    </row>
    <row r="58" spans="1:1" ht="8.4" customHeight="1" x14ac:dyDescent="0.35">
      <c r="A58" s="104"/>
    </row>
    <row r="59" spans="1:1" ht="18" customHeight="1" x14ac:dyDescent="0.35">
      <c r="A59" s="199" t="s">
        <v>29</v>
      </c>
    </row>
    <row r="60" spans="1:1" ht="18.649999999999999" customHeight="1" x14ac:dyDescent="0.35">
      <c r="A60" s="217" t="s">
        <v>286</v>
      </c>
    </row>
    <row r="61" spans="1:1" ht="30" customHeight="1" x14ac:dyDescent="0.35">
      <c r="A61" s="217"/>
    </row>
    <row r="62" spans="1:1" ht="44.25" customHeight="1" x14ac:dyDescent="0.35">
      <c r="A62" s="217"/>
    </row>
    <row r="63" spans="1:1" ht="43.5" customHeight="1" x14ac:dyDescent="0.35">
      <c r="A63" s="200" t="s">
        <v>272</v>
      </c>
    </row>
    <row r="64" spans="1:1" ht="45.75" customHeight="1" x14ac:dyDescent="0.35">
      <c r="A64" s="200" t="s">
        <v>274</v>
      </c>
    </row>
    <row r="65" spans="1:1" x14ac:dyDescent="0.35">
      <c r="A65" s="112" t="s">
        <v>273</v>
      </c>
    </row>
    <row r="66" spans="1:1" ht="8.4" customHeight="1" x14ac:dyDescent="0.35">
      <c r="A66" s="104"/>
    </row>
    <row r="67" spans="1:1" x14ac:dyDescent="0.35">
      <c r="A67" s="107" t="s">
        <v>31</v>
      </c>
    </row>
    <row r="68" spans="1:1" ht="8.4" customHeight="1" x14ac:dyDescent="0.35">
      <c r="A68" s="104"/>
    </row>
    <row r="69" spans="1:1" x14ac:dyDescent="0.35">
      <c r="A69" s="105" t="s">
        <v>32</v>
      </c>
    </row>
    <row r="70" spans="1:1" x14ac:dyDescent="0.35">
      <c r="A70" s="99" t="s">
        <v>33</v>
      </c>
    </row>
    <row r="71" spans="1:1" ht="8.4" customHeight="1" x14ac:dyDescent="0.35">
      <c r="A71" s="104"/>
    </row>
    <row r="72" spans="1:1" x14ac:dyDescent="0.35">
      <c r="A72" s="99" t="s">
        <v>34</v>
      </c>
    </row>
    <row r="73" spans="1:1" ht="8.4" customHeight="1" x14ac:dyDescent="0.35">
      <c r="A73" s="104"/>
    </row>
    <row r="74" spans="1:1" x14ac:dyDescent="0.35">
      <c r="A74" s="107" t="s">
        <v>275</v>
      </c>
    </row>
    <row r="75" spans="1:1" ht="43.5" x14ac:dyDescent="0.35">
      <c r="A75" s="107" t="s">
        <v>35</v>
      </c>
    </row>
    <row r="76" spans="1:1" ht="8.4" customHeight="1" x14ac:dyDescent="0.35">
      <c r="A76" s="104"/>
    </row>
    <row r="77" spans="1:1" x14ac:dyDescent="0.35">
      <c r="A77" s="107" t="s">
        <v>276</v>
      </c>
    </row>
    <row r="78" spans="1:1" ht="29" x14ac:dyDescent="0.35">
      <c r="A78" s="107" t="s">
        <v>36</v>
      </c>
    </row>
    <row r="79" spans="1:1" ht="8.4" customHeight="1" x14ac:dyDescent="0.35">
      <c r="A79" s="104"/>
    </row>
    <row r="80" spans="1:1" x14ac:dyDescent="0.35">
      <c r="A80" s="107" t="s">
        <v>277</v>
      </c>
    </row>
    <row r="81" spans="1:1" x14ac:dyDescent="0.35">
      <c r="A81" s="107" t="s">
        <v>37</v>
      </c>
    </row>
    <row r="82" spans="1:1" ht="8.4" customHeight="1" x14ac:dyDescent="0.35">
      <c r="A82" s="104"/>
    </row>
    <row r="83" spans="1:1" x14ac:dyDescent="0.35">
      <c r="A83" s="109" t="s">
        <v>278</v>
      </c>
    </row>
    <row r="84" spans="1:1" ht="8.4" customHeight="1" x14ac:dyDescent="0.35">
      <c r="A84" s="104"/>
    </row>
    <row r="85" spans="1:1" x14ac:dyDescent="0.35">
      <c r="A85" s="105" t="s">
        <v>38</v>
      </c>
    </row>
    <row r="86" spans="1:1" ht="29" x14ac:dyDescent="0.35">
      <c r="A86" s="99" t="s">
        <v>39</v>
      </c>
    </row>
    <row r="87" spans="1:1" ht="8.4" customHeight="1" x14ac:dyDescent="0.35">
      <c r="A87" s="104"/>
    </row>
    <row r="88" spans="1:1" x14ac:dyDescent="0.35">
      <c r="A88" s="105" t="s">
        <v>40</v>
      </c>
    </row>
    <row r="89" spans="1:1" x14ac:dyDescent="0.35">
      <c r="A89" s="110" t="s">
        <v>41</v>
      </c>
    </row>
    <row r="90" spans="1:1" x14ac:dyDescent="0.35">
      <c r="A90" s="110" t="s">
        <v>42</v>
      </c>
    </row>
    <row r="91" spans="1:1" ht="16.5" x14ac:dyDescent="0.35">
      <c r="A91" s="110" t="s">
        <v>43</v>
      </c>
    </row>
    <row r="92" spans="1:1" x14ac:dyDescent="0.35">
      <c r="A92" s="110" t="s">
        <v>44</v>
      </c>
    </row>
    <row r="93" spans="1:1" ht="29" x14ac:dyDescent="0.35">
      <c r="A93" s="110" t="s">
        <v>45</v>
      </c>
    </row>
    <row r="94" spans="1:1" x14ac:dyDescent="0.35">
      <c r="A94" s="110" t="s">
        <v>46</v>
      </c>
    </row>
    <row r="95" spans="1:1" ht="29" x14ac:dyDescent="0.35">
      <c r="A95" s="110" t="s">
        <v>47</v>
      </c>
    </row>
    <row r="96" spans="1:1" x14ac:dyDescent="0.35">
      <c r="A96" s="110" t="s">
        <v>48</v>
      </c>
    </row>
    <row r="98" spans="1:1" x14ac:dyDescent="0.35">
      <c r="A98" s="99" t="s">
        <v>49</v>
      </c>
    </row>
  </sheetData>
  <sheetProtection algorithmName="SHA-512" hashValue="eElQIWpagm/ob84y/yMwTPEA72iuQtzJWCVYg6Rw52LY9l/8PmVq61Je5l0Fzy/+yf+Ob9vnYGKMSLeR9Ouk9A==" saltValue="FxCtChW9xzlG7o2EeVKZ9Q==" spinCount="100000" sheet="1" formatCells="0" formatColumns="0" formatRows="0" insertColumns="0" insertRows="0" insertHyperlinks="0" deleteColumns="0" deleteRows="0" sort="0" autoFilter="0" pivotTables="0"/>
  <mergeCells count="1">
    <mergeCell ref="A60:A62"/>
  </mergeCells>
  <hyperlinks>
    <hyperlink ref="A33" r:id="rId1" display="https://www.gavi.org/sites/default/files/document/support/Application guidelines for all types of Gavi Support.pdf" xr:uid="{00000000-0004-0000-0000-000000000000}"/>
    <hyperlink ref="A38" r:id="rId2" display="https://www.gavi.org/our-alliance/market-shaping/product-information-vaccines-cold-chain-equipment" xr:uid="{00000000-0004-0000-0000-000001000000}"/>
    <hyperlink ref="A49" r:id="rId3" display="https://www.unicef.org/supply/index_62330.html" xr:uid="{00000000-0004-0000-0000-000002000000}"/>
    <hyperlink ref="A52" r:id="rId4" display="https://www.unicef.org/supply/index_62309.html" xr:uid="{00000000-0004-0000-0000-000003000000}"/>
    <hyperlink ref="A65" r:id="rId5" xr:uid="{00000000-0004-0000-0000-000004000000}"/>
    <hyperlink ref="A55" r:id="rId6" display="https://www.unicef.org/supply/index_62309.html" xr:uid="{00000000-0004-0000-0000-000005000000}"/>
    <hyperlink ref="A40" r:id="rId7" xr:uid="{00000000-0004-0000-0000-000006000000}"/>
    <hyperlink ref="A42" r:id="rId8" xr:uid="{00000000-0004-0000-0000-000007000000}"/>
  </hyperlinks>
  <pageMargins left="0.25" right="0.25" top="0.75" bottom="0.75" header="0.3" footer="0.3"/>
  <pageSetup scale="74" orientation="portrait" r:id="rId9"/>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40"/>
  <sheetViews>
    <sheetView zoomScale="70" zoomScaleNormal="70" workbookViewId="0"/>
  </sheetViews>
  <sheetFormatPr defaultColWidth="8.90625" defaultRowHeight="14.5" outlineLevelRow="1" x14ac:dyDescent="0.35"/>
  <cols>
    <col min="1" max="1" width="1.90625" style="15" customWidth="1"/>
    <col min="2" max="2" width="2.453125" style="15" customWidth="1"/>
    <col min="3" max="3" width="24.90625" style="15" customWidth="1"/>
    <col min="4" max="4" width="18.54296875" style="15" customWidth="1"/>
    <col min="5" max="5" width="37" style="15" customWidth="1"/>
    <col min="6" max="6" width="15.54296875" style="15" customWidth="1"/>
    <col min="7" max="7" width="22.90625" style="15" customWidth="1"/>
    <col min="8" max="8" width="15.54296875" style="15" customWidth="1"/>
    <col min="9" max="9" width="37" style="15" customWidth="1"/>
    <col min="10" max="10" width="15.54296875" style="15" customWidth="1"/>
    <col min="11" max="11" width="22.90625" style="15" customWidth="1"/>
    <col min="12" max="12" width="15.54296875" style="15" customWidth="1"/>
    <col min="13" max="13" width="37" style="15" customWidth="1"/>
    <col min="14" max="14" width="2.08984375" style="15" customWidth="1"/>
    <col min="15" max="15" width="2.54296875" style="15" customWidth="1"/>
    <col min="16" max="16" width="22.90625" style="15" customWidth="1"/>
    <col min="17" max="17" width="15.54296875" style="15" customWidth="1"/>
    <col min="18" max="18" width="37" style="15" customWidth="1"/>
    <col min="19" max="19" width="8.90625" style="15" customWidth="1"/>
    <col min="20" max="20" width="22.90625" style="15" customWidth="1"/>
    <col min="21" max="21" width="15.54296875" style="15" customWidth="1"/>
    <col min="22" max="22" width="37" style="15" customWidth="1"/>
    <col min="23" max="23" width="8.90625" style="15" customWidth="1"/>
    <col min="24" max="24" width="22.90625" style="15" customWidth="1"/>
    <col min="25" max="25" width="15.54296875" style="15" customWidth="1"/>
    <col min="26" max="26" width="37" style="15" customWidth="1"/>
    <col min="27" max="27" width="2.54296875" style="15" customWidth="1"/>
    <col min="28" max="16384" width="8.90625" style="15"/>
  </cols>
  <sheetData>
    <row r="1" spans="1:27" x14ac:dyDescent="0.35">
      <c r="A1" s="11"/>
      <c r="B1" s="11"/>
      <c r="C1" s="11"/>
      <c r="D1" s="11"/>
      <c r="E1" s="11"/>
      <c r="F1" s="11"/>
      <c r="G1" s="11"/>
      <c r="H1" s="11"/>
      <c r="I1" s="11"/>
      <c r="J1" s="11"/>
      <c r="K1" s="12" t="s">
        <v>50</v>
      </c>
      <c r="L1" s="11"/>
      <c r="M1" s="11"/>
      <c r="N1" s="13"/>
      <c r="O1" s="14"/>
      <c r="P1" s="11"/>
      <c r="Q1" s="11"/>
      <c r="R1" s="11"/>
      <c r="S1" s="11"/>
      <c r="T1" s="11"/>
      <c r="U1" s="11"/>
      <c r="V1" s="11"/>
      <c r="W1" s="11"/>
      <c r="X1" s="11"/>
      <c r="Y1" s="11"/>
      <c r="Z1" s="11"/>
      <c r="AA1" s="11"/>
    </row>
    <row r="2" spans="1:27" ht="21.75" customHeight="1" x14ac:dyDescent="0.35">
      <c r="A2" s="16" t="s">
        <v>51</v>
      </c>
      <c r="B2" s="11"/>
      <c r="C2" s="11"/>
      <c r="D2" s="11"/>
      <c r="E2" s="11"/>
      <c r="F2" s="11"/>
      <c r="G2" s="11"/>
      <c r="H2" s="11"/>
      <c r="I2" s="11"/>
      <c r="J2" s="11"/>
      <c r="K2" s="239" t="s">
        <v>52</v>
      </c>
      <c r="L2" s="239"/>
      <c r="M2" s="17"/>
      <c r="N2" s="13"/>
      <c r="O2" s="14"/>
      <c r="P2" s="11"/>
      <c r="Q2" s="11"/>
      <c r="R2" s="11"/>
      <c r="S2" s="11"/>
      <c r="T2" s="11"/>
      <c r="U2" s="11"/>
      <c r="V2" s="11"/>
      <c r="W2" s="11"/>
      <c r="X2" s="11"/>
      <c r="Y2" s="11"/>
      <c r="Z2" s="11"/>
      <c r="AA2" s="11"/>
    </row>
    <row r="3" spans="1:27" ht="34.5" customHeight="1" x14ac:dyDescent="0.35">
      <c r="A3" s="258" t="s">
        <v>53</v>
      </c>
      <c r="B3" s="258"/>
      <c r="C3" s="258"/>
      <c r="D3" s="258"/>
      <c r="E3" s="258"/>
      <c r="F3" s="258"/>
      <c r="G3" s="258"/>
      <c r="H3" s="258"/>
      <c r="I3" s="258"/>
      <c r="J3" s="11"/>
      <c r="K3" s="239"/>
      <c r="L3" s="239"/>
      <c r="M3" s="17"/>
      <c r="N3" s="13"/>
      <c r="O3" s="14"/>
      <c r="P3" s="11"/>
      <c r="Q3" s="11"/>
      <c r="R3" s="11"/>
      <c r="S3" s="11"/>
      <c r="T3" s="11"/>
      <c r="U3" s="11"/>
      <c r="V3" s="11"/>
      <c r="W3" s="11"/>
      <c r="X3" s="11"/>
      <c r="Y3" s="11"/>
      <c r="Z3" s="11"/>
      <c r="AA3" s="11"/>
    </row>
    <row r="4" spans="1:27" x14ac:dyDescent="0.35">
      <c r="A4" s="11"/>
      <c r="B4" s="11"/>
      <c r="C4" s="11"/>
      <c r="D4" s="11"/>
      <c r="E4" s="11"/>
      <c r="F4" s="11"/>
      <c r="G4" s="11"/>
      <c r="H4" s="11"/>
      <c r="I4" s="11"/>
      <c r="J4" s="11"/>
      <c r="K4" s="11"/>
      <c r="L4" s="11"/>
      <c r="M4" s="11"/>
      <c r="N4" s="13"/>
      <c r="O4" s="14"/>
      <c r="P4" s="11"/>
      <c r="Q4" s="11"/>
      <c r="R4" s="11"/>
      <c r="S4" s="11"/>
      <c r="T4" s="11"/>
      <c r="U4" s="11"/>
      <c r="V4" s="11"/>
      <c r="W4" s="11"/>
      <c r="X4" s="11"/>
      <c r="Y4" s="11"/>
      <c r="Z4" s="11"/>
      <c r="AA4" s="11"/>
    </row>
    <row r="5" spans="1:27" x14ac:dyDescent="0.35">
      <c r="A5" s="11"/>
      <c r="B5" s="11"/>
      <c r="C5" s="243" t="s">
        <v>54</v>
      </c>
      <c r="D5" s="244"/>
      <c r="E5" s="244"/>
      <c r="F5" s="244"/>
      <c r="G5" s="244"/>
      <c r="H5" s="244"/>
      <c r="I5" s="244"/>
      <c r="J5" s="244"/>
      <c r="K5" s="244"/>
      <c r="L5" s="245"/>
      <c r="M5" s="11"/>
      <c r="N5" s="13"/>
      <c r="O5" s="14"/>
      <c r="P5" s="11"/>
      <c r="Q5" s="11"/>
      <c r="R5" s="11"/>
      <c r="S5" s="11"/>
      <c r="T5" s="11"/>
      <c r="U5" s="11"/>
      <c r="V5" s="11"/>
      <c r="W5" s="11"/>
      <c r="X5" s="11"/>
      <c r="Y5" s="11"/>
      <c r="Z5" s="11"/>
      <c r="AA5" s="11"/>
    </row>
    <row r="6" spans="1:27" ht="23.15" customHeight="1" x14ac:dyDescent="0.35">
      <c r="A6" s="11"/>
      <c r="B6" s="11"/>
      <c r="C6" s="246"/>
      <c r="D6" s="247"/>
      <c r="E6" s="247"/>
      <c r="F6" s="247"/>
      <c r="G6" s="247"/>
      <c r="H6" s="247"/>
      <c r="I6" s="247"/>
      <c r="J6" s="247"/>
      <c r="K6" s="247"/>
      <c r="L6" s="248"/>
      <c r="M6" s="11"/>
      <c r="N6" s="13"/>
      <c r="O6" s="14"/>
      <c r="P6" s="11"/>
      <c r="Q6" s="11"/>
      <c r="R6" s="11"/>
      <c r="S6" s="11"/>
      <c r="T6" s="11"/>
      <c r="U6" s="11"/>
      <c r="V6" s="11"/>
      <c r="W6" s="11"/>
      <c r="X6" s="11"/>
      <c r="Y6" s="11"/>
      <c r="Z6" s="11"/>
      <c r="AA6" s="11"/>
    </row>
    <row r="7" spans="1:27" ht="20.149999999999999" customHeight="1" x14ac:dyDescent="0.35">
      <c r="A7" s="11"/>
      <c r="B7" s="11"/>
      <c r="C7" s="246"/>
      <c r="D7" s="247"/>
      <c r="E7" s="247"/>
      <c r="F7" s="247"/>
      <c r="G7" s="247"/>
      <c r="H7" s="247"/>
      <c r="I7" s="247"/>
      <c r="J7" s="247"/>
      <c r="K7" s="247"/>
      <c r="L7" s="248"/>
      <c r="M7" s="11"/>
      <c r="N7" s="13"/>
      <c r="O7" s="14"/>
      <c r="P7" s="11"/>
      <c r="Q7" s="11"/>
      <c r="R7" s="11"/>
      <c r="S7" s="11"/>
      <c r="T7" s="11"/>
      <c r="U7" s="11"/>
      <c r="V7" s="11"/>
      <c r="W7" s="11"/>
      <c r="X7" s="11"/>
      <c r="Y7" s="11"/>
      <c r="Z7" s="11"/>
      <c r="AA7" s="11"/>
    </row>
    <row r="8" spans="1:27" ht="30.75" customHeight="1" x14ac:dyDescent="0.35">
      <c r="A8" s="11"/>
      <c r="B8" s="11"/>
      <c r="C8" s="246"/>
      <c r="D8" s="247"/>
      <c r="E8" s="247"/>
      <c r="F8" s="247"/>
      <c r="G8" s="247"/>
      <c r="H8" s="247"/>
      <c r="I8" s="247"/>
      <c r="J8" s="247"/>
      <c r="K8" s="247"/>
      <c r="L8" s="248"/>
      <c r="M8" s="11"/>
      <c r="N8" s="13"/>
      <c r="O8" s="14"/>
      <c r="P8" s="11"/>
      <c r="Q8" s="11"/>
      <c r="R8" s="11"/>
      <c r="S8" s="11"/>
      <c r="T8" s="11"/>
      <c r="U8" s="11"/>
      <c r="V8" s="11"/>
      <c r="W8" s="11"/>
      <c r="X8" s="11"/>
      <c r="Y8" s="11"/>
      <c r="Z8" s="11"/>
      <c r="AA8" s="11"/>
    </row>
    <row r="9" spans="1:27" ht="23.25" customHeight="1" x14ac:dyDescent="0.35">
      <c r="A9" s="11"/>
      <c r="B9" s="11"/>
      <c r="C9" s="249" t="s">
        <v>279</v>
      </c>
      <c r="D9" s="250"/>
      <c r="E9" s="250"/>
      <c r="F9" s="250"/>
      <c r="G9" s="251"/>
      <c r="H9" s="18"/>
      <c r="I9" s="18"/>
      <c r="J9" s="18"/>
      <c r="K9" s="18"/>
      <c r="L9" s="18"/>
      <c r="M9" s="11"/>
      <c r="N9" s="13"/>
      <c r="O9" s="14"/>
      <c r="P9" s="11"/>
      <c r="Q9" s="11"/>
      <c r="R9" s="11"/>
      <c r="S9" s="11"/>
      <c r="T9" s="11"/>
      <c r="U9" s="11"/>
      <c r="V9" s="11"/>
      <c r="W9" s="11"/>
      <c r="X9" s="11"/>
      <c r="Y9" s="11"/>
      <c r="Z9" s="11"/>
      <c r="AA9" s="11"/>
    </row>
    <row r="10" spans="1:27" ht="20.149999999999999" customHeight="1" x14ac:dyDescent="0.35">
      <c r="A10" s="11"/>
      <c r="B10" s="19"/>
      <c r="C10" s="249"/>
      <c r="D10" s="250"/>
      <c r="E10" s="250"/>
      <c r="F10" s="250"/>
      <c r="G10" s="251"/>
      <c r="H10" s="20"/>
      <c r="I10" s="233" t="s">
        <v>55</v>
      </c>
      <c r="J10" s="234"/>
      <c r="K10" s="235"/>
      <c r="L10" s="11"/>
      <c r="M10" s="21" t="s">
        <v>15</v>
      </c>
      <c r="N10" s="13"/>
      <c r="O10" s="14"/>
      <c r="P10" s="11"/>
      <c r="Q10" s="11"/>
      <c r="R10" s="11"/>
      <c r="S10" s="11"/>
      <c r="T10" s="11"/>
      <c r="U10" s="11"/>
      <c r="V10" s="11"/>
      <c r="W10" s="11"/>
      <c r="X10" s="11"/>
      <c r="Y10" s="11"/>
      <c r="Z10" s="11"/>
      <c r="AA10" s="11"/>
    </row>
    <row r="11" spans="1:27" ht="65.400000000000006" customHeight="1" x14ac:dyDescent="0.35">
      <c r="A11" s="11"/>
      <c r="B11" s="19"/>
      <c r="C11" s="249"/>
      <c r="D11" s="250"/>
      <c r="E11" s="250"/>
      <c r="F11" s="250"/>
      <c r="G11" s="251"/>
      <c r="H11" s="22"/>
      <c r="I11" s="23" t="s">
        <v>56</v>
      </c>
      <c r="J11" s="69" t="s">
        <v>57</v>
      </c>
      <c r="K11" s="204" t="s">
        <v>283</v>
      </c>
      <c r="L11" s="11"/>
      <c r="M11" s="229" t="s">
        <v>58</v>
      </c>
      <c r="N11" s="24"/>
      <c r="O11" s="14"/>
      <c r="P11" s="11"/>
      <c r="Q11" s="11"/>
      <c r="R11" s="11"/>
      <c r="S11" s="11"/>
      <c r="T11" s="11"/>
      <c r="U11" s="11"/>
      <c r="V11" s="11"/>
      <c r="W11" s="11"/>
      <c r="X11" s="11"/>
      <c r="Y11" s="11"/>
      <c r="Z11" s="11"/>
      <c r="AA11" s="11"/>
    </row>
    <row r="12" spans="1:27" ht="25.4" customHeight="1" x14ac:dyDescent="0.35">
      <c r="A12" s="11"/>
      <c r="B12" s="19"/>
      <c r="C12" s="249"/>
      <c r="D12" s="250"/>
      <c r="E12" s="250"/>
      <c r="F12" s="250"/>
      <c r="G12" s="251"/>
      <c r="H12" s="25"/>
      <c r="I12" s="218" t="s">
        <v>59</v>
      </c>
      <c r="J12" s="219"/>
      <c r="K12" s="220"/>
      <c r="L12" s="11"/>
      <c r="M12" s="229"/>
      <c r="N12" s="13"/>
      <c r="O12" s="14"/>
      <c r="P12" s="11"/>
      <c r="Q12" s="11"/>
      <c r="R12" s="11"/>
      <c r="S12" s="11"/>
      <c r="T12" s="11"/>
      <c r="U12" s="11"/>
      <c r="V12" s="11"/>
      <c r="W12" s="11"/>
      <c r="X12" s="11"/>
      <c r="Y12" s="11"/>
      <c r="Z12" s="11"/>
      <c r="AA12" s="11"/>
    </row>
    <row r="13" spans="1:27" ht="21.75" customHeight="1" x14ac:dyDescent="0.35">
      <c r="A13" s="11"/>
      <c r="B13" s="19"/>
      <c r="C13" s="249"/>
      <c r="D13" s="250"/>
      <c r="E13" s="250"/>
      <c r="F13" s="250"/>
      <c r="G13" s="251"/>
      <c r="H13" s="26"/>
      <c r="I13" s="27">
        <f>F18</f>
        <v>2022</v>
      </c>
      <c r="J13" s="70">
        <v>0.28000000000000003</v>
      </c>
      <c r="K13" s="255" t="s">
        <v>284</v>
      </c>
      <c r="L13" s="11"/>
      <c r="M13" s="229"/>
      <c r="N13" s="13"/>
      <c r="O13" s="14"/>
      <c r="P13" s="11"/>
      <c r="Q13" s="11"/>
      <c r="R13" s="11"/>
      <c r="S13" s="11"/>
      <c r="T13" s="11"/>
      <c r="U13" s="11"/>
      <c r="V13" s="11"/>
      <c r="W13" s="11"/>
      <c r="X13" s="11"/>
      <c r="Y13" s="11"/>
      <c r="Z13" s="11"/>
      <c r="AA13" s="11"/>
    </row>
    <row r="14" spans="1:27" ht="24" customHeight="1" x14ac:dyDescent="0.35">
      <c r="A14" s="11"/>
      <c r="B14" s="19"/>
      <c r="C14" s="249"/>
      <c r="D14" s="250"/>
      <c r="E14" s="250"/>
      <c r="F14" s="250"/>
      <c r="G14" s="251"/>
      <c r="H14" s="26"/>
      <c r="I14" s="27">
        <f>$F$18+1</f>
        <v>2023</v>
      </c>
      <c r="J14" s="70">
        <v>0.32</v>
      </c>
      <c r="K14" s="256"/>
      <c r="L14" s="11"/>
      <c r="M14" s="229"/>
      <c r="N14" s="13"/>
      <c r="O14" s="14"/>
      <c r="P14" s="11"/>
      <c r="Q14" s="11"/>
      <c r="R14" s="11"/>
      <c r="S14" s="11"/>
      <c r="T14" s="11"/>
      <c r="U14" s="11"/>
      <c r="V14" s="11"/>
      <c r="W14" s="11"/>
      <c r="X14" s="11"/>
      <c r="Y14" s="11"/>
      <c r="Z14" s="11"/>
      <c r="AA14" s="11"/>
    </row>
    <row r="15" spans="1:27" ht="24" customHeight="1" x14ac:dyDescent="0.35">
      <c r="A15" s="11"/>
      <c r="B15" s="19"/>
      <c r="C15" s="252"/>
      <c r="D15" s="253"/>
      <c r="E15" s="253"/>
      <c r="F15" s="253"/>
      <c r="G15" s="254"/>
      <c r="H15" s="26"/>
      <c r="I15" s="27">
        <f>$F$18+2</f>
        <v>2024</v>
      </c>
      <c r="J15" s="70">
        <v>0.37</v>
      </c>
      <c r="K15" s="256"/>
      <c r="L15" s="11"/>
      <c r="M15" s="229"/>
      <c r="N15" s="13"/>
      <c r="O15" s="14"/>
      <c r="P15" s="11"/>
      <c r="Q15" s="11"/>
      <c r="R15" s="11"/>
      <c r="S15" s="11"/>
      <c r="T15" s="11"/>
      <c r="U15" s="11"/>
      <c r="V15" s="11"/>
      <c r="W15" s="11"/>
      <c r="X15" s="11"/>
      <c r="Y15" s="11"/>
      <c r="Z15" s="11"/>
      <c r="AA15" s="11"/>
    </row>
    <row r="16" spans="1:27" ht="25.4" customHeight="1" x14ac:dyDescent="0.35">
      <c r="A16" s="11"/>
      <c r="B16" s="11"/>
      <c r="C16" s="11"/>
      <c r="D16" s="11"/>
      <c r="E16" s="11"/>
      <c r="F16" s="11"/>
      <c r="G16" s="11"/>
      <c r="H16" s="26"/>
      <c r="I16" s="27">
        <f>$F$18+3</f>
        <v>2025</v>
      </c>
      <c r="J16" s="70">
        <v>0.43</v>
      </c>
      <c r="K16" s="256"/>
      <c r="L16" s="11"/>
      <c r="M16" s="229"/>
      <c r="N16" s="13"/>
      <c r="O16" s="14"/>
      <c r="P16" s="11"/>
      <c r="Q16" s="11"/>
      <c r="R16" s="11"/>
      <c r="S16" s="11"/>
      <c r="T16" s="11"/>
      <c r="U16" s="11"/>
      <c r="V16" s="11"/>
      <c r="W16" s="11"/>
      <c r="X16" s="11"/>
      <c r="Y16" s="11"/>
      <c r="Z16" s="11"/>
      <c r="AA16" s="11"/>
    </row>
    <row r="17" spans="1:27" ht="25.4" customHeight="1" x14ac:dyDescent="0.35">
      <c r="A17" s="11"/>
      <c r="B17" s="11"/>
      <c r="C17" s="237" t="s">
        <v>60</v>
      </c>
      <c r="D17" s="238"/>
      <c r="E17" s="233" t="s">
        <v>61</v>
      </c>
      <c r="F17" s="234"/>
      <c r="G17" s="235"/>
      <c r="H17" s="26"/>
      <c r="I17" s="27">
        <f>$F$18+4</f>
        <v>2026</v>
      </c>
      <c r="J17" s="70">
        <v>0.49</v>
      </c>
      <c r="K17" s="256"/>
      <c r="L17" s="11"/>
      <c r="M17" s="229"/>
      <c r="N17" s="13"/>
      <c r="O17" s="14"/>
      <c r="P17" s="11"/>
      <c r="Q17" s="11"/>
      <c r="R17" s="11"/>
      <c r="S17" s="11"/>
      <c r="T17" s="11"/>
      <c r="U17" s="11"/>
      <c r="V17" s="11"/>
      <c r="W17" s="11"/>
      <c r="X17" s="11"/>
      <c r="Y17" s="11"/>
      <c r="Z17" s="11"/>
      <c r="AA17" s="11"/>
    </row>
    <row r="18" spans="1:27" ht="25.4" customHeight="1" x14ac:dyDescent="0.35">
      <c r="A18" s="11"/>
      <c r="B18" s="11"/>
      <c r="C18" s="28"/>
      <c r="D18" s="29"/>
      <c r="E18" s="30" t="s">
        <v>62</v>
      </c>
      <c r="F18" s="65">
        <v>2022</v>
      </c>
      <c r="G18" s="31"/>
      <c r="H18" s="26"/>
      <c r="I18" s="27">
        <f>$F$18+5</f>
        <v>2027</v>
      </c>
      <c r="J18" s="70">
        <v>0.56000000000000005</v>
      </c>
      <c r="K18" s="256"/>
      <c r="L18" s="11"/>
      <c r="M18" s="229"/>
      <c r="N18" s="13"/>
      <c r="O18" s="14"/>
      <c r="P18" s="11"/>
      <c r="Q18" s="11"/>
      <c r="R18" s="11"/>
      <c r="S18" s="11"/>
      <c r="T18" s="11"/>
      <c r="U18" s="11"/>
      <c r="V18" s="11"/>
      <c r="W18" s="11"/>
      <c r="X18" s="11"/>
      <c r="Y18" s="11"/>
      <c r="Z18" s="11"/>
      <c r="AA18" s="11"/>
    </row>
    <row r="19" spans="1:27" ht="25.4" customHeight="1" x14ac:dyDescent="0.35">
      <c r="A19" s="11"/>
      <c r="B19" s="11"/>
      <c r="C19" s="28"/>
      <c r="D19" s="29"/>
      <c r="E19" s="32" t="s">
        <v>63</v>
      </c>
      <c r="F19" s="66">
        <v>100000</v>
      </c>
      <c r="G19" s="33" t="s">
        <v>64</v>
      </c>
      <c r="H19" s="26"/>
      <c r="I19" s="27">
        <f>$F$18+6</f>
        <v>2028</v>
      </c>
      <c r="J19" s="70">
        <v>0.65</v>
      </c>
      <c r="K19" s="256"/>
      <c r="L19" s="11"/>
      <c r="M19" s="229"/>
      <c r="N19" s="13"/>
      <c r="O19" s="14"/>
      <c r="P19" s="11"/>
      <c r="Q19" s="11"/>
      <c r="R19" s="11"/>
      <c r="S19" s="11"/>
      <c r="T19" s="11"/>
      <c r="U19" s="11"/>
      <c r="V19" s="11"/>
      <c r="W19" s="11"/>
      <c r="X19" s="11"/>
      <c r="Y19" s="11"/>
      <c r="Z19" s="11"/>
      <c r="AA19" s="11"/>
    </row>
    <row r="20" spans="1:27" ht="36.75" customHeight="1" x14ac:dyDescent="0.35">
      <c r="A20" s="11"/>
      <c r="B20" s="11"/>
      <c r="C20" s="28"/>
      <c r="D20" s="29"/>
      <c r="E20" s="32" t="s">
        <v>65</v>
      </c>
      <c r="F20" s="67">
        <v>0.03</v>
      </c>
      <c r="G20" s="33" t="s">
        <v>66</v>
      </c>
      <c r="H20" s="26"/>
      <c r="I20" s="27">
        <f>$F$18+7</f>
        <v>2029</v>
      </c>
      <c r="J20" s="70">
        <v>0.74</v>
      </c>
      <c r="K20" s="256"/>
      <c r="L20" s="11"/>
      <c r="M20" s="229"/>
      <c r="N20" s="13"/>
      <c r="O20" s="14"/>
      <c r="P20" s="11"/>
      <c r="Q20" s="11"/>
      <c r="R20" s="11"/>
      <c r="S20" s="11"/>
      <c r="T20" s="11"/>
      <c r="U20" s="11"/>
      <c r="V20" s="11"/>
      <c r="W20" s="11"/>
      <c r="X20" s="11"/>
      <c r="Y20" s="11"/>
      <c r="Z20" s="11"/>
      <c r="AA20" s="11"/>
    </row>
    <row r="21" spans="1:27" ht="25.4" customHeight="1" x14ac:dyDescent="0.35">
      <c r="A21" s="11"/>
      <c r="B21" s="11"/>
      <c r="C21" s="28"/>
      <c r="D21" s="29"/>
      <c r="E21" s="34" t="s">
        <v>67</v>
      </c>
      <c r="F21" s="68">
        <v>0.75</v>
      </c>
      <c r="G21" s="35" t="s">
        <v>68</v>
      </c>
      <c r="H21" s="26"/>
      <c r="I21" s="27">
        <f>$F$18+8</f>
        <v>2030</v>
      </c>
      <c r="J21" s="70">
        <v>0.86</v>
      </c>
      <c r="K21" s="256"/>
      <c r="L21" s="11"/>
      <c r="M21" s="229"/>
      <c r="N21" s="13"/>
      <c r="O21" s="14"/>
      <c r="P21" s="11"/>
      <c r="Q21" s="11"/>
      <c r="R21" s="11"/>
      <c r="S21" s="11"/>
      <c r="T21" s="11"/>
      <c r="U21" s="11"/>
      <c r="V21" s="11"/>
      <c r="W21" s="11"/>
      <c r="X21" s="11"/>
      <c r="Y21" s="11"/>
      <c r="Z21" s="11"/>
      <c r="AA21" s="11"/>
    </row>
    <row r="22" spans="1:27" ht="25.4" customHeight="1" x14ac:dyDescent="0.35">
      <c r="A22" s="11"/>
      <c r="B22" s="11"/>
      <c r="C22" s="28"/>
      <c r="D22" s="29"/>
      <c r="E22" s="34" t="s">
        <v>69</v>
      </c>
      <c r="F22" s="68">
        <v>0.72</v>
      </c>
      <c r="G22" s="35" t="s">
        <v>68</v>
      </c>
      <c r="H22" s="26"/>
      <c r="I22" s="27">
        <f>$F$18+9</f>
        <v>2031</v>
      </c>
      <c r="J22" s="70">
        <v>0.99</v>
      </c>
      <c r="K22" s="257"/>
      <c r="L22" s="11"/>
      <c r="M22" s="229"/>
      <c r="N22" s="13"/>
      <c r="O22" s="14"/>
      <c r="P22" s="11"/>
      <c r="Q22" s="11"/>
      <c r="R22" s="11"/>
      <c r="S22" s="11"/>
      <c r="T22" s="11"/>
      <c r="U22" s="11"/>
      <c r="V22" s="11"/>
      <c r="W22" s="11"/>
      <c r="X22" s="11"/>
      <c r="Y22" s="11"/>
      <c r="Z22" s="11"/>
      <c r="AA22" s="11"/>
    </row>
    <row r="23" spans="1:27" ht="129.65" customHeight="1" x14ac:dyDescent="0.35">
      <c r="A23" s="11"/>
      <c r="B23" s="11"/>
      <c r="C23" s="17"/>
      <c r="D23" s="36"/>
      <c r="E23" s="34" t="s">
        <v>70</v>
      </c>
      <c r="F23" s="68">
        <v>0.7</v>
      </c>
      <c r="G23" s="35" t="s">
        <v>68</v>
      </c>
      <c r="H23" s="37"/>
      <c r="I23" s="32" t="s">
        <v>71</v>
      </c>
      <c r="J23" s="206">
        <v>70000</v>
      </c>
      <c r="K23" s="205" t="s">
        <v>72</v>
      </c>
      <c r="L23" s="38"/>
      <c r="M23" s="230"/>
      <c r="N23" s="13"/>
      <c r="O23" s="14"/>
      <c r="P23" s="11"/>
      <c r="Q23" s="11"/>
      <c r="R23" s="11"/>
      <c r="S23" s="11"/>
      <c r="T23" s="11"/>
      <c r="U23" s="11"/>
      <c r="V23" s="11"/>
      <c r="W23" s="11"/>
      <c r="X23" s="11"/>
      <c r="Y23" s="11"/>
      <c r="Z23" s="11"/>
      <c r="AA23" s="11"/>
    </row>
    <row r="24" spans="1:27" x14ac:dyDescent="0.35">
      <c r="A24" s="11"/>
      <c r="B24" s="11"/>
      <c r="C24" s="17"/>
      <c r="D24" s="39"/>
      <c r="E24" s="40"/>
      <c r="F24" s="41"/>
      <c r="G24" s="42"/>
      <c r="H24" s="37"/>
      <c r="I24" s="43"/>
      <c r="J24" s="37"/>
      <c r="K24" s="44"/>
      <c r="L24" s="11"/>
      <c r="M24" s="14"/>
      <c r="N24" s="13"/>
      <c r="O24" s="14"/>
      <c r="P24" s="11"/>
      <c r="Q24" s="11"/>
      <c r="R24" s="11"/>
      <c r="S24" s="11"/>
      <c r="T24" s="11"/>
      <c r="U24" s="11"/>
      <c r="V24" s="11"/>
      <c r="W24" s="11"/>
      <c r="X24" s="11"/>
      <c r="Y24" s="11"/>
      <c r="Z24" s="11"/>
      <c r="AA24" s="11"/>
    </row>
    <row r="25" spans="1:27" ht="25.4" customHeight="1" x14ac:dyDescent="0.35">
      <c r="A25" s="11"/>
      <c r="B25" s="11"/>
      <c r="C25" s="259" t="s">
        <v>73</v>
      </c>
      <c r="D25" s="260"/>
      <c r="E25" s="260"/>
      <c r="F25" s="260"/>
      <c r="G25" s="260"/>
      <c r="H25" s="260"/>
      <c r="I25" s="260"/>
      <c r="J25" s="260"/>
      <c r="K25" s="260"/>
      <c r="L25" s="260"/>
      <c r="M25" s="261"/>
      <c r="N25" s="13"/>
      <c r="O25" s="14"/>
      <c r="P25" s="240" t="s">
        <v>74</v>
      </c>
      <c r="Q25" s="241"/>
      <c r="R25" s="241"/>
      <c r="S25" s="241"/>
      <c r="T25" s="241"/>
      <c r="U25" s="241"/>
      <c r="V25" s="241"/>
      <c r="W25" s="241"/>
      <c r="X25" s="241"/>
      <c r="Y25" s="241"/>
      <c r="Z25" s="242"/>
      <c r="AA25" s="11"/>
    </row>
    <row r="26" spans="1:27" x14ac:dyDescent="0.35">
      <c r="A26" s="11"/>
      <c r="B26" s="11"/>
      <c r="C26" s="45" t="s">
        <v>75</v>
      </c>
      <c r="D26" s="11"/>
      <c r="E26" s="46"/>
      <c r="F26" s="46" t="s">
        <v>285</v>
      </c>
      <c r="G26" s="11"/>
      <c r="H26" s="11"/>
      <c r="I26" s="11"/>
      <c r="J26" s="11"/>
      <c r="K26" s="11"/>
      <c r="L26" s="11"/>
      <c r="M26" s="11"/>
      <c r="N26" s="13"/>
      <c r="O26" s="14"/>
      <c r="P26" s="11"/>
      <c r="Q26" s="11"/>
      <c r="R26" s="11"/>
      <c r="S26" s="11"/>
      <c r="T26" s="11"/>
      <c r="U26" s="11"/>
      <c r="V26" s="11"/>
      <c r="W26" s="11"/>
      <c r="X26" s="11"/>
      <c r="Y26" s="11"/>
      <c r="Z26" s="11"/>
      <c r="AA26" s="11"/>
    </row>
    <row r="27" spans="1:27" x14ac:dyDescent="0.35">
      <c r="A27" s="11"/>
      <c r="B27" s="11"/>
      <c r="C27" s="45" t="s">
        <v>76</v>
      </c>
      <c r="D27" s="11"/>
      <c r="E27" s="38"/>
      <c r="F27" s="46" t="s">
        <v>19</v>
      </c>
      <c r="G27" s="11"/>
      <c r="H27" s="11"/>
      <c r="I27" s="11"/>
      <c r="J27" s="11"/>
      <c r="K27" s="11"/>
      <c r="L27" s="11"/>
      <c r="M27" s="11"/>
      <c r="N27" s="13"/>
      <c r="O27" s="14"/>
      <c r="P27" s="11"/>
      <c r="Q27" s="11"/>
      <c r="R27" s="11"/>
      <c r="S27" s="11"/>
      <c r="T27" s="11"/>
      <c r="U27" s="11"/>
      <c r="V27" s="11"/>
      <c r="W27" s="11"/>
      <c r="X27" s="11"/>
      <c r="Y27" s="11"/>
      <c r="Z27" s="11"/>
      <c r="AA27" s="11"/>
    </row>
    <row r="28" spans="1:27" ht="25.4" customHeight="1" x14ac:dyDescent="0.35">
      <c r="A28" s="11"/>
      <c r="B28" s="11"/>
      <c r="C28" s="226" t="s">
        <v>77</v>
      </c>
      <c r="D28" s="227"/>
      <c r="E28" s="227"/>
      <c r="F28" s="227"/>
      <c r="G28" s="227"/>
      <c r="H28" s="227"/>
      <c r="I28" s="227"/>
      <c r="J28" s="227"/>
      <c r="K28" s="227"/>
      <c r="L28" s="227"/>
      <c r="M28" s="228"/>
      <c r="N28" s="13"/>
      <c r="O28" s="14"/>
      <c r="P28" s="226" t="s">
        <v>77</v>
      </c>
      <c r="Q28" s="227"/>
      <c r="R28" s="227"/>
      <c r="S28" s="227"/>
      <c r="T28" s="227"/>
      <c r="U28" s="227"/>
      <c r="V28" s="227"/>
      <c r="W28" s="227"/>
      <c r="X28" s="227"/>
      <c r="Y28" s="227"/>
      <c r="Z28" s="228"/>
      <c r="AA28" s="11"/>
    </row>
    <row r="29" spans="1:27" x14ac:dyDescent="0.35">
      <c r="A29" s="11"/>
      <c r="B29" s="11"/>
      <c r="C29" s="11"/>
      <c r="D29" s="11"/>
      <c r="E29" s="11"/>
      <c r="F29" s="11"/>
      <c r="G29" s="11"/>
      <c r="H29" s="11"/>
      <c r="I29" s="11"/>
      <c r="J29" s="11"/>
      <c r="K29" s="11"/>
      <c r="L29" s="11"/>
      <c r="M29" s="11"/>
      <c r="N29" s="13"/>
      <c r="O29" s="14"/>
      <c r="P29" s="11"/>
      <c r="Q29" s="11"/>
      <c r="R29" s="11"/>
      <c r="S29" s="11"/>
      <c r="T29" s="11"/>
      <c r="U29" s="11"/>
      <c r="V29" s="11"/>
      <c r="W29" s="11"/>
      <c r="X29" s="11"/>
      <c r="Y29" s="11"/>
      <c r="Z29" s="11"/>
      <c r="AA29" s="11"/>
    </row>
    <row r="30" spans="1:27" ht="25.4" customHeight="1" x14ac:dyDescent="0.35">
      <c r="A30" s="11"/>
      <c r="B30" s="11"/>
      <c r="C30" s="221" t="s">
        <v>78</v>
      </c>
      <c r="D30" s="221"/>
      <c r="E30" s="221"/>
      <c r="F30" s="11"/>
      <c r="G30" s="221" t="s">
        <v>79</v>
      </c>
      <c r="H30" s="221"/>
      <c r="I30" s="221"/>
      <c r="J30" s="11"/>
      <c r="K30" s="221" t="s">
        <v>80</v>
      </c>
      <c r="L30" s="221"/>
      <c r="M30" s="221"/>
      <c r="N30" s="13"/>
      <c r="O30" s="14"/>
      <c r="P30" s="221" t="s">
        <v>81</v>
      </c>
      <c r="Q30" s="221"/>
      <c r="R30" s="221"/>
      <c r="S30" s="11"/>
      <c r="T30" s="221" t="s">
        <v>82</v>
      </c>
      <c r="U30" s="221"/>
      <c r="V30" s="221"/>
      <c r="W30" s="11"/>
      <c r="X30" s="221" t="s">
        <v>83</v>
      </c>
      <c r="Y30" s="221"/>
      <c r="Z30" s="221"/>
      <c r="AA30" s="11"/>
    </row>
    <row r="31" spans="1:27" ht="34.4" customHeight="1" x14ac:dyDescent="0.35">
      <c r="A31" s="11"/>
      <c r="B31" s="11"/>
      <c r="C31" s="32" t="s">
        <v>84</v>
      </c>
      <c r="D31" s="231" t="s">
        <v>85</v>
      </c>
      <c r="E31" s="232"/>
      <c r="F31" s="11"/>
      <c r="G31" s="32" t="s">
        <v>84</v>
      </c>
      <c r="H31" s="231" t="s">
        <v>86</v>
      </c>
      <c r="I31" s="232"/>
      <c r="J31" s="11"/>
      <c r="K31" s="32" t="s">
        <v>84</v>
      </c>
      <c r="L31" s="231" t="s">
        <v>87</v>
      </c>
      <c r="M31" s="232"/>
      <c r="N31" s="13"/>
      <c r="O31" s="14"/>
      <c r="P31" s="32" t="s">
        <v>84</v>
      </c>
      <c r="Q31" s="231" t="s">
        <v>88</v>
      </c>
      <c r="R31" s="232"/>
      <c r="S31" s="11"/>
      <c r="T31" s="32" t="s">
        <v>84</v>
      </c>
      <c r="U31" s="231" t="s">
        <v>89</v>
      </c>
      <c r="V31" s="232"/>
      <c r="W31" s="11"/>
      <c r="X31" s="32" t="s">
        <v>84</v>
      </c>
      <c r="Y31" s="231" t="s">
        <v>90</v>
      </c>
      <c r="Z31" s="232"/>
      <c r="AA31" s="11"/>
    </row>
    <row r="32" spans="1:27" ht="13.4" customHeight="1" x14ac:dyDescent="0.35">
      <c r="A32" s="11"/>
      <c r="B32" s="11"/>
      <c r="C32" s="47"/>
      <c r="D32" s="236" t="str">
        <f>IF(D31='Vaccine options'!$A$7,"¡Este producto no está disponible para los países Gavi!"," ")</f>
        <v xml:space="preserve"> </v>
      </c>
      <c r="E32" s="236"/>
      <c r="F32" s="11"/>
      <c r="G32" s="47"/>
      <c r="H32" s="236" t="str">
        <f>IF(H31='Vaccine options'!$A$7,"¡Este producto no está disponible para los países Gavi!"," ")</f>
        <v xml:space="preserve"> </v>
      </c>
      <c r="I32" s="236"/>
      <c r="J32" s="11"/>
      <c r="K32" s="47"/>
      <c r="L32" s="236" t="str">
        <f>IF(L31='Vaccine options'!$A$7,"¡Este producto no está disponible para los países Gavi!"," ")</f>
        <v xml:space="preserve"> </v>
      </c>
      <c r="M32" s="236"/>
      <c r="N32" s="13"/>
      <c r="O32" s="14"/>
      <c r="P32" s="47"/>
      <c r="Q32" s="236" t="str">
        <f>IF(Q31='Vaccine options'!$A$7,"¡Este producto no está disponible para los países Gavi!"," ")</f>
        <v xml:space="preserve"> </v>
      </c>
      <c r="R32" s="236"/>
      <c r="S32" s="11"/>
      <c r="T32" s="47"/>
      <c r="U32" s="236" t="str">
        <f>IF(U31='Vaccine options'!$A$7,"¡Este producto no está disponible para los países Gavi!"," ")</f>
        <v xml:space="preserve"> </v>
      </c>
      <c r="V32" s="236"/>
      <c r="W32" s="11"/>
      <c r="X32" s="47"/>
      <c r="Y32" s="236" t="str">
        <f>IF(Y31='Vaccine options'!$A$7,"¡Este producto no está disponible para los países Gavi!"," ")</f>
        <v>¡Este producto no está disponible para los países Gavi!</v>
      </c>
      <c r="Z32" s="236"/>
      <c r="AA32" s="11"/>
    </row>
    <row r="33" spans="1:27" ht="20.149999999999999" customHeight="1" x14ac:dyDescent="0.35">
      <c r="A33" s="11"/>
      <c r="B33" s="11"/>
      <c r="C33" s="32" t="s">
        <v>91</v>
      </c>
      <c r="D33" s="207">
        <f>IFERROR(INDEX('Vaccine options'!$A$2:$E$7,MATCH(D31,'Vaccine options'!$A$2:$A$7,0),2),"-")</f>
        <v>3.05</v>
      </c>
      <c r="E33" s="203" t="s">
        <v>92</v>
      </c>
      <c r="F33" s="11"/>
      <c r="G33" s="32" t="s">
        <v>91</v>
      </c>
      <c r="H33" s="207">
        <f>IFERROR(INDEX('Vaccine options'!$A$2:$E$7,MATCH(H31,'Vaccine options'!$A$2:$A$7,0),2),"-")</f>
        <v>2</v>
      </c>
      <c r="I33" s="203" t="s">
        <v>92</v>
      </c>
      <c r="J33" s="11"/>
      <c r="K33" s="32" t="s">
        <v>91</v>
      </c>
      <c r="L33" s="207">
        <f>IFERROR(INDEX('Vaccine options'!$A$2:$E$7,MATCH(L31,'Vaccine options'!$A$2:$A$7,0),2),"-")</f>
        <v>2.95</v>
      </c>
      <c r="M33" s="203" t="s">
        <v>92</v>
      </c>
      <c r="N33" s="13"/>
      <c r="O33" s="14"/>
      <c r="P33" s="32" t="s">
        <v>91</v>
      </c>
      <c r="Q33" s="207">
        <f>IFERROR(INDEX('Vaccine options'!$A$2:$E$7,MATCH(Q31,'Vaccine options'!$A$2:$A$7,0),2),"-")</f>
        <v>3.3</v>
      </c>
      <c r="R33" s="203" t="s">
        <v>92</v>
      </c>
      <c r="S33" s="11"/>
      <c r="T33" s="32" t="s">
        <v>91</v>
      </c>
      <c r="U33" s="207">
        <f>IFERROR(INDEX('Vaccine options'!$A$2:$E$7,MATCH(U31,'Vaccine options'!$A$2:$A$7,0),2),"-")</f>
        <v>2.9</v>
      </c>
      <c r="V33" s="203" t="s">
        <v>92</v>
      </c>
      <c r="W33" s="11"/>
      <c r="X33" s="32" t="s">
        <v>91</v>
      </c>
      <c r="Y33" s="207" t="str">
        <f>IFERROR(INDEX('Vaccine options'!$A$2:$E$7,MATCH(Y31,'Vaccine options'!$A$2:$A$7,0),2),"-")</f>
        <v>?</v>
      </c>
      <c r="Z33" s="203" t="s">
        <v>92</v>
      </c>
      <c r="AA33" s="11"/>
    </row>
    <row r="34" spans="1:27" ht="15.65" customHeight="1" outlineLevel="1" x14ac:dyDescent="0.35">
      <c r="A34" s="11"/>
      <c r="B34" s="11"/>
      <c r="C34" s="218" t="s">
        <v>93</v>
      </c>
      <c r="D34" s="219"/>
      <c r="E34" s="220"/>
      <c r="F34" s="11"/>
      <c r="G34" s="218" t="s">
        <v>93</v>
      </c>
      <c r="H34" s="219"/>
      <c r="I34" s="220"/>
      <c r="J34" s="11"/>
      <c r="K34" s="218" t="s">
        <v>93</v>
      </c>
      <c r="L34" s="219"/>
      <c r="M34" s="220"/>
      <c r="N34" s="13"/>
      <c r="O34" s="14"/>
      <c r="P34" s="218" t="s">
        <v>93</v>
      </c>
      <c r="Q34" s="219"/>
      <c r="R34" s="220"/>
      <c r="S34" s="11"/>
      <c r="T34" s="218" t="s">
        <v>93</v>
      </c>
      <c r="U34" s="219"/>
      <c r="V34" s="220"/>
      <c r="W34" s="11"/>
      <c r="X34" s="218" t="s">
        <v>93</v>
      </c>
      <c r="Y34" s="219"/>
      <c r="Z34" s="220"/>
      <c r="AA34" s="11"/>
    </row>
    <row r="35" spans="1:27" ht="15.5" outlineLevel="1" x14ac:dyDescent="0.35">
      <c r="A35" s="11"/>
      <c r="B35" s="11"/>
      <c r="C35" s="27">
        <f>$F$18</f>
        <v>2022</v>
      </c>
      <c r="D35" s="48">
        <f>IF($J$11="Otra fase de transición",$J13*D$33,IF(AND(D$45 =3,$J$11 = "Fase inicial de autofinanciamiento"),0.2,0.2))</f>
        <v>0.85399999999999998</v>
      </c>
      <c r="E35" s="33" t="s">
        <v>94</v>
      </c>
      <c r="F35" s="11"/>
      <c r="G35" s="27">
        <f>$F$18</f>
        <v>2022</v>
      </c>
      <c r="H35" s="48">
        <f>IF($J$11="Otra fase de transición",$J13*H$33,IF(AND(H$45 =3,$J$11 = "Fase inicial de autofinanciamiento"),0.2,0.2))</f>
        <v>0.56000000000000005</v>
      </c>
      <c r="I35" s="33" t="s">
        <v>94</v>
      </c>
      <c r="J35" s="11"/>
      <c r="K35" s="27">
        <f>$F$18</f>
        <v>2022</v>
      </c>
      <c r="L35" s="48">
        <f>IF($J$11="Otra fase de transición",$J13*L$33,IF(AND(L$45 =3,$J$11 = "Fase inicial de autofinanciamiento"),0.2,0.2))</f>
        <v>0.82600000000000018</v>
      </c>
      <c r="M35" s="33" t="s">
        <v>94</v>
      </c>
      <c r="N35" s="13"/>
      <c r="O35" s="14"/>
      <c r="P35" s="27">
        <f>$F$18</f>
        <v>2022</v>
      </c>
      <c r="Q35" s="48">
        <f>IF($J$11="Otra fase de transición",$J13*Q$33,IF(AND(Q$45 =3,$J$11 = "Fase inicial de autofinanciamiento"),0.2,0.2))</f>
        <v>0.92400000000000004</v>
      </c>
      <c r="R35" s="33" t="s">
        <v>94</v>
      </c>
      <c r="S35" s="11"/>
      <c r="T35" s="27">
        <f>$F$18</f>
        <v>2022</v>
      </c>
      <c r="U35" s="48">
        <f>IF($J$11="Otra fase de transición",$J13*U$33,IF(AND(U$45 =3,$J$11 = "Fase inicial de autofinanciamiento"),0.2,0.2))</f>
        <v>0.81200000000000006</v>
      </c>
      <c r="V35" s="33" t="s">
        <v>94</v>
      </c>
      <c r="W35" s="11"/>
      <c r="X35" s="27">
        <f>$F$18</f>
        <v>2022</v>
      </c>
      <c r="Y35" s="48" t="e">
        <f>IF($J$11="Otra fase de transición",$J13*Y$33,IF(AND(Y$45 =3,$J$11 = "Fase inicial de autofinanciamiento"),0.2,0.2))</f>
        <v>#VALUE!</v>
      </c>
      <c r="Z35" s="33" t="s">
        <v>94</v>
      </c>
      <c r="AA35" s="11"/>
    </row>
    <row r="36" spans="1:27" ht="15.5" outlineLevel="1" x14ac:dyDescent="0.35">
      <c r="A36" s="11"/>
      <c r="B36" s="11"/>
      <c r="C36" s="27">
        <f>$F$18+1</f>
        <v>2023</v>
      </c>
      <c r="D36" s="48">
        <f t="shared" ref="D36:D44" si="0">IF($J$11="Otra fase de transición",$J14*D$33,IF(AND(D$45 =3,$J$11 = "Fase inicial de autofinanciamiento"),0.2,0.2))</f>
        <v>0.97599999999999998</v>
      </c>
      <c r="E36" s="33" t="s">
        <v>94</v>
      </c>
      <c r="F36" s="11"/>
      <c r="G36" s="27">
        <f>$F$18+1</f>
        <v>2023</v>
      </c>
      <c r="H36" s="48">
        <f t="shared" ref="H36:H44" si="1">IF($J$11="Otra fase de transición",$J14*H$33,IF(AND(H$45 =3,$J$11 = "Fase inicial de autofinanciamiento"),0.2,0.2))</f>
        <v>0.64</v>
      </c>
      <c r="I36" s="33" t="s">
        <v>94</v>
      </c>
      <c r="J36" s="11"/>
      <c r="K36" s="27">
        <f>$F$18+1</f>
        <v>2023</v>
      </c>
      <c r="L36" s="48">
        <f t="shared" ref="L36:L44" si="2">IF($J$11="Otra fase de transición",$J14*L$33,IF(AND(L$45 =3,$J$11 = "Fase inicial de autofinanciamiento"),0.2,0.2))</f>
        <v>0.94400000000000006</v>
      </c>
      <c r="M36" s="33" t="s">
        <v>94</v>
      </c>
      <c r="N36" s="13"/>
      <c r="O36" s="14"/>
      <c r="P36" s="27">
        <f>$F$18+1</f>
        <v>2023</v>
      </c>
      <c r="Q36" s="48">
        <f t="shared" ref="Q36:Q44" si="3">IF($J$11="Otra fase de transición",$J14*Q$33,IF(AND(Q$45 =3,$J$11 = "Fase inicial de autofinanciamiento"),0.2,0.2))</f>
        <v>1.056</v>
      </c>
      <c r="R36" s="33" t="s">
        <v>94</v>
      </c>
      <c r="S36" s="11"/>
      <c r="T36" s="27">
        <f>$F$18+1</f>
        <v>2023</v>
      </c>
      <c r="U36" s="48">
        <f t="shared" ref="U36:U44" si="4">IF($J$11="Otra fase de transición",$J14*U$33,IF(AND(U$45 =3,$J$11 = "Fase inicial de autofinanciamiento"),0.2,0.2))</f>
        <v>0.92799999999999994</v>
      </c>
      <c r="V36" s="33" t="s">
        <v>94</v>
      </c>
      <c r="W36" s="11"/>
      <c r="X36" s="27">
        <f>$F$18+1</f>
        <v>2023</v>
      </c>
      <c r="Y36" s="48" t="e">
        <f t="shared" ref="Y36:Y44" si="5">IF($J$11="Otra fase de transición",$J14*Y$33,IF(AND(Y$45 =3,$J$11 = "Fase inicial de autofinanciamiento"),0.2,0.2))</f>
        <v>#VALUE!</v>
      </c>
      <c r="Z36" s="33" t="s">
        <v>94</v>
      </c>
      <c r="AA36" s="11"/>
    </row>
    <row r="37" spans="1:27" ht="15.5" outlineLevel="1" x14ac:dyDescent="0.35">
      <c r="A37" s="11"/>
      <c r="B37" s="11"/>
      <c r="C37" s="27">
        <f>$F$18+2</f>
        <v>2024</v>
      </c>
      <c r="D37" s="48">
        <f t="shared" si="0"/>
        <v>1.1284999999999998</v>
      </c>
      <c r="E37" s="33" t="s">
        <v>94</v>
      </c>
      <c r="F37" s="11"/>
      <c r="G37" s="27">
        <f>$F$18+2</f>
        <v>2024</v>
      </c>
      <c r="H37" s="48">
        <f t="shared" si="1"/>
        <v>0.74</v>
      </c>
      <c r="I37" s="33" t="s">
        <v>94</v>
      </c>
      <c r="J37" s="11"/>
      <c r="K37" s="27">
        <f>$F$18+2</f>
        <v>2024</v>
      </c>
      <c r="L37" s="48">
        <f t="shared" si="2"/>
        <v>1.0915000000000001</v>
      </c>
      <c r="M37" s="33" t="s">
        <v>94</v>
      </c>
      <c r="N37" s="49"/>
      <c r="O37" s="14"/>
      <c r="P37" s="27">
        <f>$F$18+2</f>
        <v>2024</v>
      </c>
      <c r="Q37" s="48">
        <f t="shared" si="3"/>
        <v>1.2209999999999999</v>
      </c>
      <c r="R37" s="33" t="s">
        <v>94</v>
      </c>
      <c r="S37" s="11"/>
      <c r="T37" s="27">
        <f>$F$18+2</f>
        <v>2024</v>
      </c>
      <c r="U37" s="48">
        <f t="shared" si="4"/>
        <v>1.073</v>
      </c>
      <c r="V37" s="33" t="s">
        <v>94</v>
      </c>
      <c r="W37" s="11"/>
      <c r="X37" s="27">
        <f>$F$18+2</f>
        <v>2024</v>
      </c>
      <c r="Y37" s="48" t="e">
        <f t="shared" si="5"/>
        <v>#VALUE!</v>
      </c>
      <c r="Z37" s="33" t="s">
        <v>94</v>
      </c>
      <c r="AA37" s="11"/>
    </row>
    <row r="38" spans="1:27" ht="15.5" outlineLevel="1" x14ac:dyDescent="0.35">
      <c r="A38" s="11"/>
      <c r="B38" s="11"/>
      <c r="C38" s="27">
        <f>$F$18+3</f>
        <v>2025</v>
      </c>
      <c r="D38" s="48">
        <f t="shared" si="0"/>
        <v>1.3114999999999999</v>
      </c>
      <c r="E38" s="33" t="s">
        <v>94</v>
      </c>
      <c r="F38" s="11"/>
      <c r="G38" s="27">
        <f>$F$18+3</f>
        <v>2025</v>
      </c>
      <c r="H38" s="48">
        <f t="shared" si="1"/>
        <v>0.86</v>
      </c>
      <c r="I38" s="33" t="s">
        <v>94</v>
      </c>
      <c r="J38" s="11"/>
      <c r="K38" s="27">
        <f>$F$18+3</f>
        <v>2025</v>
      </c>
      <c r="L38" s="48">
        <f t="shared" si="2"/>
        <v>1.2685</v>
      </c>
      <c r="M38" s="33" t="s">
        <v>94</v>
      </c>
      <c r="N38" s="49"/>
      <c r="O38" s="14"/>
      <c r="P38" s="27">
        <f>$F$18+3</f>
        <v>2025</v>
      </c>
      <c r="Q38" s="48">
        <f t="shared" si="3"/>
        <v>1.4189999999999998</v>
      </c>
      <c r="R38" s="33" t="s">
        <v>94</v>
      </c>
      <c r="S38" s="11"/>
      <c r="T38" s="27">
        <f>$F$18+3</f>
        <v>2025</v>
      </c>
      <c r="U38" s="48">
        <f t="shared" si="4"/>
        <v>1.2469999999999999</v>
      </c>
      <c r="V38" s="33" t="s">
        <v>94</v>
      </c>
      <c r="W38" s="11"/>
      <c r="X38" s="27">
        <f>$F$18+3</f>
        <v>2025</v>
      </c>
      <c r="Y38" s="48" t="e">
        <f t="shared" si="5"/>
        <v>#VALUE!</v>
      </c>
      <c r="Z38" s="33" t="s">
        <v>94</v>
      </c>
      <c r="AA38" s="11"/>
    </row>
    <row r="39" spans="1:27" ht="15.5" outlineLevel="1" x14ac:dyDescent="0.35">
      <c r="A39" s="11"/>
      <c r="B39" s="11"/>
      <c r="C39" s="27">
        <f>$F$18+4</f>
        <v>2026</v>
      </c>
      <c r="D39" s="48">
        <f t="shared" si="0"/>
        <v>1.4944999999999999</v>
      </c>
      <c r="E39" s="33" t="s">
        <v>94</v>
      </c>
      <c r="F39" s="11"/>
      <c r="G39" s="27">
        <f>$F$18+4</f>
        <v>2026</v>
      </c>
      <c r="H39" s="48">
        <f t="shared" si="1"/>
        <v>0.98</v>
      </c>
      <c r="I39" s="33" t="s">
        <v>94</v>
      </c>
      <c r="J39" s="11"/>
      <c r="K39" s="27">
        <f>$F$18+4</f>
        <v>2026</v>
      </c>
      <c r="L39" s="48">
        <f t="shared" si="2"/>
        <v>1.4455</v>
      </c>
      <c r="M39" s="33" t="s">
        <v>94</v>
      </c>
      <c r="N39" s="49"/>
      <c r="O39" s="14"/>
      <c r="P39" s="27">
        <f>$F$18+4</f>
        <v>2026</v>
      </c>
      <c r="Q39" s="48">
        <f t="shared" si="3"/>
        <v>1.617</v>
      </c>
      <c r="R39" s="33" t="s">
        <v>94</v>
      </c>
      <c r="S39" s="11"/>
      <c r="T39" s="27">
        <f>$F$18+4</f>
        <v>2026</v>
      </c>
      <c r="U39" s="48">
        <f t="shared" si="4"/>
        <v>1.421</v>
      </c>
      <c r="V39" s="33" t="s">
        <v>94</v>
      </c>
      <c r="W39" s="11"/>
      <c r="X39" s="27">
        <f>$F$18+4</f>
        <v>2026</v>
      </c>
      <c r="Y39" s="48" t="e">
        <f t="shared" si="5"/>
        <v>#VALUE!</v>
      </c>
      <c r="Z39" s="33" t="s">
        <v>94</v>
      </c>
      <c r="AA39" s="11"/>
    </row>
    <row r="40" spans="1:27" ht="15.5" outlineLevel="1" x14ac:dyDescent="0.35">
      <c r="A40" s="11"/>
      <c r="B40" s="11"/>
      <c r="C40" s="27">
        <f>$F$18+5</f>
        <v>2027</v>
      </c>
      <c r="D40" s="48">
        <f t="shared" si="0"/>
        <v>1.708</v>
      </c>
      <c r="E40" s="33" t="s">
        <v>94</v>
      </c>
      <c r="F40" s="11"/>
      <c r="G40" s="27">
        <f>$F$18+5</f>
        <v>2027</v>
      </c>
      <c r="H40" s="48">
        <f t="shared" si="1"/>
        <v>1.1200000000000001</v>
      </c>
      <c r="I40" s="33" t="s">
        <v>94</v>
      </c>
      <c r="J40" s="11"/>
      <c r="K40" s="27">
        <f>$F$18+5</f>
        <v>2027</v>
      </c>
      <c r="L40" s="48">
        <f t="shared" si="2"/>
        <v>1.6520000000000004</v>
      </c>
      <c r="M40" s="33" t="s">
        <v>94</v>
      </c>
      <c r="N40" s="49"/>
      <c r="O40" s="14"/>
      <c r="P40" s="27">
        <f>$F$18+5</f>
        <v>2027</v>
      </c>
      <c r="Q40" s="48">
        <f t="shared" si="3"/>
        <v>1.8480000000000001</v>
      </c>
      <c r="R40" s="33" t="s">
        <v>94</v>
      </c>
      <c r="S40" s="11"/>
      <c r="T40" s="27">
        <f>$F$18+5</f>
        <v>2027</v>
      </c>
      <c r="U40" s="48">
        <f t="shared" si="4"/>
        <v>1.6240000000000001</v>
      </c>
      <c r="V40" s="33" t="s">
        <v>94</v>
      </c>
      <c r="W40" s="11"/>
      <c r="X40" s="27">
        <f>$F$18+5</f>
        <v>2027</v>
      </c>
      <c r="Y40" s="48" t="e">
        <f t="shared" si="5"/>
        <v>#VALUE!</v>
      </c>
      <c r="Z40" s="33" t="s">
        <v>94</v>
      </c>
      <c r="AA40" s="11"/>
    </row>
    <row r="41" spans="1:27" ht="15.5" outlineLevel="1" x14ac:dyDescent="0.35">
      <c r="A41" s="11"/>
      <c r="B41" s="11"/>
      <c r="C41" s="27">
        <f>$F$18+6</f>
        <v>2028</v>
      </c>
      <c r="D41" s="48">
        <f t="shared" si="0"/>
        <v>1.9824999999999999</v>
      </c>
      <c r="E41" s="33" t="s">
        <v>94</v>
      </c>
      <c r="F41" s="11"/>
      <c r="G41" s="27">
        <f>$F$18+6</f>
        <v>2028</v>
      </c>
      <c r="H41" s="48">
        <f t="shared" si="1"/>
        <v>1.3</v>
      </c>
      <c r="I41" s="33" t="s">
        <v>94</v>
      </c>
      <c r="J41" s="11"/>
      <c r="K41" s="27">
        <f>$F$18+6</f>
        <v>2028</v>
      </c>
      <c r="L41" s="48">
        <f t="shared" si="2"/>
        <v>1.9175000000000002</v>
      </c>
      <c r="M41" s="33" t="s">
        <v>94</v>
      </c>
      <c r="N41" s="49"/>
      <c r="O41" s="14"/>
      <c r="P41" s="27">
        <f>$F$18+6</f>
        <v>2028</v>
      </c>
      <c r="Q41" s="48">
        <f t="shared" si="3"/>
        <v>2.145</v>
      </c>
      <c r="R41" s="33" t="s">
        <v>94</v>
      </c>
      <c r="S41" s="11"/>
      <c r="T41" s="27">
        <f>$F$18+6</f>
        <v>2028</v>
      </c>
      <c r="U41" s="48">
        <f t="shared" si="4"/>
        <v>1.885</v>
      </c>
      <c r="V41" s="33" t="s">
        <v>94</v>
      </c>
      <c r="W41" s="11"/>
      <c r="X41" s="27">
        <f>$F$18+6</f>
        <v>2028</v>
      </c>
      <c r="Y41" s="48" t="e">
        <f t="shared" si="5"/>
        <v>#VALUE!</v>
      </c>
      <c r="Z41" s="33" t="s">
        <v>94</v>
      </c>
      <c r="AA41" s="11"/>
    </row>
    <row r="42" spans="1:27" ht="15.5" outlineLevel="1" x14ac:dyDescent="0.35">
      <c r="A42" s="11"/>
      <c r="B42" s="11"/>
      <c r="C42" s="27">
        <f>$F$18+7</f>
        <v>2029</v>
      </c>
      <c r="D42" s="48">
        <f t="shared" si="0"/>
        <v>2.2569999999999997</v>
      </c>
      <c r="E42" s="33" t="s">
        <v>94</v>
      </c>
      <c r="F42" s="11"/>
      <c r="G42" s="27">
        <f>$F$18+7</f>
        <v>2029</v>
      </c>
      <c r="H42" s="48">
        <f t="shared" si="1"/>
        <v>1.48</v>
      </c>
      <c r="I42" s="33" t="s">
        <v>94</v>
      </c>
      <c r="J42" s="11"/>
      <c r="K42" s="27">
        <f>$F$18+7</f>
        <v>2029</v>
      </c>
      <c r="L42" s="48">
        <f t="shared" si="2"/>
        <v>2.1830000000000003</v>
      </c>
      <c r="M42" s="33" t="s">
        <v>94</v>
      </c>
      <c r="N42" s="49"/>
      <c r="O42" s="14"/>
      <c r="P42" s="27">
        <f>$F$18+7</f>
        <v>2029</v>
      </c>
      <c r="Q42" s="48">
        <f t="shared" si="3"/>
        <v>2.4419999999999997</v>
      </c>
      <c r="R42" s="33" t="s">
        <v>94</v>
      </c>
      <c r="S42" s="11"/>
      <c r="T42" s="27">
        <f>$F$18+7</f>
        <v>2029</v>
      </c>
      <c r="U42" s="48">
        <f t="shared" si="4"/>
        <v>2.1459999999999999</v>
      </c>
      <c r="V42" s="33" t="s">
        <v>94</v>
      </c>
      <c r="W42" s="11"/>
      <c r="X42" s="27">
        <f>$F$18+7</f>
        <v>2029</v>
      </c>
      <c r="Y42" s="48" t="e">
        <f t="shared" si="5"/>
        <v>#VALUE!</v>
      </c>
      <c r="Z42" s="33" t="s">
        <v>94</v>
      </c>
      <c r="AA42" s="11"/>
    </row>
    <row r="43" spans="1:27" ht="15.5" outlineLevel="1" x14ac:dyDescent="0.35">
      <c r="A43" s="11"/>
      <c r="B43" s="11"/>
      <c r="C43" s="27">
        <f>$F$18+8</f>
        <v>2030</v>
      </c>
      <c r="D43" s="48">
        <f t="shared" si="0"/>
        <v>2.6229999999999998</v>
      </c>
      <c r="E43" s="33" t="s">
        <v>94</v>
      </c>
      <c r="F43" s="11"/>
      <c r="G43" s="27">
        <f>$F$18+8</f>
        <v>2030</v>
      </c>
      <c r="H43" s="48">
        <f t="shared" si="1"/>
        <v>1.72</v>
      </c>
      <c r="I43" s="33" t="s">
        <v>94</v>
      </c>
      <c r="J43" s="11"/>
      <c r="K43" s="27">
        <f>$F$18+8</f>
        <v>2030</v>
      </c>
      <c r="L43" s="48">
        <f t="shared" si="2"/>
        <v>2.5369999999999999</v>
      </c>
      <c r="M43" s="33" t="s">
        <v>94</v>
      </c>
      <c r="N43" s="49"/>
      <c r="O43" s="14"/>
      <c r="P43" s="27">
        <f>$F$18+8</f>
        <v>2030</v>
      </c>
      <c r="Q43" s="48">
        <f t="shared" si="3"/>
        <v>2.8379999999999996</v>
      </c>
      <c r="R43" s="33" t="s">
        <v>94</v>
      </c>
      <c r="S43" s="11"/>
      <c r="T43" s="27">
        <f>$F$18+8</f>
        <v>2030</v>
      </c>
      <c r="U43" s="48">
        <f t="shared" si="4"/>
        <v>2.4939999999999998</v>
      </c>
      <c r="V43" s="33" t="s">
        <v>94</v>
      </c>
      <c r="W43" s="11"/>
      <c r="X43" s="27">
        <f>$F$18+8</f>
        <v>2030</v>
      </c>
      <c r="Y43" s="48" t="e">
        <f t="shared" si="5"/>
        <v>#VALUE!</v>
      </c>
      <c r="Z43" s="33" t="s">
        <v>94</v>
      </c>
      <c r="AA43" s="11"/>
    </row>
    <row r="44" spans="1:27" ht="15.5" outlineLevel="1" x14ac:dyDescent="0.35">
      <c r="A44" s="11"/>
      <c r="B44" s="11"/>
      <c r="C44" s="27">
        <f>$F$18+9</f>
        <v>2031</v>
      </c>
      <c r="D44" s="48">
        <f t="shared" si="0"/>
        <v>3.0194999999999999</v>
      </c>
      <c r="E44" s="33" t="s">
        <v>94</v>
      </c>
      <c r="F44" s="11"/>
      <c r="G44" s="27">
        <f>$F$18+9</f>
        <v>2031</v>
      </c>
      <c r="H44" s="48">
        <f t="shared" si="1"/>
        <v>1.98</v>
      </c>
      <c r="I44" s="33" t="s">
        <v>94</v>
      </c>
      <c r="J44" s="11"/>
      <c r="K44" s="27">
        <f>$F$18+9</f>
        <v>2031</v>
      </c>
      <c r="L44" s="48">
        <f t="shared" si="2"/>
        <v>2.9205000000000001</v>
      </c>
      <c r="M44" s="33" t="s">
        <v>94</v>
      </c>
      <c r="N44" s="49"/>
      <c r="O44" s="14"/>
      <c r="P44" s="27">
        <f>$F$18+9</f>
        <v>2031</v>
      </c>
      <c r="Q44" s="48">
        <f t="shared" si="3"/>
        <v>3.2669999999999999</v>
      </c>
      <c r="R44" s="33" t="s">
        <v>94</v>
      </c>
      <c r="S44" s="11"/>
      <c r="T44" s="27">
        <f>$F$18+9</f>
        <v>2031</v>
      </c>
      <c r="U44" s="48">
        <f t="shared" si="4"/>
        <v>2.871</v>
      </c>
      <c r="V44" s="33" t="s">
        <v>94</v>
      </c>
      <c r="W44" s="11"/>
      <c r="X44" s="27">
        <f>$F$18+9</f>
        <v>2031</v>
      </c>
      <c r="Y44" s="48" t="e">
        <f t="shared" si="5"/>
        <v>#VALUE!</v>
      </c>
      <c r="Z44" s="33" t="s">
        <v>94</v>
      </c>
      <c r="AA44" s="11"/>
    </row>
    <row r="45" spans="1:27" ht="45" customHeight="1" x14ac:dyDescent="0.35">
      <c r="A45" s="11"/>
      <c r="B45" s="11"/>
      <c r="C45" s="32" t="s">
        <v>95</v>
      </c>
      <c r="D45" s="50">
        <f>IFERROR(INDEX('Vaccine options'!$A$2:$E$7,MATCH(D31,'Vaccine options'!$A$2:$A$7,0),3),"-")</f>
        <v>3</v>
      </c>
      <c r="E45" s="33" t="s">
        <v>94</v>
      </c>
      <c r="F45" s="11"/>
      <c r="G45" s="32" t="s">
        <v>95</v>
      </c>
      <c r="H45" s="50">
        <f>IFERROR(INDEX('Vaccine options'!$A$2:$E$7,MATCH(H31,'Vaccine options'!$A$2:$A$7,0),3),"-")</f>
        <v>3</v>
      </c>
      <c r="I45" s="33" t="s">
        <v>94</v>
      </c>
      <c r="J45" s="11"/>
      <c r="K45" s="32" t="s">
        <v>95</v>
      </c>
      <c r="L45" s="50">
        <f>IFERROR(INDEX('Vaccine options'!$A$2:$E$7,MATCH(L31,'Vaccine options'!$A$2:$A$7,0),3),"-")</f>
        <v>3</v>
      </c>
      <c r="M45" s="33" t="s">
        <v>94</v>
      </c>
      <c r="N45" s="49"/>
      <c r="O45" s="14"/>
      <c r="P45" s="32" t="s">
        <v>95</v>
      </c>
      <c r="Q45" s="50">
        <f>IFERROR(INDEX('Vaccine options'!$A$2:$E$7,MATCH(Q31,'Vaccine options'!$A$2:$A$7,0),3),"-")</f>
        <v>3</v>
      </c>
      <c r="R45" s="33" t="s">
        <v>94</v>
      </c>
      <c r="S45" s="11"/>
      <c r="T45" s="32" t="s">
        <v>95</v>
      </c>
      <c r="U45" s="50">
        <f>IFERROR(INDEX('Vaccine options'!$A$2:$E$7,MATCH(U31,'Vaccine options'!$A$2:$A$7,0),3),"-")</f>
        <v>3</v>
      </c>
      <c r="V45" s="33" t="s">
        <v>94</v>
      </c>
      <c r="W45" s="11"/>
      <c r="X45" s="32" t="s">
        <v>95</v>
      </c>
      <c r="Y45" s="50">
        <f>IFERROR(INDEX('Vaccine options'!$A$2:$E$7,MATCH(Y31,'Vaccine options'!$A$2:$A$7,0),3),"-")</f>
        <v>3</v>
      </c>
      <c r="Z45" s="33" t="s">
        <v>94</v>
      </c>
      <c r="AA45" s="11"/>
    </row>
    <row r="46" spans="1:27" ht="51.75" customHeight="1" x14ac:dyDescent="0.35">
      <c r="A46" s="11"/>
      <c r="B46" s="11"/>
      <c r="C46" s="32" t="s">
        <v>96</v>
      </c>
      <c r="D46" s="95">
        <f>IFERROR(INDEX('Vaccine options'!$A$2:$E$7,MATCH(D31,'Vaccine options'!$A$2:$A$7,0),5),"-")</f>
        <v>2.4</v>
      </c>
      <c r="E46" s="93" t="s">
        <v>94</v>
      </c>
      <c r="F46" s="11"/>
      <c r="G46" s="32" t="s">
        <v>96</v>
      </c>
      <c r="H46" s="95">
        <f>IFERROR(INDEX('Vaccine options'!$A$2:$E$7,MATCH(H31,'Vaccine options'!$A$2:$A$7,0),5),"-")</f>
        <v>3.5</v>
      </c>
      <c r="I46" s="93" t="s">
        <v>94</v>
      </c>
      <c r="J46" s="11"/>
      <c r="K46" s="32" t="s">
        <v>96</v>
      </c>
      <c r="L46" s="95">
        <f>IFERROR(INDEX('Vaccine options'!$A$2:$E$7,MATCH(L31,'Vaccine options'!$A$2:$A$7,0),5),"-")</f>
        <v>14</v>
      </c>
      <c r="M46" s="93" t="s">
        <v>94</v>
      </c>
      <c r="N46" s="49"/>
      <c r="O46" s="14"/>
      <c r="P46" s="32" t="s">
        <v>96</v>
      </c>
      <c r="Q46" s="95">
        <f>IFERROR(INDEX('Vaccine options'!$A$2:$E$7,MATCH(Q31,'Vaccine options'!$A$2:$A$7,0),5),"-")</f>
        <v>12</v>
      </c>
      <c r="R46" s="93" t="s">
        <v>94</v>
      </c>
      <c r="S46" s="11"/>
      <c r="T46" s="32" t="s">
        <v>96</v>
      </c>
      <c r="U46" s="95">
        <f>IFERROR(INDEX('Vaccine options'!$A$2:$E$7,MATCH(U31,'Vaccine options'!$A$2:$A$7,0),5),"-")</f>
        <v>3.5</v>
      </c>
      <c r="V46" s="93" t="s">
        <v>94</v>
      </c>
      <c r="W46" s="11"/>
      <c r="X46" s="32" t="s">
        <v>96</v>
      </c>
      <c r="Y46" s="95">
        <f>IFERROR(INDEX('Vaccine options'!$A$2:$E$7,MATCH(Y31,'Vaccine options'!$A$2:$A$7,0),5),"-")</f>
        <v>11.05</v>
      </c>
      <c r="Z46" s="93" t="s">
        <v>94</v>
      </c>
      <c r="AA46" s="11"/>
    </row>
    <row r="47" spans="1:27" ht="38.4" customHeight="1" x14ac:dyDescent="0.35">
      <c r="A47" s="11"/>
      <c r="B47" s="11"/>
      <c r="C47" s="224" t="s">
        <v>97</v>
      </c>
      <c r="D47" s="222">
        <f>E48</f>
        <v>0.08</v>
      </c>
      <c r="E47" s="96" t="s">
        <v>98</v>
      </c>
      <c r="F47" s="11"/>
      <c r="G47" s="224" t="s">
        <v>97</v>
      </c>
      <c r="H47" s="222">
        <f>I48</f>
        <v>0.08</v>
      </c>
      <c r="I47" s="96" t="s">
        <v>98</v>
      </c>
      <c r="J47" s="11"/>
      <c r="K47" s="224" t="s">
        <v>97</v>
      </c>
      <c r="L47" s="222">
        <f>M48</f>
        <v>0.05</v>
      </c>
      <c r="M47" s="96" t="s">
        <v>98</v>
      </c>
      <c r="N47" s="49"/>
      <c r="O47" s="14"/>
      <c r="P47" s="224" t="s">
        <v>97</v>
      </c>
      <c r="Q47" s="222">
        <f>R48</f>
        <v>0.05</v>
      </c>
      <c r="R47" s="96" t="s">
        <v>98</v>
      </c>
      <c r="S47" s="11"/>
      <c r="T47" s="224" t="s">
        <v>97</v>
      </c>
      <c r="U47" s="222">
        <f>V48</f>
        <v>0.08</v>
      </c>
      <c r="V47" s="96" t="s">
        <v>98</v>
      </c>
      <c r="W47" s="11"/>
      <c r="X47" s="224" t="s">
        <v>97</v>
      </c>
      <c r="Y47" s="222" t="str">
        <f>Z48</f>
        <v>?</v>
      </c>
      <c r="Z47" s="96" t="s">
        <v>98</v>
      </c>
      <c r="AA47" s="11"/>
    </row>
    <row r="48" spans="1:27" ht="20.149999999999999" customHeight="1" x14ac:dyDescent="0.35">
      <c r="A48" s="11"/>
      <c r="B48" s="11"/>
      <c r="C48" s="225"/>
      <c r="D48" s="223"/>
      <c r="E48" s="97">
        <f>IFERROR(INDEX('Vaccine options'!$A$2:$E$7,MATCH(D31,'Vaccine options'!$A$2:$A$7,0),4),"-")</f>
        <v>0.08</v>
      </c>
      <c r="F48" s="11"/>
      <c r="G48" s="225"/>
      <c r="H48" s="223"/>
      <c r="I48" s="97">
        <f>IFERROR(INDEX('Vaccine options'!$A$2:$E$7,MATCH(H31,'Vaccine options'!$A$2:$A$7,0),4),"-")</f>
        <v>0.08</v>
      </c>
      <c r="J48" s="11"/>
      <c r="K48" s="225"/>
      <c r="L48" s="223"/>
      <c r="M48" s="97">
        <f>IFERROR(INDEX('Vaccine options'!$A$2:$E$7,MATCH(L31,'Vaccine options'!$A$2:$A$7,0),4),"-")</f>
        <v>0.05</v>
      </c>
      <c r="N48" s="49"/>
      <c r="O48" s="14"/>
      <c r="P48" s="225"/>
      <c r="Q48" s="223"/>
      <c r="R48" s="97">
        <f>IFERROR(INDEX('Vaccine options'!$A$2:$E$7,MATCH(Q31,'Vaccine options'!$A$2:$A$7,0),4),"-")</f>
        <v>0.05</v>
      </c>
      <c r="S48" s="11"/>
      <c r="T48" s="225"/>
      <c r="U48" s="223"/>
      <c r="V48" s="97">
        <f>IFERROR(INDEX('Vaccine options'!$A$2:$E$7,MATCH(U31,'Vaccine options'!$A$2:$A$7,0),4),"-")</f>
        <v>0.08</v>
      </c>
      <c r="W48" s="11"/>
      <c r="X48" s="225"/>
      <c r="Y48" s="223"/>
      <c r="Z48" s="97" t="str">
        <f>IFERROR(INDEX('Vaccine options'!$A$2:$E$7,MATCH(Y31,'Vaccine options'!$A$2:$A$7,0),4),"-")</f>
        <v>?</v>
      </c>
      <c r="AA48" s="11"/>
    </row>
    <row r="49" spans="1:27" ht="20.149999999999999" customHeight="1" x14ac:dyDescent="0.35">
      <c r="A49" s="11"/>
      <c r="B49" s="11"/>
      <c r="C49" s="32" t="s">
        <v>99</v>
      </c>
      <c r="D49" s="51">
        <f>(1/(1-D47))</f>
        <v>1.0869565217391304</v>
      </c>
      <c r="E49" s="94" t="s">
        <v>94</v>
      </c>
      <c r="F49" s="11"/>
      <c r="G49" s="32" t="s">
        <v>99</v>
      </c>
      <c r="H49" s="51">
        <f>(1/(1-H47))</f>
        <v>1.0869565217391304</v>
      </c>
      <c r="I49" s="94" t="s">
        <v>94</v>
      </c>
      <c r="J49" s="11"/>
      <c r="K49" s="32" t="s">
        <v>99</v>
      </c>
      <c r="L49" s="51">
        <f>(1/(1-L47))</f>
        <v>1.0526315789473684</v>
      </c>
      <c r="M49" s="94" t="s">
        <v>94</v>
      </c>
      <c r="N49" s="49"/>
      <c r="O49" s="14"/>
      <c r="P49" s="32" t="s">
        <v>99</v>
      </c>
      <c r="Q49" s="51">
        <f>(1/(1-Q47))</f>
        <v>1.0526315789473684</v>
      </c>
      <c r="R49" s="94" t="s">
        <v>94</v>
      </c>
      <c r="S49" s="11"/>
      <c r="T49" s="32" t="s">
        <v>99</v>
      </c>
      <c r="U49" s="51">
        <f>(1/(1-U47))</f>
        <v>1.0869565217391304</v>
      </c>
      <c r="V49" s="94" t="s">
        <v>94</v>
      </c>
      <c r="W49" s="11"/>
      <c r="X49" s="32" t="s">
        <v>99</v>
      </c>
      <c r="Y49" s="51" t="e">
        <f>(1/(1-Y47))</f>
        <v>#VALUE!</v>
      </c>
      <c r="Z49" s="94" t="s">
        <v>94</v>
      </c>
      <c r="AA49" s="11"/>
    </row>
    <row r="50" spans="1:27" ht="32.25" customHeight="1" x14ac:dyDescent="0.35">
      <c r="A50" s="11"/>
      <c r="B50" s="11"/>
      <c r="C50" s="32" t="s">
        <v>100</v>
      </c>
      <c r="D50" s="71">
        <v>0.05</v>
      </c>
      <c r="E50" s="33" t="s">
        <v>101</v>
      </c>
      <c r="F50" s="11"/>
      <c r="G50" s="32" t="s">
        <v>100</v>
      </c>
      <c r="H50" s="71">
        <v>0.05</v>
      </c>
      <c r="I50" s="33" t="s">
        <v>101</v>
      </c>
      <c r="J50" s="11"/>
      <c r="K50" s="32" t="s">
        <v>100</v>
      </c>
      <c r="L50" s="71">
        <v>0.05</v>
      </c>
      <c r="M50" s="33" t="s">
        <v>101</v>
      </c>
      <c r="N50" s="49"/>
      <c r="O50" s="14"/>
      <c r="P50" s="32" t="s">
        <v>100</v>
      </c>
      <c r="Q50" s="71">
        <v>0.05</v>
      </c>
      <c r="R50" s="33" t="s">
        <v>101</v>
      </c>
      <c r="S50" s="11"/>
      <c r="T50" s="32" t="s">
        <v>100</v>
      </c>
      <c r="U50" s="71">
        <v>0.05</v>
      </c>
      <c r="V50" s="33" t="s">
        <v>101</v>
      </c>
      <c r="W50" s="11"/>
      <c r="X50" s="32" t="s">
        <v>100</v>
      </c>
      <c r="Y50" s="71">
        <v>0.05</v>
      </c>
      <c r="Z50" s="33" t="s">
        <v>101</v>
      </c>
      <c r="AA50" s="11"/>
    </row>
    <row r="51" spans="1:27" ht="32.25" customHeight="1" x14ac:dyDescent="0.35">
      <c r="A51" s="11"/>
      <c r="B51" s="11"/>
      <c r="C51" s="32" t="s">
        <v>102</v>
      </c>
      <c r="D51" s="67">
        <v>7.0000000000000007E-2</v>
      </c>
      <c r="E51" s="33" t="s">
        <v>101</v>
      </c>
      <c r="F51" s="11"/>
      <c r="G51" s="32" t="s">
        <v>102</v>
      </c>
      <c r="H51" s="67">
        <v>7.0000000000000007E-2</v>
      </c>
      <c r="I51" s="33" t="s">
        <v>101</v>
      </c>
      <c r="J51" s="11"/>
      <c r="K51" s="32" t="s">
        <v>102</v>
      </c>
      <c r="L51" s="67">
        <v>7.0000000000000007E-2</v>
      </c>
      <c r="M51" s="33" t="s">
        <v>101</v>
      </c>
      <c r="N51" s="49"/>
      <c r="O51" s="14"/>
      <c r="P51" s="32" t="s">
        <v>102</v>
      </c>
      <c r="Q51" s="67">
        <v>7.0000000000000007E-2</v>
      </c>
      <c r="R51" s="33" t="s">
        <v>101</v>
      </c>
      <c r="S51" s="11"/>
      <c r="T51" s="32" t="s">
        <v>102</v>
      </c>
      <c r="U51" s="67">
        <v>7.0000000000000007E-2</v>
      </c>
      <c r="V51" s="33" t="s">
        <v>101</v>
      </c>
      <c r="W51" s="11"/>
      <c r="X51" s="32" t="s">
        <v>102</v>
      </c>
      <c r="Y51" s="67">
        <v>7.0000000000000007E-2</v>
      </c>
      <c r="Z51" s="33" t="s">
        <v>101</v>
      </c>
      <c r="AA51" s="11"/>
    </row>
    <row r="52" spans="1:27" ht="32.25" customHeight="1" x14ac:dyDescent="0.35">
      <c r="A52" s="11"/>
      <c r="B52" s="11"/>
      <c r="C52" s="32" t="s">
        <v>103</v>
      </c>
      <c r="D52" s="208">
        <v>0.8</v>
      </c>
      <c r="E52" s="33" t="s">
        <v>104</v>
      </c>
      <c r="F52" s="11"/>
      <c r="G52" s="32" t="s">
        <v>103</v>
      </c>
      <c r="H52" s="208">
        <v>0.8</v>
      </c>
      <c r="I52" s="33" t="s">
        <v>104</v>
      </c>
      <c r="J52" s="11"/>
      <c r="K52" s="32" t="s">
        <v>103</v>
      </c>
      <c r="L52" s="208">
        <v>0.8</v>
      </c>
      <c r="M52" s="33" t="s">
        <v>104</v>
      </c>
      <c r="N52" s="49"/>
      <c r="O52" s="14"/>
      <c r="P52" s="32" t="s">
        <v>103</v>
      </c>
      <c r="Q52" s="208">
        <v>0.8</v>
      </c>
      <c r="R52" s="33" t="s">
        <v>104</v>
      </c>
      <c r="S52" s="11"/>
      <c r="T52" s="32" t="s">
        <v>103</v>
      </c>
      <c r="U52" s="208">
        <v>0.8</v>
      </c>
      <c r="V52" s="33" t="s">
        <v>104</v>
      </c>
      <c r="W52" s="11"/>
      <c r="X52" s="32" t="s">
        <v>103</v>
      </c>
      <c r="Y52" s="208">
        <v>0.8</v>
      </c>
      <c r="Z52" s="33" t="s">
        <v>104</v>
      </c>
      <c r="AA52" s="11"/>
    </row>
    <row r="53" spans="1:27" ht="32.25" customHeight="1" x14ac:dyDescent="0.35">
      <c r="A53" s="11"/>
      <c r="B53" s="11"/>
      <c r="C53" s="32" t="s">
        <v>105</v>
      </c>
      <c r="D53" s="72">
        <v>100</v>
      </c>
      <c r="E53" s="33" t="s">
        <v>106</v>
      </c>
      <c r="F53" s="11"/>
      <c r="G53" s="32" t="s">
        <v>105</v>
      </c>
      <c r="H53" s="72">
        <v>100</v>
      </c>
      <c r="I53" s="33" t="s">
        <v>106</v>
      </c>
      <c r="J53" s="11"/>
      <c r="K53" s="32" t="s">
        <v>105</v>
      </c>
      <c r="L53" s="72">
        <v>100</v>
      </c>
      <c r="M53" s="33" t="s">
        <v>106</v>
      </c>
      <c r="N53" s="49"/>
      <c r="O53" s="14"/>
      <c r="P53" s="32" t="s">
        <v>105</v>
      </c>
      <c r="Q53" s="72">
        <v>100</v>
      </c>
      <c r="R53" s="33" t="s">
        <v>106</v>
      </c>
      <c r="S53" s="11"/>
      <c r="T53" s="32" t="s">
        <v>105</v>
      </c>
      <c r="U53" s="72">
        <v>100</v>
      </c>
      <c r="V53" s="33" t="s">
        <v>106</v>
      </c>
      <c r="W53" s="11"/>
      <c r="X53" s="32" t="s">
        <v>105</v>
      </c>
      <c r="Y53" s="72">
        <v>100</v>
      </c>
      <c r="Z53" s="33" t="s">
        <v>106</v>
      </c>
      <c r="AA53" s="11"/>
    </row>
    <row r="54" spans="1:27" ht="32.25" customHeight="1" x14ac:dyDescent="0.35">
      <c r="A54" s="11"/>
      <c r="B54" s="11"/>
      <c r="C54" s="32" t="s">
        <v>107</v>
      </c>
      <c r="D54" s="208">
        <v>0.04</v>
      </c>
      <c r="E54" s="33" t="s">
        <v>104</v>
      </c>
      <c r="F54" s="11"/>
      <c r="G54" s="32" t="s">
        <v>107</v>
      </c>
      <c r="H54" s="208">
        <v>0.04</v>
      </c>
      <c r="I54" s="33" t="s">
        <v>104</v>
      </c>
      <c r="J54" s="11"/>
      <c r="K54" s="32" t="s">
        <v>107</v>
      </c>
      <c r="L54" s="208">
        <v>0.04</v>
      </c>
      <c r="M54" s="33" t="s">
        <v>104</v>
      </c>
      <c r="N54" s="13"/>
      <c r="O54" s="14"/>
      <c r="P54" s="32" t="s">
        <v>107</v>
      </c>
      <c r="Q54" s="208">
        <v>0.04</v>
      </c>
      <c r="R54" s="33" t="s">
        <v>104</v>
      </c>
      <c r="S54" s="11"/>
      <c r="T54" s="32" t="s">
        <v>107</v>
      </c>
      <c r="U54" s="208">
        <v>0.04</v>
      </c>
      <c r="V54" s="33" t="s">
        <v>104</v>
      </c>
      <c r="W54" s="11"/>
      <c r="X54" s="32" t="s">
        <v>107</v>
      </c>
      <c r="Y54" s="208">
        <v>0.04</v>
      </c>
      <c r="Z54" s="33" t="s">
        <v>104</v>
      </c>
      <c r="AA54" s="11"/>
    </row>
    <row r="55" spans="1:27" ht="14.4" customHeight="1" x14ac:dyDescent="0.35">
      <c r="A55" s="11"/>
      <c r="B55" s="11"/>
      <c r="C55" s="52"/>
      <c r="D55" s="11"/>
      <c r="E55" s="11"/>
      <c r="F55" s="11"/>
      <c r="G55" s="52"/>
      <c r="H55" s="11"/>
      <c r="I55" s="11"/>
      <c r="J55" s="11"/>
      <c r="K55" s="52"/>
      <c r="L55" s="11"/>
      <c r="M55" s="11"/>
      <c r="N55" s="13"/>
      <c r="O55" s="14"/>
      <c r="P55" s="52"/>
      <c r="Q55" s="11"/>
      <c r="R55" s="11"/>
      <c r="S55" s="11"/>
      <c r="T55" s="52"/>
      <c r="U55" s="11"/>
      <c r="V55" s="11"/>
      <c r="W55" s="11"/>
      <c r="X55" s="52"/>
      <c r="Y55" s="11"/>
      <c r="Z55" s="11"/>
      <c r="AA55" s="11"/>
    </row>
    <row r="56" spans="1:27" ht="25.4" customHeight="1" x14ac:dyDescent="0.35">
      <c r="A56" s="11"/>
      <c r="B56" s="11"/>
      <c r="C56" s="226" t="s">
        <v>108</v>
      </c>
      <c r="D56" s="227"/>
      <c r="E56" s="227"/>
      <c r="F56" s="227"/>
      <c r="G56" s="227"/>
      <c r="H56" s="227"/>
      <c r="I56" s="227"/>
      <c r="J56" s="227"/>
      <c r="K56" s="227"/>
      <c r="L56" s="227"/>
      <c r="M56" s="228"/>
      <c r="N56" s="13"/>
      <c r="O56" s="14"/>
      <c r="P56" s="226" t="s">
        <v>108</v>
      </c>
      <c r="Q56" s="227"/>
      <c r="R56" s="227"/>
      <c r="S56" s="227"/>
      <c r="T56" s="227"/>
      <c r="U56" s="227"/>
      <c r="V56" s="227"/>
      <c r="W56" s="227"/>
      <c r="X56" s="227"/>
      <c r="Y56" s="227"/>
      <c r="Z56" s="228"/>
      <c r="AA56" s="11"/>
    </row>
    <row r="57" spans="1:27" ht="14.15" customHeight="1" x14ac:dyDescent="0.35">
      <c r="A57" s="11"/>
      <c r="B57" s="11"/>
      <c r="C57" s="53"/>
      <c r="D57" s="53"/>
      <c r="E57" s="53"/>
      <c r="F57" s="14"/>
      <c r="G57" s="53"/>
      <c r="H57" s="53"/>
      <c r="I57" s="53"/>
      <c r="J57" s="14"/>
      <c r="K57" s="53"/>
      <c r="L57" s="53"/>
      <c r="M57" s="53"/>
      <c r="N57" s="13"/>
      <c r="O57" s="14"/>
      <c r="P57" s="53"/>
      <c r="Q57" s="53"/>
      <c r="R57" s="53"/>
      <c r="S57" s="14"/>
      <c r="T57" s="53"/>
      <c r="U57" s="53"/>
      <c r="V57" s="53"/>
      <c r="W57" s="14"/>
      <c r="X57" s="53"/>
      <c r="Y57" s="53"/>
      <c r="Z57" s="53"/>
      <c r="AA57" s="11"/>
    </row>
    <row r="58" spans="1:27" ht="113.4" customHeight="1" x14ac:dyDescent="0.35">
      <c r="A58" s="11"/>
      <c r="B58" s="11"/>
      <c r="C58" s="262" t="s">
        <v>286</v>
      </c>
      <c r="D58" s="263"/>
      <c r="E58" s="263"/>
      <c r="F58" s="263"/>
      <c r="G58" s="263"/>
      <c r="H58" s="263"/>
      <c r="I58" s="263"/>
      <c r="J58" s="263"/>
      <c r="K58" s="263"/>
      <c r="L58" s="263"/>
      <c r="M58" s="264"/>
      <c r="N58" s="13"/>
      <c r="O58" s="14"/>
      <c r="P58" s="262" t="s">
        <v>30</v>
      </c>
      <c r="Q58" s="263"/>
      <c r="R58" s="263"/>
      <c r="S58" s="263"/>
      <c r="T58" s="263"/>
      <c r="U58" s="263"/>
      <c r="V58" s="263"/>
      <c r="W58" s="263"/>
      <c r="X58" s="263"/>
      <c r="Y58" s="263"/>
      <c r="Z58" s="264"/>
      <c r="AA58" s="11"/>
    </row>
    <row r="59" spans="1:27" ht="14.15" customHeight="1" x14ac:dyDescent="0.35">
      <c r="A59" s="11"/>
      <c r="B59" s="11"/>
      <c r="C59" s="54"/>
      <c r="D59" s="54"/>
      <c r="E59" s="54"/>
      <c r="F59" s="54"/>
      <c r="G59" s="54"/>
      <c r="H59" s="54"/>
      <c r="I59" s="54"/>
      <c r="J59" s="54"/>
      <c r="K59" s="54"/>
      <c r="L59" s="54"/>
      <c r="M59" s="54"/>
      <c r="N59" s="13"/>
      <c r="O59" s="14"/>
      <c r="P59" s="54"/>
      <c r="Q59" s="54"/>
      <c r="R59" s="54"/>
      <c r="S59" s="54"/>
      <c r="T59" s="54"/>
      <c r="U59" s="54"/>
      <c r="V59" s="54"/>
      <c r="W59" s="54"/>
      <c r="X59" s="54"/>
      <c r="Y59" s="54"/>
      <c r="Z59" s="54"/>
      <c r="AA59" s="11"/>
    </row>
    <row r="60" spans="1:27" ht="48.75" customHeight="1" x14ac:dyDescent="0.35">
      <c r="A60" s="11"/>
      <c r="B60" s="11"/>
      <c r="C60" s="34" t="s">
        <v>109</v>
      </c>
      <c r="D60" s="209">
        <v>60000</v>
      </c>
      <c r="E60" s="55" t="s">
        <v>110</v>
      </c>
      <c r="F60" s="11"/>
      <c r="G60" s="34" t="s">
        <v>109</v>
      </c>
      <c r="H60" s="209">
        <v>60000</v>
      </c>
      <c r="I60" s="55" t="s">
        <v>110</v>
      </c>
      <c r="J60" s="11"/>
      <c r="K60" s="34" t="s">
        <v>109</v>
      </c>
      <c r="L60" s="209">
        <v>60000</v>
      </c>
      <c r="M60" s="55" t="s">
        <v>110</v>
      </c>
      <c r="N60" s="13"/>
      <c r="O60" s="14"/>
      <c r="P60" s="34" t="s">
        <v>109</v>
      </c>
      <c r="Q60" s="209">
        <v>60000</v>
      </c>
      <c r="R60" s="55" t="s">
        <v>110</v>
      </c>
      <c r="S60" s="11"/>
      <c r="T60" s="34" t="s">
        <v>109</v>
      </c>
      <c r="U60" s="209">
        <v>60000</v>
      </c>
      <c r="V60" s="55" t="s">
        <v>110</v>
      </c>
      <c r="W60" s="11"/>
      <c r="X60" s="34" t="s">
        <v>109</v>
      </c>
      <c r="Y60" s="209">
        <v>60000</v>
      </c>
      <c r="Z60" s="55" t="s">
        <v>110</v>
      </c>
      <c r="AA60" s="11"/>
    </row>
    <row r="61" spans="1:27" ht="64.400000000000006" customHeight="1" x14ac:dyDescent="0.35">
      <c r="A61" s="11"/>
      <c r="B61" s="11"/>
      <c r="C61" s="224" t="s">
        <v>111</v>
      </c>
      <c r="D61" s="210">
        <v>0.75</v>
      </c>
      <c r="E61" s="56" t="s">
        <v>112</v>
      </c>
      <c r="F61" s="11"/>
      <c r="G61" s="224" t="s">
        <v>111</v>
      </c>
      <c r="H61" s="210">
        <v>0.75</v>
      </c>
      <c r="I61" s="56" t="s">
        <v>112</v>
      </c>
      <c r="J61" s="11"/>
      <c r="K61" s="224" t="s">
        <v>111</v>
      </c>
      <c r="L61" s="210">
        <v>0.75</v>
      </c>
      <c r="M61" s="56" t="s">
        <v>112</v>
      </c>
      <c r="N61" s="13"/>
      <c r="O61" s="14"/>
      <c r="P61" s="224" t="s">
        <v>111</v>
      </c>
      <c r="Q61" s="210">
        <v>0.75</v>
      </c>
      <c r="R61" s="56" t="s">
        <v>112</v>
      </c>
      <c r="S61" s="11"/>
      <c r="T61" s="224" t="s">
        <v>111</v>
      </c>
      <c r="U61" s="210">
        <v>0.75</v>
      </c>
      <c r="V61" s="56" t="s">
        <v>112</v>
      </c>
      <c r="W61" s="11"/>
      <c r="X61" s="224" t="s">
        <v>111</v>
      </c>
      <c r="Y61" s="210">
        <v>0.75</v>
      </c>
      <c r="Z61" s="56" t="s">
        <v>112</v>
      </c>
      <c r="AA61" s="11"/>
    </row>
    <row r="62" spans="1:27" ht="17.149999999999999" customHeight="1" x14ac:dyDescent="0.35">
      <c r="A62" s="11"/>
      <c r="B62" s="11"/>
      <c r="C62" s="265"/>
      <c r="D62" s="57"/>
      <c r="E62" s="58" t="s">
        <v>113</v>
      </c>
      <c r="F62" s="11"/>
      <c r="G62" s="265"/>
      <c r="H62" s="59"/>
      <c r="I62" s="60" t="s">
        <v>113</v>
      </c>
      <c r="J62" s="11"/>
      <c r="K62" s="225"/>
      <c r="L62" s="61"/>
      <c r="M62" s="58" t="s">
        <v>113</v>
      </c>
      <c r="N62" s="13"/>
      <c r="O62" s="14"/>
      <c r="P62" s="265"/>
      <c r="Q62" s="57"/>
      <c r="R62" s="58" t="s">
        <v>113</v>
      </c>
      <c r="S62" s="11"/>
      <c r="T62" s="265"/>
      <c r="U62" s="61"/>
      <c r="V62" s="58" t="s">
        <v>113</v>
      </c>
      <c r="W62" s="11"/>
      <c r="X62" s="265"/>
      <c r="Y62" s="59"/>
      <c r="Z62" s="60" t="s">
        <v>113</v>
      </c>
      <c r="AA62" s="11"/>
    </row>
    <row r="63" spans="1:27" ht="53.15" customHeight="1" x14ac:dyDescent="0.35">
      <c r="A63" s="14"/>
      <c r="B63" s="14"/>
      <c r="C63" s="266" t="str">
        <f>IF(OR(D61&gt;1.38,D61&lt;0.48),"! CONFIRM VALUE !
 According to IDCC data, incremental cost of delivery per dose is between $0.48 and $1.38","")</f>
        <v/>
      </c>
      <c r="D63" s="266"/>
      <c r="E63" s="266"/>
      <c r="F63" s="14"/>
      <c r="G63" s="266" t="str">
        <f>IF(OR(H61&gt;1.38,H61&lt;0.48),"! CONFIRM VALUE !
 According to IDCC data, incremental cost of delivery per dose is between $0.48 and $1.38","")</f>
        <v/>
      </c>
      <c r="H63" s="266"/>
      <c r="I63" s="266"/>
      <c r="J63" s="14"/>
      <c r="K63" s="266" t="str">
        <f>IF(OR(L61&gt;1.38,L61&lt;0.48),"! CONFIRM VALUE !
 According to IDCC data, incremental cost of delivery per dose is between $0.48 and $1.38","")</f>
        <v/>
      </c>
      <c r="L63" s="266"/>
      <c r="M63" s="266"/>
      <c r="N63" s="13"/>
      <c r="O63" s="14"/>
      <c r="P63" s="266" t="str">
        <f>IF(OR(Q61&gt;1.38,Q61&lt;0.48),"! CONFIRM VALUE !
 According to IDCC data, incremental cost of delivery per dose is between $0.48 and $1.38","")</f>
        <v/>
      </c>
      <c r="Q63" s="266"/>
      <c r="R63" s="266"/>
      <c r="S63" s="14"/>
      <c r="T63" s="266" t="str">
        <f>IF(OR(U61&gt;1.38,U61&lt;0.48),"! CONFIRM VALUE !
 According to IDCC data, incremental cost of delivery per dose is between $0.48 and $1.38","")</f>
        <v/>
      </c>
      <c r="U63" s="266"/>
      <c r="V63" s="266"/>
      <c r="W63" s="14"/>
      <c r="X63" s="266" t="str">
        <f>IF(OR(Y61&gt;1.38,Y61&lt;0.48),"! CONFIRM VALUE !
 According to IDCC data, incremental cost of delivery per dose is between $0.48 and $1.38","")</f>
        <v/>
      </c>
      <c r="Y63" s="266"/>
      <c r="Z63" s="266"/>
      <c r="AA63" s="11"/>
    </row>
    <row r="64" spans="1:27" x14ac:dyDescent="0.35">
      <c r="A64" s="11"/>
      <c r="B64" s="11"/>
      <c r="C64" s="62"/>
      <c r="D64" s="63"/>
      <c r="E64" s="44"/>
      <c r="F64" s="11"/>
      <c r="G64" s="62"/>
      <c r="H64" s="63"/>
      <c r="I64" s="44"/>
      <c r="J64" s="11"/>
      <c r="K64" s="62"/>
      <c r="L64" s="63"/>
      <c r="M64" s="44"/>
      <c r="N64" s="13"/>
      <c r="O64" s="14"/>
      <c r="P64" s="62"/>
      <c r="Q64" s="63"/>
      <c r="R64" s="44"/>
      <c r="S64" s="11"/>
      <c r="T64" s="62"/>
      <c r="U64" s="63"/>
      <c r="V64" s="44"/>
      <c r="W64" s="11"/>
      <c r="X64" s="62"/>
      <c r="Y64" s="63"/>
      <c r="Z64" s="44"/>
      <c r="AA64" s="11"/>
    </row>
    <row r="65" ht="33" customHeight="1" x14ac:dyDescent="0.35"/>
    <row r="66" ht="21.65" customHeight="1" x14ac:dyDescent="0.35"/>
    <row r="67" ht="25.4" customHeight="1" x14ac:dyDescent="0.35"/>
    <row r="68" s="64" customFormat="1" ht="19.399999999999999" customHeight="1" x14ac:dyDescent="0.35"/>
    <row r="70" ht="20.149999999999999" customHeight="1" outlineLevel="1" x14ac:dyDescent="0.35"/>
    <row r="71" ht="20.149999999999999" customHeight="1" outlineLevel="1" x14ac:dyDescent="0.35"/>
    <row r="72" ht="20.149999999999999" customHeight="1" outlineLevel="1" x14ac:dyDescent="0.35"/>
    <row r="73" ht="20.149999999999999" customHeight="1" outlineLevel="1" x14ac:dyDescent="0.35"/>
    <row r="74" ht="20.149999999999999" customHeight="1" outlineLevel="1" x14ac:dyDescent="0.35"/>
    <row r="75" ht="20.149999999999999" customHeight="1" outlineLevel="1" x14ac:dyDescent="0.35"/>
    <row r="76" ht="20.149999999999999" customHeight="1" outlineLevel="1" x14ac:dyDescent="0.35"/>
    <row r="77" ht="20.149999999999999" customHeight="1" outlineLevel="1" x14ac:dyDescent="0.35"/>
    <row r="78" ht="20.149999999999999" customHeight="1" outlineLevel="1" x14ac:dyDescent="0.35"/>
    <row r="79" ht="20.149999999999999" customHeight="1" outlineLevel="1" x14ac:dyDescent="0.35"/>
    <row r="80" ht="29.15" customHeight="1" x14ac:dyDescent="0.35"/>
    <row r="81" ht="20.149999999999999" customHeight="1" outlineLevel="1" x14ac:dyDescent="0.35"/>
    <row r="82" ht="20.149999999999999" customHeight="1" outlineLevel="1" x14ac:dyDescent="0.35"/>
    <row r="83" ht="20.149999999999999" customHeight="1" outlineLevel="1" x14ac:dyDescent="0.35"/>
    <row r="84" ht="20.149999999999999" customHeight="1" outlineLevel="1" x14ac:dyDescent="0.35"/>
    <row r="85" ht="20.149999999999999" customHeight="1" outlineLevel="1" x14ac:dyDescent="0.35"/>
    <row r="86" ht="20.149999999999999" customHeight="1" outlineLevel="1" x14ac:dyDescent="0.35"/>
    <row r="87" ht="20.149999999999999" customHeight="1" outlineLevel="1" x14ac:dyDescent="0.35"/>
    <row r="88" ht="20.149999999999999" customHeight="1" outlineLevel="1" x14ac:dyDescent="0.35"/>
    <row r="89" ht="20.149999999999999" customHeight="1" outlineLevel="1" x14ac:dyDescent="0.35"/>
    <row r="90" ht="20.149999999999999" customHeight="1" outlineLevel="1" x14ac:dyDescent="0.35"/>
    <row r="91" ht="18" customHeight="1" x14ac:dyDescent="0.35"/>
    <row r="92" ht="25.4" customHeight="1" x14ac:dyDescent="0.35"/>
    <row r="93" ht="18" customHeight="1" x14ac:dyDescent="0.35"/>
    <row r="95" ht="20.149999999999999" customHeight="1" outlineLevel="1" x14ac:dyDescent="0.35"/>
    <row r="96" ht="20.149999999999999" customHeight="1" outlineLevel="1" x14ac:dyDescent="0.35"/>
    <row r="97" ht="20.149999999999999" customHeight="1" outlineLevel="1" x14ac:dyDescent="0.35"/>
    <row r="98" ht="20.149999999999999" customHeight="1" outlineLevel="1" x14ac:dyDescent="0.35"/>
    <row r="99" ht="20.149999999999999" customHeight="1" outlineLevel="1" x14ac:dyDescent="0.35"/>
    <row r="100" ht="20.149999999999999" customHeight="1" outlineLevel="1" x14ac:dyDescent="0.35"/>
    <row r="101" ht="20.149999999999999" customHeight="1" outlineLevel="1" x14ac:dyDescent="0.35"/>
    <row r="102" ht="20.149999999999999" customHeight="1" outlineLevel="1" x14ac:dyDescent="0.35"/>
    <row r="103" ht="20.149999999999999" customHeight="1" outlineLevel="1" x14ac:dyDescent="0.35"/>
    <row r="104" ht="20.149999999999999" customHeight="1" outlineLevel="1" x14ac:dyDescent="0.35"/>
    <row r="106" ht="20.149999999999999" customHeight="1" outlineLevel="1" x14ac:dyDescent="0.35"/>
    <row r="107" ht="20.149999999999999" customHeight="1" outlineLevel="1" x14ac:dyDescent="0.35"/>
    <row r="108" ht="20.149999999999999" customHeight="1" outlineLevel="1" x14ac:dyDescent="0.35"/>
    <row r="109" ht="20.149999999999999" customHeight="1" outlineLevel="1" x14ac:dyDescent="0.35"/>
    <row r="110" ht="20.149999999999999" customHeight="1" outlineLevel="1" x14ac:dyDescent="0.35"/>
    <row r="111" ht="20.149999999999999" customHeight="1" outlineLevel="1" x14ac:dyDescent="0.35"/>
    <row r="112" ht="20.149999999999999" customHeight="1" outlineLevel="1" x14ac:dyDescent="0.35"/>
    <row r="113" ht="20.149999999999999" customHeight="1" outlineLevel="1" x14ac:dyDescent="0.35"/>
    <row r="114" ht="20.149999999999999" customHeight="1" outlineLevel="1" x14ac:dyDescent="0.35"/>
    <row r="115" ht="20.149999999999999" customHeight="1" outlineLevel="1" x14ac:dyDescent="0.35"/>
    <row r="117" ht="25.4" customHeight="1" x14ac:dyDescent="0.35"/>
    <row r="119" ht="36" customHeight="1" x14ac:dyDescent="0.35"/>
    <row r="120" ht="20.149999999999999" customHeight="1" outlineLevel="1" x14ac:dyDescent="0.35"/>
    <row r="121" ht="20.149999999999999" customHeight="1" outlineLevel="1" x14ac:dyDescent="0.35"/>
    <row r="122" ht="20.149999999999999" customHeight="1" outlineLevel="1" x14ac:dyDescent="0.35"/>
    <row r="123" ht="20.149999999999999" customHeight="1" outlineLevel="1" x14ac:dyDescent="0.35"/>
    <row r="124" ht="20.149999999999999" customHeight="1" outlineLevel="1" x14ac:dyDescent="0.35"/>
    <row r="125" ht="20.149999999999999" customHeight="1" outlineLevel="1" x14ac:dyDescent="0.35"/>
    <row r="126" ht="20.149999999999999" customHeight="1" outlineLevel="1" x14ac:dyDescent="0.35"/>
    <row r="127" ht="20.149999999999999" customHeight="1" outlineLevel="1" x14ac:dyDescent="0.35"/>
    <row r="128" ht="20.149999999999999" customHeight="1" outlineLevel="1" x14ac:dyDescent="0.35"/>
    <row r="129" ht="20.149999999999999" customHeight="1" outlineLevel="1" x14ac:dyDescent="0.35"/>
    <row r="131" ht="20.149999999999999" customHeight="1" outlineLevel="1" x14ac:dyDescent="0.35"/>
    <row r="132" ht="20.149999999999999" customHeight="1" outlineLevel="1" x14ac:dyDescent="0.35"/>
    <row r="133" ht="20.149999999999999" customHeight="1" outlineLevel="1" x14ac:dyDescent="0.35"/>
    <row r="134" ht="20.149999999999999" customHeight="1" outlineLevel="1" x14ac:dyDescent="0.35"/>
    <row r="135" ht="20.149999999999999" customHeight="1" outlineLevel="1" x14ac:dyDescent="0.35"/>
    <row r="136" ht="20.149999999999999" customHeight="1" outlineLevel="1" x14ac:dyDescent="0.35"/>
    <row r="137" ht="20.149999999999999" customHeight="1" outlineLevel="1" x14ac:dyDescent="0.35"/>
    <row r="138" ht="20.149999999999999" customHeight="1" outlineLevel="1" x14ac:dyDescent="0.35"/>
    <row r="139" ht="20.149999999999999" customHeight="1" outlineLevel="1" x14ac:dyDescent="0.35"/>
    <row r="140" ht="20.149999999999999" customHeight="1" outlineLevel="1" x14ac:dyDescent="0.35"/>
  </sheetData>
  <sheetProtection algorithmName="SHA-512" hashValue="HRovIH+1DBqXhbkFvh1g8ihiCwOKokkMp2dimknld0mN38bg0Otn09T8n6wZeMvDicys3wt8X81NZQhtYumevQ==" saltValue="F12+u39IVLiavBJmok2ZwA==" spinCount="100000" sheet="1" formatCells="0" formatColumns="0" formatRows="0" insertColumns="0" insertRows="0" insertHyperlinks="0" deleteColumns="0" deleteRows="0" sort="0" autoFilter="0" pivotTables="0"/>
  <mergeCells count="66">
    <mergeCell ref="X63:Z63"/>
    <mergeCell ref="C63:E63"/>
    <mergeCell ref="G63:I63"/>
    <mergeCell ref="K63:M63"/>
    <mergeCell ref="P63:R63"/>
    <mergeCell ref="T63:V63"/>
    <mergeCell ref="C58:M58"/>
    <mergeCell ref="P58:Z58"/>
    <mergeCell ref="C61:C62"/>
    <mergeCell ref="G61:G62"/>
    <mergeCell ref="Q31:R31"/>
    <mergeCell ref="U31:V31"/>
    <mergeCell ref="Y31:Z31"/>
    <mergeCell ref="Q32:R32"/>
    <mergeCell ref="U32:V32"/>
    <mergeCell ref="Y32:Z32"/>
    <mergeCell ref="P56:Z56"/>
    <mergeCell ref="D31:E31"/>
    <mergeCell ref="K61:K62"/>
    <mergeCell ref="P61:P62"/>
    <mergeCell ref="T61:T62"/>
    <mergeCell ref="X61:X62"/>
    <mergeCell ref="K2:L3"/>
    <mergeCell ref="P25:Z25"/>
    <mergeCell ref="P34:R34"/>
    <mergeCell ref="T34:V34"/>
    <mergeCell ref="X34:Z34"/>
    <mergeCell ref="C5:L8"/>
    <mergeCell ref="C9:G15"/>
    <mergeCell ref="C28:M28"/>
    <mergeCell ref="I10:K10"/>
    <mergeCell ref="I12:K12"/>
    <mergeCell ref="K13:K22"/>
    <mergeCell ref="P30:R30"/>
    <mergeCell ref="T30:V30"/>
    <mergeCell ref="P28:Z28"/>
    <mergeCell ref="A3:I3"/>
    <mergeCell ref="C25:M25"/>
    <mergeCell ref="C56:M56"/>
    <mergeCell ref="M11:M23"/>
    <mergeCell ref="K30:M30"/>
    <mergeCell ref="L31:M31"/>
    <mergeCell ref="E17:G17"/>
    <mergeCell ref="C34:E34"/>
    <mergeCell ref="G34:I34"/>
    <mergeCell ref="G30:I30"/>
    <mergeCell ref="H31:I31"/>
    <mergeCell ref="C30:E30"/>
    <mergeCell ref="D32:E32"/>
    <mergeCell ref="H32:I32"/>
    <mergeCell ref="C47:C48"/>
    <mergeCell ref="L32:M32"/>
    <mergeCell ref="D47:D48"/>
    <mergeCell ref="C17:D17"/>
    <mergeCell ref="K34:M34"/>
    <mergeCell ref="X30:Z30"/>
    <mergeCell ref="Y47:Y48"/>
    <mergeCell ref="G47:G48"/>
    <mergeCell ref="K47:K48"/>
    <mergeCell ref="P47:P48"/>
    <mergeCell ref="T47:T48"/>
    <mergeCell ref="X47:X48"/>
    <mergeCell ref="H47:H48"/>
    <mergeCell ref="L47:L48"/>
    <mergeCell ref="Q47:Q48"/>
    <mergeCell ref="U47:U48"/>
  </mergeCells>
  <hyperlinks>
    <hyperlink ref="M10" r:id="rId1" xr:uid="{00000000-0004-0000-0100-000000000000}"/>
    <hyperlink ref="M62" r:id="rId2" xr:uid="{00000000-0004-0000-0100-000001000000}"/>
    <hyperlink ref="I62" r:id="rId3" xr:uid="{00000000-0004-0000-0100-000002000000}"/>
    <hyperlink ref="E62" r:id="rId4" xr:uid="{00000000-0004-0000-0100-000003000000}"/>
    <hyperlink ref="Z62" r:id="rId5" xr:uid="{00000000-0004-0000-0100-000004000000}"/>
    <hyperlink ref="V62" r:id="rId6" xr:uid="{00000000-0004-0000-0100-000005000000}"/>
    <hyperlink ref="R62" r:id="rId7" xr:uid="{00000000-0004-0000-0100-000006000000}"/>
    <hyperlink ref="F27" r:id="rId8" xr:uid="{00000000-0004-0000-0100-000007000000}"/>
    <hyperlink ref="F26" r:id="rId9" display="sitio web de Gavi" xr:uid="{00000000-0004-0000-0100-000008000000}"/>
  </hyperlinks>
  <printOptions horizontalCentered="1" verticalCentered="1"/>
  <pageMargins left="0.25" right="0.25" top="0.75" bottom="0.75" header="0.3" footer="0.3"/>
  <pageSetup scale="38" orientation="portrait" r:id="rId10"/>
  <headerFooter>
    <oddHeader>&amp;L&amp;&amp;«Calibri»&amp;10&amp;K000000Clasificado como interno&amp;K000000&amp;1#</oddHeader>
  </headerFooter>
  <rowBreaks count="1" manualBreakCount="1">
    <brk id="118" max="16383" man="1"/>
  </rowBreaks>
  <drawing r:id="rId1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'Vaccine options'!$A$16:$A$17</xm:f>
          </x14:formula1>
          <xm:sqref>J11</xm:sqref>
        </x14:dataValidation>
        <x14:dataValidation type="list" allowBlank="1" showInputMessage="1" showErrorMessage="1" xr:uid="{00000000-0002-0000-0100-000001000000}">
          <x14:formula1>
            <xm:f>'Vaccine options'!$A$2:$A$7</xm:f>
          </x14:formula1>
          <xm:sqref>D31:E31 Y31:Z31 U31:V31 Q31:R31 L31:M31 H31:I31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6"/>
  <sheetViews>
    <sheetView zoomScale="70" zoomScaleNormal="70" workbookViewId="0">
      <pane ySplit="5" topLeftCell="A6" activePane="bottomLeft" state="frozen"/>
      <selection activeCell="A10" sqref="A10"/>
      <selection pane="bottomLeft"/>
    </sheetView>
  </sheetViews>
  <sheetFormatPr defaultColWidth="8.90625" defaultRowHeight="14.5" outlineLevelRow="1" x14ac:dyDescent="0.35"/>
  <cols>
    <col min="1" max="1" width="1.54296875" style="74" customWidth="1"/>
    <col min="2" max="2" width="30.54296875" style="74" customWidth="1"/>
    <col min="3" max="3" width="31.54296875" style="74" customWidth="1"/>
    <col min="4" max="4" width="1.54296875" style="74" customWidth="1"/>
    <col min="5" max="5" width="30.54296875" style="74" customWidth="1"/>
    <col min="6" max="6" width="31.54296875" style="74" customWidth="1"/>
    <col min="7" max="7" width="1.54296875" style="74" customWidth="1"/>
    <col min="8" max="8" width="30.54296875" style="74" customWidth="1"/>
    <col min="9" max="9" width="31.54296875" style="74" customWidth="1"/>
    <col min="10" max="11" width="1.54296875" style="74" customWidth="1"/>
    <col min="12" max="12" width="30.54296875" style="74" customWidth="1"/>
    <col min="13" max="13" width="31.54296875" style="74" customWidth="1"/>
    <col min="14" max="14" width="1.54296875" style="74" customWidth="1"/>
    <col min="15" max="15" width="30.54296875" style="74" customWidth="1"/>
    <col min="16" max="16" width="31.54296875" style="74" customWidth="1"/>
    <col min="17" max="17" width="1.54296875" style="74" customWidth="1"/>
    <col min="18" max="18" width="30.54296875" style="74" customWidth="1"/>
    <col min="19" max="19" width="31.54296875" style="74" customWidth="1"/>
    <col min="20" max="20" width="2.90625" style="74" customWidth="1"/>
    <col min="21" max="16384" width="8.90625" style="74"/>
  </cols>
  <sheetData>
    <row r="1" spans="1:19" ht="23.5" x14ac:dyDescent="0.35">
      <c r="A1" s="15"/>
      <c r="B1" s="270" t="s">
        <v>114</v>
      </c>
      <c r="C1" s="271"/>
      <c r="D1" s="271"/>
      <c r="E1" s="271"/>
      <c r="F1" s="271"/>
      <c r="G1" s="271"/>
      <c r="H1" s="271"/>
      <c r="I1" s="272"/>
      <c r="J1" s="73"/>
      <c r="K1" s="15"/>
      <c r="L1" s="270" t="s">
        <v>115</v>
      </c>
      <c r="M1" s="271"/>
      <c r="N1" s="271"/>
      <c r="O1" s="271"/>
      <c r="P1" s="271"/>
      <c r="Q1" s="271"/>
      <c r="R1" s="271"/>
      <c r="S1" s="272"/>
    </row>
    <row r="2" spans="1:19" ht="8.4" customHeight="1" x14ac:dyDescent="0.35">
      <c r="A2" s="15"/>
      <c r="B2" s="75"/>
      <c r="C2" s="75"/>
      <c r="D2" s="76"/>
      <c r="E2" s="75"/>
      <c r="F2" s="75"/>
      <c r="G2" s="76"/>
      <c r="H2" s="75"/>
      <c r="I2" s="75"/>
      <c r="J2" s="73"/>
      <c r="K2" s="15"/>
    </row>
    <row r="3" spans="1:19" ht="20.399999999999999" customHeight="1" x14ac:dyDescent="0.35">
      <c r="A3" s="15"/>
      <c r="B3" s="77" t="s">
        <v>287</v>
      </c>
      <c r="C3" s="76"/>
      <c r="D3" s="76"/>
      <c r="E3" s="76"/>
      <c r="F3" s="76"/>
      <c r="G3" s="76"/>
      <c r="H3" s="76"/>
      <c r="I3" s="76"/>
      <c r="J3" s="73"/>
      <c r="K3" s="15"/>
    </row>
    <row r="4" spans="1:19" ht="8.4" customHeight="1" x14ac:dyDescent="0.35">
      <c r="A4" s="15"/>
      <c r="B4" s="76"/>
      <c r="C4" s="76"/>
      <c r="D4" s="76"/>
      <c r="E4" s="76"/>
      <c r="F4" s="76"/>
      <c r="G4" s="76"/>
      <c r="H4" s="76"/>
      <c r="I4" s="76"/>
      <c r="J4" s="73"/>
      <c r="K4" s="15"/>
    </row>
    <row r="5" spans="1:19" ht="18.5" x14ac:dyDescent="0.35">
      <c r="A5" s="15"/>
      <c r="B5" s="267" t="str">
        <f>'Datos del modelo'!D31</f>
        <v>Synflorix, decavalente, 4 dosis/frasco líquido</v>
      </c>
      <c r="C5" s="268"/>
      <c r="D5" s="78"/>
      <c r="E5" s="267" t="str">
        <f>'Datos del modelo'!H31</f>
        <v>PNEUMOSIL, decavalente, 5 dosis/frasco líquido</v>
      </c>
      <c r="F5" s="268"/>
      <c r="G5" s="78"/>
      <c r="H5" s="267" t="str">
        <f>'Datos del modelo'!L31</f>
        <v>PNEUMOSIL, decavalente, 1 dosis/frasco líquido</v>
      </c>
      <c r="I5" s="268"/>
      <c r="J5" s="73"/>
      <c r="K5" s="15"/>
      <c r="L5" s="267" t="str">
        <f>'Datos del modelo'!Q31</f>
        <v>Prevenar 13, tridecavalente, 1 dosis/frasco líquido</v>
      </c>
      <c r="M5" s="268"/>
      <c r="N5" s="78"/>
      <c r="O5" s="267" t="str">
        <f>'Datos del modelo'!U31</f>
        <v>Prevenar 13, tridecavalente, 4 dosis/frasco líquido</v>
      </c>
      <c r="P5" s="268"/>
      <c r="Q5" s="78"/>
      <c r="R5" s="267" t="str">
        <f>'Datos del modelo'!Y31</f>
        <v>Synflorix, decavalente, 1 dosis/frasco líquido</v>
      </c>
      <c r="S5" s="268"/>
    </row>
    <row r="6" spans="1:19" ht="7.4" customHeight="1" x14ac:dyDescent="0.35">
      <c r="A6" s="15"/>
      <c r="B6" s="79"/>
      <c r="C6" s="78"/>
      <c r="D6" s="78"/>
      <c r="E6" s="78"/>
      <c r="F6" s="78"/>
      <c r="G6" s="78"/>
      <c r="H6" s="78"/>
      <c r="I6" s="78"/>
      <c r="J6" s="73"/>
      <c r="K6" s="15"/>
      <c r="L6" s="79"/>
      <c r="M6" s="78"/>
      <c r="N6" s="78"/>
      <c r="O6" s="78"/>
      <c r="P6" s="78"/>
      <c r="Q6" s="78"/>
      <c r="R6" s="78"/>
      <c r="S6" s="78"/>
    </row>
    <row r="7" spans="1:19" ht="18.5" x14ac:dyDescent="0.35">
      <c r="A7" s="15"/>
      <c r="B7" s="269" t="s">
        <v>116</v>
      </c>
      <c r="C7" s="269"/>
      <c r="D7" s="78"/>
      <c r="E7" s="269" t="s">
        <v>116</v>
      </c>
      <c r="F7" s="269"/>
      <c r="G7" s="78"/>
      <c r="H7" s="269" t="s">
        <v>116</v>
      </c>
      <c r="I7" s="269"/>
      <c r="J7" s="73"/>
      <c r="K7" s="15"/>
      <c r="L7" s="269" t="s">
        <v>116</v>
      </c>
      <c r="M7" s="269"/>
      <c r="N7" s="78"/>
      <c r="O7" s="269" t="s">
        <v>116</v>
      </c>
      <c r="P7" s="269"/>
      <c r="Q7" s="78"/>
      <c r="R7" s="269" t="s">
        <v>116</v>
      </c>
      <c r="S7" s="269"/>
    </row>
    <row r="8" spans="1:19" ht="18" customHeight="1" x14ac:dyDescent="0.35">
      <c r="A8" s="15"/>
      <c r="B8" s="273" t="s">
        <v>117</v>
      </c>
      <c r="C8" s="274"/>
      <c r="D8" s="78"/>
      <c r="E8" s="273" t="s">
        <v>117</v>
      </c>
      <c r="F8" s="274"/>
      <c r="G8" s="78"/>
      <c r="H8" s="273" t="s">
        <v>117</v>
      </c>
      <c r="I8" s="274"/>
      <c r="J8" s="73"/>
      <c r="K8" s="15"/>
      <c r="L8" s="273" t="s">
        <v>117</v>
      </c>
      <c r="M8" s="274"/>
      <c r="N8" s="78"/>
      <c r="O8" s="273" t="s">
        <v>117</v>
      </c>
      <c r="P8" s="274"/>
      <c r="Q8" s="78"/>
      <c r="R8" s="273" t="s">
        <v>117</v>
      </c>
      <c r="S8" s="274"/>
    </row>
    <row r="9" spans="1:19" ht="60" customHeight="1" x14ac:dyDescent="0.35">
      <c r="A9" s="15"/>
      <c r="B9" s="80" t="s">
        <v>118</v>
      </c>
      <c r="C9" s="81">
        <f>SUM(C10:C19)</f>
        <v>2487661.8105891487</v>
      </c>
      <c r="D9" s="82"/>
      <c r="E9" s="80" t="s">
        <v>118</v>
      </c>
      <c r="F9" s="81">
        <f>SUM(F10:F19)</f>
        <v>2487661.8105891487</v>
      </c>
      <c r="G9" s="82"/>
      <c r="H9" s="80" t="s">
        <v>118</v>
      </c>
      <c r="I9" s="81">
        <f>SUM(I10:I19)</f>
        <v>2487661.8105891487</v>
      </c>
      <c r="J9" s="73"/>
      <c r="K9" s="15"/>
      <c r="L9" s="80" t="s">
        <v>118</v>
      </c>
      <c r="M9" s="81">
        <f>SUM(M10:M19)</f>
        <v>2487661.8105891487</v>
      </c>
      <c r="N9" s="82"/>
      <c r="O9" s="80" t="s">
        <v>118</v>
      </c>
      <c r="P9" s="81">
        <f>SUM(P10:P19)</f>
        <v>2487661.8105891487</v>
      </c>
      <c r="Q9" s="82"/>
      <c r="R9" s="80" t="s">
        <v>118</v>
      </c>
      <c r="S9" s="81">
        <f>SUM(S10:S19)</f>
        <v>2487661.8105891487</v>
      </c>
    </row>
    <row r="10" spans="1:19" ht="15.5" outlineLevel="1" x14ac:dyDescent="0.35">
      <c r="A10" s="15"/>
      <c r="B10" s="80">
        <f>'Datos del modelo'!$F$18</f>
        <v>2022</v>
      </c>
      <c r="C10" s="81">
        <f>IF('Datos del modelo'!D$45=3,(('Datos del modelo'!$F$19*(1+'Datos del modelo'!$F$20)^(B10-'Datos del modelo'!$F$18))*'Datos del modelo'!$F$21+('Datos del modelo'!$F$19*(1+'Datos del modelo'!$F$20)^(B10-'Datos del modelo'!$F$18))*'Datos del modelo'!$F$22+('Datos del modelo'!$F$19*(1+'Datos del modelo'!$F$20)^(B10-'Datos del modelo'!$F$18))*'Datos del modelo'!$F$23),('Datos del modelo'!$F$19*(1+'Datos del modelo'!$F$20)^(B10-'Datos del modelo'!$F$18))*'Datos del modelo'!$F$21+('Datos del modelo'!$F$19*(1+'Datos del modelo'!$F$20)^(B10-'Datos del modelo'!$F$18))*'Datos del modelo'!$F$22)</f>
        <v>217000</v>
      </c>
      <c r="D10" s="83"/>
      <c r="E10" s="80">
        <f>'Datos del modelo'!$F$18</f>
        <v>2022</v>
      </c>
      <c r="F10" s="81">
        <f>IF('Datos del modelo'!H$45=3,(('Datos del modelo'!$F$19*(1+'Datos del modelo'!$F$20)^(E10-'Datos del modelo'!$F$18))*'Datos del modelo'!$F$21+('Datos del modelo'!$F$19*(1+'Datos del modelo'!$F$20)^(E10-'Datos del modelo'!$F$18))*'Datos del modelo'!$F$22+('Datos del modelo'!$F$19*(1+'Datos del modelo'!$F$20)^(E10-'Datos del modelo'!$F$18))*'Datos del modelo'!$F$23),('Datos del modelo'!$F$19*(1+'Datos del modelo'!$F$20)^(E10-'Datos del modelo'!$F$18))*'Datos del modelo'!$F$21+('Datos del modelo'!$F$19*(1+'Datos del modelo'!$F$20)^(E10-'Datos del modelo'!$F$18))*'Datos del modelo'!$F$22)</f>
        <v>217000</v>
      </c>
      <c r="G10" s="83"/>
      <c r="H10" s="80">
        <f>'Datos del modelo'!$F$18</f>
        <v>2022</v>
      </c>
      <c r="I10" s="81">
        <f>IF('Datos del modelo'!L$45=3,(('Datos del modelo'!$F$19*(1+'Datos del modelo'!$F$20)^(H10-'Datos del modelo'!$F$18))*'Datos del modelo'!$F$21+('Datos del modelo'!$F$19*(1+'Datos del modelo'!$F$20)^(H10-'Datos del modelo'!$F$18))*'Datos del modelo'!$F$22+('Datos del modelo'!$F$19*(1+'Datos del modelo'!$F$20)^(H10-'Datos del modelo'!$F$18))*'Datos del modelo'!$F$23),('Datos del modelo'!$F$19*(1+'Datos del modelo'!$F$20)^(H10-'Datos del modelo'!$F$18))*'Datos del modelo'!$F$21+('Datos del modelo'!$F$19*(1+'Datos del modelo'!$F$20)^(H10-'Datos del modelo'!$F$18))*'Datos del modelo'!$F$22)</f>
        <v>217000</v>
      </c>
      <c r="J10" s="73"/>
      <c r="K10" s="15"/>
      <c r="L10" s="80">
        <f>'Datos del modelo'!$F$18</f>
        <v>2022</v>
      </c>
      <c r="M10" s="81">
        <f>IF('Datos del modelo'!Q$45=3,(('Datos del modelo'!$F$19*(1+'Datos del modelo'!$F$20)^(L10-'Datos del modelo'!$F$18))*'Datos del modelo'!$F$21+('Datos del modelo'!$F$19*(1+'Datos del modelo'!$F$20)^(L10-'Datos del modelo'!$F$18))*'Datos del modelo'!$F$22+('Datos del modelo'!$F$19*(1+'Datos del modelo'!$F$20)^(L10-'Datos del modelo'!$F$18))*'Datos del modelo'!$F$23),('Datos del modelo'!$F$19*(1+'Datos del modelo'!$F$20)^(L10-'Datos del modelo'!$F$18))*'Datos del modelo'!$F$21+('Datos del modelo'!$F$19*(1+'Datos del modelo'!$F$20)^(L10-'Datos del modelo'!$F$18))*'Datos del modelo'!$F$22)</f>
        <v>217000</v>
      </c>
      <c r="N10" s="83"/>
      <c r="O10" s="80">
        <f>'Datos del modelo'!$F$18</f>
        <v>2022</v>
      </c>
      <c r="P10" s="81">
        <f>IF('Datos del modelo'!U$45=3,(('Datos del modelo'!$F$19*(1+'Datos del modelo'!$F$20)^(O10-'Datos del modelo'!$F$18))*'Datos del modelo'!$F$21+('Datos del modelo'!$F$19*(1+'Datos del modelo'!$F$20)^(O10-'Datos del modelo'!$F$18))*'Datos del modelo'!$F$22+('Datos del modelo'!$F$19*(1+'Datos del modelo'!$F$20)^(O10-'Datos del modelo'!$F$18))*'Datos del modelo'!$F$23),('Datos del modelo'!$F$19*(1+'Datos del modelo'!$F$20)^(O10-'Datos del modelo'!$F$18))*'Datos del modelo'!$F$21+('Datos del modelo'!$F$19*(1+'Datos del modelo'!$F$20)^(O10-'Datos del modelo'!$F$18))*'Datos del modelo'!$F$22)</f>
        <v>217000</v>
      </c>
      <c r="Q10" s="83"/>
      <c r="R10" s="80">
        <f>'Datos del modelo'!$F$18</f>
        <v>2022</v>
      </c>
      <c r="S10" s="81">
        <f>IF('Datos del modelo'!Y$45=3,(('Datos del modelo'!$F$19*(1+'Datos del modelo'!$F$20)^(R10-'Datos del modelo'!$F$18))*'Datos del modelo'!$F$21+('Datos del modelo'!$F$19*(1+'Datos del modelo'!$F$20)^(R10-'Datos del modelo'!$F$18))*'Datos del modelo'!$F$22+('Datos del modelo'!$F$19*(1+'Datos del modelo'!$F$20)^(R10-'Datos del modelo'!$F$18))*'Datos del modelo'!$F$23),('Datos del modelo'!$F$19*(1+'Datos del modelo'!$F$20)^(R10-'Datos del modelo'!$F$18))*'Datos del modelo'!$F$21+('Datos del modelo'!$F$19*(1+'Datos del modelo'!$F$20)^(R10-'Datos del modelo'!$F$18))*'Datos del modelo'!$F$22)</f>
        <v>217000</v>
      </c>
    </row>
    <row r="11" spans="1:19" ht="15.5" outlineLevel="1" x14ac:dyDescent="0.35">
      <c r="A11" s="15"/>
      <c r="B11" s="80">
        <f>'Datos del modelo'!$F$18+1</f>
        <v>2023</v>
      </c>
      <c r="C11" s="81">
        <f>IF('Datos del modelo'!D$45=3,(('Datos del modelo'!$F$19*(1+'Datos del modelo'!$F$20)^(B11-'Datos del modelo'!$F$18))*'Datos del modelo'!$F$21+('Datos del modelo'!$F$19*(1+'Datos del modelo'!$F$20)^(B11-'Datos del modelo'!$F$18))*'Datos del modelo'!$F$22+('Datos del modelo'!$F$19*(1+'Datos del modelo'!$F$20)^(B11-'Datos del modelo'!$F$18))*'Datos del modelo'!$F$23),('Datos del modelo'!$F$19*(1+'Datos del modelo'!$F$20)^(B11-'Datos del modelo'!$F$18))*'Datos del modelo'!$F$21+('Datos del modelo'!$F$19*(1+'Datos del modelo'!$F$20)^(B11-'Datos del modelo'!$F$18))*'Datos del modelo'!$F$22)</f>
        <v>223510</v>
      </c>
      <c r="D11" s="83"/>
      <c r="E11" s="80">
        <f>'Datos del modelo'!$F$18+1</f>
        <v>2023</v>
      </c>
      <c r="F11" s="81">
        <f>IF('Datos del modelo'!H$45=3,(('Datos del modelo'!$F$19*(1+'Datos del modelo'!$F$20)^(E11-'Datos del modelo'!$F$18))*'Datos del modelo'!$F$21+('Datos del modelo'!$F$19*(1+'Datos del modelo'!$F$20)^(E11-'Datos del modelo'!$F$18))*'Datos del modelo'!$F$22+('Datos del modelo'!$F$19*(1+'Datos del modelo'!$F$20)^(E11-'Datos del modelo'!$F$18))*'Datos del modelo'!$F$23),('Datos del modelo'!$F$19*(1+'Datos del modelo'!$F$20)^(E11-'Datos del modelo'!$F$18))*'Datos del modelo'!$F$21+('Datos del modelo'!$F$19*(1+'Datos del modelo'!$F$20)^(E11-'Datos del modelo'!$F$18))*'Datos del modelo'!$F$22)</f>
        <v>223510</v>
      </c>
      <c r="G11" s="83"/>
      <c r="H11" s="80">
        <f>'Datos del modelo'!$F$18+1</f>
        <v>2023</v>
      </c>
      <c r="I11" s="81">
        <f>IF('Datos del modelo'!L$45=3,(('Datos del modelo'!$F$19*(1+'Datos del modelo'!$F$20)^(H11-'Datos del modelo'!$F$18))*'Datos del modelo'!$F$21+('Datos del modelo'!$F$19*(1+'Datos del modelo'!$F$20)^(H11-'Datos del modelo'!$F$18))*'Datos del modelo'!$F$22+('Datos del modelo'!$F$19*(1+'Datos del modelo'!$F$20)^(H11-'Datos del modelo'!$F$18))*'Datos del modelo'!$F$23),('Datos del modelo'!$F$19*(1+'Datos del modelo'!$F$20)^(H11-'Datos del modelo'!$F$18))*'Datos del modelo'!$F$21+('Datos del modelo'!$F$19*(1+'Datos del modelo'!$F$20)^(H11-'Datos del modelo'!$F$18))*'Datos del modelo'!$F$22)</f>
        <v>223510</v>
      </c>
      <c r="J11" s="73"/>
      <c r="K11" s="15"/>
      <c r="L11" s="80">
        <f>'Datos del modelo'!$F$18+1</f>
        <v>2023</v>
      </c>
      <c r="M11" s="81">
        <f>IF('Datos del modelo'!Q$45=3,(('Datos del modelo'!$F$19*(1+'Datos del modelo'!$F$20)^(L11-'Datos del modelo'!$F$18))*'Datos del modelo'!$F$21+('Datos del modelo'!$F$19*(1+'Datos del modelo'!$F$20)^(L11-'Datos del modelo'!$F$18))*'Datos del modelo'!$F$22+('Datos del modelo'!$F$19*(1+'Datos del modelo'!$F$20)^(L11-'Datos del modelo'!$F$18))*'Datos del modelo'!$F$23),('Datos del modelo'!$F$19*(1+'Datos del modelo'!$F$20)^(L11-'Datos del modelo'!$F$18))*'Datos del modelo'!$F$21+('Datos del modelo'!$F$19*(1+'Datos del modelo'!$F$20)^(L11-'Datos del modelo'!$F$18))*'Datos del modelo'!$F$22)</f>
        <v>223510</v>
      </c>
      <c r="N11" s="83"/>
      <c r="O11" s="80">
        <f>'Datos del modelo'!$F$18+1</f>
        <v>2023</v>
      </c>
      <c r="P11" s="81">
        <f>IF('Datos del modelo'!U$45=3,(('Datos del modelo'!$F$19*(1+'Datos del modelo'!$F$20)^(O11-'Datos del modelo'!$F$18))*'Datos del modelo'!$F$21+('Datos del modelo'!$F$19*(1+'Datos del modelo'!$F$20)^(O11-'Datos del modelo'!$F$18))*'Datos del modelo'!$F$22+('Datos del modelo'!$F$19*(1+'Datos del modelo'!$F$20)^(O11-'Datos del modelo'!$F$18))*'Datos del modelo'!$F$23),('Datos del modelo'!$F$19*(1+'Datos del modelo'!$F$20)^(O11-'Datos del modelo'!$F$18))*'Datos del modelo'!$F$21+('Datos del modelo'!$F$19*(1+'Datos del modelo'!$F$20)^(O11-'Datos del modelo'!$F$18))*'Datos del modelo'!$F$22)</f>
        <v>223510</v>
      </c>
      <c r="Q11" s="83"/>
      <c r="R11" s="80">
        <f>'Datos del modelo'!$F$18+1</f>
        <v>2023</v>
      </c>
      <c r="S11" s="81">
        <f>IF('Datos del modelo'!Y$45=3,(('Datos del modelo'!$F$19*(1+'Datos del modelo'!$F$20)^(R11-'Datos del modelo'!$F$18))*'Datos del modelo'!$F$21+('Datos del modelo'!$F$19*(1+'Datos del modelo'!$F$20)^(R11-'Datos del modelo'!$F$18))*'Datos del modelo'!$F$22+('Datos del modelo'!$F$19*(1+'Datos del modelo'!$F$20)^(R11-'Datos del modelo'!$F$18))*'Datos del modelo'!$F$23),('Datos del modelo'!$F$19*(1+'Datos del modelo'!$F$20)^(R11-'Datos del modelo'!$F$18))*'Datos del modelo'!$F$21+('Datos del modelo'!$F$19*(1+'Datos del modelo'!$F$20)^(R11-'Datos del modelo'!$F$18))*'Datos del modelo'!$F$22)</f>
        <v>223510</v>
      </c>
    </row>
    <row r="12" spans="1:19" ht="15.5" outlineLevel="1" x14ac:dyDescent="0.35">
      <c r="A12" s="15"/>
      <c r="B12" s="80">
        <f>'Datos del modelo'!$F$18+2</f>
        <v>2024</v>
      </c>
      <c r="C12" s="81">
        <f>IF('Datos del modelo'!D$45=3,(('Datos del modelo'!$F$19*(1+'Datos del modelo'!$F$20)^(B12-'Datos del modelo'!$F$18))*'Datos del modelo'!$F$21+('Datos del modelo'!$F$19*(1+'Datos del modelo'!$F$20)^(B12-'Datos del modelo'!$F$18))*'Datos del modelo'!$F$22+('Datos del modelo'!$F$19*(1+'Datos del modelo'!$F$20)^(B12-'Datos del modelo'!$F$18))*'Datos del modelo'!$F$23),('Datos del modelo'!$F$19*(1+'Datos del modelo'!$F$20)^(B12-'Datos del modelo'!$F$18))*'Datos del modelo'!$F$21+('Datos del modelo'!$F$19*(1+'Datos del modelo'!$F$20)^(B12-'Datos del modelo'!$F$18))*'Datos del modelo'!$F$22)</f>
        <v>230215.3</v>
      </c>
      <c r="D12" s="83"/>
      <c r="E12" s="80">
        <f>'Datos del modelo'!$F$18+2</f>
        <v>2024</v>
      </c>
      <c r="F12" s="81">
        <f>IF('Datos del modelo'!H$45=3,(('Datos del modelo'!$F$19*(1+'Datos del modelo'!$F$20)^(E12-'Datos del modelo'!$F$18))*'Datos del modelo'!$F$21+('Datos del modelo'!$F$19*(1+'Datos del modelo'!$F$20)^(E12-'Datos del modelo'!$F$18))*'Datos del modelo'!$F$22+('Datos del modelo'!$F$19*(1+'Datos del modelo'!$F$20)^(E12-'Datos del modelo'!$F$18))*'Datos del modelo'!$F$23),('Datos del modelo'!$F$19*(1+'Datos del modelo'!$F$20)^(E12-'Datos del modelo'!$F$18))*'Datos del modelo'!$F$21+('Datos del modelo'!$F$19*(1+'Datos del modelo'!$F$20)^(E12-'Datos del modelo'!$F$18))*'Datos del modelo'!$F$22)</f>
        <v>230215.3</v>
      </c>
      <c r="G12" s="83"/>
      <c r="H12" s="80">
        <f>'Datos del modelo'!$F$18+2</f>
        <v>2024</v>
      </c>
      <c r="I12" s="81">
        <f>IF('Datos del modelo'!L$45=3,(('Datos del modelo'!$F$19*(1+'Datos del modelo'!$F$20)^(H12-'Datos del modelo'!$F$18))*'Datos del modelo'!$F$21+('Datos del modelo'!$F$19*(1+'Datos del modelo'!$F$20)^(H12-'Datos del modelo'!$F$18))*'Datos del modelo'!$F$22+('Datos del modelo'!$F$19*(1+'Datos del modelo'!$F$20)^(H12-'Datos del modelo'!$F$18))*'Datos del modelo'!$F$23),('Datos del modelo'!$F$19*(1+'Datos del modelo'!$F$20)^(H12-'Datos del modelo'!$F$18))*'Datos del modelo'!$F$21+('Datos del modelo'!$F$19*(1+'Datos del modelo'!$F$20)^(H12-'Datos del modelo'!$F$18))*'Datos del modelo'!$F$22)</f>
        <v>230215.3</v>
      </c>
      <c r="J12" s="73"/>
      <c r="K12" s="15"/>
      <c r="L12" s="80">
        <f>'Datos del modelo'!$F$18+2</f>
        <v>2024</v>
      </c>
      <c r="M12" s="81">
        <f>IF('Datos del modelo'!Q$45=3,(('Datos del modelo'!$F$19*(1+'Datos del modelo'!$F$20)^(L12-'Datos del modelo'!$F$18))*'Datos del modelo'!$F$21+('Datos del modelo'!$F$19*(1+'Datos del modelo'!$F$20)^(L12-'Datos del modelo'!$F$18))*'Datos del modelo'!$F$22+('Datos del modelo'!$F$19*(1+'Datos del modelo'!$F$20)^(L12-'Datos del modelo'!$F$18))*'Datos del modelo'!$F$23),('Datos del modelo'!$F$19*(1+'Datos del modelo'!$F$20)^(L12-'Datos del modelo'!$F$18))*'Datos del modelo'!$F$21+('Datos del modelo'!$F$19*(1+'Datos del modelo'!$F$20)^(L12-'Datos del modelo'!$F$18))*'Datos del modelo'!$F$22)</f>
        <v>230215.3</v>
      </c>
      <c r="N12" s="83"/>
      <c r="O12" s="80">
        <f>'Datos del modelo'!$F$18+2</f>
        <v>2024</v>
      </c>
      <c r="P12" s="81">
        <f>IF('Datos del modelo'!U$45=3,(('Datos del modelo'!$F$19*(1+'Datos del modelo'!$F$20)^(O12-'Datos del modelo'!$F$18))*'Datos del modelo'!$F$21+('Datos del modelo'!$F$19*(1+'Datos del modelo'!$F$20)^(O12-'Datos del modelo'!$F$18))*'Datos del modelo'!$F$22+('Datos del modelo'!$F$19*(1+'Datos del modelo'!$F$20)^(O12-'Datos del modelo'!$F$18))*'Datos del modelo'!$F$23),('Datos del modelo'!$F$19*(1+'Datos del modelo'!$F$20)^(O12-'Datos del modelo'!$F$18))*'Datos del modelo'!$F$21+('Datos del modelo'!$F$19*(1+'Datos del modelo'!$F$20)^(O12-'Datos del modelo'!$F$18))*'Datos del modelo'!$F$22)</f>
        <v>230215.3</v>
      </c>
      <c r="Q12" s="83"/>
      <c r="R12" s="80">
        <f>'Datos del modelo'!$F$18+2</f>
        <v>2024</v>
      </c>
      <c r="S12" s="81">
        <f>IF('Datos del modelo'!Y$45=3,(('Datos del modelo'!$F$19*(1+'Datos del modelo'!$F$20)^(R12-'Datos del modelo'!$F$18))*'Datos del modelo'!$F$21+('Datos del modelo'!$F$19*(1+'Datos del modelo'!$F$20)^(R12-'Datos del modelo'!$F$18))*'Datos del modelo'!$F$22+('Datos del modelo'!$F$19*(1+'Datos del modelo'!$F$20)^(R12-'Datos del modelo'!$F$18))*'Datos del modelo'!$F$23),('Datos del modelo'!$F$19*(1+'Datos del modelo'!$F$20)^(R12-'Datos del modelo'!$F$18))*'Datos del modelo'!$F$21+('Datos del modelo'!$F$19*(1+'Datos del modelo'!$F$20)^(R12-'Datos del modelo'!$F$18))*'Datos del modelo'!$F$22)</f>
        <v>230215.3</v>
      </c>
    </row>
    <row r="13" spans="1:19" ht="15.5" outlineLevel="1" x14ac:dyDescent="0.35">
      <c r="A13" s="15"/>
      <c r="B13" s="80">
        <f>'Datos del modelo'!$F$18+3</f>
        <v>2025</v>
      </c>
      <c r="C13" s="81">
        <f>IF('Datos del modelo'!D$45=3,(('Datos del modelo'!$F$19*(1+'Datos del modelo'!$F$20)^(B13-'Datos del modelo'!$F$18))*'Datos del modelo'!$F$21+('Datos del modelo'!$F$19*(1+'Datos del modelo'!$F$20)^(B13-'Datos del modelo'!$F$18))*'Datos del modelo'!$F$22+('Datos del modelo'!$F$19*(1+'Datos del modelo'!$F$20)^(B13-'Datos del modelo'!$F$18))*'Datos del modelo'!$F$23),('Datos del modelo'!$F$19*(1+'Datos del modelo'!$F$20)^(B13-'Datos del modelo'!$F$18))*'Datos del modelo'!$F$21+('Datos del modelo'!$F$19*(1+'Datos del modelo'!$F$20)^(B13-'Datos del modelo'!$F$18))*'Datos del modelo'!$F$22)</f>
        <v>237121.75900000002</v>
      </c>
      <c r="D13" s="83"/>
      <c r="E13" s="80">
        <f>'Datos del modelo'!$F$18+3</f>
        <v>2025</v>
      </c>
      <c r="F13" s="81">
        <f>IF('Datos del modelo'!H$45=3,(('Datos del modelo'!$F$19*(1+'Datos del modelo'!$F$20)^(E13-'Datos del modelo'!$F$18))*'Datos del modelo'!$F$21+('Datos del modelo'!$F$19*(1+'Datos del modelo'!$F$20)^(E13-'Datos del modelo'!$F$18))*'Datos del modelo'!$F$22+('Datos del modelo'!$F$19*(1+'Datos del modelo'!$F$20)^(E13-'Datos del modelo'!$F$18))*'Datos del modelo'!$F$23),('Datos del modelo'!$F$19*(1+'Datos del modelo'!$F$20)^(E13-'Datos del modelo'!$F$18))*'Datos del modelo'!$F$21+('Datos del modelo'!$F$19*(1+'Datos del modelo'!$F$20)^(E13-'Datos del modelo'!$F$18))*'Datos del modelo'!$F$22)</f>
        <v>237121.75900000002</v>
      </c>
      <c r="G13" s="82"/>
      <c r="H13" s="80">
        <f>'Datos del modelo'!$F$18+3</f>
        <v>2025</v>
      </c>
      <c r="I13" s="81">
        <f>IF('Datos del modelo'!L$45=3,(('Datos del modelo'!$F$19*(1+'Datos del modelo'!$F$20)^(H13-'Datos del modelo'!$F$18))*'Datos del modelo'!$F$21+('Datos del modelo'!$F$19*(1+'Datos del modelo'!$F$20)^(H13-'Datos del modelo'!$F$18))*'Datos del modelo'!$F$22+('Datos del modelo'!$F$19*(1+'Datos del modelo'!$F$20)^(H13-'Datos del modelo'!$F$18))*'Datos del modelo'!$F$23),('Datos del modelo'!$F$19*(1+'Datos del modelo'!$F$20)^(H13-'Datos del modelo'!$F$18))*'Datos del modelo'!$F$21+('Datos del modelo'!$F$19*(1+'Datos del modelo'!$F$20)^(H13-'Datos del modelo'!$F$18))*'Datos del modelo'!$F$22)</f>
        <v>237121.75900000002</v>
      </c>
      <c r="J13" s="73"/>
      <c r="K13" s="15"/>
      <c r="L13" s="80">
        <f>'Datos del modelo'!$F$18+3</f>
        <v>2025</v>
      </c>
      <c r="M13" s="81">
        <f>IF('Datos del modelo'!Q$45=3,(('Datos del modelo'!$F$19*(1+'Datos del modelo'!$F$20)^(L13-'Datos del modelo'!$F$18))*'Datos del modelo'!$F$21+('Datos del modelo'!$F$19*(1+'Datos del modelo'!$F$20)^(L13-'Datos del modelo'!$F$18))*'Datos del modelo'!$F$22+('Datos del modelo'!$F$19*(1+'Datos del modelo'!$F$20)^(L13-'Datos del modelo'!$F$18))*'Datos del modelo'!$F$23),('Datos del modelo'!$F$19*(1+'Datos del modelo'!$F$20)^(L13-'Datos del modelo'!$F$18))*'Datos del modelo'!$F$21+('Datos del modelo'!$F$19*(1+'Datos del modelo'!$F$20)^(L13-'Datos del modelo'!$F$18))*'Datos del modelo'!$F$22)</f>
        <v>237121.75900000002</v>
      </c>
      <c r="N13" s="83"/>
      <c r="O13" s="80">
        <f>'Datos del modelo'!$F$18+3</f>
        <v>2025</v>
      </c>
      <c r="P13" s="81">
        <f>IF('Datos del modelo'!U$45=3,(('Datos del modelo'!$F$19*(1+'Datos del modelo'!$F$20)^(O13-'Datos del modelo'!$F$18))*'Datos del modelo'!$F$21+('Datos del modelo'!$F$19*(1+'Datos del modelo'!$F$20)^(O13-'Datos del modelo'!$F$18))*'Datos del modelo'!$F$22+('Datos del modelo'!$F$19*(1+'Datos del modelo'!$F$20)^(O13-'Datos del modelo'!$F$18))*'Datos del modelo'!$F$23),('Datos del modelo'!$F$19*(1+'Datos del modelo'!$F$20)^(O13-'Datos del modelo'!$F$18))*'Datos del modelo'!$F$21+('Datos del modelo'!$F$19*(1+'Datos del modelo'!$F$20)^(O13-'Datos del modelo'!$F$18))*'Datos del modelo'!$F$22)</f>
        <v>237121.75900000002</v>
      </c>
      <c r="Q13" s="82"/>
      <c r="R13" s="80">
        <f>'Datos del modelo'!$F$18+3</f>
        <v>2025</v>
      </c>
      <c r="S13" s="81">
        <f>IF('Datos del modelo'!Y$45=3,(('Datos del modelo'!$F$19*(1+'Datos del modelo'!$F$20)^(R13-'Datos del modelo'!$F$18))*'Datos del modelo'!$F$21+('Datos del modelo'!$F$19*(1+'Datos del modelo'!$F$20)^(R13-'Datos del modelo'!$F$18))*'Datos del modelo'!$F$22+('Datos del modelo'!$F$19*(1+'Datos del modelo'!$F$20)^(R13-'Datos del modelo'!$F$18))*'Datos del modelo'!$F$23),('Datos del modelo'!$F$19*(1+'Datos del modelo'!$F$20)^(R13-'Datos del modelo'!$F$18))*'Datos del modelo'!$F$21+('Datos del modelo'!$F$19*(1+'Datos del modelo'!$F$20)^(R13-'Datos del modelo'!$F$18))*'Datos del modelo'!$F$22)</f>
        <v>237121.75900000002</v>
      </c>
    </row>
    <row r="14" spans="1:19" ht="15.5" outlineLevel="1" x14ac:dyDescent="0.35">
      <c r="A14" s="15"/>
      <c r="B14" s="80">
        <f>'Datos del modelo'!$F$18+4</f>
        <v>2026</v>
      </c>
      <c r="C14" s="81">
        <f>IF('Datos del modelo'!D$45=3,(('Datos del modelo'!$F$19*(1+'Datos del modelo'!$F$20)^(B14-'Datos del modelo'!$F$18))*'Datos del modelo'!$F$21+('Datos del modelo'!$F$19*(1+'Datos del modelo'!$F$20)^(B14-'Datos del modelo'!$F$18))*'Datos del modelo'!$F$22+('Datos del modelo'!$F$19*(1+'Datos del modelo'!$F$20)^(B14-'Datos del modelo'!$F$18))*'Datos del modelo'!$F$23),('Datos del modelo'!$F$19*(1+'Datos del modelo'!$F$20)^(B14-'Datos del modelo'!$F$18))*'Datos del modelo'!$F$21+('Datos del modelo'!$F$19*(1+'Datos del modelo'!$F$20)^(B14-'Datos del modelo'!$F$18))*'Datos del modelo'!$F$22)</f>
        <v>244235.41176999998</v>
      </c>
      <c r="D14" s="83"/>
      <c r="E14" s="80">
        <f>'Datos del modelo'!$F$18+4</f>
        <v>2026</v>
      </c>
      <c r="F14" s="81">
        <f>IF('Datos del modelo'!H$45=3,(('Datos del modelo'!$F$19*(1+'Datos del modelo'!$F$20)^(E14-'Datos del modelo'!$F$18))*'Datos del modelo'!$F$21+('Datos del modelo'!$F$19*(1+'Datos del modelo'!$F$20)^(E14-'Datos del modelo'!$F$18))*'Datos del modelo'!$F$22+('Datos del modelo'!$F$19*(1+'Datos del modelo'!$F$20)^(E14-'Datos del modelo'!$F$18))*'Datos del modelo'!$F$23),('Datos del modelo'!$F$19*(1+'Datos del modelo'!$F$20)^(E14-'Datos del modelo'!$F$18))*'Datos del modelo'!$F$21+('Datos del modelo'!$F$19*(1+'Datos del modelo'!$F$20)^(E14-'Datos del modelo'!$F$18))*'Datos del modelo'!$F$22)</f>
        <v>244235.41176999998</v>
      </c>
      <c r="G14" s="82"/>
      <c r="H14" s="80">
        <f>'Datos del modelo'!$F$18+4</f>
        <v>2026</v>
      </c>
      <c r="I14" s="81">
        <f>IF('Datos del modelo'!L$45=3,(('Datos del modelo'!$F$19*(1+'Datos del modelo'!$F$20)^(H14-'Datos del modelo'!$F$18))*'Datos del modelo'!$F$21+('Datos del modelo'!$F$19*(1+'Datos del modelo'!$F$20)^(H14-'Datos del modelo'!$F$18))*'Datos del modelo'!$F$22+('Datos del modelo'!$F$19*(1+'Datos del modelo'!$F$20)^(H14-'Datos del modelo'!$F$18))*'Datos del modelo'!$F$23),('Datos del modelo'!$F$19*(1+'Datos del modelo'!$F$20)^(H14-'Datos del modelo'!$F$18))*'Datos del modelo'!$F$21+('Datos del modelo'!$F$19*(1+'Datos del modelo'!$F$20)^(H14-'Datos del modelo'!$F$18))*'Datos del modelo'!$F$22)</f>
        <v>244235.41176999998</v>
      </c>
      <c r="J14" s="73"/>
      <c r="K14" s="15"/>
      <c r="L14" s="80">
        <f>'Datos del modelo'!$F$18+4</f>
        <v>2026</v>
      </c>
      <c r="M14" s="81">
        <f>IF('Datos del modelo'!Q$45=3,(('Datos del modelo'!$F$19*(1+'Datos del modelo'!$F$20)^(L14-'Datos del modelo'!$F$18))*'Datos del modelo'!$F$21+('Datos del modelo'!$F$19*(1+'Datos del modelo'!$F$20)^(L14-'Datos del modelo'!$F$18))*'Datos del modelo'!$F$22+('Datos del modelo'!$F$19*(1+'Datos del modelo'!$F$20)^(L14-'Datos del modelo'!$F$18))*'Datos del modelo'!$F$23),('Datos del modelo'!$F$19*(1+'Datos del modelo'!$F$20)^(L14-'Datos del modelo'!$F$18))*'Datos del modelo'!$F$21+('Datos del modelo'!$F$19*(1+'Datos del modelo'!$F$20)^(L14-'Datos del modelo'!$F$18))*'Datos del modelo'!$F$22)</f>
        <v>244235.41176999998</v>
      </c>
      <c r="N14" s="83"/>
      <c r="O14" s="80">
        <f>'Datos del modelo'!$F$18+4</f>
        <v>2026</v>
      </c>
      <c r="P14" s="81">
        <f>IF('Datos del modelo'!U$45=3,(('Datos del modelo'!$F$19*(1+'Datos del modelo'!$F$20)^(O14-'Datos del modelo'!$F$18))*'Datos del modelo'!$F$21+('Datos del modelo'!$F$19*(1+'Datos del modelo'!$F$20)^(O14-'Datos del modelo'!$F$18))*'Datos del modelo'!$F$22+('Datos del modelo'!$F$19*(1+'Datos del modelo'!$F$20)^(O14-'Datos del modelo'!$F$18))*'Datos del modelo'!$F$23),('Datos del modelo'!$F$19*(1+'Datos del modelo'!$F$20)^(O14-'Datos del modelo'!$F$18))*'Datos del modelo'!$F$21+('Datos del modelo'!$F$19*(1+'Datos del modelo'!$F$20)^(O14-'Datos del modelo'!$F$18))*'Datos del modelo'!$F$22)</f>
        <v>244235.41176999998</v>
      </c>
      <c r="Q14" s="82"/>
      <c r="R14" s="80">
        <f>'Datos del modelo'!$F$18+4</f>
        <v>2026</v>
      </c>
      <c r="S14" s="81">
        <f>IF('Datos del modelo'!Y$45=3,(('Datos del modelo'!$F$19*(1+'Datos del modelo'!$F$20)^(R14-'Datos del modelo'!$F$18))*'Datos del modelo'!$F$21+('Datos del modelo'!$F$19*(1+'Datos del modelo'!$F$20)^(R14-'Datos del modelo'!$F$18))*'Datos del modelo'!$F$22+('Datos del modelo'!$F$19*(1+'Datos del modelo'!$F$20)^(R14-'Datos del modelo'!$F$18))*'Datos del modelo'!$F$23),('Datos del modelo'!$F$19*(1+'Datos del modelo'!$F$20)^(R14-'Datos del modelo'!$F$18))*'Datos del modelo'!$F$21+('Datos del modelo'!$F$19*(1+'Datos del modelo'!$F$20)^(R14-'Datos del modelo'!$F$18))*'Datos del modelo'!$F$22)</f>
        <v>244235.41176999998</v>
      </c>
    </row>
    <row r="15" spans="1:19" ht="15.5" outlineLevel="1" x14ac:dyDescent="0.35">
      <c r="A15" s="15"/>
      <c r="B15" s="80">
        <f>'Datos del modelo'!$F$18+5</f>
        <v>2027</v>
      </c>
      <c r="C15" s="81">
        <f>IF('Datos del modelo'!D$45=3,(('Datos del modelo'!$F$19*(1+'Datos del modelo'!$F$20)^(B15-'Datos del modelo'!$F$18))*'Datos del modelo'!$F$21+('Datos del modelo'!$F$19*(1+'Datos del modelo'!$F$20)^(B15-'Datos del modelo'!$F$18))*'Datos del modelo'!$F$22+('Datos del modelo'!$F$19*(1+'Datos del modelo'!$F$20)^(B15-'Datos del modelo'!$F$18))*'Datos del modelo'!$F$23),('Datos del modelo'!$F$19*(1+'Datos del modelo'!$F$20)^(B15-'Datos del modelo'!$F$18))*'Datos del modelo'!$F$21+('Datos del modelo'!$F$19*(1+'Datos del modelo'!$F$20)^(B15-'Datos del modelo'!$F$18))*'Datos del modelo'!$F$22)</f>
        <v>251562.47412309996</v>
      </c>
      <c r="D15" s="83"/>
      <c r="E15" s="80">
        <f>'Datos del modelo'!$F$18+5</f>
        <v>2027</v>
      </c>
      <c r="F15" s="81">
        <f>IF('Datos del modelo'!H$45=3,(('Datos del modelo'!$F$19*(1+'Datos del modelo'!$F$20)^(E15-'Datos del modelo'!$F$18))*'Datos del modelo'!$F$21+('Datos del modelo'!$F$19*(1+'Datos del modelo'!$F$20)^(E15-'Datos del modelo'!$F$18))*'Datos del modelo'!$F$22+('Datos del modelo'!$F$19*(1+'Datos del modelo'!$F$20)^(E15-'Datos del modelo'!$F$18))*'Datos del modelo'!$F$23),('Datos del modelo'!$F$19*(1+'Datos del modelo'!$F$20)^(E15-'Datos del modelo'!$F$18))*'Datos del modelo'!$F$21+('Datos del modelo'!$F$19*(1+'Datos del modelo'!$F$20)^(E15-'Datos del modelo'!$F$18))*'Datos del modelo'!$F$22)</f>
        <v>251562.47412309996</v>
      </c>
      <c r="G15" s="82"/>
      <c r="H15" s="80">
        <f>'Datos del modelo'!$F$18+5</f>
        <v>2027</v>
      </c>
      <c r="I15" s="81">
        <f>IF('Datos del modelo'!L$45=3,(('Datos del modelo'!$F$19*(1+'Datos del modelo'!$F$20)^(H15-'Datos del modelo'!$F$18))*'Datos del modelo'!$F$21+('Datos del modelo'!$F$19*(1+'Datos del modelo'!$F$20)^(H15-'Datos del modelo'!$F$18))*'Datos del modelo'!$F$22+('Datos del modelo'!$F$19*(1+'Datos del modelo'!$F$20)^(H15-'Datos del modelo'!$F$18))*'Datos del modelo'!$F$23),('Datos del modelo'!$F$19*(1+'Datos del modelo'!$F$20)^(H15-'Datos del modelo'!$F$18))*'Datos del modelo'!$F$21+('Datos del modelo'!$F$19*(1+'Datos del modelo'!$F$20)^(H15-'Datos del modelo'!$F$18))*'Datos del modelo'!$F$22)</f>
        <v>251562.47412309996</v>
      </c>
      <c r="J15" s="73"/>
      <c r="K15" s="15"/>
      <c r="L15" s="80">
        <f>'Datos del modelo'!$F$18+5</f>
        <v>2027</v>
      </c>
      <c r="M15" s="81">
        <f>IF('Datos del modelo'!Q$45=3,(('Datos del modelo'!$F$19*(1+'Datos del modelo'!$F$20)^(L15-'Datos del modelo'!$F$18))*'Datos del modelo'!$F$21+('Datos del modelo'!$F$19*(1+'Datos del modelo'!$F$20)^(L15-'Datos del modelo'!$F$18))*'Datos del modelo'!$F$22+('Datos del modelo'!$F$19*(1+'Datos del modelo'!$F$20)^(L15-'Datos del modelo'!$F$18))*'Datos del modelo'!$F$23),('Datos del modelo'!$F$19*(1+'Datos del modelo'!$F$20)^(L15-'Datos del modelo'!$F$18))*'Datos del modelo'!$F$21+('Datos del modelo'!$F$19*(1+'Datos del modelo'!$F$20)^(L15-'Datos del modelo'!$F$18))*'Datos del modelo'!$F$22)</f>
        <v>251562.47412309996</v>
      </c>
      <c r="N15" s="83"/>
      <c r="O15" s="80">
        <f>'Datos del modelo'!$F$18+5</f>
        <v>2027</v>
      </c>
      <c r="P15" s="81">
        <f>IF('Datos del modelo'!U$45=3,(('Datos del modelo'!$F$19*(1+'Datos del modelo'!$F$20)^(O15-'Datos del modelo'!$F$18))*'Datos del modelo'!$F$21+('Datos del modelo'!$F$19*(1+'Datos del modelo'!$F$20)^(O15-'Datos del modelo'!$F$18))*'Datos del modelo'!$F$22+('Datos del modelo'!$F$19*(1+'Datos del modelo'!$F$20)^(O15-'Datos del modelo'!$F$18))*'Datos del modelo'!$F$23),('Datos del modelo'!$F$19*(1+'Datos del modelo'!$F$20)^(O15-'Datos del modelo'!$F$18))*'Datos del modelo'!$F$21+('Datos del modelo'!$F$19*(1+'Datos del modelo'!$F$20)^(O15-'Datos del modelo'!$F$18))*'Datos del modelo'!$F$22)</f>
        <v>251562.47412309996</v>
      </c>
      <c r="Q15" s="82"/>
      <c r="R15" s="80">
        <f>'Datos del modelo'!$F$18+5</f>
        <v>2027</v>
      </c>
      <c r="S15" s="81">
        <f>IF('Datos del modelo'!Y$45=3,(('Datos del modelo'!$F$19*(1+'Datos del modelo'!$F$20)^(R15-'Datos del modelo'!$F$18))*'Datos del modelo'!$F$21+('Datos del modelo'!$F$19*(1+'Datos del modelo'!$F$20)^(R15-'Datos del modelo'!$F$18))*'Datos del modelo'!$F$22+('Datos del modelo'!$F$19*(1+'Datos del modelo'!$F$20)^(R15-'Datos del modelo'!$F$18))*'Datos del modelo'!$F$23),('Datos del modelo'!$F$19*(1+'Datos del modelo'!$F$20)^(R15-'Datos del modelo'!$F$18))*'Datos del modelo'!$F$21+('Datos del modelo'!$F$19*(1+'Datos del modelo'!$F$20)^(R15-'Datos del modelo'!$F$18))*'Datos del modelo'!$F$22)</f>
        <v>251562.47412309996</v>
      </c>
    </row>
    <row r="16" spans="1:19" ht="15.5" outlineLevel="1" x14ac:dyDescent="0.35">
      <c r="A16" s="15"/>
      <c r="B16" s="80">
        <f>'Datos del modelo'!$F$18+6</f>
        <v>2028</v>
      </c>
      <c r="C16" s="81">
        <f>IF('Datos del modelo'!D$45=3,(('Datos del modelo'!$F$19*(1+'Datos del modelo'!$F$20)^(B16-'Datos del modelo'!$F$18))*'Datos del modelo'!$F$21+('Datos del modelo'!$F$19*(1+'Datos del modelo'!$F$20)^(B16-'Datos del modelo'!$F$18))*'Datos del modelo'!$F$22+('Datos del modelo'!$F$19*(1+'Datos del modelo'!$F$20)^(B16-'Datos del modelo'!$F$18))*'Datos del modelo'!$F$23),('Datos del modelo'!$F$19*(1+'Datos del modelo'!$F$20)^(B16-'Datos del modelo'!$F$18))*'Datos del modelo'!$F$21+('Datos del modelo'!$F$19*(1+'Datos del modelo'!$F$20)^(B16-'Datos del modelo'!$F$18))*'Datos del modelo'!$F$22)</f>
        <v>259109.34834679295</v>
      </c>
      <c r="D16" s="83"/>
      <c r="E16" s="80">
        <f>'Datos del modelo'!$F$18+6</f>
        <v>2028</v>
      </c>
      <c r="F16" s="81">
        <f>IF('Datos del modelo'!H$45=3,(('Datos del modelo'!$F$19*(1+'Datos del modelo'!$F$20)^(E16-'Datos del modelo'!$F$18))*'Datos del modelo'!$F$21+('Datos del modelo'!$F$19*(1+'Datos del modelo'!$F$20)^(E16-'Datos del modelo'!$F$18))*'Datos del modelo'!$F$22+('Datos del modelo'!$F$19*(1+'Datos del modelo'!$F$20)^(E16-'Datos del modelo'!$F$18))*'Datos del modelo'!$F$23),('Datos del modelo'!$F$19*(1+'Datos del modelo'!$F$20)^(E16-'Datos del modelo'!$F$18))*'Datos del modelo'!$F$21+('Datos del modelo'!$F$19*(1+'Datos del modelo'!$F$20)^(E16-'Datos del modelo'!$F$18))*'Datos del modelo'!$F$22)</f>
        <v>259109.34834679295</v>
      </c>
      <c r="G16" s="82"/>
      <c r="H16" s="80">
        <f>'Datos del modelo'!$F$18+6</f>
        <v>2028</v>
      </c>
      <c r="I16" s="81">
        <f>IF('Datos del modelo'!L$45=3,(('Datos del modelo'!$F$19*(1+'Datos del modelo'!$F$20)^(H16-'Datos del modelo'!$F$18))*'Datos del modelo'!$F$21+('Datos del modelo'!$F$19*(1+'Datos del modelo'!$F$20)^(H16-'Datos del modelo'!$F$18))*'Datos del modelo'!$F$22+('Datos del modelo'!$F$19*(1+'Datos del modelo'!$F$20)^(H16-'Datos del modelo'!$F$18))*'Datos del modelo'!$F$23),('Datos del modelo'!$F$19*(1+'Datos del modelo'!$F$20)^(H16-'Datos del modelo'!$F$18))*'Datos del modelo'!$F$21+('Datos del modelo'!$F$19*(1+'Datos del modelo'!$F$20)^(H16-'Datos del modelo'!$F$18))*'Datos del modelo'!$F$22)</f>
        <v>259109.34834679295</v>
      </c>
      <c r="J16" s="73"/>
      <c r="K16" s="15"/>
      <c r="L16" s="80">
        <f>'Datos del modelo'!$F$18+6</f>
        <v>2028</v>
      </c>
      <c r="M16" s="81">
        <f>IF('Datos del modelo'!Q$45=3,(('Datos del modelo'!$F$19*(1+'Datos del modelo'!$F$20)^(L16-'Datos del modelo'!$F$18))*'Datos del modelo'!$F$21+('Datos del modelo'!$F$19*(1+'Datos del modelo'!$F$20)^(L16-'Datos del modelo'!$F$18))*'Datos del modelo'!$F$22+('Datos del modelo'!$F$19*(1+'Datos del modelo'!$F$20)^(L16-'Datos del modelo'!$F$18))*'Datos del modelo'!$F$23),('Datos del modelo'!$F$19*(1+'Datos del modelo'!$F$20)^(L16-'Datos del modelo'!$F$18))*'Datos del modelo'!$F$21+('Datos del modelo'!$F$19*(1+'Datos del modelo'!$F$20)^(L16-'Datos del modelo'!$F$18))*'Datos del modelo'!$F$22)</f>
        <v>259109.34834679295</v>
      </c>
      <c r="N16" s="83"/>
      <c r="O16" s="80">
        <f>'Datos del modelo'!$F$18+6</f>
        <v>2028</v>
      </c>
      <c r="P16" s="81">
        <f>IF('Datos del modelo'!U$45=3,(('Datos del modelo'!$F$19*(1+'Datos del modelo'!$F$20)^(O16-'Datos del modelo'!$F$18))*'Datos del modelo'!$F$21+('Datos del modelo'!$F$19*(1+'Datos del modelo'!$F$20)^(O16-'Datos del modelo'!$F$18))*'Datos del modelo'!$F$22+('Datos del modelo'!$F$19*(1+'Datos del modelo'!$F$20)^(O16-'Datos del modelo'!$F$18))*'Datos del modelo'!$F$23),('Datos del modelo'!$F$19*(1+'Datos del modelo'!$F$20)^(O16-'Datos del modelo'!$F$18))*'Datos del modelo'!$F$21+('Datos del modelo'!$F$19*(1+'Datos del modelo'!$F$20)^(O16-'Datos del modelo'!$F$18))*'Datos del modelo'!$F$22)</f>
        <v>259109.34834679295</v>
      </c>
      <c r="Q16" s="82"/>
      <c r="R16" s="80">
        <f>'Datos del modelo'!$F$18+6</f>
        <v>2028</v>
      </c>
      <c r="S16" s="81">
        <f>IF('Datos del modelo'!Y$45=3,(('Datos del modelo'!$F$19*(1+'Datos del modelo'!$F$20)^(R16-'Datos del modelo'!$F$18))*'Datos del modelo'!$F$21+('Datos del modelo'!$F$19*(1+'Datos del modelo'!$F$20)^(R16-'Datos del modelo'!$F$18))*'Datos del modelo'!$F$22+('Datos del modelo'!$F$19*(1+'Datos del modelo'!$F$20)^(R16-'Datos del modelo'!$F$18))*'Datos del modelo'!$F$23),('Datos del modelo'!$F$19*(1+'Datos del modelo'!$F$20)^(R16-'Datos del modelo'!$F$18))*'Datos del modelo'!$F$21+('Datos del modelo'!$F$19*(1+'Datos del modelo'!$F$20)^(R16-'Datos del modelo'!$F$18))*'Datos del modelo'!$F$22)</f>
        <v>259109.34834679295</v>
      </c>
    </row>
    <row r="17" spans="1:19" ht="15.5" outlineLevel="1" x14ac:dyDescent="0.35">
      <c r="A17" s="15"/>
      <c r="B17" s="80">
        <f>'Datos del modelo'!$F$18+7</f>
        <v>2029</v>
      </c>
      <c r="C17" s="81">
        <f>IF('Datos del modelo'!D$45=3,(('Datos del modelo'!$F$19*(1+'Datos del modelo'!$F$20)^(B17-'Datos del modelo'!$F$18))*'Datos del modelo'!$F$21+('Datos del modelo'!$F$19*(1+'Datos del modelo'!$F$20)^(B17-'Datos del modelo'!$F$18))*'Datos del modelo'!$F$22+('Datos del modelo'!$F$19*(1+'Datos del modelo'!$F$20)^(B17-'Datos del modelo'!$F$18))*'Datos del modelo'!$F$23),('Datos del modelo'!$F$19*(1+'Datos del modelo'!$F$20)^(B17-'Datos del modelo'!$F$18))*'Datos del modelo'!$F$21+('Datos del modelo'!$F$19*(1+'Datos del modelo'!$F$20)^(B17-'Datos del modelo'!$F$18))*'Datos del modelo'!$F$22)</f>
        <v>266882.62879719678</v>
      </c>
      <c r="D17" s="83"/>
      <c r="E17" s="80">
        <f>'Datos del modelo'!$F$18+7</f>
        <v>2029</v>
      </c>
      <c r="F17" s="81">
        <f>IF('Datos del modelo'!H$45=3,(('Datos del modelo'!$F$19*(1+'Datos del modelo'!$F$20)^(E17-'Datos del modelo'!$F$18))*'Datos del modelo'!$F$21+('Datos del modelo'!$F$19*(1+'Datos del modelo'!$F$20)^(E17-'Datos del modelo'!$F$18))*'Datos del modelo'!$F$22+('Datos del modelo'!$F$19*(1+'Datos del modelo'!$F$20)^(E17-'Datos del modelo'!$F$18))*'Datos del modelo'!$F$23),('Datos del modelo'!$F$19*(1+'Datos del modelo'!$F$20)^(E17-'Datos del modelo'!$F$18))*'Datos del modelo'!$F$21+('Datos del modelo'!$F$19*(1+'Datos del modelo'!$F$20)^(E17-'Datos del modelo'!$F$18))*'Datos del modelo'!$F$22)</f>
        <v>266882.62879719678</v>
      </c>
      <c r="G17" s="82"/>
      <c r="H17" s="80">
        <f>'Datos del modelo'!$F$18+7</f>
        <v>2029</v>
      </c>
      <c r="I17" s="81">
        <f>IF('Datos del modelo'!L$45=3,(('Datos del modelo'!$F$19*(1+'Datos del modelo'!$F$20)^(H17-'Datos del modelo'!$F$18))*'Datos del modelo'!$F$21+('Datos del modelo'!$F$19*(1+'Datos del modelo'!$F$20)^(H17-'Datos del modelo'!$F$18))*'Datos del modelo'!$F$22+('Datos del modelo'!$F$19*(1+'Datos del modelo'!$F$20)^(H17-'Datos del modelo'!$F$18))*'Datos del modelo'!$F$23),('Datos del modelo'!$F$19*(1+'Datos del modelo'!$F$20)^(H17-'Datos del modelo'!$F$18))*'Datos del modelo'!$F$21+('Datos del modelo'!$F$19*(1+'Datos del modelo'!$F$20)^(H17-'Datos del modelo'!$F$18))*'Datos del modelo'!$F$22)</f>
        <v>266882.62879719678</v>
      </c>
      <c r="J17" s="73"/>
      <c r="K17" s="15"/>
      <c r="L17" s="80">
        <f>'Datos del modelo'!$F$18+7</f>
        <v>2029</v>
      </c>
      <c r="M17" s="81">
        <f>IF('Datos del modelo'!Q$45=3,(('Datos del modelo'!$F$19*(1+'Datos del modelo'!$F$20)^(L17-'Datos del modelo'!$F$18))*'Datos del modelo'!$F$21+('Datos del modelo'!$F$19*(1+'Datos del modelo'!$F$20)^(L17-'Datos del modelo'!$F$18))*'Datos del modelo'!$F$22+('Datos del modelo'!$F$19*(1+'Datos del modelo'!$F$20)^(L17-'Datos del modelo'!$F$18))*'Datos del modelo'!$F$23),('Datos del modelo'!$F$19*(1+'Datos del modelo'!$F$20)^(L17-'Datos del modelo'!$F$18))*'Datos del modelo'!$F$21+('Datos del modelo'!$F$19*(1+'Datos del modelo'!$F$20)^(L17-'Datos del modelo'!$F$18))*'Datos del modelo'!$F$22)</f>
        <v>266882.62879719678</v>
      </c>
      <c r="N17" s="83"/>
      <c r="O17" s="80">
        <f>'Datos del modelo'!$F$18+7</f>
        <v>2029</v>
      </c>
      <c r="P17" s="81">
        <f>IF('Datos del modelo'!U$45=3,(('Datos del modelo'!$F$19*(1+'Datos del modelo'!$F$20)^(O17-'Datos del modelo'!$F$18))*'Datos del modelo'!$F$21+('Datos del modelo'!$F$19*(1+'Datos del modelo'!$F$20)^(O17-'Datos del modelo'!$F$18))*'Datos del modelo'!$F$22+('Datos del modelo'!$F$19*(1+'Datos del modelo'!$F$20)^(O17-'Datos del modelo'!$F$18))*'Datos del modelo'!$F$23),('Datos del modelo'!$F$19*(1+'Datos del modelo'!$F$20)^(O17-'Datos del modelo'!$F$18))*'Datos del modelo'!$F$21+('Datos del modelo'!$F$19*(1+'Datos del modelo'!$F$20)^(O17-'Datos del modelo'!$F$18))*'Datos del modelo'!$F$22)</f>
        <v>266882.62879719678</v>
      </c>
      <c r="Q17" s="82"/>
      <c r="R17" s="80">
        <f>'Datos del modelo'!$F$18+7</f>
        <v>2029</v>
      </c>
      <c r="S17" s="81">
        <f>IF('Datos del modelo'!Y$45=3,(('Datos del modelo'!$F$19*(1+'Datos del modelo'!$F$20)^(R17-'Datos del modelo'!$F$18))*'Datos del modelo'!$F$21+('Datos del modelo'!$F$19*(1+'Datos del modelo'!$F$20)^(R17-'Datos del modelo'!$F$18))*'Datos del modelo'!$F$22+('Datos del modelo'!$F$19*(1+'Datos del modelo'!$F$20)^(R17-'Datos del modelo'!$F$18))*'Datos del modelo'!$F$23),('Datos del modelo'!$F$19*(1+'Datos del modelo'!$F$20)^(R17-'Datos del modelo'!$F$18))*'Datos del modelo'!$F$21+('Datos del modelo'!$F$19*(1+'Datos del modelo'!$F$20)^(R17-'Datos del modelo'!$F$18))*'Datos del modelo'!$F$22)</f>
        <v>266882.62879719678</v>
      </c>
    </row>
    <row r="18" spans="1:19" ht="15.5" outlineLevel="1" x14ac:dyDescent="0.35">
      <c r="A18" s="15"/>
      <c r="B18" s="80">
        <f>'Datos del modelo'!$F$18+8</f>
        <v>2030</v>
      </c>
      <c r="C18" s="81">
        <f>IF('Datos del modelo'!D$45=3,(('Datos del modelo'!$F$19*(1+'Datos del modelo'!$F$20)^(B18-'Datos del modelo'!$F$18))*'Datos del modelo'!$F$21+('Datos del modelo'!$F$19*(1+'Datos del modelo'!$F$20)^(B18-'Datos del modelo'!$F$18))*'Datos del modelo'!$F$22+('Datos del modelo'!$F$19*(1+'Datos del modelo'!$F$20)^(B18-'Datos del modelo'!$F$18))*'Datos del modelo'!$F$23),('Datos del modelo'!$F$19*(1+'Datos del modelo'!$F$20)^(B18-'Datos del modelo'!$F$18))*'Datos del modelo'!$F$21+('Datos del modelo'!$F$19*(1+'Datos del modelo'!$F$20)^(B18-'Datos del modelo'!$F$18))*'Datos del modelo'!$F$22)</f>
        <v>274889.10766111262</v>
      </c>
      <c r="D18" s="83"/>
      <c r="E18" s="80">
        <f>'Datos del modelo'!$F$18+8</f>
        <v>2030</v>
      </c>
      <c r="F18" s="81">
        <f>IF('Datos del modelo'!H$45=3,(('Datos del modelo'!$F$19*(1+'Datos del modelo'!$F$20)^(E18-'Datos del modelo'!$F$18))*'Datos del modelo'!$F$21+('Datos del modelo'!$F$19*(1+'Datos del modelo'!$F$20)^(E18-'Datos del modelo'!$F$18))*'Datos del modelo'!$F$22+('Datos del modelo'!$F$19*(1+'Datos del modelo'!$F$20)^(E18-'Datos del modelo'!$F$18))*'Datos del modelo'!$F$23),('Datos del modelo'!$F$19*(1+'Datos del modelo'!$F$20)^(E18-'Datos del modelo'!$F$18))*'Datos del modelo'!$F$21+('Datos del modelo'!$F$19*(1+'Datos del modelo'!$F$20)^(E18-'Datos del modelo'!$F$18))*'Datos del modelo'!$F$22)</f>
        <v>274889.10766111262</v>
      </c>
      <c r="G18" s="82"/>
      <c r="H18" s="80">
        <f>'Datos del modelo'!$F$18+8</f>
        <v>2030</v>
      </c>
      <c r="I18" s="81">
        <f>IF('Datos del modelo'!L$45=3,(('Datos del modelo'!$F$19*(1+'Datos del modelo'!$F$20)^(H18-'Datos del modelo'!$F$18))*'Datos del modelo'!$F$21+('Datos del modelo'!$F$19*(1+'Datos del modelo'!$F$20)^(H18-'Datos del modelo'!$F$18))*'Datos del modelo'!$F$22+('Datos del modelo'!$F$19*(1+'Datos del modelo'!$F$20)^(H18-'Datos del modelo'!$F$18))*'Datos del modelo'!$F$23),('Datos del modelo'!$F$19*(1+'Datos del modelo'!$F$20)^(H18-'Datos del modelo'!$F$18))*'Datos del modelo'!$F$21+('Datos del modelo'!$F$19*(1+'Datos del modelo'!$F$20)^(H18-'Datos del modelo'!$F$18))*'Datos del modelo'!$F$22)</f>
        <v>274889.10766111262</v>
      </c>
      <c r="J18" s="73"/>
      <c r="K18" s="15"/>
      <c r="L18" s="80">
        <f>'Datos del modelo'!$F$18+8</f>
        <v>2030</v>
      </c>
      <c r="M18" s="81">
        <f>IF('Datos del modelo'!Q$45=3,(('Datos del modelo'!$F$19*(1+'Datos del modelo'!$F$20)^(L18-'Datos del modelo'!$F$18))*'Datos del modelo'!$F$21+('Datos del modelo'!$F$19*(1+'Datos del modelo'!$F$20)^(L18-'Datos del modelo'!$F$18))*'Datos del modelo'!$F$22+('Datos del modelo'!$F$19*(1+'Datos del modelo'!$F$20)^(L18-'Datos del modelo'!$F$18))*'Datos del modelo'!$F$23),('Datos del modelo'!$F$19*(1+'Datos del modelo'!$F$20)^(L18-'Datos del modelo'!$F$18))*'Datos del modelo'!$F$21+('Datos del modelo'!$F$19*(1+'Datos del modelo'!$F$20)^(L18-'Datos del modelo'!$F$18))*'Datos del modelo'!$F$22)</f>
        <v>274889.10766111262</v>
      </c>
      <c r="N18" s="83"/>
      <c r="O18" s="80">
        <f>'Datos del modelo'!$F$18+8</f>
        <v>2030</v>
      </c>
      <c r="P18" s="81">
        <f>IF('Datos del modelo'!U$45=3,(('Datos del modelo'!$F$19*(1+'Datos del modelo'!$F$20)^(O18-'Datos del modelo'!$F$18))*'Datos del modelo'!$F$21+('Datos del modelo'!$F$19*(1+'Datos del modelo'!$F$20)^(O18-'Datos del modelo'!$F$18))*'Datos del modelo'!$F$22+('Datos del modelo'!$F$19*(1+'Datos del modelo'!$F$20)^(O18-'Datos del modelo'!$F$18))*'Datos del modelo'!$F$23),('Datos del modelo'!$F$19*(1+'Datos del modelo'!$F$20)^(O18-'Datos del modelo'!$F$18))*'Datos del modelo'!$F$21+('Datos del modelo'!$F$19*(1+'Datos del modelo'!$F$20)^(O18-'Datos del modelo'!$F$18))*'Datos del modelo'!$F$22)</f>
        <v>274889.10766111262</v>
      </c>
      <c r="Q18" s="82"/>
      <c r="R18" s="80">
        <f>'Datos del modelo'!$F$18+8</f>
        <v>2030</v>
      </c>
      <c r="S18" s="81">
        <f>IF('Datos del modelo'!Y$45=3,(('Datos del modelo'!$F$19*(1+'Datos del modelo'!$F$20)^(R18-'Datos del modelo'!$F$18))*'Datos del modelo'!$F$21+('Datos del modelo'!$F$19*(1+'Datos del modelo'!$F$20)^(R18-'Datos del modelo'!$F$18))*'Datos del modelo'!$F$22+('Datos del modelo'!$F$19*(1+'Datos del modelo'!$F$20)^(R18-'Datos del modelo'!$F$18))*'Datos del modelo'!$F$23),('Datos del modelo'!$F$19*(1+'Datos del modelo'!$F$20)^(R18-'Datos del modelo'!$F$18))*'Datos del modelo'!$F$21+('Datos del modelo'!$F$19*(1+'Datos del modelo'!$F$20)^(R18-'Datos del modelo'!$F$18))*'Datos del modelo'!$F$22)</f>
        <v>274889.10766111262</v>
      </c>
    </row>
    <row r="19" spans="1:19" ht="15.5" outlineLevel="1" x14ac:dyDescent="0.35">
      <c r="A19" s="15"/>
      <c r="B19" s="80">
        <f>'Datos del modelo'!$F$18+9</f>
        <v>2031</v>
      </c>
      <c r="C19" s="81">
        <f>IF('Datos del modelo'!D$45=3,(('Datos del modelo'!$F$19*(1+'Datos del modelo'!$F$20)^(B19-'Datos del modelo'!$F$18))*'Datos del modelo'!$F$21+('Datos del modelo'!$F$19*(1+'Datos del modelo'!$F$20)^(B19-'Datos del modelo'!$F$18))*'Datos del modelo'!$F$22+('Datos del modelo'!$F$19*(1+'Datos del modelo'!$F$20)^(B19-'Datos del modelo'!$F$18))*'Datos del modelo'!$F$23),('Datos del modelo'!$F$19*(1+'Datos del modelo'!$F$20)^(B19-'Datos del modelo'!$F$18))*'Datos del modelo'!$F$21+('Datos del modelo'!$F$19*(1+'Datos del modelo'!$F$20)^(B19-'Datos del modelo'!$F$18))*'Datos del modelo'!$F$22)</f>
        <v>283135.78089094604</v>
      </c>
      <c r="D19" s="83"/>
      <c r="E19" s="80">
        <f>'Datos del modelo'!$F$18+9</f>
        <v>2031</v>
      </c>
      <c r="F19" s="81">
        <f>IF('Datos del modelo'!H$45=3,(('Datos del modelo'!$F$19*(1+'Datos del modelo'!$F$20)^(E19-'Datos del modelo'!$F$18))*'Datos del modelo'!$F$21+('Datos del modelo'!$F$19*(1+'Datos del modelo'!$F$20)^(E19-'Datos del modelo'!$F$18))*'Datos del modelo'!$F$22+('Datos del modelo'!$F$19*(1+'Datos del modelo'!$F$20)^(E19-'Datos del modelo'!$F$18))*'Datos del modelo'!$F$23),('Datos del modelo'!$F$19*(1+'Datos del modelo'!$F$20)^(E19-'Datos del modelo'!$F$18))*'Datos del modelo'!$F$21+('Datos del modelo'!$F$19*(1+'Datos del modelo'!$F$20)^(E19-'Datos del modelo'!$F$18))*'Datos del modelo'!$F$22)</f>
        <v>283135.78089094604</v>
      </c>
      <c r="G19" s="82"/>
      <c r="H19" s="80">
        <f>'Datos del modelo'!$F$18+9</f>
        <v>2031</v>
      </c>
      <c r="I19" s="81">
        <f>IF('Datos del modelo'!L$45=3,(('Datos del modelo'!$F$19*(1+'Datos del modelo'!$F$20)^(H19-'Datos del modelo'!$F$18))*'Datos del modelo'!$F$21+('Datos del modelo'!$F$19*(1+'Datos del modelo'!$F$20)^(H19-'Datos del modelo'!$F$18))*'Datos del modelo'!$F$22+('Datos del modelo'!$F$19*(1+'Datos del modelo'!$F$20)^(H19-'Datos del modelo'!$F$18))*'Datos del modelo'!$F$23),('Datos del modelo'!$F$19*(1+'Datos del modelo'!$F$20)^(H19-'Datos del modelo'!$F$18))*'Datos del modelo'!$F$21+('Datos del modelo'!$F$19*(1+'Datos del modelo'!$F$20)^(H19-'Datos del modelo'!$F$18))*'Datos del modelo'!$F$22)</f>
        <v>283135.78089094604</v>
      </c>
      <c r="J19" s="73"/>
      <c r="K19" s="15"/>
      <c r="L19" s="80">
        <f>'Datos del modelo'!$F$18+9</f>
        <v>2031</v>
      </c>
      <c r="M19" s="81">
        <f>IF('Datos del modelo'!Q$45=3,(('Datos del modelo'!$F$19*(1+'Datos del modelo'!$F$20)^(L19-'Datos del modelo'!$F$18))*'Datos del modelo'!$F$21+('Datos del modelo'!$F$19*(1+'Datos del modelo'!$F$20)^(L19-'Datos del modelo'!$F$18))*'Datos del modelo'!$F$22+('Datos del modelo'!$F$19*(1+'Datos del modelo'!$F$20)^(L19-'Datos del modelo'!$F$18))*'Datos del modelo'!$F$23),('Datos del modelo'!$F$19*(1+'Datos del modelo'!$F$20)^(L19-'Datos del modelo'!$F$18))*'Datos del modelo'!$F$21+('Datos del modelo'!$F$19*(1+'Datos del modelo'!$F$20)^(L19-'Datos del modelo'!$F$18))*'Datos del modelo'!$F$22)</f>
        <v>283135.78089094604</v>
      </c>
      <c r="N19" s="83"/>
      <c r="O19" s="80">
        <f>'Datos del modelo'!$F$18+9</f>
        <v>2031</v>
      </c>
      <c r="P19" s="81">
        <f>IF('Datos del modelo'!U$45=3,(('Datos del modelo'!$F$19*(1+'Datos del modelo'!$F$20)^(O19-'Datos del modelo'!$F$18))*'Datos del modelo'!$F$21+('Datos del modelo'!$F$19*(1+'Datos del modelo'!$F$20)^(O19-'Datos del modelo'!$F$18))*'Datos del modelo'!$F$22+('Datos del modelo'!$F$19*(1+'Datos del modelo'!$F$20)^(O19-'Datos del modelo'!$F$18))*'Datos del modelo'!$F$23),('Datos del modelo'!$F$19*(1+'Datos del modelo'!$F$20)^(O19-'Datos del modelo'!$F$18))*'Datos del modelo'!$F$21+('Datos del modelo'!$F$19*(1+'Datos del modelo'!$F$20)^(O19-'Datos del modelo'!$F$18))*'Datos del modelo'!$F$22)</f>
        <v>283135.78089094604</v>
      </c>
      <c r="Q19" s="82"/>
      <c r="R19" s="80">
        <f>'Datos del modelo'!$F$18+9</f>
        <v>2031</v>
      </c>
      <c r="S19" s="81">
        <f>IF('Datos del modelo'!Y$45=3,(('Datos del modelo'!$F$19*(1+'Datos del modelo'!$F$20)^(R19-'Datos del modelo'!$F$18))*'Datos del modelo'!$F$21+('Datos del modelo'!$F$19*(1+'Datos del modelo'!$F$20)^(R19-'Datos del modelo'!$F$18))*'Datos del modelo'!$F$22+('Datos del modelo'!$F$19*(1+'Datos del modelo'!$F$20)^(R19-'Datos del modelo'!$F$18))*'Datos del modelo'!$F$23),('Datos del modelo'!$F$19*(1+'Datos del modelo'!$F$20)^(R19-'Datos del modelo'!$F$18))*'Datos del modelo'!$F$21+('Datos del modelo'!$F$19*(1+'Datos del modelo'!$F$20)^(R19-'Datos del modelo'!$F$18))*'Datos del modelo'!$F$22)</f>
        <v>283135.78089094604</v>
      </c>
    </row>
    <row r="20" spans="1:19" ht="30" customHeight="1" outlineLevel="1" x14ac:dyDescent="0.35">
      <c r="A20" s="15"/>
      <c r="B20" s="218" t="s">
        <v>119</v>
      </c>
      <c r="C20" s="275"/>
      <c r="D20" s="83"/>
      <c r="E20" s="218" t="s">
        <v>119</v>
      </c>
      <c r="F20" s="275"/>
      <c r="G20" s="82"/>
      <c r="H20" s="218" t="s">
        <v>119</v>
      </c>
      <c r="I20" s="274"/>
      <c r="J20" s="73"/>
      <c r="K20" s="15"/>
      <c r="L20" s="218" t="s">
        <v>119</v>
      </c>
      <c r="M20" s="275"/>
      <c r="N20" s="83"/>
      <c r="O20" s="218" t="s">
        <v>119</v>
      </c>
      <c r="P20" s="275"/>
      <c r="Q20" s="82"/>
      <c r="R20" s="218" t="s">
        <v>119</v>
      </c>
      <c r="S20" s="275"/>
    </row>
    <row r="21" spans="1:19" ht="60" customHeight="1" x14ac:dyDescent="0.35">
      <c r="A21" s="15"/>
      <c r="B21" s="80" t="s">
        <v>118</v>
      </c>
      <c r="C21" s="81">
        <f>SUM(C22:C31)</f>
        <v>2703980.228901248</v>
      </c>
      <c r="D21" s="82"/>
      <c r="E21" s="80" t="s">
        <v>118</v>
      </c>
      <c r="F21" s="81">
        <f>SUM(F22:F31)</f>
        <v>2703980.228901248</v>
      </c>
      <c r="G21" s="82"/>
      <c r="H21" s="80" t="s">
        <v>118</v>
      </c>
      <c r="I21" s="81">
        <f>SUM(I22:I31)</f>
        <v>2618591.3795675249</v>
      </c>
      <c r="J21" s="73"/>
      <c r="K21" s="15"/>
      <c r="L21" s="80" t="s">
        <v>118</v>
      </c>
      <c r="M21" s="81">
        <f>SUM(M22:M31)</f>
        <v>2618591.3795675249</v>
      </c>
      <c r="N21" s="82"/>
      <c r="O21" s="80" t="s">
        <v>118</v>
      </c>
      <c r="P21" s="81">
        <f>SUM(P22:P31)</f>
        <v>2703980.228901248</v>
      </c>
      <c r="Q21" s="82"/>
      <c r="R21" s="80" t="s">
        <v>118</v>
      </c>
      <c r="S21" s="81" t="e">
        <f>SUM(S22:S31)</f>
        <v>#VALUE!</v>
      </c>
    </row>
    <row r="22" spans="1:19" ht="15.5" outlineLevel="1" x14ac:dyDescent="0.35">
      <c r="A22" s="15"/>
      <c r="B22" s="80">
        <f>'Datos del modelo'!$F$18</f>
        <v>2022</v>
      </c>
      <c r="C22" s="81">
        <f>C10*'Datos del modelo'!D$49</f>
        <v>235869.5652173913</v>
      </c>
      <c r="D22" s="82"/>
      <c r="E22" s="80">
        <f>'Datos del modelo'!$F$18</f>
        <v>2022</v>
      </c>
      <c r="F22" s="81">
        <f>F10*'Datos del modelo'!H$49</f>
        <v>235869.5652173913</v>
      </c>
      <c r="G22" s="82"/>
      <c r="H22" s="80">
        <f>'Datos del modelo'!$F$18</f>
        <v>2022</v>
      </c>
      <c r="I22" s="81">
        <f>I10*'Datos del modelo'!L$49</f>
        <v>228421.05263157893</v>
      </c>
      <c r="J22" s="73"/>
      <c r="K22" s="15"/>
      <c r="L22" s="80">
        <f>'Datos del modelo'!$F$18</f>
        <v>2022</v>
      </c>
      <c r="M22" s="81">
        <f>M10*'Datos del modelo'!Q$49</f>
        <v>228421.05263157893</v>
      </c>
      <c r="N22" s="82"/>
      <c r="O22" s="80">
        <f>'Datos del modelo'!$F$18</f>
        <v>2022</v>
      </c>
      <c r="P22" s="81">
        <f>P10*'Datos del modelo'!U$49</f>
        <v>235869.5652173913</v>
      </c>
      <c r="Q22" s="82"/>
      <c r="R22" s="80">
        <f>'Datos del modelo'!$F$18</f>
        <v>2022</v>
      </c>
      <c r="S22" s="81" t="e">
        <f>S10*'Datos del modelo'!Y$49</f>
        <v>#VALUE!</v>
      </c>
    </row>
    <row r="23" spans="1:19" ht="15.5" outlineLevel="1" x14ac:dyDescent="0.35">
      <c r="A23" s="15"/>
      <c r="B23" s="80">
        <f>'Datos del modelo'!$F$18+1</f>
        <v>2023</v>
      </c>
      <c r="C23" s="81">
        <f>C11*'Datos del modelo'!D$49</f>
        <v>242945.65217391303</v>
      </c>
      <c r="D23" s="82"/>
      <c r="E23" s="80">
        <f>'Datos del modelo'!$F$18+1</f>
        <v>2023</v>
      </c>
      <c r="F23" s="81">
        <f>F11*'Datos del modelo'!H$49</f>
        <v>242945.65217391303</v>
      </c>
      <c r="G23" s="82"/>
      <c r="H23" s="80">
        <f>'Datos del modelo'!$F$18+1</f>
        <v>2023</v>
      </c>
      <c r="I23" s="81">
        <f>I11*'Datos del modelo'!L$49</f>
        <v>235273.68421052629</v>
      </c>
      <c r="J23" s="73"/>
      <c r="K23" s="15"/>
      <c r="L23" s="80">
        <f>'Datos del modelo'!$F$18+1</f>
        <v>2023</v>
      </c>
      <c r="M23" s="81">
        <f>M11*'Datos del modelo'!Q$49</f>
        <v>235273.68421052629</v>
      </c>
      <c r="N23" s="82"/>
      <c r="O23" s="80">
        <f>'Datos del modelo'!$F$18+1</f>
        <v>2023</v>
      </c>
      <c r="P23" s="81">
        <f>P11*'Datos del modelo'!U$49</f>
        <v>242945.65217391303</v>
      </c>
      <c r="Q23" s="82"/>
      <c r="R23" s="80">
        <f>'Datos del modelo'!$F$18+1</f>
        <v>2023</v>
      </c>
      <c r="S23" s="81" t="e">
        <f>S11*'Datos del modelo'!Y$49</f>
        <v>#VALUE!</v>
      </c>
    </row>
    <row r="24" spans="1:19" ht="15.5" outlineLevel="1" x14ac:dyDescent="0.35">
      <c r="A24" s="15"/>
      <c r="B24" s="80">
        <f>'Datos del modelo'!$F$18+2</f>
        <v>2024</v>
      </c>
      <c r="C24" s="81">
        <f>C12*'Datos del modelo'!D$49</f>
        <v>250234.0217391304</v>
      </c>
      <c r="D24" s="82"/>
      <c r="E24" s="80">
        <f>'Datos del modelo'!$F$18+2</f>
        <v>2024</v>
      </c>
      <c r="F24" s="81">
        <f>F12*'Datos del modelo'!H$49</f>
        <v>250234.0217391304</v>
      </c>
      <c r="G24" s="82"/>
      <c r="H24" s="80">
        <f>'Datos del modelo'!$F$18+2</f>
        <v>2024</v>
      </c>
      <c r="I24" s="81">
        <f>I12*'Datos del modelo'!L$49</f>
        <v>242331.89473684208</v>
      </c>
      <c r="J24" s="73"/>
      <c r="K24" s="15"/>
      <c r="L24" s="80">
        <f>'Datos del modelo'!$F$18+2</f>
        <v>2024</v>
      </c>
      <c r="M24" s="81">
        <f>M12*'Datos del modelo'!Q$49</f>
        <v>242331.89473684208</v>
      </c>
      <c r="N24" s="82"/>
      <c r="O24" s="80">
        <f>'Datos del modelo'!$F$18+2</f>
        <v>2024</v>
      </c>
      <c r="P24" s="81">
        <f>P12*'Datos del modelo'!U$49</f>
        <v>250234.0217391304</v>
      </c>
      <c r="Q24" s="82"/>
      <c r="R24" s="80">
        <f>'Datos del modelo'!$F$18+2</f>
        <v>2024</v>
      </c>
      <c r="S24" s="81" t="e">
        <f>S12*'Datos del modelo'!Y$49</f>
        <v>#VALUE!</v>
      </c>
    </row>
    <row r="25" spans="1:19" ht="15.5" outlineLevel="1" x14ac:dyDescent="0.35">
      <c r="A25" s="15"/>
      <c r="B25" s="80">
        <f>'Datos del modelo'!$F$18+3</f>
        <v>2025</v>
      </c>
      <c r="C25" s="81">
        <f>C13*'Datos del modelo'!D$49</f>
        <v>257741.04239130436</v>
      </c>
      <c r="D25" s="82"/>
      <c r="E25" s="80">
        <f>'Datos del modelo'!$F$18+3</f>
        <v>2025</v>
      </c>
      <c r="F25" s="81">
        <f>F13*'Datos del modelo'!H$49</f>
        <v>257741.04239130436</v>
      </c>
      <c r="G25" s="82"/>
      <c r="H25" s="80">
        <f>'Datos del modelo'!$F$18+3</f>
        <v>2025</v>
      </c>
      <c r="I25" s="81">
        <f>I13*'Datos del modelo'!L$49</f>
        <v>249601.85157894739</v>
      </c>
      <c r="J25" s="73"/>
      <c r="K25" s="15"/>
      <c r="L25" s="80">
        <f>'Datos del modelo'!$F$18+3</f>
        <v>2025</v>
      </c>
      <c r="M25" s="81">
        <f>M13*'Datos del modelo'!Q$49</f>
        <v>249601.85157894739</v>
      </c>
      <c r="N25" s="82"/>
      <c r="O25" s="80">
        <f>'Datos del modelo'!$F$18+3</f>
        <v>2025</v>
      </c>
      <c r="P25" s="81">
        <f>P13*'Datos del modelo'!U$49</f>
        <v>257741.04239130436</v>
      </c>
      <c r="Q25" s="82"/>
      <c r="R25" s="80">
        <f>'Datos del modelo'!$F$18+3</f>
        <v>2025</v>
      </c>
      <c r="S25" s="81" t="e">
        <f>S13*'Datos del modelo'!Y$49</f>
        <v>#VALUE!</v>
      </c>
    </row>
    <row r="26" spans="1:19" ht="15.5" outlineLevel="1" x14ac:dyDescent="0.35">
      <c r="A26" s="15"/>
      <c r="B26" s="80">
        <f>'Datos del modelo'!$F$18+4</f>
        <v>2026</v>
      </c>
      <c r="C26" s="81">
        <f>C14*'Datos del modelo'!D$49</f>
        <v>265473.27366304345</v>
      </c>
      <c r="D26" s="82"/>
      <c r="E26" s="80">
        <f>'Datos del modelo'!$F$18+4</f>
        <v>2026</v>
      </c>
      <c r="F26" s="81">
        <f>F14*'Datos del modelo'!H$49</f>
        <v>265473.27366304345</v>
      </c>
      <c r="G26" s="82"/>
      <c r="H26" s="80">
        <f>'Datos del modelo'!$F$18+4</f>
        <v>2026</v>
      </c>
      <c r="I26" s="81">
        <f>I14*'Datos del modelo'!L$49</f>
        <v>257089.90712631575</v>
      </c>
      <c r="J26" s="73"/>
      <c r="K26" s="15"/>
      <c r="L26" s="80">
        <f>'Datos del modelo'!$F$18+4</f>
        <v>2026</v>
      </c>
      <c r="M26" s="81">
        <f>M14*'Datos del modelo'!Q$49</f>
        <v>257089.90712631575</v>
      </c>
      <c r="N26" s="82"/>
      <c r="O26" s="80">
        <f>'Datos del modelo'!$F$18+4</f>
        <v>2026</v>
      </c>
      <c r="P26" s="81">
        <f>P14*'Datos del modelo'!U$49</f>
        <v>265473.27366304345</v>
      </c>
      <c r="Q26" s="82"/>
      <c r="R26" s="80">
        <f>'Datos del modelo'!$F$18+4</f>
        <v>2026</v>
      </c>
      <c r="S26" s="81" t="e">
        <f>S14*'Datos del modelo'!Y$49</f>
        <v>#VALUE!</v>
      </c>
    </row>
    <row r="27" spans="1:19" ht="15.5" outlineLevel="1" x14ac:dyDescent="0.35">
      <c r="A27" s="15"/>
      <c r="B27" s="80">
        <f>'Datos del modelo'!$F$18+5</f>
        <v>2027</v>
      </c>
      <c r="C27" s="81">
        <f>C15*'Datos del modelo'!D$49</f>
        <v>273437.47187293472</v>
      </c>
      <c r="D27" s="82"/>
      <c r="E27" s="80">
        <f>'Datos del modelo'!$F$18+5</f>
        <v>2027</v>
      </c>
      <c r="F27" s="81">
        <f>F15*'Datos del modelo'!H$49</f>
        <v>273437.47187293472</v>
      </c>
      <c r="G27" s="82"/>
      <c r="H27" s="80">
        <f>'Datos del modelo'!$F$18+5</f>
        <v>2027</v>
      </c>
      <c r="I27" s="81">
        <f>I15*'Datos del modelo'!L$49</f>
        <v>264802.6043401052</v>
      </c>
      <c r="J27" s="73"/>
      <c r="K27" s="15"/>
      <c r="L27" s="80">
        <f>'Datos del modelo'!$F$18+5</f>
        <v>2027</v>
      </c>
      <c r="M27" s="81">
        <f>M15*'Datos del modelo'!Q$49</f>
        <v>264802.6043401052</v>
      </c>
      <c r="N27" s="82"/>
      <c r="O27" s="80">
        <f>'Datos del modelo'!$F$18+5</f>
        <v>2027</v>
      </c>
      <c r="P27" s="81">
        <f>P15*'Datos del modelo'!U$49</f>
        <v>273437.47187293472</v>
      </c>
      <c r="Q27" s="82"/>
      <c r="R27" s="80">
        <f>'Datos del modelo'!$F$18+5</f>
        <v>2027</v>
      </c>
      <c r="S27" s="81" t="e">
        <f>S15*'Datos del modelo'!Y$49</f>
        <v>#VALUE!</v>
      </c>
    </row>
    <row r="28" spans="1:19" ht="15.5" outlineLevel="1" x14ac:dyDescent="0.35">
      <c r="A28" s="15"/>
      <c r="B28" s="80">
        <f>'Datos del modelo'!$F$18+6</f>
        <v>2028</v>
      </c>
      <c r="C28" s="81">
        <f>C16*'Datos del modelo'!D$49</f>
        <v>281640.59602912277</v>
      </c>
      <c r="D28" s="82"/>
      <c r="E28" s="80">
        <f>'Datos del modelo'!$F$18+6</f>
        <v>2028</v>
      </c>
      <c r="F28" s="81">
        <f>F16*'Datos del modelo'!H$49</f>
        <v>281640.59602912277</v>
      </c>
      <c r="G28" s="82"/>
      <c r="H28" s="80">
        <f>'Datos del modelo'!$F$18+6</f>
        <v>2028</v>
      </c>
      <c r="I28" s="81">
        <f>I16*'Datos del modelo'!L$49</f>
        <v>272746.68247030833</v>
      </c>
      <c r="J28" s="73"/>
      <c r="K28" s="15"/>
      <c r="L28" s="80">
        <f>'Datos del modelo'!$F$18+6</f>
        <v>2028</v>
      </c>
      <c r="M28" s="81">
        <f>M16*'Datos del modelo'!Q$49</f>
        <v>272746.68247030833</v>
      </c>
      <c r="N28" s="82"/>
      <c r="O28" s="80">
        <f>'Datos del modelo'!$F$18+6</f>
        <v>2028</v>
      </c>
      <c r="P28" s="81">
        <f>P16*'Datos del modelo'!U$49</f>
        <v>281640.59602912277</v>
      </c>
      <c r="Q28" s="82"/>
      <c r="R28" s="80">
        <f>'Datos del modelo'!$F$18+6</f>
        <v>2028</v>
      </c>
      <c r="S28" s="81" t="e">
        <f>S16*'Datos del modelo'!Y$49</f>
        <v>#VALUE!</v>
      </c>
    </row>
    <row r="29" spans="1:19" ht="15.5" outlineLevel="1" x14ac:dyDescent="0.35">
      <c r="A29" s="15"/>
      <c r="B29" s="80">
        <f>'Datos del modelo'!$F$18+7</f>
        <v>2029</v>
      </c>
      <c r="C29" s="81">
        <f>C17*'Datos del modelo'!D$49</f>
        <v>290089.81390999648</v>
      </c>
      <c r="D29" s="82"/>
      <c r="E29" s="80">
        <f>'Datos del modelo'!$F$18+7</f>
        <v>2029</v>
      </c>
      <c r="F29" s="81">
        <f>F17*'Datos del modelo'!H$49</f>
        <v>290089.81390999648</v>
      </c>
      <c r="G29" s="82"/>
      <c r="H29" s="80">
        <f>'Datos del modelo'!$F$18+7</f>
        <v>2029</v>
      </c>
      <c r="I29" s="81">
        <f>I17*'Datos del modelo'!L$49</f>
        <v>280929.08294441766</v>
      </c>
      <c r="J29" s="73"/>
      <c r="K29" s="15"/>
      <c r="L29" s="80">
        <f>'Datos del modelo'!$F$18+7</f>
        <v>2029</v>
      </c>
      <c r="M29" s="81">
        <f>M17*'Datos del modelo'!Q$49</f>
        <v>280929.08294441766</v>
      </c>
      <c r="N29" s="82"/>
      <c r="O29" s="80">
        <f>'Datos del modelo'!$F$18+7</f>
        <v>2029</v>
      </c>
      <c r="P29" s="81">
        <f>P17*'Datos del modelo'!U$49</f>
        <v>290089.81390999648</v>
      </c>
      <c r="Q29" s="82"/>
      <c r="R29" s="80">
        <f>'Datos del modelo'!$F$18+7</f>
        <v>2029</v>
      </c>
      <c r="S29" s="81" t="e">
        <f>S17*'Datos del modelo'!Y$49</f>
        <v>#VALUE!</v>
      </c>
    </row>
    <row r="30" spans="1:19" ht="15.5" outlineLevel="1" x14ac:dyDescent="0.35">
      <c r="A30" s="15"/>
      <c r="B30" s="80">
        <f>'Datos del modelo'!$F$18+8</f>
        <v>2030</v>
      </c>
      <c r="C30" s="81">
        <f>C18*'Datos del modelo'!D$49</f>
        <v>298792.50832729629</v>
      </c>
      <c r="D30" s="82"/>
      <c r="E30" s="80">
        <f>'Datos del modelo'!$F$18+8</f>
        <v>2030</v>
      </c>
      <c r="F30" s="81">
        <f>F18*'Datos del modelo'!H$49</f>
        <v>298792.50832729629</v>
      </c>
      <c r="G30" s="82"/>
      <c r="H30" s="80">
        <f>'Datos del modelo'!$F$18+8</f>
        <v>2030</v>
      </c>
      <c r="I30" s="81">
        <f>I18*'Datos del modelo'!L$49</f>
        <v>289356.95543275011</v>
      </c>
      <c r="J30" s="73"/>
      <c r="K30" s="15"/>
      <c r="L30" s="80">
        <f>'Datos del modelo'!$F$18+8</f>
        <v>2030</v>
      </c>
      <c r="M30" s="81">
        <f>M18*'Datos del modelo'!Q$49</f>
        <v>289356.95543275011</v>
      </c>
      <c r="N30" s="82"/>
      <c r="O30" s="80">
        <f>'Datos del modelo'!$F$18+8</f>
        <v>2030</v>
      </c>
      <c r="P30" s="81">
        <f>P18*'Datos del modelo'!U$49</f>
        <v>298792.50832729629</v>
      </c>
      <c r="Q30" s="82"/>
      <c r="R30" s="80">
        <f>'Datos del modelo'!$F$18+8</f>
        <v>2030</v>
      </c>
      <c r="S30" s="81" t="e">
        <f>S18*'Datos del modelo'!Y$49</f>
        <v>#VALUE!</v>
      </c>
    </row>
    <row r="31" spans="1:19" ht="15.5" outlineLevel="1" x14ac:dyDescent="0.35">
      <c r="A31" s="15"/>
      <c r="B31" s="80">
        <f>'Datos del modelo'!$F$18+9</f>
        <v>2031</v>
      </c>
      <c r="C31" s="81">
        <f>C19*'Datos del modelo'!D$49</f>
        <v>307756.28357711527</v>
      </c>
      <c r="D31" s="82"/>
      <c r="E31" s="80">
        <f>'Datos del modelo'!$F$18+9</f>
        <v>2031</v>
      </c>
      <c r="F31" s="81">
        <f>F19*'Datos del modelo'!H$49</f>
        <v>307756.28357711527</v>
      </c>
      <c r="G31" s="82"/>
      <c r="H31" s="80">
        <f>'Datos del modelo'!$F$18+9</f>
        <v>2031</v>
      </c>
      <c r="I31" s="81">
        <f>I19*'Datos del modelo'!L$49</f>
        <v>298037.66409573267</v>
      </c>
      <c r="J31" s="73"/>
      <c r="K31" s="15"/>
      <c r="L31" s="80">
        <f>'Datos del modelo'!$F$18+9</f>
        <v>2031</v>
      </c>
      <c r="M31" s="81">
        <f>M19*'Datos del modelo'!Q$49</f>
        <v>298037.66409573267</v>
      </c>
      <c r="N31" s="82"/>
      <c r="O31" s="80">
        <f>'Datos del modelo'!$F$18+9</f>
        <v>2031</v>
      </c>
      <c r="P31" s="81">
        <f>P19*'Datos del modelo'!U$49</f>
        <v>307756.28357711527</v>
      </c>
      <c r="Q31" s="82"/>
      <c r="R31" s="80">
        <f>'Datos del modelo'!$F$18+9</f>
        <v>2031</v>
      </c>
      <c r="S31" s="81" t="e">
        <f>S19*'Datos del modelo'!Y$49</f>
        <v>#VALUE!</v>
      </c>
    </row>
    <row r="32" spans="1:19" ht="38.15" customHeight="1" outlineLevel="1" x14ac:dyDescent="0.35">
      <c r="A32" s="15"/>
      <c r="B32" s="218" t="s">
        <v>120</v>
      </c>
      <c r="C32" s="275"/>
      <c r="D32" s="82"/>
      <c r="E32" s="218" t="s">
        <v>120</v>
      </c>
      <c r="F32" s="275"/>
      <c r="G32" s="82"/>
      <c r="H32" s="218" t="s">
        <v>120</v>
      </c>
      <c r="I32" s="275"/>
      <c r="J32" s="73"/>
      <c r="K32" s="15"/>
      <c r="L32" s="218" t="s">
        <v>120</v>
      </c>
      <c r="M32" s="275"/>
      <c r="N32" s="82"/>
      <c r="O32" s="218" t="s">
        <v>120</v>
      </c>
      <c r="P32" s="275"/>
      <c r="Q32" s="82"/>
      <c r="R32" s="218" t="s">
        <v>120</v>
      </c>
      <c r="S32" s="275"/>
    </row>
    <row r="33" spans="1:19" ht="15.5" outlineLevel="1" x14ac:dyDescent="0.35">
      <c r="A33" s="15"/>
      <c r="B33" s="80">
        <f>'Datos del modelo'!$F$18</f>
        <v>2022</v>
      </c>
      <c r="C33" s="81">
        <f>C22*'Datos del modelo'!D$46</f>
        <v>566086.95652173914</v>
      </c>
      <c r="D33" s="82"/>
      <c r="E33" s="80">
        <f>'Datos del modelo'!$F$18</f>
        <v>2022</v>
      </c>
      <c r="F33" s="81">
        <f>F22*'Datos del modelo'!H$46</f>
        <v>825543.47826086951</v>
      </c>
      <c r="G33" s="82"/>
      <c r="H33" s="80">
        <f>'Datos del modelo'!$F$18</f>
        <v>2022</v>
      </c>
      <c r="I33" s="81">
        <f>I22*'Datos del modelo'!L$46</f>
        <v>3197894.7368421052</v>
      </c>
      <c r="J33" s="73"/>
      <c r="K33" s="15"/>
      <c r="L33" s="80">
        <f>'Datos del modelo'!$F$18</f>
        <v>2022</v>
      </c>
      <c r="M33" s="81">
        <f>M22*'Datos del modelo'!Q$46</f>
        <v>2741052.6315789474</v>
      </c>
      <c r="N33" s="82"/>
      <c r="O33" s="80">
        <f>'Datos del modelo'!$F$18</f>
        <v>2022</v>
      </c>
      <c r="P33" s="81">
        <f>P22*'Datos del modelo'!U$46</f>
        <v>825543.47826086951</v>
      </c>
      <c r="Q33" s="82"/>
      <c r="R33" s="80">
        <f>'Datos del modelo'!$F$18</f>
        <v>2022</v>
      </c>
      <c r="S33" s="81" t="e">
        <f>S22*'Datos del modelo'!Y$46</f>
        <v>#VALUE!</v>
      </c>
    </row>
    <row r="34" spans="1:19" ht="15.5" outlineLevel="1" x14ac:dyDescent="0.35">
      <c r="A34" s="15"/>
      <c r="B34" s="80">
        <f>'Datos del modelo'!$F$18+1</f>
        <v>2023</v>
      </c>
      <c r="C34" s="81">
        <f>C23*'Datos del modelo'!D$46</f>
        <v>583069.56521739124</v>
      </c>
      <c r="D34" s="82"/>
      <c r="E34" s="80">
        <f>'Datos del modelo'!$F$18+1</f>
        <v>2023</v>
      </c>
      <c r="F34" s="81">
        <f>F23*'Datos del modelo'!H$46</f>
        <v>850309.78260869556</v>
      </c>
      <c r="G34" s="82"/>
      <c r="H34" s="80">
        <f>'Datos del modelo'!$F$18+1</f>
        <v>2023</v>
      </c>
      <c r="I34" s="81">
        <f>I23*'Datos del modelo'!L$46</f>
        <v>3293831.5789473681</v>
      </c>
      <c r="J34" s="73"/>
      <c r="K34" s="15"/>
      <c r="L34" s="80">
        <f>'Datos del modelo'!$F$18+1</f>
        <v>2023</v>
      </c>
      <c r="M34" s="81">
        <f>M23*'Datos del modelo'!Q$46</f>
        <v>2823284.2105263155</v>
      </c>
      <c r="N34" s="82"/>
      <c r="O34" s="80">
        <f>'Datos del modelo'!$F$18+1</f>
        <v>2023</v>
      </c>
      <c r="P34" s="81">
        <f>P23*'Datos del modelo'!U$46</f>
        <v>850309.78260869556</v>
      </c>
      <c r="Q34" s="82"/>
      <c r="R34" s="80">
        <f>'Datos del modelo'!$F$18+1</f>
        <v>2023</v>
      </c>
      <c r="S34" s="81" t="e">
        <f>S23*'Datos del modelo'!Y$46</f>
        <v>#VALUE!</v>
      </c>
    </row>
    <row r="35" spans="1:19" ht="15.5" outlineLevel="1" x14ac:dyDescent="0.35">
      <c r="A35" s="15"/>
      <c r="B35" s="80">
        <f>'Datos del modelo'!$F$18+2</f>
        <v>2024</v>
      </c>
      <c r="C35" s="81">
        <f>C24*'Datos del modelo'!D$46</f>
        <v>600561.65217391297</v>
      </c>
      <c r="D35" s="82"/>
      <c r="E35" s="80">
        <f>'Datos del modelo'!$F$18+2</f>
        <v>2024</v>
      </c>
      <c r="F35" s="81">
        <f>F24*'Datos del modelo'!H$46</f>
        <v>875819.07608695643</v>
      </c>
      <c r="G35" s="82"/>
      <c r="H35" s="80">
        <f>'Datos del modelo'!$F$18+2</f>
        <v>2024</v>
      </c>
      <c r="I35" s="81">
        <f>I24*'Datos del modelo'!L$46</f>
        <v>3392646.5263157892</v>
      </c>
      <c r="J35" s="73"/>
      <c r="K35" s="15"/>
      <c r="L35" s="80">
        <f>'Datos del modelo'!$F$18+2</f>
        <v>2024</v>
      </c>
      <c r="M35" s="81">
        <f>M24*'Datos del modelo'!Q$46</f>
        <v>2907982.7368421052</v>
      </c>
      <c r="N35" s="82"/>
      <c r="O35" s="80">
        <f>'Datos del modelo'!$F$18+2</f>
        <v>2024</v>
      </c>
      <c r="P35" s="81">
        <f>P24*'Datos del modelo'!U$46</f>
        <v>875819.07608695643</v>
      </c>
      <c r="Q35" s="82"/>
      <c r="R35" s="80">
        <f>'Datos del modelo'!$F$18+2</f>
        <v>2024</v>
      </c>
      <c r="S35" s="81" t="e">
        <f>S24*'Datos del modelo'!Y$46</f>
        <v>#VALUE!</v>
      </c>
    </row>
    <row r="36" spans="1:19" ht="15.5" outlineLevel="1" x14ac:dyDescent="0.35">
      <c r="A36" s="15"/>
      <c r="B36" s="80">
        <f>'Datos del modelo'!$F$18+3</f>
        <v>2025</v>
      </c>
      <c r="C36" s="81">
        <f>C25*'Datos del modelo'!D$46</f>
        <v>618578.50173913047</v>
      </c>
      <c r="D36" s="82"/>
      <c r="E36" s="80">
        <f>'Datos del modelo'!$F$18+3</f>
        <v>2025</v>
      </c>
      <c r="F36" s="81">
        <f>F25*'Datos del modelo'!H$46</f>
        <v>902093.64836956526</v>
      </c>
      <c r="G36" s="82"/>
      <c r="H36" s="80">
        <f>'Datos del modelo'!$F$18+3</f>
        <v>2025</v>
      </c>
      <c r="I36" s="81">
        <f>I25*'Datos del modelo'!L$46</f>
        <v>3494425.9221052635</v>
      </c>
      <c r="J36" s="73"/>
      <c r="K36" s="15"/>
      <c r="L36" s="80">
        <f>'Datos del modelo'!$F$18+3</f>
        <v>2025</v>
      </c>
      <c r="M36" s="81">
        <f>M25*'Datos del modelo'!Q$46</f>
        <v>2995222.2189473687</v>
      </c>
      <c r="N36" s="82"/>
      <c r="O36" s="80">
        <f>'Datos del modelo'!$F$18+3</f>
        <v>2025</v>
      </c>
      <c r="P36" s="81">
        <f>P25*'Datos del modelo'!U$46</f>
        <v>902093.64836956526</v>
      </c>
      <c r="Q36" s="82"/>
      <c r="R36" s="80">
        <f>'Datos del modelo'!$F$18+3</f>
        <v>2025</v>
      </c>
      <c r="S36" s="81" t="e">
        <f>S25*'Datos del modelo'!Y$46</f>
        <v>#VALUE!</v>
      </c>
    </row>
    <row r="37" spans="1:19" ht="15.5" outlineLevel="1" x14ac:dyDescent="0.35">
      <c r="A37" s="15"/>
      <c r="B37" s="80">
        <f>'Datos del modelo'!$F$18+4</f>
        <v>2026</v>
      </c>
      <c r="C37" s="81">
        <f>C26*'Datos del modelo'!D$46</f>
        <v>637135.85679130431</v>
      </c>
      <c r="D37" s="82"/>
      <c r="E37" s="80">
        <f>'Datos del modelo'!$F$18+4</f>
        <v>2026</v>
      </c>
      <c r="F37" s="81">
        <f>F26*'Datos del modelo'!H$46</f>
        <v>929156.45782065205</v>
      </c>
      <c r="G37" s="82"/>
      <c r="H37" s="80">
        <f>'Datos del modelo'!$F$18+4</f>
        <v>2026</v>
      </c>
      <c r="I37" s="81">
        <f>I26*'Datos del modelo'!L$46</f>
        <v>3599258.6997684203</v>
      </c>
      <c r="J37" s="73"/>
      <c r="K37" s="15"/>
      <c r="L37" s="80">
        <f>'Datos del modelo'!$F$18+4</f>
        <v>2026</v>
      </c>
      <c r="M37" s="81">
        <f>M26*'Datos del modelo'!Q$46</f>
        <v>3085078.885515789</v>
      </c>
      <c r="N37" s="82"/>
      <c r="O37" s="80">
        <f>'Datos del modelo'!$F$18+4</f>
        <v>2026</v>
      </c>
      <c r="P37" s="81">
        <f>P26*'Datos del modelo'!U$46</f>
        <v>929156.45782065205</v>
      </c>
      <c r="Q37" s="82"/>
      <c r="R37" s="80">
        <f>'Datos del modelo'!$F$18+4</f>
        <v>2026</v>
      </c>
      <c r="S37" s="81" t="e">
        <f>S26*'Datos del modelo'!Y$46</f>
        <v>#VALUE!</v>
      </c>
    </row>
    <row r="38" spans="1:19" ht="15.5" outlineLevel="1" x14ac:dyDescent="0.35">
      <c r="A38" s="15"/>
      <c r="B38" s="80">
        <f>'Datos del modelo'!$F$18+5</f>
        <v>2027</v>
      </c>
      <c r="C38" s="81">
        <f>C27*'Datos del modelo'!D$46</f>
        <v>656249.93249504326</v>
      </c>
      <c r="D38" s="82"/>
      <c r="E38" s="80">
        <f>'Datos del modelo'!$F$18+5</f>
        <v>2027</v>
      </c>
      <c r="F38" s="81">
        <f>F27*'Datos del modelo'!H$46</f>
        <v>957031.15155527159</v>
      </c>
      <c r="G38" s="82"/>
      <c r="H38" s="80">
        <f>'Datos del modelo'!$F$18+5</f>
        <v>2027</v>
      </c>
      <c r="I38" s="81">
        <f>I27*'Datos del modelo'!L$46</f>
        <v>3707236.4607614726</v>
      </c>
      <c r="J38" s="73"/>
      <c r="K38" s="15"/>
      <c r="L38" s="80">
        <f>'Datos del modelo'!$F$18+5</f>
        <v>2027</v>
      </c>
      <c r="M38" s="81">
        <f>M27*'Datos del modelo'!Q$46</f>
        <v>3177631.2520812624</v>
      </c>
      <c r="N38" s="82"/>
      <c r="O38" s="80">
        <f>'Datos del modelo'!$F$18+5</f>
        <v>2027</v>
      </c>
      <c r="P38" s="81">
        <f>P27*'Datos del modelo'!U$46</f>
        <v>957031.15155527159</v>
      </c>
      <c r="Q38" s="82"/>
      <c r="R38" s="80">
        <f>'Datos del modelo'!$F$18+5</f>
        <v>2027</v>
      </c>
      <c r="S38" s="81" t="e">
        <f>S27*'Datos del modelo'!Y$46</f>
        <v>#VALUE!</v>
      </c>
    </row>
    <row r="39" spans="1:19" ht="15.5" outlineLevel="1" x14ac:dyDescent="0.35">
      <c r="A39" s="15"/>
      <c r="B39" s="80">
        <f>'Datos del modelo'!$F$18+6</f>
        <v>2028</v>
      </c>
      <c r="C39" s="81">
        <f>C28*'Datos del modelo'!D$46</f>
        <v>675937.43046989467</v>
      </c>
      <c r="D39" s="82"/>
      <c r="E39" s="80">
        <f>'Datos del modelo'!$F$18+6</f>
        <v>2028</v>
      </c>
      <c r="F39" s="81">
        <f>F28*'Datos del modelo'!H$46</f>
        <v>985742.08610192966</v>
      </c>
      <c r="G39" s="82"/>
      <c r="H39" s="80">
        <f>'Datos del modelo'!$F$18+6</f>
        <v>2028</v>
      </c>
      <c r="I39" s="81">
        <f>I28*'Datos del modelo'!L$46</f>
        <v>3818453.5545843164</v>
      </c>
      <c r="J39" s="73"/>
      <c r="K39" s="15"/>
      <c r="L39" s="80">
        <f>'Datos del modelo'!$F$18+6</f>
        <v>2028</v>
      </c>
      <c r="M39" s="81">
        <f>M28*'Datos del modelo'!Q$46</f>
        <v>3272960.1896436997</v>
      </c>
      <c r="N39" s="82"/>
      <c r="O39" s="80">
        <f>'Datos del modelo'!$F$18+6</f>
        <v>2028</v>
      </c>
      <c r="P39" s="81">
        <f>P28*'Datos del modelo'!U$46</f>
        <v>985742.08610192966</v>
      </c>
      <c r="Q39" s="82"/>
      <c r="R39" s="80">
        <f>'Datos del modelo'!$F$18+6</f>
        <v>2028</v>
      </c>
      <c r="S39" s="81" t="e">
        <f>S28*'Datos del modelo'!Y$46</f>
        <v>#VALUE!</v>
      </c>
    </row>
    <row r="40" spans="1:19" ht="15.5" outlineLevel="1" x14ac:dyDescent="0.35">
      <c r="A40" s="15"/>
      <c r="B40" s="80">
        <f>'Datos del modelo'!$F$18+7</f>
        <v>2029</v>
      </c>
      <c r="C40" s="81">
        <f>C29*'Datos del modelo'!D$46</f>
        <v>696215.55338399147</v>
      </c>
      <c r="D40" s="82"/>
      <c r="E40" s="80">
        <f>'Datos del modelo'!$F$18+7</f>
        <v>2029</v>
      </c>
      <c r="F40" s="81">
        <f>F29*'Datos del modelo'!H$46</f>
        <v>1015314.3486849876</v>
      </c>
      <c r="G40" s="82"/>
      <c r="H40" s="80">
        <f>'Datos del modelo'!$F$18+7</f>
        <v>2029</v>
      </c>
      <c r="I40" s="81">
        <f>I29*'Datos del modelo'!L$46</f>
        <v>3933007.1612218474</v>
      </c>
      <c r="J40" s="73"/>
      <c r="K40" s="15"/>
      <c r="L40" s="80">
        <f>'Datos del modelo'!$F$18+7</f>
        <v>2029</v>
      </c>
      <c r="M40" s="81">
        <f>M29*'Datos del modelo'!Q$46</f>
        <v>3371148.9953330122</v>
      </c>
      <c r="N40" s="82"/>
      <c r="O40" s="80">
        <f>'Datos del modelo'!$F$18+7</f>
        <v>2029</v>
      </c>
      <c r="P40" s="81">
        <f>P29*'Datos del modelo'!U$46</f>
        <v>1015314.3486849876</v>
      </c>
      <c r="Q40" s="82"/>
      <c r="R40" s="80">
        <f>'Datos del modelo'!$F$18+7</f>
        <v>2029</v>
      </c>
      <c r="S40" s="81" t="e">
        <f>S29*'Datos del modelo'!Y$46</f>
        <v>#VALUE!</v>
      </c>
    </row>
    <row r="41" spans="1:19" ht="15.5" outlineLevel="1" x14ac:dyDescent="0.35">
      <c r="A41" s="15"/>
      <c r="B41" s="80">
        <f>'Datos del modelo'!$F$18+8</f>
        <v>2030</v>
      </c>
      <c r="C41" s="81">
        <f>C30*'Datos del modelo'!D$46</f>
        <v>717102.01998551108</v>
      </c>
      <c r="D41" s="82"/>
      <c r="E41" s="80">
        <f>'Datos del modelo'!$F$18+8</f>
        <v>2030</v>
      </c>
      <c r="F41" s="81">
        <f>F30*'Datos del modelo'!H$46</f>
        <v>1045773.7791455371</v>
      </c>
      <c r="G41" s="82"/>
      <c r="H41" s="80">
        <f>'Datos del modelo'!$F$18+8</f>
        <v>2030</v>
      </c>
      <c r="I41" s="81">
        <f>I30*'Datos del modelo'!L$46</f>
        <v>4050997.3760585017</v>
      </c>
      <c r="J41" s="73"/>
      <c r="K41" s="15"/>
      <c r="L41" s="80">
        <f>'Datos del modelo'!$F$18+8</f>
        <v>2030</v>
      </c>
      <c r="M41" s="81">
        <f>M30*'Datos del modelo'!Q$46</f>
        <v>3472283.4651930016</v>
      </c>
      <c r="N41" s="82"/>
      <c r="O41" s="80">
        <f>'Datos del modelo'!$F$18+8</f>
        <v>2030</v>
      </c>
      <c r="P41" s="81">
        <f>P30*'Datos del modelo'!U$46</f>
        <v>1045773.7791455371</v>
      </c>
      <c r="Q41" s="82"/>
      <c r="R41" s="80">
        <f>'Datos del modelo'!$F$18+8</f>
        <v>2030</v>
      </c>
      <c r="S41" s="81" t="e">
        <f>S30*'Datos del modelo'!Y$46</f>
        <v>#VALUE!</v>
      </c>
    </row>
    <row r="42" spans="1:19" ht="15.5" outlineLevel="1" x14ac:dyDescent="0.35">
      <c r="A42" s="15"/>
      <c r="B42" s="80">
        <f>'Datos del modelo'!$F$18+9</f>
        <v>2031</v>
      </c>
      <c r="C42" s="81">
        <f>C31*'Datos del modelo'!D$46</f>
        <v>738615.08058507659</v>
      </c>
      <c r="D42" s="82"/>
      <c r="E42" s="80">
        <f>'Datos del modelo'!$F$18+9</f>
        <v>2031</v>
      </c>
      <c r="F42" s="81">
        <f>F31*'Datos del modelo'!H$46</f>
        <v>1077146.9925199035</v>
      </c>
      <c r="G42" s="82"/>
      <c r="H42" s="80">
        <f>'Datos del modelo'!$F$18+9</f>
        <v>2031</v>
      </c>
      <c r="I42" s="81">
        <f>I31*'Datos del modelo'!L$46</f>
        <v>4172527.2973402576</v>
      </c>
      <c r="J42" s="73"/>
      <c r="K42" s="15"/>
      <c r="L42" s="80">
        <f>'Datos del modelo'!$F$18+9</f>
        <v>2031</v>
      </c>
      <c r="M42" s="81">
        <f>M31*'Datos del modelo'!Q$46</f>
        <v>3576451.9691487923</v>
      </c>
      <c r="N42" s="82"/>
      <c r="O42" s="80">
        <f>'Datos del modelo'!$F$18+9</f>
        <v>2031</v>
      </c>
      <c r="P42" s="81">
        <f>P31*'Datos del modelo'!U$46</f>
        <v>1077146.9925199035</v>
      </c>
      <c r="Q42" s="82"/>
      <c r="R42" s="80">
        <f>'Datos del modelo'!$F$18+9</f>
        <v>2031</v>
      </c>
      <c r="S42" s="81" t="e">
        <f>S31*'Datos del modelo'!Y$46</f>
        <v>#VALUE!</v>
      </c>
    </row>
    <row r="43" spans="1:19" ht="35.4" customHeight="1" outlineLevel="1" x14ac:dyDescent="0.35">
      <c r="A43" s="15"/>
      <c r="B43" s="276" t="s">
        <v>121</v>
      </c>
      <c r="C43" s="276"/>
      <c r="D43" s="276"/>
      <c r="E43" s="276"/>
      <c r="F43" s="276"/>
      <c r="G43" s="276"/>
      <c r="H43" s="276"/>
      <c r="I43" s="276"/>
      <c r="J43" s="73"/>
      <c r="K43" s="15"/>
      <c r="L43" s="276" t="s">
        <v>121</v>
      </c>
      <c r="M43" s="276"/>
      <c r="N43" s="276"/>
      <c r="O43" s="276"/>
      <c r="P43" s="276"/>
      <c r="Q43" s="276"/>
      <c r="R43" s="276"/>
      <c r="S43" s="276"/>
    </row>
    <row r="44" spans="1:19" ht="10.4" customHeight="1" x14ac:dyDescent="0.35">
      <c r="A44" s="15"/>
      <c r="B44" s="195"/>
      <c r="C44" s="196"/>
      <c r="D44" s="84"/>
      <c r="E44" s="197"/>
      <c r="F44" s="196"/>
      <c r="G44" s="82"/>
      <c r="H44" s="195"/>
      <c r="I44" s="196"/>
      <c r="J44" s="73"/>
      <c r="K44" s="15"/>
      <c r="L44" s="195"/>
      <c r="M44" s="196"/>
      <c r="N44" s="84"/>
      <c r="O44" s="197"/>
      <c r="P44" s="196"/>
      <c r="Q44" s="82"/>
      <c r="R44" s="195"/>
      <c r="S44" s="196"/>
    </row>
    <row r="45" spans="1:19" ht="18.5" x14ac:dyDescent="0.35">
      <c r="A45" s="15"/>
      <c r="B45" s="269" t="s">
        <v>122</v>
      </c>
      <c r="C45" s="269"/>
      <c r="D45" s="15"/>
      <c r="E45" s="269" t="s">
        <v>122</v>
      </c>
      <c r="F45" s="269"/>
      <c r="G45" s="15"/>
      <c r="H45" s="269" t="s">
        <v>122</v>
      </c>
      <c r="I45" s="269"/>
      <c r="J45" s="73"/>
      <c r="K45" s="15"/>
      <c r="L45" s="269" t="s">
        <v>122</v>
      </c>
      <c r="M45" s="269"/>
      <c r="N45" s="15"/>
      <c r="O45" s="269" t="s">
        <v>122</v>
      </c>
      <c r="P45" s="269"/>
      <c r="Q45" s="15"/>
      <c r="R45" s="269" t="s">
        <v>122</v>
      </c>
      <c r="S45" s="269"/>
    </row>
    <row r="46" spans="1:19" ht="30" customHeight="1" x14ac:dyDescent="0.35">
      <c r="A46" s="15"/>
      <c r="B46" s="218" t="s">
        <v>123</v>
      </c>
      <c r="C46" s="275"/>
      <c r="D46" s="15"/>
      <c r="E46" s="218" t="s">
        <v>123</v>
      </c>
      <c r="F46" s="275"/>
      <c r="G46" s="15"/>
      <c r="H46" s="218" t="s">
        <v>123</v>
      </c>
      <c r="I46" s="274"/>
      <c r="J46" s="73"/>
      <c r="K46" s="15"/>
      <c r="L46" s="218" t="s">
        <v>123</v>
      </c>
      <c r="M46" s="275"/>
      <c r="N46" s="15"/>
      <c r="O46" s="218" t="s">
        <v>123</v>
      </c>
      <c r="P46" s="275"/>
      <c r="Q46" s="15"/>
      <c r="R46" s="218" t="s">
        <v>123</v>
      </c>
      <c r="S46" s="275"/>
    </row>
    <row r="47" spans="1:19" ht="60" customHeight="1" x14ac:dyDescent="0.35">
      <c r="A47" s="15"/>
      <c r="B47" s="80" t="s">
        <v>118</v>
      </c>
      <c r="C47" s="211">
        <f>SUM(C48:C57)</f>
        <v>5550100.821571555</v>
      </c>
      <c r="D47" s="82"/>
      <c r="E47" s="80" t="s">
        <v>118</v>
      </c>
      <c r="F47" s="211">
        <f>SUM(F48:F57)</f>
        <v>3680517.9666874772</v>
      </c>
      <c r="G47" s="82"/>
      <c r="H47" s="80" t="s">
        <v>118</v>
      </c>
      <c r="I47" s="211">
        <f>SUM(I48:I57)</f>
        <v>5206172.5470139328</v>
      </c>
      <c r="J47" s="73"/>
      <c r="K47" s="15"/>
      <c r="L47" s="80" t="s">
        <v>118</v>
      </c>
      <c r="M47" s="211">
        <f>SUM(M48:M57)</f>
        <v>5809687.0124501958</v>
      </c>
      <c r="N47" s="82"/>
      <c r="O47" s="80" t="s">
        <v>118</v>
      </c>
      <c r="P47" s="211">
        <f>SUM(P48:P57)</f>
        <v>5283017.5565881161</v>
      </c>
      <c r="Q47" s="82"/>
      <c r="R47" s="80" t="s">
        <v>118</v>
      </c>
      <c r="S47" s="211" t="e">
        <f>SUM(S48:S57)</f>
        <v>#VALUE!</v>
      </c>
    </row>
    <row r="48" spans="1:19" ht="15.5" outlineLevel="1" x14ac:dyDescent="0.35">
      <c r="A48" s="15"/>
      <c r="B48" s="80">
        <f>'Datos del modelo'!$F$18</f>
        <v>2022</v>
      </c>
      <c r="C48" s="213">
        <f>C22*('Datos del modelo'!D35+'Datos del modelo'!D35*'Datos del modelo'!D$50+'Datos del modelo'!D35*'Datos del modelo'!D$51)+(C10/'Datos del modelo'!D$53*'Datos del modelo'!D$52)+(C10*'Datos del modelo'!D$54)</f>
        <v>236020.52173913043</v>
      </c>
      <c r="D48" s="82"/>
      <c r="E48" s="80">
        <f>'Datos del modelo'!$F$18</f>
        <v>2022</v>
      </c>
      <c r="F48" s="213">
        <f>F22*('Datos del modelo'!H35+'Datos del modelo'!H35*'Datos del modelo'!H$50+'Datos del modelo'!H35*'Datos del modelo'!H$51)+(F10/'Datos del modelo'!H$53*'Datos del modelo'!H$52)+(F10*'Datos del modelo'!H$54)</f>
        <v>158353.39130434784</v>
      </c>
      <c r="G48" s="82"/>
      <c r="H48" s="80">
        <f>'Datos del modelo'!$F$18</f>
        <v>2022</v>
      </c>
      <c r="I48" s="213">
        <f>I22*('Datos del modelo'!L35+'Datos del modelo'!L35*'Datos del modelo'!L$50+'Datos del modelo'!L35*'Datos del modelo'!L$51)+(I10/'Datos del modelo'!L$53*'Datos del modelo'!L$52)+(I10*'Datos del modelo'!L$54)</f>
        <v>221732.88421052633</v>
      </c>
      <c r="J48" s="15"/>
      <c r="K48" s="86"/>
      <c r="L48" s="87">
        <f>'Datos del modelo'!$F$18</f>
        <v>2022</v>
      </c>
      <c r="M48" s="214">
        <f>M22*('Datos del modelo'!Q35+'Datos del modelo'!Q35*'Datos del modelo'!Q$50+'Datos del modelo'!Q35*'Datos del modelo'!Q$51)+(M10/'Datos del modelo'!Q$53*'Datos del modelo'!Q$52)+(M10*'Datos del modelo'!Q$54)</f>
        <v>246804.37894736842</v>
      </c>
      <c r="N48" s="82"/>
      <c r="O48" s="80">
        <f>'Datos del modelo'!$F$18</f>
        <v>2022</v>
      </c>
      <c r="P48" s="213">
        <f>P22*('Datos del modelo'!U35+'Datos del modelo'!U35*'Datos del modelo'!U$50+'Datos del modelo'!U35*'Datos del modelo'!U$51)+(P10/'Datos del modelo'!U$53*'Datos del modelo'!U$52)+(P10*'Datos del modelo'!U$54)</f>
        <v>224925.21739130435</v>
      </c>
      <c r="Q48" s="82"/>
      <c r="R48" s="80">
        <f>'Datos del modelo'!$F$18</f>
        <v>2022</v>
      </c>
      <c r="S48" s="213" t="e">
        <f>S22*('Datos del modelo'!Y35+'Datos del modelo'!Y35*'Datos del modelo'!Y$50+'Datos del modelo'!Y35*'Datos del modelo'!Y$51)+(S10/'Datos del modelo'!Y$53*'Datos del modelo'!Y$52)+(S10*'Datos del modelo'!Y$54)</f>
        <v>#VALUE!</v>
      </c>
    </row>
    <row r="49" spans="1:19" ht="15.5" outlineLevel="1" x14ac:dyDescent="0.35">
      <c r="A49" s="15"/>
      <c r="B49" s="80">
        <f>'Datos del modelo'!$F$18+1</f>
        <v>2023</v>
      </c>
      <c r="C49" s="213">
        <f>C23*('Datos del modelo'!D36+'Datos del modelo'!D36*'Datos del modelo'!D$50+'Datos del modelo'!D36*'Datos del modelo'!D$51)+(C11/'Datos del modelo'!D$53*'Datos del modelo'!D$52)+(C11*'Datos del modelo'!D$54)</f>
        <v>276297.23130434781</v>
      </c>
      <c r="D49" s="82"/>
      <c r="E49" s="80">
        <f>'Datos del modelo'!$F$18+1</f>
        <v>2023</v>
      </c>
      <c r="F49" s="213">
        <f>F23*('Datos del modelo'!H36+'Datos del modelo'!H36*'Datos del modelo'!H$50+'Datos del modelo'!H36*'Datos del modelo'!H$51)+(F11/'Datos del modelo'!H$53*'Datos del modelo'!H$52)+(F11*'Datos del modelo'!H$54)</f>
        <v>184871.92347826087</v>
      </c>
      <c r="G49" s="82"/>
      <c r="H49" s="80">
        <f>'Datos del modelo'!$F$18+1</f>
        <v>2023</v>
      </c>
      <c r="I49" s="213">
        <f>I23*('Datos del modelo'!L36+'Datos del modelo'!L36*'Datos del modelo'!L$50+'Datos del modelo'!L36*'Datos del modelo'!L$51)+(I11/'Datos del modelo'!L$53*'Datos del modelo'!L$52)+(I11*'Datos del modelo'!L$54)</f>
        <v>259478.6408421052</v>
      </c>
      <c r="J49" s="88"/>
      <c r="K49" s="64"/>
      <c r="L49" s="89">
        <f>'Datos del modelo'!$F$18+1</f>
        <v>2023</v>
      </c>
      <c r="M49" s="214">
        <f>M23*('Datos del modelo'!Q36+'Datos del modelo'!Q36*'Datos del modelo'!Q$50+'Datos del modelo'!Q36*'Datos del modelo'!Q$51)+(M11/'Datos del modelo'!Q$53*'Datos del modelo'!Q$52)+(M11*'Datos del modelo'!Q$54)</f>
        <v>288991.37178947369</v>
      </c>
      <c r="N49" s="82"/>
      <c r="O49" s="80">
        <f>'Datos del modelo'!$F$18+1</f>
        <v>2023</v>
      </c>
      <c r="P49" s="213">
        <f>P23*('Datos del modelo'!U36+'Datos del modelo'!U36*'Datos del modelo'!U$50+'Datos del modelo'!U36*'Datos del modelo'!U$51)+(P11/'Datos del modelo'!U$53*'Datos del modelo'!U$52)+(P11*'Datos del modelo'!U$54)</f>
        <v>263236.47304347821</v>
      </c>
      <c r="Q49" s="82"/>
      <c r="R49" s="80">
        <f>'Datos del modelo'!$F$18+1</f>
        <v>2023</v>
      </c>
      <c r="S49" s="213" t="e">
        <f>S23*('Datos del modelo'!Y36+'Datos del modelo'!Y36*'Datos del modelo'!Y$50+'Datos del modelo'!Y36*'Datos del modelo'!Y$51)+(S11/'Datos del modelo'!Y$53*'Datos del modelo'!Y$52)+(S11*'Datos del modelo'!Y$54)</f>
        <v>#VALUE!</v>
      </c>
    </row>
    <row r="50" spans="1:19" ht="15.5" outlineLevel="1" x14ac:dyDescent="0.35">
      <c r="A50" s="15"/>
      <c r="B50" s="80">
        <f>'Datos del modelo'!$F$18+2</f>
        <v>2024</v>
      </c>
      <c r="C50" s="213">
        <f>C24*('Datos del modelo'!D37+'Datos del modelo'!D37*'Datos del modelo'!D$50+'Datos del modelo'!D37*'Datos del modelo'!D$51)+(C12/'Datos del modelo'!D$53*'Datos del modelo'!D$52)+(C12*'Datos del modelo'!D$54)</f>
        <v>327326.11915652169</v>
      </c>
      <c r="D50" s="82"/>
      <c r="E50" s="80">
        <f>'Datos del modelo'!$F$18+2</f>
        <v>2024</v>
      </c>
      <c r="F50" s="213">
        <f>F24*('Datos del modelo'!H37+'Datos del modelo'!H37*'Datos del modelo'!H$50+'Datos del modelo'!H37*'Datos del modelo'!H$51)+(F12/'Datos del modelo'!H$53*'Datos del modelo'!H$52)+(F12*'Datos del modelo'!H$54)</f>
        <v>218444.29161739125</v>
      </c>
      <c r="G50" s="82"/>
      <c r="H50" s="80">
        <f>'Datos del modelo'!$F$18+2</f>
        <v>2024</v>
      </c>
      <c r="I50" s="213">
        <f>I24*('Datos del modelo'!L37+'Datos del modelo'!L37*'Datos del modelo'!L$50+'Datos del modelo'!L37*'Datos del modelo'!L$51)+(I12/'Datos del modelo'!L$53*'Datos del modelo'!L$52)+(I12*'Datos del modelo'!L$54)</f>
        <v>307296.22907789482</v>
      </c>
      <c r="J50" s="88"/>
      <c r="K50" s="15"/>
      <c r="L50" s="90">
        <f>'Datos del modelo'!$F$18+2</f>
        <v>2024</v>
      </c>
      <c r="M50" s="214">
        <f>M24*('Datos del modelo'!Q37+'Datos del modelo'!Q37*'Datos del modelo'!Q$50+'Datos del modelo'!Q37*'Datos del modelo'!Q$51)+(M12/'Datos del modelo'!Q$53*'Datos del modelo'!Q$52)+(M12*'Datos del modelo'!Q$54)</f>
        <v>342444.04709052626</v>
      </c>
      <c r="N50" s="82"/>
      <c r="O50" s="80">
        <f>'Datos del modelo'!$F$18+2</f>
        <v>2024</v>
      </c>
      <c r="P50" s="213">
        <f>P24*('Datos del modelo'!U37+'Datos del modelo'!U37*'Datos del modelo'!U$50+'Datos del modelo'!U37*'Datos del modelo'!U$51)+(P12/'Datos del modelo'!U$53*'Datos del modelo'!U$52)+(P12*'Datos del modelo'!U$54)</f>
        <v>311771.57236521738</v>
      </c>
      <c r="Q50" s="82"/>
      <c r="R50" s="80">
        <f>'Datos del modelo'!$F$18+2</f>
        <v>2024</v>
      </c>
      <c r="S50" s="213" t="e">
        <f>S24*('Datos del modelo'!Y37+'Datos del modelo'!Y37*'Datos del modelo'!Y$50+'Datos del modelo'!Y37*'Datos del modelo'!Y$51)+(S12/'Datos del modelo'!Y$53*'Datos del modelo'!Y$52)+(S12*'Datos del modelo'!Y$54)</f>
        <v>#VALUE!</v>
      </c>
    </row>
    <row r="51" spans="1:19" ht="15.5" outlineLevel="1" x14ac:dyDescent="0.35">
      <c r="A51" s="15"/>
      <c r="B51" s="80">
        <f>'Datos del modelo'!$F$18+3</f>
        <v>2025</v>
      </c>
      <c r="C51" s="213">
        <f>C25*('Datos del modelo'!D38+'Datos del modelo'!D38*'Datos del modelo'!D$50+'Datos del modelo'!D38*'Datos del modelo'!D$51)+(C13/'Datos del modelo'!D$53*'Datos del modelo'!D$52)+(C13*'Datos del modelo'!D$54)</f>
        <v>389972.50677973911</v>
      </c>
      <c r="D51" s="82"/>
      <c r="E51" s="80">
        <f>'Datos del modelo'!$F$18+3</f>
        <v>2025</v>
      </c>
      <c r="F51" s="213">
        <f>F25*('Datos del modelo'!H38+'Datos del modelo'!H38*'Datos del modelo'!H$50+'Datos del modelo'!H38*'Datos del modelo'!H$51)+(F13/'Datos del modelo'!H$53*'Datos del modelo'!H$52)+(F13*'Datos del modelo'!H$54)</f>
        <v>259638.0164633044</v>
      </c>
      <c r="G51" s="82"/>
      <c r="H51" s="80">
        <f>'Datos del modelo'!$F$18+3</f>
        <v>2025</v>
      </c>
      <c r="I51" s="213">
        <f>I25*('Datos del modelo'!L38+'Datos del modelo'!L38*'Datos del modelo'!L$50+'Datos del modelo'!L38*'Datos del modelo'!L$51)+(I13/'Datos del modelo'!L$53*'Datos del modelo'!L$52)+(I13*'Datos del modelo'!L$54)</f>
        <v>365996.18700724212</v>
      </c>
      <c r="J51" s="88"/>
      <c r="K51" s="15"/>
      <c r="L51" s="80">
        <f>'Datos del modelo'!$F$18+3</f>
        <v>2025</v>
      </c>
      <c r="M51" s="214">
        <f>M25*('Datos del modelo'!Q38+'Datos del modelo'!Q38*'Datos del modelo'!Q$50+'Datos del modelo'!Q38*'Datos del modelo'!Q$51)+(M13/'Datos del modelo'!Q$53*'Datos del modelo'!Q$52)+(M13*'Datos del modelo'!Q$54)</f>
        <v>408069.07510938949</v>
      </c>
      <c r="N51" s="82"/>
      <c r="O51" s="80">
        <f>'Datos del modelo'!$F$18+3</f>
        <v>2025</v>
      </c>
      <c r="P51" s="213">
        <f>P25*('Datos del modelo'!U38+'Datos del modelo'!U38*'Datos del modelo'!U$50+'Datos del modelo'!U38*'Datos del modelo'!U$51)+(P13/'Datos del modelo'!U$53*'Datos del modelo'!U$52)+(P13*'Datos del modelo'!U$54)</f>
        <v>371353.29387739132</v>
      </c>
      <c r="Q51" s="82"/>
      <c r="R51" s="80">
        <f>'Datos del modelo'!$F$18+3</f>
        <v>2025</v>
      </c>
      <c r="S51" s="213" t="e">
        <f>S25*('Datos del modelo'!Y38+'Datos del modelo'!Y38*'Datos del modelo'!Y$50+'Datos del modelo'!Y38*'Datos del modelo'!Y$51)+(S13/'Datos del modelo'!Y$53*'Datos del modelo'!Y$52)+(S13*'Datos del modelo'!Y$54)</f>
        <v>#VALUE!</v>
      </c>
    </row>
    <row r="52" spans="1:19" ht="15.5" outlineLevel="1" x14ac:dyDescent="0.35">
      <c r="A52" s="15"/>
      <c r="B52" s="80">
        <f>'Datos del modelo'!$F$18+4</f>
        <v>2026</v>
      </c>
      <c r="C52" s="213">
        <f>C26*('Datos del modelo'!D39+'Datos del modelo'!D39*'Datos del modelo'!D$50+'Datos del modelo'!D39*'Datos del modelo'!D$51)+(C14/'Datos del modelo'!D$53*'Datos del modelo'!D$52)+(C14*'Datos del modelo'!D$54)</f>
        <v>456083.08415310859</v>
      </c>
      <c r="D52" s="82"/>
      <c r="E52" s="80">
        <f>'Datos del modelo'!$F$18+4</f>
        <v>2026</v>
      </c>
      <c r="F52" s="213">
        <f>F26*('Datos del modelo'!H39+'Datos del modelo'!H39*'Datos del modelo'!H$50+'Datos del modelo'!H39*'Datos del modelo'!H$51)+(F14/'Datos del modelo'!H$53*'Datos del modelo'!H$52)+(F14*'Datos del modelo'!H$54)</f>
        <v>303106.76493751648</v>
      </c>
      <c r="G52" s="82"/>
      <c r="H52" s="80">
        <f>'Datos del modelo'!$F$18+4</f>
        <v>2026</v>
      </c>
      <c r="I52" s="213">
        <f>I26*('Datos del modelo'!L39+'Datos del modelo'!L39*'Datos del modelo'!L$50+'Datos del modelo'!L39*'Datos del modelo'!L$51)+(I14/'Datos del modelo'!L$53*'Datos del modelo'!L$52)+(I14*'Datos del modelo'!L$54)</f>
        <v>427941.57580618019</v>
      </c>
      <c r="J52" s="88"/>
      <c r="K52" s="15"/>
      <c r="L52" s="80">
        <f>'Datos del modelo'!$F$18+4</f>
        <v>2026</v>
      </c>
      <c r="M52" s="214">
        <f>M26*('Datos del modelo'!Q39+'Datos del modelo'!Q39*'Datos del modelo'!Q$50+'Datos del modelo'!Q39*'Datos del modelo'!Q$51)+(M14/'Datos del modelo'!Q$53*'Datos del modelo'!Q$52)+(M14*'Datos del modelo'!Q$54)</f>
        <v>477323.40516700293</v>
      </c>
      <c r="N52" s="82"/>
      <c r="O52" s="80">
        <f>'Datos del modelo'!$F$18+4</f>
        <v>2026</v>
      </c>
      <c r="P52" s="213">
        <f>P26*('Datos del modelo'!U39+'Datos del modelo'!U39*'Datos del modelo'!U$50+'Datos del modelo'!U39*'Datos del modelo'!U$51)+(P14/'Datos del modelo'!U$53*'Datos del modelo'!U$52)+(P14*'Datos del modelo'!U$54)</f>
        <v>434229.32426516694</v>
      </c>
      <c r="Q52" s="82"/>
      <c r="R52" s="80">
        <f>'Datos del modelo'!$F$18+4</f>
        <v>2026</v>
      </c>
      <c r="S52" s="213" t="e">
        <f>S26*('Datos del modelo'!Y39+'Datos del modelo'!Y39*'Datos del modelo'!Y$50+'Datos del modelo'!Y39*'Datos del modelo'!Y$51)+(S14/'Datos del modelo'!Y$53*'Datos del modelo'!Y$52)+(S14*'Datos del modelo'!Y$54)</f>
        <v>#VALUE!</v>
      </c>
    </row>
    <row r="53" spans="1:19" ht="15.5" outlineLevel="1" x14ac:dyDescent="0.35">
      <c r="A53" s="15"/>
      <c r="B53" s="80">
        <f>'Datos del modelo'!$F$18+5</f>
        <v>2027</v>
      </c>
      <c r="C53" s="213">
        <f>C27*('Datos del modelo'!D40+'Datos del modelo'!D40*'Datos del modelo'!D$50+'Datos del modelo'!D40*'Datos del modelo'!D$51)+(C15/'Datos del modelo'!D$53*'Datos del modelo'!D$52)+(C15*'Datos del modelo'!D$54)</f>
        <v>535149.94495195802</v>
      </c>
      <c r="D53" s="82"/>
      <c r="E53" s="80">
        <f>'Datos del modelo'!$F$18+5</f>
        <v>2027</v>
      </c>
      <c r="F53" s="213">
        <f>F27*('Datos del modelo'!H40+'Datos del modelo'!H40*'Datos del modelo'!H$50+'Datos del modelo'!H40*'Datos del modelo'!H$51)+(F15/'Datos del modelo'!H$53*'Datos del modelo'!H$52)+(F15*'Datos del modelo'!H$54)</f>
        <v>355074.96347531816</v>
      </c>
      <c r="G53" s="82"/>
      <c r="H53" s="80">
        <f>'Datos del modelo'!$F$18+5</f>
        <v>2027</v>
      </c>
      <c r="I53" s="213">
        <f>I27*('Datos del modelo'!L40+'Datos del modelo'!L40*'Datos del modelo'!L$50+'Datos del modelo'!L40*'Datos del modelo'!L$51)+(I15/'Datos del modelo'!L$53*'Datos del modelo'!L$52)+(I15*'Datos del modelo'!L$54)</f>
        <v>502023.36941214517</v>
      </c>
      <c r="J53" s="88"/>
      <c r="K53" s="15"/>
      <c r="L53" s="80">
        <f>'Datos del modelo'!$F$18+5</f>
        <v>2027</v>
      </c>
      <c r="M53" s="214">
        <f>M27*('Datos del modelo'!Q40+'Datos del modelo'!Q40*'Datos del modelo'!Q$50+'Datos del modelo'!Q40*'Datos del modelo'!Q$51)+(M15/'Datos del modelo'!Q$53*'Datos del modelo'!Q$52)+(M15*'Datos del modelo'!Q$54)</f>
        <v>560152.837116885</v>
      </c>
      <c r="N53" s="82"/>
      <c r="O53" s="80">
        <f>'Datos del modelo'!$F$18+5</f>
        <v>2027</v>
      </c>
      <c r="P53" s="213">
        <f>P27*('Datos del modelo'!U40+'Datos del modelo'!U40*'Datos del modelo'!U$50+'Datos del modelo'!U40*'Datos del modelo'!U$51)+(P15/'Datos del modelo'!U$53*'Datos del modelo'!U$52)+(P15*'Datos del modelo'!U$54)</f>
        <v>509424.94759815233</v>
      </c>
      <c r="Q53" s="82"/>
      <c r="R53" s="80">
        <f>'Datos del modelo'!$F$18+5</f>
        <v>2027</v>
      </c>
      <c r="S53" s="213" t="e">
        <f>S27*('Datos del modelo'!Y40+'Datos del modelo'!Y40*'Datos del modelo'!Y$50+'Datos del modelo'!Y40*'Datos del modelo'!Y$51)+(S15/'Datos del modelo'!Y$53*'Datos del modelo'!Y$52)+(S15*'Datos del modelo'!Y$54)</f>
        <v>#VALUE!</v>
      </c>
    </row>
    <row r="54" spans="1:19" ht="15.5" outlineLevel="1" x14ac:dyDescent="0.35">
      <c r="A54" s="15"/>
      <c r="B54" s="80">
        <f>'Datos del modelo'!$F$18+6</f>
        <v>2028</v>
      </c>
      <c r="C54" s="213">
        <f>C28*('Datos del modelo'!D41+'Datos del modelo'!D41*'Datos del modelo'!D$50+'Datos del modelo'!D41*'Datos del modelo'!D$51)+(C16/'Datos del modelo'!D$53*'Datos del modelo'!D$52)+(C16*'Datos del modelo'!D$54)</f>
        <v>637792.02814371022</v>
      </c>
      <c r="D54" s="82"/>
      <c r="E54" s="80">
        <f>'Datos del modelo'!$F$18+6</f>
        <v>2028</v>
      </c>
      <c r="F54" s="213">
        <f>F28*('Datos del modelo'!H41+'Datos del modelo'!H41*'Datos del modelo'!H$50+'Datos del modelo'!H41*'Datos del modelo'!H$51)+(F16/'Datos del modelo'!H$53*'Datos del modelo'!H$52)+(F16*'Datos del modelo'!H$54)</f>
        <v>422505.95653904881</v>
      </c>
      <c r="G54" s="82"/>
      <c r="H54" s="80">
        <f>'Datos del modelo'!$F$18+6</f>
        <v>2028</v>
      </c>
      <c r="I54" s="213">
        <f>I28*('Datos del modelo'!L41+'Datos del modelo'!L41*'Datos del modelo'!L$50+'Datos del modelo'!L41*'Datos del modelo'!L$51)+(I16/'Datos del modelo'!L$53*'Datos del modelo'!L$52)+(I16*'Datos del modelo'!L$54)</f>
        <v>598188.02399388049</v>
      </c>
      <c r="J54" s="88"/>
      <c r="K54" s="15"/>
      <c r="L54" s="80">
        <f>'Datos del modelo'!$F$18+6</f>
        <v>2028</v>
      </c>
      <c r="M54" s="214">
        <f>M28*('Datos del modelo'!Q41+'Datos del modelo'!Q41*'Datos del modelo'!Q$50+'Datos del modelo'!Q41*'Datos del modelo'!Q$51)+(M16/'Datos del modelo'!Q$53*'Datos del modelo'!Q$52)+(M16*'Datos del modelo'!Q$54)</f>
        <v>667683.87868731492</v>
      </c>
      <c r="N54" s="82"/>
      <c r="O54" s="80">
        <f>'Datos del modelo'!$F$18+6</f>
        <v>2028</v>
      </c>
      <c r="P54" s="213">
        <f>P28*('Datos del modelo'!U41+'Datos del modelo'!U41*'Datos del modelo'!U$50+'Datos del modelo'!U41*'Datos del modelo'!U$51)+(P16/'Datos del modelo'!U$53*'Datos del modelo'!U$52)+(P16*'Datos del modelo'!U$54)</f>
        <v>607036.87505733012</v>
      </c>
      <c r="Q54" s="82"/>
      <c r="R54" s="80">
        <f>'Datos del modelo'!$F$18+6</f>
        <v>2028</v>
      </c>
      <c r="S54" s="213" t="e">
        <f>S28*('Datos del modelo'!Y41+'Datos del modelo'!Y41*'Datos del modelo'!Y$50+'Datos del modelo'!Y41*'Datos del modelo'!Y$51)+(S16/'Datos del modelo'!Y$53*'Datos del modelo'!Y$52)+(S16*'Datos del modelo'!Y$54)</f>
        <v>#VALUE!</v>
      </c>
    </row>
    <row r="55" spans="1:19" ht="15.5" outlineLevel="1" x14ac:dyDescent="0.35">
      <c r="A55" s="15"/>
      <c r="B55" s="80">
        <f>'Datos del modelo'!$F$18+7</f>
        <v>2029</v>
      </c>
      <c r="C55" s="213">
        <f>C29*('Datos del modelo'!D42+'Datos del modelo'!D42*'Datos del modelo'!D$50+'Datos del modelo'!D42*'Datos del modelo'!D$51)+(C17/'Datos del modelo'!D$53*'Datos del modelo'!D$52)+(C17*'Datos del modelo'!D$54)</f>
        <v>746111.00137651071</v>
      </c>
      <c r="D55" s="82"/>
      <c r="E55" s="80">
        <f>'Datos del modelo'!$F$18+7</f>
        <v>2029</v>
      </c>
      <c r="F55" s="213">
        <f>F29*('Datos del modelo'!H42+'Datos del modelo'!H42*'Datos del modelo'!H$50+'Datos del modelo'!H42*'Datos del modelo'!H$51)+(F17/'Datos del modelo'!H$53*'Datos del modelo'!H$52)+(F17*'Datos del modelo'!H$54)</f>
        <v>493663.2417194756</v>
      </c>
      <c r="G55" s="82"/>
      <c r="H55" s="80">
        <f>'Datos del modelo'!$F$18+7</f>
        <v>2029</v>
      </c>
      <c r="I55" s="213">
        <f>I29*('Datos del modelo'!L42+'Datos del modelo'!L42*'Datos del modelo'!L$50+'Datos del modelo'!L42*'Datos del modelo'!L$51)+(I17/'Datos del modelo'!L$53*'Datos del modelo'!L$52)+(I17*'Datos del modelo'!L$54)</f>
        <v>699670.73681804887</v>
      </c>
      <c r="J55" s="88"/>
      <c r="K55" s="15"/>
      <c r="L55" s="80">
        <f>'Datos del modelo'!$F$18+7</f>
        <v>2029</v>
      </c>
      <c r="M55" s="214">
        <f>M29*('Datos del modelo'!Q42+'Datos del modelo'!Q42*'Datos del modelo'!Q$50+'Datos del modelo'!Q42*'Datos del modelo'!Q$51)+(M17/'Datos del modelo'!Q$53*'Datos del modelo'!Q$52)+(M17*'Datos del modelo'!Q$54)</f>
        <v>781162.64519856533</v>
      </c>
      <c r="N55" s="82"/>
      <c r="O55" s="80">
        <f>'Datos del modelo'!$F$18+7</f>
        <v>2029</v>
      </c>
      <c r="P55" s="213">
        <f>P29*('Datos del modelo'!U42+'Datos del modelo'!U42*'Datos del modelo'!U$50+'Datos del modelo'!U42*'Datos del modelo'!U$51)+(P17/'Datos del modelo'!U$53*'Datos del modelo'!U$52)+(P17*'Datos del modelo'!U$54)</f>
        <v>710047.03571122</v>
      </c>
      <c r="Q55" s="82"/>
      <c r="R55" s="80">
        <f>'Datos del modelo'!$F$18+7</f>
        <v>2029</v>
      </c>
      <c r="S55" s="213" t="e">
        <f>S29*('Datos del modelo'!Y42+'Datos del modelo'!Y42*'Datos del modelo'!Y$50+'Datos del modelo'!Y42*'Datos del modelo'!Y$51)+(S17/'Datos del modelo'!Y$53*'Datos del modelo'!Y$52)+(S17*'Datos del modelo'!Y$54)</f>
        <v>#VALUE!</v>
      </c>
    </row>
    <row r="56" spans="1:19" ht="15.5" outlineLevel="1" x14ac:dyDescent="0.35">
      <c r="A56" s="15"/>
      <c r="B56" s="80">
        <f>'Datos del modelo'!$F$18+8</f>
        <v>2030</v>
      </c>
      <c r="C56" s="213">
        <f>C30*('Datos del modelo'!D43+'Datos del modelo'!D43*'Datos del modelo'!D$50+'Datos del modelo'!D43*'Datos del modelo'!D$51)+(C18/'Datos del modelo'!D$53*'Datos del modelo'!D$52)+(C18*'Datos del modelo'!D$54)</f>
        <v>890975.35643133125</v>
      </c>
      <c r="D56" s="82"/>
      <c r="E56" s="80">
        <f>'Datos del modelo'!$F$18+8</f>
        <v>2030</v>
      </c>
      <c r="F56" s="213">
        <f>F30*('Datos del modelo'!H43+'Datos del modelo'!H43*'Datos del modelo'!H$50+'Datos del modelo'!H43*'Datos del modelo'!H$51)+(F18/'Datos del modelo'!H$53*'Datos del modelo'!H$52)+(F18*'Datos del modelo'!H$54)</f>
        <v>588788.56520943705</v>
      </c>
      <c r="G56" s="82"/>
      <c r="H56" s="80">
        <f>'Datos del modelo'!$F$18+8</f>
        <v>2030</v>
      </c>
      <c r="I56" s="213">
        <f>I30*('Datos del modelo'!L43+'Datos del modelo'!L43*'Datos del modelo'!L$50+'Datos del modelo'!L43*'Datos del modelo'!L$51)+(I18/'Datos del modelo'!L$53*'Datos del modelo'!L$52)+(I18*'Datos del modelo'!L$54)</f>
        <v>835385.10461256688</v>
      </c>
      <c r="J56" s="88"/>
      <c r="K56" s="15"/>
      <c r="L56" s="80">
        <f>'Datos del modelo'!$F$18+8</f>
        <v>2030</v>
      </c>
      <c r="M56" s="214">
        <f>M30*('Datos del modelo'!Q43+'Datos del modelo'!Q43*'Datos del modelo'!Q$50+'Datos del modelo'!Q43*'Datos del modelo'!Q$51)+(M18/'Datos del modelo'!Q$53*'Datos del modelo'!Q$52)+(M18*'Datos del modelo'!Q$54)</f>
        <v>932933.12142805546</v>
      </c>
      <c r="N56" s="82"/>
      <c r="O56" s="80">
        <f>'Datos del modelo'!$F$18+8</f>
        <v>2030</v>
      </c>
      <c r="P56" s="213">
        <f>P30*('Datos del modelo'!U43+'Datos del modelo'!U43*'Datos del modelo'!U$50+'Datos del modelo'!U43*'Datos del modelo'!U$51)+(P18/'Datos del modelo'!U$53*'Datos del modelo'!U$52)+(P18*'Datos del modelo'!U$54)</f>
        <v>847805.81482820353</v>
      </c>
      <c r="Q56" s="82"/>
      <c r="R56" s="80">
        <f>'Datos del modelo'!$F$18+8</f>
        <v>2030</v>
      </c>
      <c r="S56" s="213" t="e">
        <f>S30*('Datos del modelo'!Y43+'Datos del modelo'!Y43*'Datos del modelo'!Y$50+'Datos del modelo'!Y43*'Datos del modelo'!Y$51)+(S18/'Datos del modelo'!Y$53*'Datos del modelo'!Y$52)+(S18*'Datos del modelo'!Y$54)</f>
        <v>#VALUE!</v>
      </c>
    </row>
    <row r="57" spans="1:19" ht="15.5" outlineLevel="1" x14ac:dyDescent="0.35">
      <c r="A57" s="15"/>
      <c r="B57" s="80">
        <f>'Datos del modelo'!$F$18+9</f>
        <v>2031</v>
      </c>
      <c r="C57" s="213">
        <f>C31*('Datos del modelo'!D44+'Datos del modelo'!D44*'Datos del modelo'!D$50+'Datos del modelo'!D44*'Datos del modelo'!D$51)+(C19/'Datos del modelo'!D$53*'Datos del modelo'!D$52)+(C19*'Datos del modelo'!D$54)</f>
        <v>1054373.0275351969</v>
      </c>
      <c r="D57" s="82"/>
      <c r="E57" s="80">
        <f>'Datos del modelo'!$F$18+9</f>
        <v>2031</v>
      </c>
      <c r="F57" s="213">
        <f>F31*('Datos del modelo'!H44+'Datos del modelo'!H44*'Datos del modelo'!H$50+'Datos del modelo'!H44*'Datos del modelo'!H$51)+(F19/'Datos del modelo'!H$53*'Datos del modelo'!H$52)+(F19*'Datos del modelo'!H$54)</f>
        <v>696070.85194337636</v>
      </c>
      <c r="G57" s="82"/>
      <c r="H57" s="80">
        <f>'Datos del modelo'!$F$18+9</f>
        <v>2031</v>
      </c>
      <c r="I57" s="213">
        <f>I31*('Datos del modelo'!L44+'Datos del modelo'!L44*'Datos del modelo'!L$50+'Datos del modelo'!L44*'Datos del modelo'!L$51)+(I19/'Datos del modelo'!L$53*'Datos del modelo'!L$52)+(I19*'Datos del modelo'!L$54)</f>
        <v>988459.79523334326</v>
      </c>
      <c r="J57" s="88"/>
      <c r="K57" s="15"/>
      <c r="L57" s="80">
        <f>'Datos del modelo'!$F$18+9</f>
        <v>2031</v>
      </c>
      <c r="M57" s="214">
        <f>M31*('Datos del modelo'!Q44+'Datos del modelo'!Q44*'Datos del modelo'!Q$50+'Datos del modelo'!Q44*'Datos del modelo'!Q$51)+(M19/'Datos del modelo'!Q$53*'Datos del modelo'!Q$52)+(M19*'Datos del modelo'!Q$54)</f>
        <v>1104122.2519156148</v>
      </c>
      <c r="N57" s="82"/>
      <c r="O57" s="80">
        <f>'Datos del modelo'!$F$18+9</f>
        <v>2031</v>
      </c>
      <c r="P57" s="213">
        <f>P31*('Datos del modelo'!U44+'Datos del modelo'!U44*'Datos del modelo'!U$50+'Datos del modelo'!U44*'Datos del modelo'!U$51)+(P19/'Datos del modelo'!U$53*'Datos del modelo'!U$52)+(P19*'Datos del modelo'!U$54)</f>
        <v>1003187.0024506511</v>
      </c>
      <c r="Q57" s="82"/>
      <c r="R57" s="80">
        <f>'Datos del modelo'!$F$18+9</f>
        <v>2031</v>
      </c>
      <c r="S57" s="213" t="e">
        <f>S31*('Datos del modelo'!Y44+'Datos del modelo'!Y44*'Datos del modelo'!Y$50+'Datos del modelo'!Y44*'Datos del modelo'!Y$51)+(S19/'Datos del modelo'!Y$53*'Datos del modelo'!Y$52)+(S19*'Datos del modelo'!Y$54)</f>
        <v>#VALUE!</v>
      </c>
    </row>
    <row r="58" spans="1:19" ht="30" customHeight="1" outlineLevel="1" x14ac:dyDescent="0.35">
      <c r="A58" s="15"/>
      <c r="B58" s="218" t="s">
        <v>124</v>
      </c>
      <c r="C58" s="275"/>
      <c r="D58" s="82"/>
      <c r="E58" s="218" t="s">
        <v>124</v>
      </c>
      <c r="F58" s="275"/>
      <c r="G58" s="82"/>
      <c r="H58" s="218" t="s">
        <v>124</v>
      </c>
      <c r="I58" s="275"/>
      <c r="J58" s="88"/>
      <c r="K58" s="15"/>
      <c r="L58" s="218" t="s">
        <v>124</v>
      </c>
      <c r="M58" s="275"/>
      <c r="N58" s="82"/>
      <c r="O58" s="218" t="s">
        <v>124</v>
      </c>
      <c r="P58" s="275"/>
      <c r="Q58" s="82"/>
      <c r="R58" s="218" t="s">
        <v>124</v>
      </c>
      <c r="S58" s="275"/>
    </row>
    <row r="59" spans="1:19" ht="60" customHeight="1" x14ac:dyDescent="0.35">
      <c r="A59" s="15"/>
      <c r="B59" s="80" t="s">
        <v>118</v>
      </c>
      <c r="C59" s="212">
        <f>SUM(C60:C69)</f>
        <v>7405847.1795134153</v>
      </c>
      <c r="D59" s="82"/>
      <c r="E59" s="80" t="s">
        <v>118</v>
      </c>
      <c r="F59" s="212">
        <f>SUM(F60:F69)</f>
        <v>5536264.3246293385</v>
      </c>
      <c r="G59" s="82"/>
      <c r="H59" s="80" t="s">
        <v>118</v>
      </c>
      <c r="I59" s="212">
        <f>SUM(I60:I69)</f>
        <v>7061918.9049557941</v>
      </c>
      <c r="J59" s="88"/>
      <c r="K59" s="15"/>
      <c r="L59" s="80" t="s">
        <v>118</v>
      </c>
      <c r="M59" s="212">
        <f>SUM(M60:M69)</f>
        <v>7665433.3703920571</v>
      </c>
      <c r="N59" s="82"/>
      <c r="O59" s="80" t="s">
        <v>118</v>
      </c>
      <c r="P59" s="212">
        <f>SUM(P60:P69)</f>
        <v>7138763.9145299764</v>
      </c>
      <c r="Q59" s="82"/>
      <c r="R59" s="80" t="s">
        <v>118</v>
      </c>
      <c r="S59" s="212" t="e">
        <f>SUM(S60:S69)</f>
        <v>#VALUE!</v>
      </c>
    </row>
    <row r="60" spans="1:19" ht="15.5" outlineLevel="1" x14ac:dyDescent="0.35">
      <c r="A60" s="15"/>
      <c r="B60" s="80">
        <f>'Datos del modelo'!$F$18</f>
        <v>2022</v>
      </c>
      <c r="C60" s="211">
        <f>C48+(C10*'Datos del modelo'!D$61)+'Datos del modelo'!D60-'Datos del modelo'!$J$23</f>
        <v>388770.52173913043</v>
      </c>
      <c r="D60" s="82"/>
      <c r="E60" s="80">
        <f>'Datos del modelo'!$F$18</f>
        <v>2022</v>
      </c>
      <c r="F60" s="211">
        <f>F48+(F10*'Datos del modelo'!H$61)+'Datos del modelo'!H60-'Datos del modelo'!$J$23</f>
        <v>311103.39130434784</v>
      </c>
      <c r="G60" s="82"/>
      <c r="H60" s="80">
        <f>'Datos del modelo'!$F$18</f>
        <v>2022</v>
      </c>
      <c r="I60" s="211">
        <f>I48+(I10*'Datos del modelo'!L$61)+'Datos del modelo'!L60-'Datos del modelo'!$J$23</f>
        <v>374482.88421052636</v>
      </c>
      <c r="J60" s="73"/>
      <c r="K60" s="15"/>
      <c r="L60" s="80">
        <f>'Datos del modelo'!$F$18</f>
        <v>2022</v>
      </c>
      <c r="M60" s="211">
        <f>M48+(M10*'Datos del modelo'!Q$61)+'Datos del modelo'!Q60-'Datos del modelo'!$J$23</f>
        <v>399554.37894736842</v>
      </c>
      <c r="N60" s="82"/>
      <c r="O60" s="80">
        <f>'Datos del modelo'!$F$18</f>
        <v>2022</v>
      </c>
      <c r="P60" s="211">
        <f>P48+(P10*'Datos del modelo'!U$61)+'Datos del modelo'!U60-'Datos del modelo'!$J$23</f>
        <v>377675.21739130432</v>
      </c>
      <c r="Q60" s="82"/>
      <c r="R60" s="80">
        <f>'Datos del modelo'!$F$18</f>
        <v>2022</v>
      </c>
      <c r="S60" s="211" t="e">
        <f>S48+(S10*'Datos del modelo'!Y$61)+'Datos del modelo'!Y60-'Datos del modelo'!$J$23</f>
        <v>#VALUE!</v>
      </c>
    </row>
    <row r="61" spans="1:19" ht="15.5" outlineLevel="1" x14ac:dyDescent="0.35">
      <c r="A61" s="15"/>
      <c r="B61" s="80">
        <f>'Datos del modelo'!$F$18+1</f>
        <v>2023</v>
      </c>
      <c r="C61" s="211">
        <f>C49+C11*'Datos del modelo'!D$61</f>
        <v>443929.73130434781</v>
      </c>
      <c r="D61" s="82"/>
      <c r="E61" s="80">
        <f>'Datos del modelo'!$F$18+1</f>
        <v>2023</v>
      </c>
      <c r="F61" s="211">
        <f>F49+F11*'Datos del modelo'!H$61</f>
        <v>352504.42347826087</v>
      </c>
      <c r="G61" s="82"/>
      <c r="H61" s="80">
        <f>'Datos del modelo'!$F$18+1</f>
        <v>2023</v>
      </c>
      <c r="I61" s="211">
        <f>I49+I11*'Datos del modelo'!L$61</f>
        <v>427111.1408421052</v>
      </c>
      <c r="J61" s="73"/>
      <c r="K61" s="15"/>
      <c r="L61" s="80">
        <f>'Datos del modelo'!$F$18+1</f>
        <v>2023</v>
      </c>
      <c r="M61" s="211">
        <f>M49+M11*'Datos del modelo'!Q$61</f>
        <v>456623.87178947369</v>
      </c>
      <c r="N61" s="82"/>
      <c r="O61" s="80">
        <f>'Datos del modelo'!$F$18+1</f>
        <v>2023</v>
      </c>
      <c r="P61" s="211">
        <f>P49+P11*'Datos del modelo'!U$61</f>
        <v>430868.97304347821</v>
      </c>
      <c r="Q61" s="82"/>
      <c r="R61" s="80">
        <f>'Datos del modelo'!$F$18+1</f>
        <v>2023</v>
      </c>
      <c r="S61" s="211" t="e">
        <f>S49+S11*'Datos del modelo'!Y$61</f>
        <v>#VALUE!</v>
      </c>
    </row>
    <row r="62" spans="1:19" ht="15.5" outlineLevel="1" x14ac:dyDescent="0.35">
      <c r="A62" s="15"/>
      <c r="B62" s="80">
        <f>'Datos del modelo'!$F$18+2</f>
        <v>2024</v>
      </c>
      <c r="C62" s="211">
        <f>C50+C12*'Datos del modelo'!D$61</f>
        <v>499987.59415652166</v>
      </c>
      <c r="D62" s="82"/>
      <c r="E62" s="80">
        <f>'Datos del modelo'!$F$18+2</f>
        <v>2024</v>
      </c>
      <c r="F62" s="211">
        <f>F50+F12*'Datos del modelo'!H$61</f>
        <v>391105.76661739126</v>
      </c>
      <c r="G62" s="82"/>
      <c r="H62" s="80">
        <f>'Datos del modelo'!$F$18+2</f>
        <v>2024</v>
      </c>
      <c r="I62" s="211">
        <f>I50+I12*'Datos del modelo'!L$61</f>
        <v>479957.7040778948</v>
      </c>
      <c r="J62" s="73"/>
      <c r="K62" s="15"/>
      <c r="L62" s="80">
        <f>'Datos del modelo'!$F$18+2</f>
        <v>2024</v>
      </c>
      <c r="M62" s="211">
        <f>M50+M12*'Datos del modelo'!Q$61</f>
        <v>515105.52209052624</v>
      </c>
      <c r="N62" s="82"/>
      <c r="O62" s="80">
        <f>'Datos del modelo'!$F$18+2</f>
        <v>2024</v>
      </c>
      <c r="P62" s="211">
        <f>P50+P12*'Datos del modelo'!U$61</f>
        <v>484433.04736521735</v>
      </c>
      <c r="Q62" s="82"/>
      <c r="R62" s="80">
        <f>'Datos del modelo'!$F$18+2</f>
        <v>2024</v>
      </c>
      <c r="S62" s="211" t="e">
        <f>S50+S12*'Datos del modelo'!Y$61</f>
        <v>#VALUE!</v>
      </c>
    </row>
    <row r="63" spans="1:19" ht="15.5" outlineLevel="1" x14ac:dyDescent="0.35">
      <c r="A63" s="15"/>
      <c r="B63" s="80">
        <f>'Datos del modelo'!$F$18+3</f>
        <v>2025</v>
      </c>
      <c r="C63" s="211">
        <f>C51+C13*'Datos del modelo'!D$61</f>
        <v>567813.82602973911</v>
      </c>
      <c r="D63" s="82"/>
      <c r="E63" s="80">
        <f>'Datos del modelo'!$F$18+3</f>
        <v>2025</v>
      </c>
      <c r="F63" s="211">
        <f>F51+F13*'Datos del modelo'!H$61</f>
        <v>437479.3357133044</v>
      </c>
      <c r="G63" s="82"/>
      <c r="H63" s="80">
        <f>'Datos del modelo'!$F$18+3</f>
        <v>2025</v>
      </c>
      <c r="I63" s="211">
        <f>I51+I13*'Datos del modelo'!L$61</f>
        <v>543837.50625724206</v>
      </c>
      <c r="J63" s="73"/>
      <c r="K63" s="15"/>
      <c r="L63" s="80">
        <f>'Datos del modelo'!$F$18+3</f>
        <v>2025</v>
      </c>
      <c r="M63" s="211">
        <f>M51+M13*'Datos del modelo'!Q$61</f>
        <v>585910.39435938955</v>
      </c>
      <c r="N63" s="82"/>
      <c r="O63" s="80">
        <f>'Datos del modelo'!$F$18+3</f>
        <v>2025</v>
      </c>
      <c r="P63" s="211">
        <f>P51+P13*'Datos del modelo'!U$61</f>
        <v>549194.61312739132</v>
      </c>
      <c r="Q63" s="82"/>
      <c r="R63" s="80">
        <f>'Datos del modelo'!$F$18+3</f>
        <v>2025</v>
      </c>
      <c r="S63" s="211" t="e">
        <f>S51+S13*'Datos del modelo'!Y$61</f>
        <v>#VALUE!</v>
      </c>
    </row>
    <row r="64" spans="1:19" ht="15.5" outlineLevel="1" x14ac:dyDescent="0.35">
      <c r="A64" s="15"/>
      <c r="B64" s="80">
        <f>'Datos del modelo'!$F$18+4</f>
        <v>2026</v>
      </c>
      <c r="C64" s="211">
        <f>C52+C14*'Datos del modelo'!D$61</f>
        <v>639259.64298060862</v>
      </c>
      <c r="D64" s="82"/>
      <c r="E64" s="80">
        <f>'Datos del modelo'!$F$18+4</f>
        <v>2026</v>
      </c>
      <c r="F64" s="211">
        <f>F52+F14*'Datos del modelo'!H$61</f>
        <v>486283.32376501645</v>
      </c>
      <c r="G64" s="82"/>
      <c r="H64" s="80">
        <f>'Datos del modelo'!$F$18+4</f>
        <v>2026</v>
      </c>
      <c r="I64" s="211">
        <f>I52+I14*'Datos del modelo'!L$61</f>
        <v>611118.13463368011</v>
      </c>
      <c r="J64" s="73"/>
      <c r="K64" s="15"/>
      <c r="L64" s="80">
        <f>'Datos del modelo'!$F$18+4</f>
        <v>2026</v>
      </c>
      <c r="M64" s="211">
        <f>M52+M14*'Datos del modelo'!Q$61</f>
        <v>660499.9639945029</v>
      </c>
      <c r="N64" s="82"/>
      <c r="O64" s="80">
        <f>'Datos del modelo'!$F$18+4</f>
        <v>2026</v>
      </c>
      <c r="P64" s="211">
        <f>P52+P14*'Datos del modelo'!U$61</f>
        <v>617405.88309266698</v>
      </c>
      <c r="Q64" s="82"/>
      <c r="R64" s="80">
        <f>'Datos del modelo'!$F$18+4</f>
        <v>2026</v>
      </c>
      <c r="S64" s="211" t="e">
        <f>S52+S14*'Datos del modelo'!Y$61</f>
        <v>#VALUE!</v>
      </c>
    </row>
    <row r="65" spans="1:19" ht="15.5" outlineLevel="1" x14ac:dyDescent="0.35">
      <c r="A65" s="15"/>
      <c r="B65" s="80">
        <f>'Datos del modelo'!$F$18+5</f>
        <v>2027</v>
      </c>
      <c r="C65" s="211">
        <f>C53+C15*'Datos del modelo'!D$61</f>
        <v>723821.800544283</v>
      </c>
      <c r="D65" s="82"/>
      <c r="E65" s="80">
        <f>'Datos del modelo'!$F$18+5</f>
        <v>2027</v>
      </c>
      <c r="F65" s="211">
        <f>F53+F15*'Datos del modelo'!H$61</f>
        <v>543746.81906764314</v>
      </c>
      <c r="G65" s="82"/>
      <c r="H65" s="80">
        <f>'Datos del modelo'!$F$18+5</f>
        <v>2027</v>
      </c>
      <c r="I65" s="211">
        <f>I53+I15*'Datos del modelo'!L$61</f>
        <v>690695.22500447021</v>
      </c>
      <c r="J65" s="73"/>
      <c r="K65" s="15"/>
      <c r="L65" s="80">
        <f>'Datos del modelo'!$F$18+5</f>
        <v>2027</v>
      </c>
      <c r="M65" s="211">
        <f>M53+M15*'Datos del modelo'!Q$61</f>
        <v>748824.69270920998</v>
      </c>
      <c r="N65" s="82"/>
      <c r="O65" s="80">
        <f>'Datos del modelo'!$F$18+5</f>
        <v>2027</v>
      </c>
      <c r="P65" s="211">
        <f>P53+P15*'Datos del modelo'!U$61</f>
        <v>698096.80319047731</v>
      </c>
      <c r="Q65" s="82"/>
      <c r="R65" s="80">
        <f>'Datos del modelo'!$F$18+5</f>
        <v>2027</v>
      </c>
      <c r="S65" s="211" t="e">
        <f>S53+S15*'Datos del modelo'!Y$61</f>
        <v>#VALUE!</v>
      </c>
    </row>
    <row r="66" spans="1:19" ht="15.5" outlineLevel="1" x14ac:dyDescent="0.35">
      <c r="A66" s="15"/>
      <c r="B66" s="80">
        <f>'Datos del modelo'!$F$18+6</f>
        <v>2028</v>
      </c>
      <c r="C66" s="211">
        <f>C54+C16*'Datos del modelo'!D$61</f>
        <v>832124.03940380493</v>
      </c>
      <c r="D66" s="82"/>
      <c r="E66" s="80">
        <f>'Datos del modelo'!$F$18+6</f>
        <v>2028</v>
      </c>
      <c r="F66" s="211">
        <f>F54+F16*'Datos del modelo'!H$61</f>
        <v>616837.96779914352</v>
      </c>
      <c r="G66" s="82"/>
      <c r="H66" s="80">
        <f>'Datos del modelo'!$F$18+6</f>
        <v>2028</v>
      </c>
      <c r="I66" s="211">
        <f>I54+I16*'Datos del modelo'!L$61</f>
        <v>792520.03525397519</v>
      </c>
      <c r="J66" s="73"/>
      <c r="K66" s="15"/>
      <c r="L66" s="80">
        <f>'Datos del modelo'!$F$18+6</f>
        <v>2028</v>
      </c>
      <c r="M66" s="211">
        <f>M54+M16*'Datos del modelo'!Q$61</f>
        <v>862015.88994740963</v>
      </c>
      <c r="N66" s="82"/>
      <c r="O66" s="80">
        <f>'Datos del modelo'!$F$18+6</f>
        <v>2028</v>
      </c>
      <c r="P66" s="211">
        <f>P54+P16*'Datos del modelo'!U$61</f>
        <v>801368.88631742483</v>
      </c>
      <c r="Q66" s="82"/>
      <c r="R66" s="80">
        <f>'Datos del modelo'!$F$18+6</f>
        <v>2028</v>
      </c>
      <c r="S66" s="211" t="e">
        <f>S54+S16*'Datos del modelo'!Y$61</f>
        <v>#VALUE!</v>
      </c>
    </row>
    <row r="67" spans="1:19" ht="15.5" outlineLevel="1" x14ac:dyDescent="0.35">
      <c r="A67" s="15"/>
      <c r="B67" s="80">
        <f>'Datos del modelo'!$F$18+7</f>
        <v>2029</v>
      </c>
      <c r="C67" s="211">
        <f>C55+C17*'Datos del modelo'!D$61</f>
        <v>946272.9729744083</v>
      </c>
      <c r="D67" s="82"/>
      <c r="E67" s="80">
        <f>'Datos del modelo'!$F$18+7</f>
        <v>2029</v>
      </c>
      <c r="F67" s="211">
        <f>F55+F17*'Datos del modelo'!H$61</f>
        <v>693825.21331737319</v>
      </c>
      <c r="G67" s="82"/>
      <c r="H67" s="80">
        <f>'Datos del modelo'!$F$18+7</f>
        <v>2029</v>
      </c>
      <c r="I67" s="211">
        <f>I55+I17*'Datos del modelo'!L$61</f>
        <v>899832.70841594646</v>
      </c>
      <c r="J67" s="73"/>
      <c r="K67" s="15"/>
      <c r="L67" s="80">
        <f>'Datos del modelo'!$F$18+7</f>
        <v>2029</v>
      </c>
      <c r="M67" s="211">
        <f>M55+M17*'Datos del modelo'!Q$61</f>
        <v>981324.61679646291</v>
      </c>
      <c r="N67" s="82"/>
      <c r="O67" s="80">
        <f>'Datos del modelo'!$F$18+7</f>
        <v>2029</v>
      </c>
      <c r="P67" s="211">
        <f>P55+P17*'Datos del modelo'!U$61</f>
        <v>910209.00730911759</v>
      </c>
      <c r="Q67" s="82"/>
      <c r="R67" s="80">
        <f>'Datos del modelo'!$F$18+7</f>
        <v>2029</v>
      </c>
      <c r="S67" s="211" t="e">
        <f>S55+S17*'Datos del modelo'!Y$61</f>
        <v>#VALUE!</v>
      </c>
    </row>
    <row r="68" spans="1:19" ht="15.5" outlineLevel="1" x14ac:dyDescent="0.35">
      <c r="A68" s="15"/>
      <c r="B68" s="80">
        <f>'Datos del modelo'!$F$18+8</f>
        <v>2030</v>
      </c>
      <c r="C68" s="211">
        <f>C56+C18*'Datos del modelo'!D$61</f>
        <v>1097142.1871771656</v>
      </c>
      <c r="D68" s="82"/>
      <c r="E68" s="80">
        <f>'Datos del modelo'!$F$18+8</f>
        <v>2030</v>
      </c>
      <c r="F68" s="211">
        <f>F56+F18*'Datos del modelo'!H$61</f>
        <v>794955.39595527155</v>
      </c>
      <c r="G68" s="82"/>
      <c r="H68" s="80">
        <f>'Datos del modelo'!$F$18+8</f>
        <v>2030</v>
      </c>
      <c r="I68" s="211">
        <f>I56+I18*'Datos del modelo'!L$61</f>
        <v>1041551.9353584014</v>
      </c>
      <c r="J68" s="73"/>
      <c r="K68" s="15"/>
      <c r="L68" s="80">
        <f>'Datos del modelo'!$F$18+8</f>
        <v>2030</v>
      </c>
      <c r="M68" s="211">
        <f>M56+M18*'Datos del modelo'!Q$61</f>
        <v>1139099.9521738898</v>
      </c>
      <c r="N68" s="82"/>
      <c r="O68" s="80">
        <f>'Datos del modelo'!$F$18+8</f>
        <v>2030</v>
      </c>
      <c r="P68" s="211">
        <f>P56+P18*'Datos del modelo'!U$61</f>
        <v>1053972.6455740379</v>
      </c>
      <c r="Q68" s="82"/>
      <c r="R68" s="80">
        <f>'Datos del modelo'!$F$18+8</f>
        <v>2030</v>
      </c>
      <c r="S68" s="211" t="e">
        <f>S56+S18*'Datos del modelo'!Y$61</f>
        <v>#VALUE!</v>
      </c>
    </row>
    <row r="69" spans="1:19" ht="15.5" outlineLevel="1" x14ac:dyDescent="0.35">
      <c r="A69" s="15"/>
      <c r="B69" s="80">
        <f>'Datos del modelo'!$F$18+9</f>
        <v>2031</v>
      </c>
      <c r="C69" s="211">
        <f>C57+C19*'Datos del modelo'!D$61</f>
        <v>1266724.8632034063</v>
      </c>
      <c r="D69" s="82"/>
      <c r="E69" s="80">
        <f>'Datos del modelo'!$F$18+9</f>
        <v>2031</v>
      </c>
      <c r="F69" s="211">
        <f>F57+F19*'Datos del modelo'!H$61</f>
        <v>908422.68761158595</v>
      </c>
      <c r="G69" s="82"/>
      <c r="H69" s="80">
        <f>'Datos del modelo'!$F$18+9</f>
        <v>2031</v>
      </c>
      <c r="I69" s="211">
        <f>I57+I19*'Datos del modelo'!L$61</f>
        <v>1200811.6309015527</v>
      </c>
      <c r="J69" s="73"/>
      <c r="K69" s="15"/>
      <c r="L69" s="80">
        <f>'Datos del modelo'!$F$18+9</f>
        <v>2031</v>
      </c>
      <c r="M69" s="211">
        <f>M57+M19*'Datos del modelo'!Q$61</f>
        <v>1316474.0875838243</v>
      </c>
      <c r="N69" s="82"/>
      <c r="O69" s="80">
        <f>'Datos del modelo'!$F$18+9</f>
        <v>2031</v>
      </c>
      <c r="P69" s="211">
        <f>P57+P19*'Datos del modelo'!U$61</f>
        <v>1215538.8381188607</v>
      </c>
      <c r="Q69" s="82"/>
      <c r="R69" s="80">
        <f>'Datos del modelo'!$F$18+9</f>
        <v>2031</v>
      </c>
      <c r="S69" s="211" t="e">
        <f>S57+S19*'Datos del modelo'!Y$61</f>
        <v>#VALUE!</v>
      </c>
    </row>
    <row r="70" spans="1:19" ht="10.4" customHeight="1" x14ac:dyDescent="0.35">
      <c r="A70" s="15"/>
      <c r="B70" s="91"/>
      <c r="C70" s="92"/>
      <c r="D70" s="15"/>
      <c r="E70" s="91"/>
      <c r="F70" s="92"/>
      <c r="G70" s="15"/>
      <c r="H70" s="91"/>
      <c r="I70" s="92"/>
      <c r="J70" s="73"/>
      <c r="K70" s="15"/>
      <c r="L70" s="91"/>
      <c r="M70" s="92"/>
      <c r="N70" s="15"/>
      <c r="O70" s="91"/>
      <c r="P70" s="92"/>
      <c r="Q70" s="15"/>
      <c r="R70" s="91"/>
      <c r="S70" s="92"/>
    </row>
    <row r="71" spans="1:19" ht="18.5" x14ac:dyDescent="0.35">
      <c r="A71" s="15"/>
      <c r="B71" s="269" t="s">
        <v>125</v>
      </c>
      <c r="C71" s="269"/>
      <c r="D71" s="15"/>
      <c r="E71" s="269" t="s">
        <v>125</v>
      </c>
      <c r="F71" s="269"/>
      <c r="G71" s="15"/>
      <c r="H71" s="269" t="s">
        <v>125</v>
      </c>
      <c r="I71" s="269"/>
      <c r="J71" s="73"/>
      <c r="K71" s="15"/>
      <c r="L71" s="269" t="s">
        <v>125</v>
      </c>
      <c r="M71" s="269"/>
      <c r="N71" s="15"/>
      <c r="O71" s="269" t="s">
        <v>125</v>
      </c>
      <c r="P71" s="269"/>
      <c r="Q71" s="15"/>
      <c r="R71" s="269" t="s">
        <v>125</v>
      </c>
      <c r="S71" s="269"/>
    </row>
    <row r="72" spans="1:19" ht="30" customHeight="1" x14ac:dyDescent="0.35">
      <c r="A72" s="15"/>
      <c r="B72" s="218" t="s">
        <v>123</v>
      </c>
      <c r="C72" s="275"/>
      <c r="D72" s="15"/>
      <c r="E72" s="218" t="s">
        <v>123</v>
      </c>
      <c r="F72" s="275"/>
      <c r="G72" s="15"/>
      <c r="H72" s="218" t="s">
        <v>123</v>
      </c>
      <c r="I72" s="275"/>
      <c r="J72" s="73"/>
      <c r="K72" s="15"/>
      <c r="L72" s="218" t="s">
        <v>123</v>
      </c>
      <c r="M72" s="275"/>
      <c r="N72" s="15"/>
      <c r="O72" s="218" t="s">
        <v>123</v>
      </c>
      <c r="P72" s="275"/>
      <c r="Q72" s="15"/>
      <c r="R72" s="218" t="s">
        <v>123</v>
      </c>
      <c r="S72" s="275"/>
    </row>
    <row r="73" spans="1:19" ht="60" customHeight="1" x14ac:dyDescent="0.35">
      <c r="A73" s="15"/>
      <c r="B73" s="80" t="s">
        <v>118</v>
      </c>
      <c r="C73" s="85">
        <f>SUM(C74:C83)</f>
        <v>9356204.228834942</v>
      </c>
      <c r="D73" s="82"/>
      <c r="E73" s="80" t="s">
        <v>118</v>
      </c>
      <c r="F73" s="85">
        <f>SUM(F74:F83)</f>
        <v>6176323.4796470758</v>
      </c>
      <c r="G73" s="82"/>
      <c r="H73" s="80" t="s">
        <v>118</v>
      </c>
      <c r="I73" s="85">
        <f>SUM(I74:I83)</f>
        <v>8771233.6849993803</v>
      </c>
      <c r="J73" s="73"/>
      <c r="K73" s="15"/>
      <c r="L73" s="80" t="s">
        <v>118</v>
      </c>
      <c r="M73" s="212">
        <f>SUM(M74:M83)</f>
        <v>9797721.505789848</v>
      </c>
      <c r="N73" s="82"/>
      <c r="O73" s="80" t="s">
        <v>118</v>
      </c>
      <c r="P73" s="212">
        <f>SUM(P74:P83)</f>
        <v>8901935.5503795315</v>
      </c>
      <c r="Q73" s="82"/>
      <c r="R73" s="80" t="s">
        <v>118</v>
      </c>
      <c r="S73" s="212" t="e">
        <f>SUM(S74:S83)</f>
        <v>#VALUE!</v>
      </c>
    </row>
    <row r="74" spans="1:19" ht="15.5" outlineLevel="1" x14ac:dyDescent="0.35">
      <c r="A74" s="15"/>
      <c r="B74" s="80">
        <f>'Datos del modelo'!$F$18</f>
        <v>2022</v>
      </c>
      <c r="C74" s="211">
        <f>C22*('Datos del modelo'!D$33+'Datos del modelo'!D$33*'Datos del modelo'!D$50+'Datos del modelo'!D$33*'Datos del modelo'!D$51)+(C10/'Datos del modelo'!D$53*'Datos del modelo'!D$52)+(C10*'Datos del modelo'!D$54)</f>
        <v>816146.43478260853</v>
      </c>
      <c r="D74" s="82"/>
      <c r="E74" s="80">
        <f>'Datos del modelo'!$F$18</f>
        <v>2022</v>
      </c>
      <c r="F74" s="211">
        <f>F22*('Datos del modelo'!H$33+'Datos del modelo'!H$33*'Datos del modelo'!H$50+'Datos del modelo'!H$33*'Datos del modelo'!H$51)+(F10/'Datos del modelo'!H$53*'Datos del modelo'!H$52)+(F10*'Datos del modelo'!H$54)</f>
        <v>538763.82608695654</v>
      </c>
      <c r="G74" s="82"/>
      <c r="H74" s="80">
        <f>'Datos del modelo'!$F$18</f>
        <v>2022</v>
      </c>
      <c r="I74" s="211">
        <f>I22*('Datos del modelo'!L$33+'Datos del modelo'!L$33*'Datos del modelo'!L$50+'Datos del modelo'!L$33*'Datos del modelo'!L$51)+(I10/'Datos del modelo'!L$53*'Datos del modelo'!L$52)+(I10*'Datos del modelo'!L$54)</f>
        <v>765119.15789473685</v>
      </c>
      <c r="J74" s="88"/>
      <c r="K74" s="15"/>
      <c r="L74" s="80">
        <f>'Datos del modelo'!$F$18</f>
        <v>2022</v>
      </c>
      <c r="M74" s="211">
        <f>M22*('Datos del modelo'!Q$33+'Datos del modelo'!Q$33*'Datos del modelo'!Q$50+'Datos del modelo'!Q$33*'Datos del modelo'!Q$51)+(M10/'Datos del modelo'!Q$53*'Datos del modelo'!Q$52)+(M10*'Datos del modelo'!Q$54)</f>
        <v>854660.21052631573</v>
      </c>
      <c r="N74" s="82"/>
      <c r="O74" s="80">
        <f>'Datos del modelo'!$F$18</f>
        <v>2022</v>
      </c>
      <c r="P74" s="211">
        <f>P22*('Datos del modelo'!U$33+'Datos del modelo'!U$33*'Datos del modelo'!U$50+'Datos del modelo'!U$33*'Datos del modelo'!U$51)+(P10/'Datos del modelo'!U$53*'Datos del modelo'!U$52)+(P10*'Datos del modelo'!U$54)</f>
        <v>776520.34782608692</v>
      </c>
      <c r="Q74" s="82"/>
      <c r="R74" s="80">
        <f>'Datos del modelo'!$F$18</f>
        <v>2022</v>
      </c>
      <c r="S74" s="211" t="e">
        <f>S22*('Datos del modelo'!Y$33+'Datos del modelo'!Y$33*'Datos del modelo'!Y$50+'Datos del modelo'!Y$33*'Datos del modelo'!Y$51)+(S10/'Datos del modelo'!Y$53*'Datos del modelo'!Y$52)+(S10*'Datos del modelo'!Y$54)</f>
        <v>#VALUE!</v>
      </c>
    </row>
    <row r="75" spans="1:19" ht="15.5" outlineLevel="1" x14ac:dyDescent="0.35">
      <c r="A75" s="15"/>
      <c r="B75" s="80">
        <f>'Datos del modelo'!$F$18+1</f>
        <v>2023</v>
      </c>
      <c r="C75" s="211">
        <f>C23*('Datos del modelo'!D$33+'Datos del modelo'!D$33*'Datos del modelo'!D$50+'Datos del modelo'!D$33*'Datos del modelo'!D$51)+(C11/'Datos del modelo'!D$53*'Datos del modelo'!D$52)+(C11*'Datos del modelo'!D$54)</f>
        <v>840630.82782608678</v>
      </c>
      <c r="D75" s="82"/>
      <c r="E75" s="80">
        <f>'Datos del modelo'!$F$18+1</f>
        <v>2023</v>
      </c>
      <c r="F75" s="211">
        <f>F23*('Datos del modelo'!H$33+'Datos del modelo'!H$33*'Datos del modelo'!H$50+'Datos del modelo'!H$33*'Datos del modelo'!H$51)+(F11/'Datos del modelo'!H$53*'Datos del modelo'!H$52)+(F11*'Datos del modelo'!H$54)</f>
        <v>554926.74086956517</v>
      </c>
      <c r="G75" s="82"/>
      <c r="H75" s="80">
        <f>'Datos del modelo'!$F$18+1</f>
        <v>2023</v>
      </c>
      <c r="I75" s="211">
        <f>I23*('Datos del modelo'!L$33+'Datos del modelo'!L$33*'Datos del modelo'!L$50+'Datos del modelo'!L$33*'Datos del modelo'!L$51)+(I11/'Datos del modelo'!L$53*'Datos del modelo'!L$52)+(I11*'Datos del modelo'!L$54)</f>
        <v>788072.73263157893</v>
      </c>
      <c r="J75" s="88"/>
      <c r="K75" s="15"/>
      <c r="L75" s="80">
        <f>'Datos del modelo'!$F$18+1</f>
        <v>2023</v>
      </c>
      <c r="M75" s="211">
        <f>M23*('Datos del modelo'!Q$33+'Datos del modelo'!Q$33*'Datos del modelo'!Q$50+'Datos del modelo'!Q$33*'Datos del modelo'!Q$51)+(M11/'Datos del modelo'!Q$53*'Datos del modelo'!Q$52)+(M11*'Datos del modelo'!Q$54)</f>
        <v>880300.01684210508</v>
      </c>
      <c r="N75" s="82"/>
      <c r="O75" s="80">
        <f>'Datos del modelo'!$F$18+1</f>
        <v>2023</v>
      </c>
      <c r="P75" s="211">
        <f>P23*('Datos del modelo'!U$33+'Datos del modelo'!U$33*'Datos del modelo'!U$50+'Datos del modelo'!U$33*'Datos del modelo'!U$51)+(P11/'Datos del modelo'!U$53*'Datos del modelo'!U$52)+(P11*'Datos del modelo'!U$54)</f>
        <v>799815.95826086949</v>
      </c>
      <c r="Q75" s="82"/>
      <c r="R75" s="80">
        <f>'Datos del modelo'!$F$18+1</f>
        <v>2023</v>
      </c>
      <c r="S75" s="211" t="e">
        <f>S23*('Datos del modelo'!Y$33+'Datos del modelo'!Y$33*'Datos del modelo'!Y$50+'Datos del modelo'!Y$33*'Datos del modelo'!Y$51)+(S11/'Datos del modelo'!Y$53*'Datos del modelo'!Y$52)+(S11*'Datos del modelo'!Y$54)</f>
        <v>#VALUE!</v>
      </c>
    </row>
    <row r="76" spans="1:19" ht="15.5" outlineLevel="1" x14ac:dyDescent="0.35">
      <c r="A76" s="15"/>
      <c r="B76" s="80">
        <f>'Datos del modelo'!$F$18+2</f>
        <v>2024</v>
      </c>
      <c r="C76" s="211">
        <f>C24*('Datos del modelo'!D$33+'Datos del modelo'!D$33*'Datos del modelo'!D$50+'Datos del modelo'!D$33*'Datos del modelo'!D$51)+(C12/'Datos del modelo'!D$53*'Datos del modelo'!D$52)+(C12*'Datos del modelo'!D$54)</f>
        <v>865849.75266086927</v>
      </c>
      <c r="D76" s="82"/>
      <c r="E76" s="80">
        <f>'Datos del modelo'!$F$18+2</f>
        <v>2024</v>
      </c>
      <c r="F76" s="211">
        <f>F24*('Datos del modelo'!H$33+'Datos del modelo'!H$33*'Datos del modelo'!H$50+'Datos del modelo'!H$33*'Datos del modelo'!H$51)+(F12/'Datos del modelo'!H$53*'Datos del modelo'!H$52)+(F12*'Datos del modelo'!H$54)</f>
        <v>571574.54309565213</v>
      </c>
      <c r="G76" s="82"/>
      <c r="H76" s="80">
        <f>'Datos del modelo'!$F$18+2</f>
        <v>2024</v>
      </c>
      <c r="I76" s="211">
        <f>I24*('Datos del modelo'!L$33+'Datos del modelo'!L$33*'Datos del modelo'!L$50+'Datos del modelo'!L$33*'Datos del modelo'!L$51)+(I12/'Datos del modelo'!L$53*'Datos del modelo'!L$52)+(I12*'Datos del modelo'!L$54)</f>
        <v>811714.91461052618</v>
      </c>
      <c r="J76" s="88"/>
      <c r="K76" s="15"/>
      <c r="L76" s="80">
        <f>'Datos del modelo'!$F$18+2</f>
        <v>2024</v>
      </c>
      <c r="M76" s="211">
        <f>M24*('Datos del modelo'!Q$33+'Datos del modelo'!Q$33*'Datos del modelo'!Q$50+'Datos del modelo'!Q$33*'Datos del modelo'!Q$51)+(M12/'Datos del modelo'!Q$53*'Datos del modelo'!Q$52)+(M12*'Datos del modelo'!Q$54)</f>
        <v>906709.01734736818</v>
      </c>
      <c r="N76" s="82"/>
      <c r="O76" s="80">
        <f>'Datos del modelo'!$F$18+2</f>
        <v>2024</v>
      </c>
      <c r="P76" s="211">
        <f>P24*('Datos del modelo'!U$33+'Datos del modelo'!U$33*'Datos del modelo'!U$50+'Datos del modelo'!U$33*'Datos del modelo'!U$51)+(P12/'Datos del modelo'!U$53*'Datos del modelo'!U$52)+(P12*'Datos del modelo'!U$54)</f>
        <v>823810.43700869544</v>
      </c>
      <c r="Q76" s="82"/>
      <c r="R76" s="80">
        <f>'Datos del modelo'!$F$18+2</f>
        <v>2024</v>
      </c>
      <c r="S76" s="211" t="e">
        <f>S24*('Datos del modelo'!Y$33+'Datos del modelo'!Y$33*'Datos del modelo'!Y$50+'Datos del modelo'!Y$33*'Datos del modelo'!Y$51)+(S12/'Datos del modelo'!Y$53*'Datos del modelo'!Y$52)+(S12*'Datos del modelo'!Y$54)</f>
        <v>#VALUE!</v>
      </c>
    </row>
    <row r="77" spans="1:19" ht="15.5" outlineLevel="1" x14ac:dyDescent="0.35">
      <c r="A77" s="15"/>
      <c r="B77" s="80">
        <f>'Datos del modelo'!$F$18+3</f>
        <v>2025</v>
      </c>
      <c r="C77" s="211">
        <f>C25*('Datos del modelo'!D$33+'Datos del modelo'!D$33*'Datos del modelo'!D$50+'Datos del modelo'!D$33*'Datos del modelo'!D$51)+(C13/'Datos del modelo'!D$53*'Datos del modelo'!D$52)+(C13*'Datos del modelo'!D$54)</f>
        <v>891825.24524069554</v>
      </c>
      <c r="D77" s="82"/>
      <c r="E77" s="80">
        <f>'Datos del modelo'!$F$18+3</f>
        <v>2025</v>
      </c>
      <c r="F77" s="211">
        <f>F25*('Datos del modelo'!H$33+'Datos del modelo'!H$33*'Datos del modelo'!H$50+'Datos del modelo'!H$33*'Datos del modelo'!H$51)+(F13/'Datos del modelo'!H$53*'Datos del modelo'!H$52)+(F13*'Datos del modelo'!H$54)</f>
        <v>588721.7793885218</v>
      </c>
      <c r="G77" s="82"/>
      <c r="H77" s="80">
        <f>'Datos del modelo'!$F$18+3</f>
        <v>2025</v>
      </c>
      <c r="I77" s="211">
        <f>I25*('Datos del modelo'!L$33+'Datos del modelo'!L$33*'Datos del modelo'!L$50+'Datos del modelo'!L$33*'Datos del modelo'!L$51)+(I13/'Datos del modelo'!L$53*'Datos del modelo'!L$52)+(I13*'Datos del modelo'!L$54)</f>
        <v>836066.36204884225</v>
      </c>
      <c r="J77" s="88"/>
      <c r="K77" s="15"/>
      <c r="L77" s="80">
        <f>'Datos del modelo'!$F$18+3</f>
        <v>2025</v>
      </c>
      <c r="M77" s="211">
        <f>M25*('Datos del modelo'!Q$33+'Datos del modelo'!Q$33*'Datos del modelo'!Q$50+'Datos del modelo'!Q$33*'Datos del modelo'!Q$51)+(M13/'Datos del modelo'!Q$53*'Datos del modelo'!Q$52)+(M13*'Datos del modelo'!Q$54)</f>
        <v>933910.28786778939</v>
      </c>
      <c r="N77" s="82"/>
      <c r="O77" s="80">
        <f>'Datos del modelo'!$F$18+3</f>
        <v>2025</v>
      </c>
      <c r="P77" s="211">
        <f>P25*('Datos del modelo'!U$33+'Datos del modelo'!U$33*'Datos del modelo'!U$50+'Datos del modelo'!U$33*'Datos del modelo'!U$51)+(P13/'Datos del modelo'!U$53*'Datos del modelo'!U$52)+(P13*'Datos del modelo'!U$54)</f>
        <v>848524.75011895644</v>
      </c>
      <c r="Q77" s="82"/>
      <c r="R77" s="80">
        <f>'Datos del modelo'!$F$18+3</f>
        <v>2025</v>
      </c>
      <c r="S77" s="211" t="e">
        <f>S25*('Datos del modelo'!Y$33+'Datos del modelo'!Y$33*'Datos del modelo'!Y$50+'Datos del modelo'!Y$33*'Datos del modelo'!Y$51)+(S13/'Datos del modelo'!Y$53*'Datos del modelo'!Y$52)+(S13*'Datos del modelo'!Y$54)</f>
        <v>#VALUE!</v>
      </c>
    </row>
    <row r="78" spans="1:19" ht="15.5" outlineLevel="1" x14ac:dyDescent="0.35">
      <c r="A78" s="15"/>
      <c r="B78" s="80">
        <f>'Datos del modelo'!$F$18+4</f>
        <v>2026</v>
      </c>
      <c r="C78" s="211">
        <f>C26*('Datos del modelo'!D$33+'Datos del modelo'!D$33*'Datos del modelo'!D$50+'Datos del modelo'!D$33*'Datos del modelo'!D$51)+(C14/'Datos del modelo'!D$53*'Datos del modelo'!D$52)+(C14*'Datos del modelo'!D$54)</f>
        <v>918580.00259791629</v>
      </c>
      <c r="D78" s="82"/>
      <c r="E78" s="80">
        <f>'Datos del modelo'!$F$18+4</f>
        <v>2026</v>
      </c>
      <c r="F78" s="211">
        <f>F26*('Datos del modelo'!H$33+'Datos del modelo'!H$33*'Datos del modelo'!H$50+'Datos del modelo'!H$33*'Datos del modelo'!H$51)+(F14/'Datos del modelo'!H$53*'Datos del modelo'!H$52)+(F14*'Datos del modelo'!H$54)</f>
        <v>606383.43277017737</v>
      </c>
      <c r="G78" s="82"/>
      <c r="H78" s="80">
        <f>'Datos del modelo'!$F$18+4</f>
        <v>2026</v>
      </c>
      <c r="I78" s="211">
        <f>I26*('Datos del modelo'!L$33+'Datos del modelo'!L$33*'Datos del modelo'!L$50+'Datos del modelo'!L$33*'Datos del modelo'!L$51)+(I14/'Datos del modelo'!L$53*'Datos del modelo'!L$52)+(I14*'Datos del modelo'!L$54)</f>
        <v>861148.35291030724</v>
      </c>
      <c r="J78" s="88"/>
      <c r="K78" s="15"/>
      <c r="L78" s="80">
        <f>'Datos del modelo'!$F$18+4</f>
        <v>2026</v>
      </c>
      <c r="M78" s="211">
        <f>M26*('Datos del modelo'!Q$33+'Datos del modelo'!Q$33*'Datos del modelo'!Q$50+'Datos del modelo'!Q$33*'Datos del modelo'!Q$51)+(M14/'Datos del modelo'!Q$53*'Datos del modelo'!Q$52)+(M14*'Datos del modelo'!Q$54)</f>
        <v>961927.59650382295</v>
      </c>
      <c r="N78" s="82"/>
      <c r="O78" s="80">
        <f>'Datos del modelo'!$F$18+4</f>
        <v>2026</v>
      </c>
      <c r="P78" s="211">
        <f>P26*('Datos del modelo'!U$33+'Datos del modelo'!U$33*'Datos del modelo'!U$50+'Datos del modelo'!U$33*'Datos del modelo'!U$51)+(P14/'Datos del modelo'!U$53*'Datos del modelo'!U$52)+(P14*'Datos del modelo'!U$54)</f>
        <v>873980.49262252508</v>
      </c>
      <c r="Q78" s="82"/>
      <c r="R78" s="80">
        <f>'Datos del modelo'!$F$18+4</f>
        <v>2026</v>
      </c>
      <c r="S78" s="211" t="e">
        <f>S26*('Datos del modelo'!Y$33+'Datos del modelo'!Y$33*'Datos del modelo'!Y$50+'Datos del modelo'!Y$33*'Datos del modelo'!Y$51)+(S14/'Datos del modelo'!Y$53*'Datos del modelo'!Y$52)+(S14*'Datos del modelo'!Y$54)</f>
        <v>#VALUE!</v>
      </c>
    </row>
    <row r="79" spans="1:19" ht="15.5" outlineLevel="1" x14ac:dyDescent="0.35">
      <c r="A79" s="15"/>
      <c r="B79" s="80">
        <f>'Datos del modelo'!$F$18+5</f>
        <v>2027</v>
      </c>
      <c r="C79" s="211">
        <f>C27*('Datos del modelo'!D$33+'Datos del modelo'!D$33*'Datos del modelo'!D$50+'Datos del modelo'!D$33*'Datos del modelo'!D$51)+(C15/'Datos del modelo'!D$53*'Datos del modelo'!D$52)+(C15*'Datos del modelo'!D$54)</f>
        <v>946137.40267585369</v>
      </c>
      <c r="D79" s="82"/>
      <c r="E79" s="80">
        <f>'Datos del modelo'!$F$18+5</f>
        <v>2027</v>
      </c>
      <c r="F79" s="211">
        <f>F27*('Datos del modelo'!H$33+'Datos del modelo'!H$33*'Datos del modelo'!H$50+'Datos del modelo'!H$33*'Datos del modelo'!H$51)+(F15/'Datos del modelo'!H$53*'Datos del modelo'!H$52)+(F15*'Datos del modelo'!H$54)</f>
        <v>624574.93575328263</v>
      </c>
      <c r="G79" s="82"/>
      <c r="H79" s="80">
        <f>'Datos del modelo'!$F$18+5</f>
        <v>2027</v>
      </c>
      <c r="I79" s="211">
        <f>I27*('Datos del modelo'!L$33+'Datos del modelo'!L$33*'Datos del modelo'!L$50+'Datos del modelo'!L$33*'Datos del modelo'!L$51)+(I15/'Datos del modelo'!L$53*'Datos del modelo'!L$52)+(I15*'Datos del modelo'!L$54)</f>
        <v>886982.80349761643</v>
      </c>
      <c r="J79" s="88"/>
      <c r="K79" s="15"/>
      <c r="L79" s="80">
        <f>'Datos del modelo'!$F$18+5</f>
        <v>2027</v>
      </c>
      <c r="M79" s="211">
        <f>M27*('Datos del modelo'!Q$33+'Datos del modelo'!Q$33*'Datos del modelo'!Q$50+'Datos del modelo'!Q$33*'Datos del modelo'!Q$51)+(M15/'Datos del modelo'!Q$53*'Datos del modelo'!Q$52)+(M15*'Datos del modelo'!Q$54)</f>
        <v>990785.42439893761</v>
      </c>
      <c r="N79" s="82"/>
      <c r="O79" s="80">
        <f>'Datos del modelo'!$F$18+5</f>
        <v>2027</v>
      </c>
      <c r="P79" s="211">
        <f>P27*('Datos del modelo'!U$33+'Datos del modelo'!U$33*'Datos del modelo'!U$50+'Datos del modelo'!U$33*'Datos del modelo'!U$51)+(P15/'Datos del modelo'!U$53*'Datos del modelo'!U$52)+(P15*'Datos del modelo'!U$54)</f>
        <v>900199.90740120073</v>
      </c>
      <c r="Q79" s="82"/>
      <c r="R79" s="80">
        <f>'Datos del modelo'!$F$18+5</f>
        <v>2027</v>
      </c>
      <c r="S79" s="211" t="e">
        <f>S27*('Datos del modelo'!Y$33+'Datos del modelo'!Y$33*'Datos del modelo'!Y$50+'Datos del modelo'!Y$33*'Datos del modelo'!Y$51)+(S15/'Datos del modelo'!Y$53*'Datos del modelo'!Y$52)+(S15*'Datos del modelo'!Y$54)</f>
        <v>#VALUE!</v>
      </c>
    </row>
    <row r="80" spans="1:19" ht="15.5" outlineLevel="1" x14ac:dyDescent="0.35">
      <c r="A80" s="15"/>
      <c r="B80" s="80">
        <f>'Datos del modelo'!$F$18+6</f>
        <v>2028</v>
      </c>
      <c r="C80" s="211">
        <f>C28*('Datos del modelo'!D$33+'Datos del modelo'!D$33*'Datos del modelo'!D$50+'Datos del modelo'!D$33*'Datos del modelo'!D$51)+(C16/'Datos del modelo'!D$53*'Datos del modelo'!D$52)+(C16*'Datos del modelo'!D$54)</f>
        <v>974521.52475612937</v>
      </c>
      <c r="D80" s="82"/>
      <c r="E80" s="80">
        <f>'Datos del modelo'!$F$18+6</f>
        <v>2028</v>
      </c>
      <c r="F80" s="211">
        <f>F28*('Datos del modelo'!H$33+'Datos del modelo'!H$33*'Datos del modelo'!H$50+'Datos del modelo'!H$33*'Datos del modelo'!H$51)+(F16/'Datos del modelo'!H$53*'Datos del modelo'!H$52)+(F16*'Datos del modelo'!H$54)</f>
        <v>643312.18382588122</v>
      </c>
      <c r="G80" s="82"/>
      <c r="H80" s="80">
        <f>'Datos del modelo'!$F$18+6</f>
        <v>2028</v>
      </c>
      <c r="I80" s="211">
        <f>I28*('Datos del modelo'!L$33+'Datos del modelo'!L$33*'Datos del modelo'!L$50+'Datos del modelo'!L$33*'Datos del modelo'!L$51)+(I16/'Datos del modelo'!L$53*'Datos del modelo'!L$52)+(I16*'Datos del modelo'!L$54)</f>
        <v>913592.28760254488</v>
      </c>
      <c r="J80" s="88"/>
      <c r="K80" s="15"/>
      <c r="L80" s="80">
        <f>'Datos del modelo'!$F$18+6</f>
        <v>2028</v>
      </c>
      <c r="M80" s="212">
        <f>M28*('Datos del modelo'!Q$33+'Datos del modelo'!Q$33*'Datos del modelo'!Q$50+'Datos del modelo'!Q$33*'Datos del modelo'!Q$51)+(M16/'Datos del modelo'!Q$53*'Datos del modelo'!Q$52)+(M16*'Datos del modelo'!Q$54)</f>
        <v>1020508.9871309056</v>
      </c>
      <c r="N80" s="82"/>
      <c r="O80" s="80">
        <f>'Datos del modelo'!$F$18+6</f>
        <v>2028</v>
      </c>
      <c r="P80" s="211">
        <f>P28*('Datos del modelo'!U$33+'Datos del modelo'!U$33*'Datos del modelo'!U$50+'Datos del modelo'!U$33*'Datos del modelo'!U$51)+(P16/'Datos del modelo'!U$53*'Datos del modelo'!U$52)+(P16*'Datos del modelo'!U$54)</f>
        <v>927205.90462323686</v>
      </c>
      <c r="Q80" s="82"/>
      <c r="R80" s="80">
        <f>'Datos del modelo'!$F$18+6</f>
        <v>2028</v>
      </c>
      <c r="S80" s="211" t="e">
        <f>S28*('Datos del modelo'!Y$33+'Datos del modelo'!Y$33*'Datos del modelo'!Y$50+'Datos del modelo'!Y$33*'Datos del modelo'!Y$51)+(S16/'Datos del modelo'!Y$53*'Datos del modelo'!Y$52)+(S16*'Datos del modelo'!Y$54)</f>
        <v>#VALUE!</v>
      </c>
    </row>
    <row r="81" spans="1:19" ht="15.5" outlineLevel="1" x14ac:dyDescent="0.35">
      <c r="A81" s="15"/>
      <c r="B81" s="80">
        <f>'Datos del modelo'!$F$18+7</f>
        <v>2029</v>
      </c>
      <c r="C81" s="85">
        <f>C29*('Datos del modelo'!D$33+'Datos del modelo'!D$33*'Datos del modelo'!D$50+'Datos del modelo'!D$33*'Datos del modelo'!D$51)+(C17/'Datos del modelo'!D$53*'Datos del modelo'!D$52)+(C17*'Datos del modelo'!D$54)</f>
        <v>1003757.1704988132</v>
      </c>
      <c r="D81" s="82"/>
      <c r="E81" s="80">
        <f>'Datos del modelo'!$F$18+7</f>
        <v>2029</v>
      </c>
      <c r="F81" s="211">
        <f>F29*('Datos del modelo'!H$33+'Datos del modelo'!H$33*'Datos del modelo'!H$50+'Datos del modelo'!H$33*'Datos del modelo'!H$51)+(F17/'Datos del modelo'!H$53*'Datos del modelo'!H$52)+(F17*'Datos del modelo'!H$54)</f>
        <v>662611.54934065754</v>
      </c>
      <c r="G81" s="82"/>
      <c r="H81" s="80">
        <f>'Datos del modelo'!$F$18+7</f>
        <v>2029</v>
      </c>
      <c r="I81" s="211">
        <f>I29*('Datos del modelo'!L$33+'Datos del modelo'!L$33*'Datos del modelo'!L$50+'Datos del modelo'!L$33*'Datos del modelo'!L$51)+(I17/'Datos del modelo'!L$53*'Datos del modelo'!L$52)+(I17*'Datos del modelo'!L$54)</f>
        <v>941000.05623062141</v>
      </c>
      <c r="J81" s="88"/>
      <c r="K81" s="15"/>
      <c r="L81" s="80">
        <f>'Datos del modelo'!$F$18+7</f>
        <v>2029</v>
      </c>
      <c r="M81" s="212">
        <f>M29*('Datos del modelo'!Q$33+'Datos del modelo'!Q$33*'Datos del modelo'!Q$50+'Datos del modelo'!Q$33*'Datos del modelo'!Q$51)+(M17/'Datos del modelo'!Q$53*'Datos del modelo'!Q$52)+(M17*'Datos del modelo'!Q$54)</f>
        <v>1051124.256744833</v>
      </c>
      <c r="N81" s="82"/>
      <c r="O81" s="80">
        <f>'Datos del modelo'!$F$18+7</f>
        <v>2029</v>
      </c>
      <c r="P81" s="211">
        <f>P29*('Datos del modelo'!U$33+'Datos del modelo'!U$33*'Datos del modelo'!U$50+'Datos del modelo'!U$33*'Datos del modelo'!U$51)+(P17/'Datos del modelo'!U$53*'Datos del modelo'!U$52)+(P17*'Datos del modelo'!U$54)</f>
        <v>955022.08176193386</v>
      </c>
      <c r="Q81" s="82"/>
      <c r="R81" s="80">
        <f>'Datos del modelo'!$F$18+7</f>
        <v>2029</v>
      </c>
      <c r="S81" s="211" t="e">
        <f>S29*('Datos del modelo'!Y$33+'Datos del modelo'!Y$33*'Datos del modelo'!Y$50+'Datos del modelo'!Y$33*'Datos del modelo'!Y$51)+(S17/'Datos del modelo'!Y$53*'Datos del modelo'!Y$52)+(S17*'Datos del modelo'!Y$54)</f>
        <v>#VALUE!</v>
      </c>
    </row>
    <row r="82" spans="1:19" ht="15.5" outlineLevel="1" x14ac:dyDescent="0.35">
      <c r="A82" s="15"/>
      <c r="B82" s="80">
        <f>'Datos del modelo'!$F$18+8</f>
        <v>2030</v>
      </c>
      <c r="C82" s="85">
        <f>C30*('Datos del modelo'!D$33+'Datos del modelo'!D$33*'Datos del modelo'!D$50+'Datos del modelo'!D$33*'Datos del modelo'!D$51)+(C18/'Datos del modelo'!D$53*'Datos del modelo'!D$52)+(C18*'Datos del modelo'!D$54)</f>
        <v>1033869.8856137774</v>
      </c>
      <c r="D82" s="82"/>
      <c r="E82" s="80">
        <f>'Datos del modelo'!$F$18+8</f>
        <v>2030</v>
      </c>
      <c r="F82" s="211">
        <f>F30*('Datos del modelo'!H$33+'Datos del modelo'!H$33*'Datos del modelo'!H$50+'Datos del modelo'!H$33*'Datos del modelo'!H$51)+(F18/'Datos del modelo'!H$53*'Datos del modelo'!H$52)+(F18*'Datos del modelo'!H$54)</f>
        <v>682489.89582087717</v>
      </c>
      <c r="G82" s="82"/>
      <c r="H82" s="80">
        <f>'Datos del modelo'!$F$18+8</f>
        <v>2030</v>
      </c>
      <c r="I82" s="211">
        <f>I30*('Datos del modelo'!L$33+'Datos del modelo'!L$33*'Datos del modelo'!L$50+'Datos del modelo'!L$33*'Datos del modelo'!L$51)+(I18/'Datos del modelo'!L$53*'Datos del modelo'!L$52)+(I18*'Datos del modelo'!L$54)</f>
        <v>969230.05791753985</v>
      </c>
      <c r="J82" s="88"/>
      <c r="K82" s="15"/>
      <c r="L82" s="80">
        <f>'Datos del modelo'!$F$18+8</f>
        <v>2030</v>
      </c>
      <c r="M82" s="212">
        <f>M30*('Datos del modelo'!Q$33+'Datos del modelo'!Q$33*'Datos del modelo'!Q$50+'Datos del modelo'!Q$33*'Datos del modelo'!Q$51)+(M18/'Datos del modelo'!Q$53*'Datos del modelo'!Q$52)+(M18*'Datos del modelo'!Q$54)</f>
        <v>1082657.9844471777</v>
      </c>
      <c r="N82" s="82"/>
      <c r="O82" s="80">
        <f>'Datos del modelo'!$F$18+8</f>
        <v>2030</v>
      </c>
      <c r="P82" s="211">
        <f>P30*('Datos del modelo'!U$33+'Datos del modelo'!U$33*'Datos del modelo'!U$50+'Datos del modelo'!U$33*'Datos del modelo'!U$51)+(P18/'Datos del modelo'!U$53*'Datos del modelo'!U$52)+(P18*'Datos del modelo'!U$54)</f>
        <v>983672.74421479169</v>
      </c>
      <c r="Q82" s="82"/>
      <c r="R82" s="80">
        <f>'Datos del modelo'!$F$18+8</f>
        <v>2030</v>
      </c>
      <c r="S82" s="211" t="e">
        <f>S30*('Datos del modelo'!Y$33+'Datos del modelo'!Y$33*'Datos del modelo'!Y$50+'Datos del modelo'!Y$33*'Datos del modelo'!Y$51)+(S18/'Datos del modelo'!Y$53*'Datos del modelo'!Y$52)+(S18*'Datos del modelo'!Y$54)</f>
        <v>#VALUE!</v>
      </c>
    </row>
    <row r="83" spans="1:19" ht="15.5" outlineLevel="1" x14ac:dyDescent="0.35">
      <c r="A83" s="15"/>
      <c r="B83" s="80">
        <f>'Datos del modelo'!$F$18+9</f>
        <v>2031</v>
      </c>
      <c r="C83" s="85">
        <f>C31*('Datos del modelo'!D$33+'Datos del modelo'!D$33*'Datos del modelo'!D$50+'Datos del modelo'!D$33*'Datos del modelo'!D$51)+(C19/'Datos del modelo'!D$53*'Datos del modelo'!D$52)+(C19*'Datos del modelo'!D$54)</f>
        <v>1064885.982182191</v>
      </c>
      <c r="D83" s="82"/>
      <c r="E83" s="80">
        <f>'Datos del modelo'!$F$18+9</f>
        <v>2031</v>
      </c>
      <c r="F83" s="211">
        <f>F31*('Datos del modelo'!H$33+'Datos del modelo'!H$33*'Datos del modelo'!H$50+'Datos del modelo'!H$33*'Datos del modelo'!H$51)+(F19/'Datos del modelo'!H$53*'Datos del modelo'!H$52)+(F19*'Datos del modelo'!H$54)</f>
        <v>702964.59269550373</v>
      </c>
      <c r="G83" s="82"/>
      <c r="H83" s="80">
        <f>'Datos del modelo'!$F$18+9</f>
        <v>2031</v>
      </c>
      <c r="I83" s="211">
        <f>I31*('Datos del modelo'!L$33+'Datos del modelo'!L$33*'Datos del modelo'!L$50+'Datos del modelo'!L$33*'Datos del modelo'!L$51)+(I19/'Datos del modelo'!L$53*'Datos del modelo'!L$52)+(I19*'Datos del modelo'!L$54)</f>
        <v>998306.95965506637</v>
      </c>
      <c r="J83" s="88"/>
      <c r="K83" s="15"/>
      <c r="L83" s="80">
        <f>'Datos del modelo'!$F$18+9</f>
        <v>2031</v>
      </c>
      <c r="M83" s="212">
        <f>M31*('Datos del modelo'!Q$33+'Datos del modelo'!Q$33*'Datos del modelo'!Q$50+'Datos del modelo'!Q$33*'Datos del modelo'!Q$51)+(M19/'Datos del modelo'!Q$53*'Datos del modelo'!Q$52)+(M19*'Datos del modelo'!Q$54)</f>
        <v>1115137.723980593</v>
      </c>
      <c r="N83" s="82"/>
      <c r="O83" s="80">
        <f>'Datos del modelo'!$F$18+9</f>
        <v>2031</v>
      </c>
      <c r="P83" s="212">
        <f>P31*('Datos del modelo'!U$33+'Datos del modelo'!U$33*'Datos del modelo'!U$50+'Datos del modelo'!U$33*'Datos del modelo'!U$51)+(P19/'Datos del modelo'!U$53*'Datos del modelo'!U$52)+(P19*'Datos del modelo'!U$54)</f>
        <v>1013182.9265412359</v>
      </c>
      <c r="Q83" s="82"/>
      <c r="R83" s="80">
        <f>'Datos del modelo'!$F$18+9</f>
        <v>2031</v>
      </c>
      <c r="S83" s="211" t="e">
        <f>S31*('Datos del modelo'!Y$33+'Datos del modelo'!Y$33*'Datos del modelo'!Y$50+'Datos del modelo'!Y$33*'Datos del modelo'!Y$51)+(S19/'Datos del modelo'!Y$53*'Datos del modelo'!Y$52)+(S19*'Datos del modelo'!Y$54)</f>
        <v>#VALUE!</v>
      </c>
    </row>
    <row r="84" spans="1:19" ht="30" customHeight="1" outlineLevel="1" x14ac:dyDescent="0.35">
      <c r="A84" s="15"/>
      <c r="B84" s="218" t="s">
        <v>124</v>
      </c>
      <c r="C84" s="275"/>
      <c r="D84" s="82"/>
      <c r="E84" s="218" t="s">
        <v>124</v>
      </c>
      <c r="F84" s="275"/>
      <c r="G84" s="82"/>
      <c r="H84" s="218" t="s">
        <v>124</v>
      </c>
      <c r="I84" s="274"/>
      <c r="J84" s="88"/>
      <c r="K84" s="15"/>
      <c r="L84" s="218" t="s">
        <v>124</v>
      </c>
      <c r="M84" s="275"/>
      <c r="N84" s="82"/>
      <c r="O84" s="218" t="s">
        <v>124</v>
      </c>
      <c r="P84" s="275"/>
      <c r="Q84" s="82"/>
      <c r="R84" s="218" t="s">
        <v>124</v>
      </c>
      <c r="S84" s="275"/>
    </row>
    <row r="85" spans="1:19" ht="60" customHeight="1" x14ac:dyDescent="0.35">
      <c r="A85" s="15"/>
      <c r="B85" s="80" t="s">
        <v>118</v>
      </c>
      <c r="C85" s="212">
        <f>SUM(C86:C95)</f>
        <v>11281950.5867768</v>
      </c>
      <c r="D85" s="82"/>
      <c r="E85" s="80" t="s">
        <v>118</v>
      </c>
      <c r="F85" s="212">
        <f>SUM(F86:F95)</f>
        <v>8102069.8375889361</v>
      </c>
      <c r="G85" s="82"/>
      <c r="H85" s="80" t="s">
        <v>118</v>
      </c>
      <c r="I85" s="212">
        <f>SUM(I86:I95)</f>
        <v>10696980.042941242</v>
      </c>
      <c r="J85" s="88"/>
      <c r="K85" s="15"/>
      <c r="L85" s="80" t="s">
        <v>118</v>
      </c>
      <c r="M85" s="212">
        <f>SUM(M86:M95)</f>
        <v>11723467.86373171</v>
      </c>
      <c r="N85" s="82"/>
      <c r="O85" s="80" t="s">
        <v>118</v>
      </c>
      <c r="P85" s="212">
        <f>SUM(P86:P95)</f>
        <v>10827681.908321394</v>
      </c>
      <c r="Q85" s="82"/>
      <c r="R85" s="80" t="s">
        <v>118</v>
      </c>
      <c r="S85" s="212" t="e">
        <f>SUM(S86:S95)</f>
        <v>#VALUE!</v>
      </c>
    </row>
    <row r="86" spans="1:19" ht="15.5" outlineLevel="1" x14ac:dyDescent="0.35">
      <c r="A86" s="15"/>
      <c r="B86" s="80">
        <f>'Datos del modelo'!$F$18</f>
        <v>2022</v>
      </c>
      <c r="C86" s="215">
        <f>C74+C10*'Datos del modelo'!D$61+'Datos del modelo'!D$60</f>
        <v>1038896.4347826085</v>
      </c>
      <c r="D86" s="82"/>
      <c r="E86" s="80">
        <f>'Datos del modelo'!$F$18</f>
        <v>2022</v>
      </c>
      <c r="F86" s="211">
        <f>F74+F10*'Datos del modelo'!H$61+'Datos del modelo'!H$60</f>
        <v>761513.82608695654</v>
      </c>
      <c r="G86" s="82"/>
      <c r="H86" s="80">
        <f>'Datos del modelo'!$F$18</f>
        <v>2022</v>
      </c>
      <c r="I86" s="211">
        <f>I74+I10*'Datos del modelo'!L$61+'Datos del modelo'!L$60</f>
        <v>987869.15789473685</v>
      </c>
      <c r="J86" s="88"/>
      <c r="K86" s="15"/>
      <c r="L86" s="80">
        <f>'Datos del modelo'!$F$18</f>
        <v>2022</v>
      </c>
      <c r="M86" s="215">
        <f>M74+M10*'Datos del modelo'!Q$61+'Datos del modelo'!Q$60</f>
        <v>1077410.2105263157</v>
      </c>
      <c r="N86" s="82"/>
      <c r="O86" s="80">
        <f>'Datos del modelo'!$F$18</f>
        <v>2022</v>
      </c>
      <c r="P86" s="211">
        <f>P74+P10*'Datos del modelo'!U$61+'Datos del modelo'!U$60</f>
        <v>999270.34782608692</v>
      </c>
      <c r="Q86" s="82"/>
      <c r="R86" s="80">
        <f>'Datos del modelo'!$F$18</f>
        <v>2022</v>
      </c>
      <c r="S86" s="212" t="e">
        <f>S74+S10*'Datos del modelo'!Y$61+'Datos del modelo'!Y$60</f>
        <v>#VALUE!</v>
      </c>
    </row>
    <row r="87" spans="1:19" ht="15.5" outlineLevel="1" x14ac:dyDescent="0.35">
      <c r="A87" s="15"/>
      <c r="B87" s="80">
        <f>'Datos del modelo'!$F$18+1</f>
        <v>2023</v>
      </c>
      <c r="C87" s="212">
        <f>C75+C11*'Datos del modelo'!D$61</f>
        <v>1008263.3278260868</v>
      </c>
      <c r="D87" s="82"/>
      <c r="E87" s="80">
        <f>'Datos del modelo'!$F$18+1</f>
        <v>2023</v>
      </c>
      <c r="F87" s="211">
        <f>F75+F11*'Datos del modelo'!H$61</f>
        <v>722559.24086956517</v>
      </c>
      <c r="G87" s="82"/>
      <c r="H87" s="80">
        <f>'Datos del modelo'!$F$18+1</f>
        <v>2023</v>
      </c>
      <c r="I87" s="211">
        <f>I75+I11*'Datos del modelo'!L$61</f>
        <v>955705.23263157893</v>
      </c>
      <c r="J87" s="88"/>
      <c r="K87" s="15"/>
      <c r="L87" s="80">
        <f>'Datos del modelo'!$F$18+1</f>
        <v>2023</v>
      </c>
      <c r="M87" s="212">
        <f>M75+M11*'Datos del modelo'!Q$61</f>
        <v>1047932.5168421051</v>
      </c>
      <c r="N87" s="82"/>
      <c r="O87" s="80">
        <f>'Datos del modelo'!$F$18+1</f>
        <v>2023</v>
      </c>
      <c r="P87" s="211">
        <f>P75+P11*'Datos del modelo'!U$61</f>
        <v>967448.45826086949</v>
      </c>
      <c r="Q87" s="82"/>
      <c r="R87" s="80">
        <f>'Datos del modelo'!$F$18+1</f>
        <v>2023</v>
      </c>
      <c r="S87" s="212" t="e">
        <f>S75+S11*'Datos del modelo'!Y$61</f>
        <v>#VALUE!</v>
      </c>
    </row>
    <row r="88" spans="1:19" ht="15.5" outlineLevel="1" x14ac:dyDescent="0.35">
      <c r="A88" s="15"/>
      <c r="B88" s="80">
        <f>'Datos del modelo'!$F$18+2</f>
        <v>2024</v>
      </c>
      <c r="C88" s="212">
        <f>C76+C12*'Datos del modelo'!D$61</f>
        <v>1038511.2276608692</v>
      </c>
      <c r="D88" s="82"/>
      <c r="E88" s="80">
        <f>'Datos del modelo'!$F$18+2</f>
        <v>2024</v>
      </c>
      <c r="F88" s="211">
        <f>F76+F12*'Datos del modelo'!H$61</f>
        <v>744236.01809565211</v>
      </c>
      <c r="G88" s="82"/>
      <c r="H88" s="80">
        <f>'Datos del modelo'!$F$18+2</f>
        <v>2024</v>
      </c>
      <c r="I88" s="211">
        <f>I76+I12*'Datos del modelo'!L$61</f>
        <v>984376.38961052615</v>
      </c>
      <c r="J88" s="88"/>
      <c r="K88" s="15"/>
      <c r="L88" s="80">
        <f>'Datos del modelo'!$F$18+2</f>
        <v>2024</v>
      </c>
      <c r="M88" s="212">
        <f>M76+M12*'Datos del modelo'!Q$61</f>
        <v>1079370.492347368</v>
      </c>
      <c r="N88" s="82"/>
      <c r="O88" s="80">
        <f>'Datos del modelo'!$F$18+2</f>
        <v>2024</v>
      </c>
      <c r="P88" s="211">
        <f>P76+P12*'Datos del modelo'!U$61</f>
        <v>996471.91200869542</v>
      </c>
      <c r="Q88" s="82"/>
      <c r="R88" s="80">
        <f>'Datos del modelo'!$F$18+2</f>
        <v>2024</v>
      </c>
      <c r="S88" s="212" t="e">
        <f>S76+S12*'Datos del modelo'!Y$61</f>
        <v>#VALUE!</v>
      </c>
    </row>
    <row r="89" spans="1:19" ht="15.5" outlineLevel="1" x14ac:dyDescent="0.35">
      <c r="A89" s="15"/>
      <c r="B89" s="80">
        <f>'Datos del modelo'!$F$18+3</f>
        <v>2025</v>
      </c>
      <c r="C89" s="212">
        <f>C77+C13*'Datos del modelo'!D$61</f>
        <v>1069666.5644906955</v>
      </c>
      <c r="D89" s="82"/>
      <c r="E89" s="80">
        <f>'Datos del modelo'!$F$18+3</f>
        <v>2025</v>
      </c>
      <c r="F89" s="211">
        <f>F77+F13*'Datos del modelo'!H$61</f>
        <v>766563.09863852174</v>
      </c>
      <c r="G89" s="82"/>
      <c r="H89" s="80">
        <f>'Datos del modelo'!$F$18+3</f>
        <v>2025</v>
      </c>
      <c r="I89" s="212">
        <f>I77+I13*'Datos del modelo'!L$61</f>
        <v>1013907.6812988422</v>
      </c>
      <c r="J89" s="88"/>
      <c r="K89" s="15"/>
      <c r="L89" s="80">
        <f>'Datos del modelo'!$F$18+3</f>
        <v>2025</v>
      </c>
      <c r="M89" s="212">
        <f>M77+M13*'Datos del modelo'!Q$61</f>
        <v>1111751.6071177893</v>
      </c>
      <c r="N89" s="82"/>
      <c r="O89" s="80">
        <f>'Datos del modelo'!$F$18+3</f>
        <v>2025</v>
      </c>
      <c r="P89" s="212">
        <f>P77+P13*'Datos del modelo'!U$61</f>
        <v>1026366.0693689564</v>
      </c>
      <c r="Q89" s="82"/>
      <c r="R89" s="80">
        <f>'Datos del modelo'!$F$18+3</f>
        <v>2025</v>
      </c>
      <c r="S89" s="212" t="e">
        <f>S77+S13*'Datos del modelo'!Y$61</f>
        <v>#VALUE!</v>
      </c>
    </row>
    <row r="90" spans="1:19" ht="15.5" outlineLevel="1" x14ac:dyDescent="0.35">
      <c r="A90" s="15"/>
      <c r="B90" s="80">
        <f>'Datos del modelo'!$F$18+4</f>
        <v>2026</v>
      </c>
      <c r="C90" s="212">
        <f>C78+C14*'Datos del modelo'!D$61</f>
        <v>1101756.5614254163</v>
      </c>
      <c r="D90" s="82"/>
      <c r="E90" s="80">
        <f>'Datos del modelo'!$F$18+4</f>
        <v>2026</v>
      </c>
      <c r="F90" s="211">
        <f>F78+F14*'Datos del modelo'!H$61</f>
        <v>789559.99159767735</v>
      </c>
      <c r="G90" s="82"/>
      <c r="H90" s="80">
        <f>'Datos del modelo'!$F$18+4</f>
        <v>2026</v>
      </c>
      <c r="I90" s="212">
        <f>I78+I14*'Datos del modelo'!L$61</f>
        <v>1044324.9117378072</v>
      </c>
      <c r="J90" s="88"/>
      <c r="K90" s="15"/>
      <c r="L90" s="80">
        <f>'Datos del modelo'!$F$18+4</f>
        <v>2026</v>
      </c>
      <c r="M90" s="212">
        <f>M78+M14*'Datos del modelo'!Q$61</f>
        <v>1145104.1553313229</v>
      </c>
      <c r="N90" s="82"/>
      <c r="O90" s="80">
        <f>'Datos del modelo'!$F$18+4</f>
        <v>2026</v>
      </c>
      <c r="P90" s="212">
        <f>P78+P14*'Datos del modelo'!U$61</f>
        <v>1057157.0514500251</v>
      </c>
      <c r="Q90" s="82"/>
      <c r="R90" s="80">
        <f>'Datos del modelo'!$F$18+4</f>
        <v>2026</v>
      </c>
      <c r="S90" s="212" t="e">
        <f>S78+S14*'Datos del modelo'!Y$61</f>
        <v>#VALUE!</v>
      </c>
    </row>
    <row r="91" spans="1:19" ht="15.5" outlineLevel="1" x14ac:dyDescent="0.35">
      <c r="A91" s="15"/>
      <c r="B91" s="80">
        <f>'Datos del modelo'!$F$18+5</f>
        <v>2027</v>
      </c>
      <c r="C91" s="212">
        <f>C79+C15*'Datos del modelo'!D$61</f>
        <v>1134809.2582681787</v>
      </c>
      <c r="D91" s="82"/>
      <c r="E91" s="80">
        <f>'Datos del modelo'!$F$18+5</f>
        <v>2027</v>
      </c>
      <c r="F91" s="211">
        <f>F79+F15*'Datos del modelo'!H$61</f>
        <v>813246.79134560761</v>
      </c>
      <c r="G91" s="82"/>
      <c r="H91" s="80">
        <f>'Datos del modelo'!$F$18+5</f>
        <v>2027</v>
      </c>
      <c r="I91" s="212">
        <f>I79+I15*'Datos del modelo'!L$61</f>
        <v>1075654.6590899415</v>
      </c>
      <c r="J91" s="88"/>
      <c r="K91" s="15"/>
      <c r="L91" s="80">
        <f>'Datos del modelo'!$F$18+5</f>
        <v>2027</v>
      </c>
      <c r="M91" s="212">
        <f>M79+M15*'Datos del modelo'!Q$61</f>
        <v>1179457.2799912626</v>
      </c>
      <c r="N91" s="82"/>
      <c r="O91" s="80">
        <f>'Datos del modelo'!$F$18+5</f>
        <v>2027</v>
      </c>
      <c r="P91" s="212">
        <f>P79+P15*'Datos del modelo'!U$61</f>
        <v>1088871.7629935257</v>
      </c>
      <c r="Q91" s="82"/>
      <c r="R91" s="80">
        <f>'Datos del modelo'!$F$18+5</f>
        <v>2027</v>
      </c>
      <c r="S91" s="212" t="e">
        <f>S79+S15*'Datos del modelo'!Y$61</f>
        <v>#VALUE!</v>
      </c>
    </row>
    <row r="92" spans="1:19" ht="15.5" outlineLevel="1" x14ac:dyDescent="0.35">
      <c r="A92" s="15"/>
      <c r="B92" s="80">
        <f>'Datos del modelo'!$F$18+6</f>
        <v>2028</v>
      </c>
      <c r="C92" s="212">
        <f>C80+C16*'Datos del modelo'!D$61</f>
        <v>1168853.536016224</v>
      </c>
      <c r="D92" s="82"/>
      <c r="E92" s="80">
        <f>'Datos del modelo'!$F$18+6</f>
        <v>2028</v>
      </c>
      <c r="F92" s="211">
        <f>F80+F16*'Datos del modelo'!H$61</f>
        <v>837644.19508597592</v>
      </c>
      <c r="G92" s="82"/>
      <c r="H92" s="80">
        <f>'Datos del modelo'!$F$18+6</f>
        <v>2028</v>
      </c>
      <c r="I92" s="212">
        <f>I80+I16*'Datos del modelo'!L$61</f>
        <v>1107924.2988626396</v>
      </c>
      <c r="J92" s="88"/>
      <c r="K92" s="15"/>
      <c r="L92" s="80">
        <f>'Datos del modelo'!$F$18+6</f>
        <v>2028</v>
      </c>
      <c r="M92" s="212">
        <f>M80+M16*'Datos del modelo'!Q$61</f>
        <v>1214840.9983910003</v>
      </c>
      <c r="N92" s="82"/>
      <c r="O92" s="80">
        <f>'Datos del modelo'!$F$18+6</f>
        <v>2028</v>
      </c>
      <c r="P92" s="212">
        <f>P80+P16*'Datos del modelo'!U$61</f>
        <v>1121537.9158833316</v>
      </c>
      <c r="Q92" s="82"/>
      <c r="R92" s="80">
        <f>'Datos del modelo'!$F$18+6</f>
        <v>2028</v>
      </c>
      <c r="S92" s="212" t="e">
        <f>S80+S16*'Datos del modelo'!Y$61</f>
        <v>#VALUE!</v>
      </c>
    </row>
    <row r="93" spans="1:19" ht="15.5" outlineLevel="1" x14ac:dyDescent="0.35">
      <c r="A93" s="15"/>
      <c r="B93" s="80">
        <f>'Datos del modelo'!$F$18+7</f>
        <v>2029</v>
      </c>
      <c r="C93" s="212">
        <f>C81+C17*'Datos del modelo'!D$61</f>
        <v>1203919.1420967109</v>
      </c>
      <c r="D93" s="82"/>
      <c r="E93" s="80">
        <f>'Datos del modelo'!$F$18+7</f>
        <v>2029</v>
      </c>
      <c r="F93" s="211">
        <f>F81+F17*'Datos del modelo'!H$61</f>
        <v>862773.52093855513</v>
      </c>
      <c r="G93" s="82"/>
      <c r="H93" s="80">
        <f>'Datos del modelo'!$F$18+7</f>
        <v>2029</v>
      </c>
      <c r="I93" s="212">
        <f>I81+I17*'Datos del modelo'!L$61</f>
        <v>1141162.027828519</v>
      </c>
      <c r="J93" s="88"/>
      <c r="K93" s="15"/>
      <c r="L93" s="80">
        <f>'Datos del modelo'!$F$18+7</f>
        <v>2029</v>
      </c>
      <c r="M93" s="212">
        <f>M81+M17*'Datos del modelo'!Q$61</f>
        <v>1251286.2283427306</v>
      </c>
      <c r="N93" s="82"/>
      <c r="O93" s="80">
        <f>'Datos del modelo'!$F$18+7</f>
        <v>2029</v>
      </c>
      <c r="P93" s="212">
        <f>P81+P17*'Datos del modelo'!U$61</f>
        <v>1155184.0533598315</v>
      </c>
      <c r="Q93" s="82"/>
      <c r="R93" s="80">
        <f>'Datos del modelo'!$F$18+7</f>
        <v>2029</v>
      </c>
      <c r="S93" s="212" t="e">
        <f>S81+S17*'Datos del modelo'!Y$61</f>
        <v>#VALUE!</v>
      </c>
    </row>
    <row r="94" spans="1:19" ht="15.5" outlineLevel="1" x14ac:dyDescent="0.35">
      <c r="A94" s="15"/>
      <c r="B94" s="80">
        <f>'Datos del modelo'!$F$18+8</f>
        <v>2030</v>
      </c>
      <c r="C94" s="212">
        <f>C82+C18*'Datos del modelo'!D$61</f>
        <v>1240036.7163596118</v>
      </c>
      <c r="D94" s="82"/>
      <c r="E94" s="80">
        <f>'Datos del modelo'!$F$18+8</f>
        <v>2030</v>
      </c>
      <c r="F94" s="211">
        <f>F82+F18*'Datos del modelo'!H$61</f>
        <v>888656.72656671167</v>
      </c>
      <c r="G94" s="82"/>
      <c r="H94" s="80">
        <f>'Datos del modelo'!$F$18+8</f>
        <v>2030</v>
      </c>
      <c r="I94" s="212">
        <f>I82+I18*'Datos del modelo'!L$61</f>
        <v>1175396.8886633744</v>
      </c>
      <c r="J94" s="88"/>
      <c r="K94" s="15"/>
      <c r="L94" s="80">
        <f>'Datos del modelo'!$F$18+8</f>
        <v>2030</v>
      </c>
      <c r="M94" s="212">
        <f>M82+M18*'Datos del modelo'!Q$61</f>
        <v>1288824.8151930121</v>
      </c>
      <c r="N94" s="82"/>
      <c r="O94" s="80">
        <f>'Datos del modelo'!$F$18+8</f>
        <v>2030</v>
      </c>
      <c r="P94" s="212">
        <f>P82+P18*'Datos del modelo'!U$61</f>
        <v>1189839.5749606262</v>
      </c>
      <c r="Q94" s="82"/>
      <c r="R94" s="80">
        <f>'Datos del modelo'!$F$18+8</f>
        <v>2030</v>
      </c>
      <c r="S94" s="212" t="e">
        <f>S82+S18*'Datos del modelo'!Y$61</f>
        <v>#VALUE!</v>
      </c>
    </row>
    <row r="95" spans="1:19" ht="15.5" outlineLevel="1" x14ac:dyDescent="0.35">
      <c r="A95" s="15"/>
      <c r="B95" s="80">
        <f>'Datos del modelo'!$F$18+9</f>
        <v>2031</v>
      </c>
      <c r="C95" s="212">
        <f>C83+C19*'Datos del modelo'!D$61</f>
        <v>1277237.8178504005</v>
      </c>
      <c r="D95" s="82"/>
      <c r="E95" s="80">
        <f>'Datos del modelo'!$F$18+9</f>
        <v>2031</v>
      </c>
      <c r="F95" s="211">
        <f>F83+F19*'Datos del modelo'!H$61</f>
        <v>915316.4283637132</v>
      </c>
      <c r="G95" s="82"/>
      <c r="H95" s="80">
        <f>'Datos del modelo'!$F$18+9</f>
        <v>2031</v>
      </c>
      <c r="I95" s="212">
        <f>I83+I19*'Datos del modelo'!L$61</f>
        <v>1210658.795323276</v>
      </c>
      <c r="J95" s="88"/>
      <c r="K95" s="15"/>
      <c r="L95" s="80">
        <f>'Datos del modelo'!$F$18+9</f>
        <v>2031</v>
      </c>
      <c r="M95" s="212">
        <f>M83+M19*'Datos del modelo'!Q$61</f>
        <v>1327489.5596488025</v>
      </c>
      <c r="N95" s="82"/>
      <c r="O95" s="80">
        <f>'Datos del modelo'!$F$18+9</f>
        <v>2031</v>
      </c>
      <c r="P95" s="212">
        <f>P83+P19*'Datos del modelo'!U$61</f>
        <v>1225534.7622094455</v>
      </c>
      <c r="Q95" s="82"/>
      <c r="R95" s="80">
        <f>'Datos del modelo'!$F$18+9</f>
        <v>2031</v>
      </c>
      <c r="S95" s="212" t="e">
        <f>S83+S19*'Datos del modelo'!Y$61</f>
        <v>#VALUE!</v>
      </c>
    </row>
    <row r="96" spans="1:19" ht="10.4" customHeight="1" x14ac:dyDescent="0.35">
      <c r="A96" s="15"/>
      <c r="B96" s="15"/>
      <c r="C96" s="15"/>
      <c r="D96" s="15"/>
      <c r="E96" s="15"/>
      <c r="F96" s="15"/>
      <c r="G96" s="15"/>
      <c r="H96" s="15"/>
      <c r="I96" s="15"/>
      <c r="J96" s="15"/>
      <c r="K96" s="15"/>
    </row>
  </sheetData>
  <sheetProtection algorithmName="SHA-512" hashValue="QokA5ipQuGiVaJdtu9nvbRdWNnfRJ8w6LC0hmbWmlipSVFZYj02TpY8i9QJmiLK/pzxfcmoEnEAwUC1mVVmumA==" saltValue="X4n0+Wes/yIwGHxDyah+Tw==" spinCount="100000" sheet="1" formatCells="0" formatColumns="0" formatRows="0" insertColumns="0" insertRows="0" insertHyperlinks="0" deleteColumns="0" deleteRows="0" sort="0" autoFilter="0" pivotTables="0"/>
  <mergeCells count="70">
    <mergeCell ref="B43:I43"/>
    <mergeCell ref="L43:S43"/>
    <mergeCell ref="B32:C32"/>
    <mergeCell ref="E32:F32"/>
    <mergeCell ref="H32:I32"/>
    <mergeCell ref="L32:M32"/>
    <mergeCell ref="O32:P32"/>
    <mergeCell ref="O84:P84"/>
    <mergeCell ref="R84:S84"/>
    <mergeCell ref="B72:C72"/>
    <mergeCell ref="B84:C84"/>
    <mergeCell ref="E84:F84"/>
    <mergeCell ref="H84:I84"/>
    <mergeCell ref="L84:M84"/>
    <mergeCell ref="R72:S72"/>
    <mergeCell ref="O72:P72"/>
    <mergeCell ref="L72:M72"/>
    <mergeCell ref="H72:I72"/>
    <mergeCell ref="E72:F72"/>
    <mergeCell ref="B58:C58"/>
    <mergeCell ref="E58:F58"/>
    <mergeCell ref="H58:I58"/>
    <mergeCell ref="L58:M58"/>
    <mergeCell ref="O58:P58"/>
    <mergeCell ref="B46:C46"/>
    <mergeCell ref="E46:F46"/>
    <mergeCell ref="H46:I46"/>
    <mergeCell ref="L46:M46"/>
    <mergeCell ref="O46:P46"/>
    <mergeCell ref="E8:F8"/>
    <mergeCell ref="L8:M8"/>
    <mergeCell ref="O8:P8"/>
    <mergeCell ref="R8:S8"/>
    <mergeCell ref="B20:C20"/>
    <mergeCell ref="E20:F20"/>
    <mergeCell ref="L20:M20"/>
    <mergeCell ref="O20:P20"/>
    <mergeCell ref="R20:S20"/>
    <mergeCell ref="L1:S1"/>
    <mergeCell ref="L45:M45"/>
    <mergeCell ref="O45:P45"/>
    <mergeCell ref="R45:S45"/>
    <mergeCell ref="L71:M71"/>
    <mergeCell ref="O71:P71"/>
    <mergeCell ref="R71:S71"/>
    <mergeCell ref="L5:M5"/>
    <mergeCell ref="O5:P5"/>
    <mergeCell ref="R5:S5"/>
    <mergeCell ref="L7:M7"/>
    <mergeCell ref="O7:P7"/>
    <mergeCell ref="R7:S7"/>
    <mergeCell ref="R46:S46"/>
    <mergeCell ref="R58:S58"/>
    <mergeCell ref="R32:S32"/>
    <mergeCell ref="B5:C5"/>
    <mergeCell ref="E5:F5"/>
    <mergeCell ref="H5:I5"/>
    <mergeCell ref="B71:C71"/>
    <mergeCell ref="B1:I1"/>
    <mergeCell ref="B7:C7"/>
    <mergeCell ref="B45:C45"/>
    <mergeCell ref="E7:F7"/>
    <mergeCell ref="E45:F45"/>
    <mergeCell ref="E71:F71"/>
    <mergeCell ref="H7:I7"/>
    <mergeCell ref="H45:I45"/>
    <mergeCell ref="H71:I71"/>
    <mergeCell ref="H8:I8"/>
    <mergeCell ref="H20:I20"/>
    <mergeCell ref="B8:C8"/>
  </mergeCells>
  <conditionalFormatting sqref="C59 I59 F59">
    <cfRule type="colorScale" priority="23">
      <colorScale>
        <cfvo type="min"/>
        <cfvo type="percentile" val="50"/>
        <cfvo type="max"/>
        <color rgb="FF00B050"/>
        <color theme="7"/>
        <color rgb="FFFF0000"/>
      </colorScale>
    </cfRule>
  </conditionalFormatting>
  <conditionalFormatting sqref="C85 I85 F85">
    <cfRule type="colorScale" priority="22">
      <colorScale>
        <cfvo type="min"/>
        <cfvo type="percentile" val="50"/>
        <cfvo type="max"/>
        <color rgb="FF00B050"/>
        <color rgb="FFFFFF00"/>
        <color rgb="FFFF0000"/>
      </colorScale>
    </cfRule>
  </conditionalFormatting>
  <conditionalFormatting sqref="F85 I85 C85">
    <cfRule type="colorScale" priority="21">
      <colorScale>
        <cfvo type="min"/>
        <cfvo type="percentile" val="50"/>
        <cfvo type="max"/>
        <color rgb="FFF8696B"/>
        <color theme="7"/>
        <color rgb="FF63BE7B"/>
      </colorScale>
    </cfRule>
  </conditionalFormatting>
  <conditionalFormatting sqref="I85 F85 C85">
    <cfRule type="colorScale" priority="20">
      <colorScale>
        <cfvo type="min"/>
        <cfvo type="percentile" val="50"/>
        <cfvo type="max"/>
        <color rgb="FF00B050"/>
        <color theme="7"/>
        <color rgb="FFFF0000"/>
      </colorScale>
    </cfRule>
  </conditionalFormatting>
  <conditionalFormatting sqref="C59 I59 F59">
    <cfRule type="colorScale" priority="19">
      <colorScale>
        <cfvo type="min"/>
        <cfvo type="max"/>
        <color rgb="FFFFFF00"/>
        <color rgb="FFFFC000"/>
      </colorScale>
    </cfRule>
  </conditionalFormatting>
  <conditionalFormatting sqref="I85 F85 C85">
    <cfRule type="colorScale" priority="18">
      <colorScale>
        <cfvo type="min"/>
        <cfvo type="max"/>
        <color rgb="FF63BE7B"/>
        <color rgb="FFFFEF9C"/>
      </colorScale>
    </cfRule>
  </conditionalFormatting>
  <conditionalFormatting sqref="C59 I59 F59">
    <cfRule type="colorScale" priority="17">
      <colorScale>
        <cfvo type="min"/>
        <cfvo type="max"/>
        <color rgb="FF63BE7B"/>
        <color rgb="FFFFEF9C"/>
      </colorScale>
    </cfRule>
  </conditionalFormatting>
  <conditionalFormatting sqref="S59 M59 P59">
    <cfRule type="colorScale" priority="9">
      <colorScale>
        <cfvo type="min"/>
        <cfvo type="percentile" val="50"/>
        <cfvo type="max"/>
        <color rgb="FF00B050"/>
        <color theme="7"/>
        <color rgb="FFFF0000"/>
      </colorScale>
    </cfRule>
  </conditionalFormatting>
  <conditionalFormatting sqref="S85 P85 M85">
    <cfRule type="colorScale" priority="8">
      <colorScale>
        <cfvo type="min"/>
        <cfvo type="percentile" val="50"/>
        <cfvo type="max"/>
        <color rgb="FF00B050"/>
        <color rgb="FFFFFF00"/>
        <color rgb="FFFF0000"/>
      </colorScale>
    </cfRule>
  </conditionalFormatting>
  <conditionalFormatting sqref="S85 P85 M85">
    <cfRule type="colorScale" priority="7">
      <colorScale>
        <cfvo type="min"/>
        <cfvo type="percentile" val="50"/>
        <cfvo type="max"/>
        <color rgb="FFF8696B"/>
        <color theme="7"/>
        <color rgb="FF63BE7B"/>
      </colorScale>
    </cfRule>
  </conditionalFormatting>
  <conditionalFormatting sqref="S85 P85 M85">
    <cfRule type="colorScale" priority="6">
      <colorScale>
        <cfvo type="min"/>
        <cfvo type="percentile" val="50"/>
        <cfvo type="max"/>
        <color rgb="FF00B050"/>
        <color theme="7"/>
        <color rgb="FFFF0000"/>
      </colorScale>
    </cfRule>
  </conditionalFormatting>
  <conditionalFormatting sqref="P59 S59 M59">
    <cfRule type="colorScale" priority="5">
      <colorScale>
        <cfvo type="min"/>
        <cfvo type="max"/>
        <color rgb="FFFFFF00"/>
        <color rgb="FFFFC000"/>
      </colorScale>
    </cfRule>
  </conditionalFormatting>
  <conditionalFormatting sqref="S85 P85 M85">
    <cfRule type="colorScale" priority="4">
      <colorScale>
        <cfvo type="min"/>
        <cfvo type="max"/>
        <color rgb="FF63BE7B"/>
        <color rgb="FFFFEF9C"/>
      </colorScale>
    </cfRule>
  </conditionalFormatting>
  <conditionalFormatting sqref="S59 P59 M59">
    <cfRule type="colorScale" priority="3">
      <colorScale>
        <cfvo type="min"/>
        <cfvo type="max"/>
        <color rgb="FF63BE7B"/>
        <color rgb="FFFFEF9C"/>
      </colorScale>
    </cfRule>
  </conditionalFormatting>
  <conditionalFormatting sqref="C59 F59 I59 M59 P59 S59">
    <cfRule type="colorScale" priority="1">
      <colorScale>
        <cfvo type="min"/>
        <cfvo type="max"/>
        <color rgb="FF63BE7B"/>
        <color rgb="FFFFEF9C"/>
      </colorScale>
    </cfRule>
  </conditionalFormatting>
  <printOptions horizontalCentered="1" verticalCentered="1"/>
  <pageMargins left="0.25" right="0.25" top="0.5" bottom="0.5" header="0" footer="0"/>
  <pageSetup paperSize="9" scale="47" orientation="portrait" r:id="rId1"/>
  <headerFooter>
    <oddHeader>&amp;L&amp;&amp;«Calibri»&amp;10&amp;K000000Clasificado como interno&amp;K000000&amp;1#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9"/>
  <sheetViews>
    <sheetView zoomScale="80" zoomScaleNormal="80" workbookViewId="0"/>
  </sheetViews>
  <sheetFormatPr defaultColWidth="8.90625" defaultRowHeight="14.5" x14ac:dyDescent="0.35"/>
  <cols>
    <col min="1" max="16384" width="8.90625" style="7"/>
  </cols>
  <sheetData>
    <row r="1" spans="1:20" ht="15" thickBot="1" x14ac:dyDescent="0.4"/>
    <row r="2" spans="1:20" ht="24" thickBot="1" x14ac:dyDescent="0.6">
      <c r="A2" s="6"/>
      <c r="C2" s="277" t="s">
        <v>122</v>
      </c>
      <c r="D2" s="278"/>
      <c r="E2" s="278"/>
      <c r="F2" s="278"/>
      <c r="G2" s="278"/>
      <c r="H2" s="278"/>
      <c r="I2" s="278"/>
      <c r="J2" s="278"/>
      <c r="K2" s="278"/>
      <c r="L2" s="278"/>
      <c r="M2" s="278"/>
      <c r="N2" s="278"/>
      <c r="O2" s="278"/>
      <c r="P2" s="278"/>
      <c r="Q2" s="278"/>
      <c r="R2" s="278"/>
      <c r="S2" s="278"/>
      <c r="T2" s="279"/>
    </row>
    <row r="3" spans="1:20" ht="18.5" x14ac:dyDescent="0.45">
      <c r="A3" s="9" t="s">
        <v>126</v>
      </c>
    </row>
    <row r="22" spans="1:1" ht="18.5" x14ac:dyDescent="0.45">
      <c r="A22" s="9" t="s">
        <v>127</v>
      </c>
    </row>
    <row r="23" spans="1:1" x14ac:dyDescent="0.35">
      <c r="A23" s="8" t="s">
        <v>128</v>
      </c>
    </row>
    <row r="46" spans="1:20" ht="15" thickBot="1" x14ac:dyDescent="0.4"/>
    <row r="47" spans="1:20" ht="19" thickBot="1" x14ac:dyDescent="0.4">
      <c r="C47" s="277" t="s">
        <v>125</v>
      </c>
      <c r="D47" s="278"/>
      <c r="E47" s="278"/>
      <c r="F47" s="278"/>
      <c r="G47" s="278"/>
      <c r="H47" s="278"/>
      <c r="I47" s="278"/>
      <c r="J47" s="278"/>
      <c r="K47" s="278"/>
      <c r="L47" s="278"/>
      <c r="M47" s="278"/>
      <c r="N47" s="278"/>
      <c r="O47" s="278"/>
      <c r="P47" s="278"/>
      <c r="Q47" s="278"/>
      <c r="R47" s="278"/>
      <c r="S47" s="278"/>
      <c r="T47" s="279"/>
    </row>
    <row r="48" spans="1:20" ht="18.5" x14ac:dyDescent="0.45">
      <c r="A48" s="9" t="s">
        <v>126</v>
      </c>
    </row>
    <row r="68" spans="1:1" ht="18.5" x14ac:dyDescent="0.45">
      <c r="A68" s="9" t="s">
        <v>127</v>
      </c>
    </row>
    <row r="69" spans="1:1" x14ac:dyDescent="0.35">
      <c r="A69" s="8" t="s">
        <v>128</v>
      </c>
    </row>
  </sheetData>
  <sheetProtection algorithmName="SHA-512" hashValue="JOgOKIgto/LbF2Vj9TQvP1CYBhvY55klgfGImfJUIJ7sMeOeA40vtxfjveRs0hFvVLy32Ab+26Y8v1bCjhyU8A==" saltValue="EhdIKd3aLt8NUe3Tx2hZYA==" spinCount="100000" sheet="1" formatCells="0" formatColumns="0" formatRows="0" insertColumns="0" insertRows="0" insertHyperlinks="0" deleteColumns="0" deleteRows="0" sort="0" autoFilter="0" pivotTables="0"/>
  <mergeCells count="2">
    <mergeCell ref="C2:T2"/>
    <mergeCell ref="C47:T47"/>
  </mergeCells>
  <pageMargins left="0.7" right="0.7" top="0.75" bottom="0.75" header="0.3" footer="0.3"/>
  <pageSetup paperSize="9" orientation="portrait" r:id="rId1"/>
  <headerFooter>
    <oddHeader>&amp;L&amp;&amp;«Calibri»&amp;10&amp;K000000Clasificado como interno&amp;K000000&amp;1#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workbookViewId="0">
      <selection activeCell="A15" sqref="A15"/>
    </sheetView>
  </sheetViews>
  <sheetFormatPr defaultColWidth="9.08984375" defaultRowHeight="14.5" x14ac:dyDescent="0.35"/>
  <cols>
    <col min="1" max="1" width="52" customWidth="1"/>
    <col min="2" max="4" width="20.54296875" customWidth="1"/>
    <col min="5" max="5" width="20.54296875" style="193" customWidth="1"/>
    <col min="6" max="28" width="20.54296875" customWidth="1"/>
  </cols>
  <sheetData>
    <row r="1" spans="1:5" ht="29" x14ac:dyDescent="0.35">
      <c r="A1" s="3" t="s">
        <v>129</v>
      </c>
      <c r="B1" s="3" t="s">
        <v>91</v>
      </c>
      <c r="C1" s="3" t="s">
        <v>130</v>
      </c>
      <c r="D1" s="3" t="s">
        <v>131</v>
      </c>
      <c r="E1" s="201" t="s">
        <v>132</v>
      </c>
    </row>
    <row r="2" spans="1:5" x14ac:dyDescent="0.35">
      <c r="A2" s="10" t="s">
        <v>85</v>
      </c>
      <c r="B2" s="216">
        <v>3.05</v>
      </c>
      <c r="C2" s="4">
        <v>3</v>
      </c>
      <c r="D2" s="2">
        <v>0.08</v>
      </c>
      <c r="E2" s="202">
        <v>2.4</v>
      </c>
    </row>
    <row r="3" spans="1:5" x14ac:dyDescent="0.35">
      <c r="A3" s="10" t="s">
        <v>86</v>
      </c>
      <c r="B3" s="216">
        <v>2</v>
      </c>
      <c r="C3" s="4">
        <v>3</v>
      </c>
      <c r="D3" s="2">
        <v>0.08</v>
      </c>
      <c r="E3" s="202">
        <v>3.5</v>
      </c>
    </row>
    <row r="4" spans="1:5" x14ac:dyDescent="0.35">
      <c r="A4" s="10" t="s">
        <v>87</v>
      </c>
      <c r="B4" s="216">
        <v>2.95</v>
      </c>
      <c r="C4" s="4">
        <v>3</v>
      </c>
      <c r="D4" s="2">
        <v>0.05</v>
      </c>
      <c r="E4" s="202">
        <v>14</v>
      </c>
    </row>
    <row r="5" spans="1:5" x14ac:dyDescent="0.35">
      <c r="A5" s="10" t="s">
        <v>88</v>
      </c>
      <c r="B5" s="216">
        <v>3.3</v>
      </c>
      <c r="C5" s="4">
        <v>3</v>
      </c>
      <c r="D5" s="2">
        <v>0.05</v>
      </c>
      <c r="E5" s="202">
        <v>12</v>
      </c>
    </row>
    <row r="6" spans="1:5" x14ac:dyDescent="0.35">
      <c r="A6" s="10" t="s">
        <v>89</v>
      </c>
      <c r="B6" s="216">
        <v>2.9</v>
      </c>
      <c r="C6" s="4">
        <v>3</v>
      </c>
      <c r="D6" s="2">
        <v>0.08</v>
      </c>
      <c r="E6" s="202">
        <v>3.5</v>
      </c>
    </row>
    <row r="7" spans="1:5" x14ac:dyDescent="0.35">
      <c r="A7" s="10" t="s">
        <v>90</v>
      </c>
      <c r="B7" s="1" t="s">
        <v>133</v>
      </c>
      <c r="C7" s="4">
        <v>3</v>
      </c>
      <c r="D7" s="2" t="s">
        <v>133</v>
      </c>
      <c r="E7" s="202">
        <v>11.05</v>
      </c>
    </row>
    <row r="8" spans="1:5" x14ac:dyDescent="0.35">
      <c r="A8" s="10"/>
      <c r="B8" s="1"/>
      <c r="C8" s="4"/>
      <c r="D8" s="2"/>
      <c r="E8" s="202"/>
    </row>
    <row r="9" spans="1:5" x14ac:dyDescent="0.35">
      <c r="A9" s="10"/>
      <c r="B9" s="1"/>
      <c r="C9" s="4"/>
      <c r="D9" s="2"/>
      <c r="E9" s="202"/>
    </row>
    <row r="10" spans="1:5" x14ac:dyDescent="0.35">
      <c r="A10" s="10"/>
      <c r="B10" s="1"/>
      <c r="C10" s="4"/>
      <c r="D10" s="2"/>
      <c r="E10" s="202"/>
    </row>
    <row r="11" spans="1:5" x14ac:dyDescent="0.35">
      <c r="A11" s="10"/>
      <c r="B11" s="1"/>
      <c r="C11" s="4"/>
      <c r="D11" s="2"/>
      <c r="E11" s="202"/>
    </row>
    <row r="12" spans="1:5" x14ac:dyDescent="0.35">
      <c r="A12" s="10"/>
      <c r="B12" s="1"/>
      <c r="C12" s="4"/>
      <c r="D12" s="2"/>
      <c r="E12" s="202"/>
    </row>
    <row r="13" spans="1:5" x14ac:dyDescent="0.35">
      <c r="A13" s="10"/>
      <c r="B13" s="1"/>
      <c r="C13" s="4"/>
      <c r="D13" s="5"/>
      <c r="E13" s="202"/>
    </row>
    <row r="14" spans="1:5" x14ac:dyDescent="0.35">
      <c r="A14" s="10"/>
      <c r="B14" s="1"/>
      <c r="C14" s="4"/>
      <c r="D14" s="2"/>
      <c r="E14" s="202"/>
    </row>
    <row r="15" spans="1:5" x14ac:dyDescent="0.35">
      <c r="A15" s="3" t="s">
        <v>134</v>
      </c>
    </row>
    <row r="16" spans="1:5" x14ac:dyDescent="0.35">
      <c r="A16" t="s">
        <v>135</v>
      </c>
    </row>
    <row r="17" spans="1:1" x14ac:dyDescent="0.35">
      <c r="A17" t="s">
        <v>57</v>
      </c>
    </row>
  </sheetData>
  <pageMargins left="0.7" right="0.7" top="0.75" bottom="0.75" header="0.3" footer="0.3"/>
  <pageSetup paperSize="9" orientation="portrait" r:id="rId1"/>
  <headerFooter>
    <oddHeader>&amp;L&amp;&amp;«Calibri»&amp;10&amp;K000000Clasificado como interno&amp;K000000&amp;1#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A8" sqref="A8"/>
    </sheetView>
  </sheetViews>
  <sheetFormatPr defaultColWidth="9.08984375" defaultRowHeight="14.5" x14ac:dyDescent="0.35"/>
  <cols>
    <col min="1" max="1" width="14.54296875" customWidth="1"/>
    <col min="3" max="3" width="70.54296875" customWidth="1"/>
  </cols>
  <sheetData>
    <row r="1" spans="1:3" x14ac:dyDescent="0.35">
      <c r="A1" t="s">
        <v>249</v>
      </c>
      <c r="B1" t="s">
        <v>250</v>
      </c>
      <c r="C1" t="s">
        <v>251</v>
      </c>
    </row>
    <row r="2" spans="1:3" x14ac:dyDescent="0.35">
      <c r="A2" t="s">
        <v>249</v>
      </c>
      <c r="B2" s="192">
        <v>44014</v>
      </c>
      <c r="C2" t="s">
        <v>252</v>
      </c>
    </row>
    <row r="3" spans="1:3" ht="72.5" x14ac:dyDescent="0.35">
      <c r="A3" t="s">
        <v>253</v>
      </c>
      <c r="B3" s="192">
        <v>44026</v>
      </c>
      <c r="C3" s="193" t="s">
        <v>254</v>
      </c>
    </row>
    <row r="4" spans="1:3" ht="29" x14ac:dyDescent="0.35">
      <c r="A4" t="s">
        <v>255</v>
      </c>
      <c r="B4" s="192">
        <v>44035</v>
      </c>
      <c r="C4" s="193" t="s">
        <v>256</v>
      </c>
    </row>
    <row r="5" spans="1:3" ht="29" x14ac:dyDescent="0.35">
      <c r="A5" t="s">
        <v>257</v>
      </c>
      <c r="B5" s="192">
        <v>44051</v>
      </c>
      <c r="C5" s="193" t="s">
        <v>258</v>
      </c>
    </row>
    <row r="6" spans="1:3" ht="43.5" x14ac:dyDescent="0.35">
      <c r="A6" t="s">
        <v>259</v>
      </c>
      <c r="B6" s="192">
        <v>44075</v>
      </c>
      <c r="C6" s="193" t="s">
        <v>260</v>
      </c>
    </row>
    <row r="7" spans="1:3" x14ac:dyDescent="0.35">
      <c r="A7" t="s">
        <v>261</v>
      </c>
      <c r="B7" s="192">
        <v>44083</v>
      </c>
      <c r="C7" s="193"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B59"/>
  <sheetViews>
    <sheetView topLeftCell="A33" zoomScale="70" zoomScaleNormal="70" workbookViewId="0">
      <selection activeCell="R28" sqref="R28"/>
    </sheetView>
  </sheetViews>
  <sheetFormatPr defaultColWidth="9.08984375" defaultRowHeight="14.5" x14ac:dyDescent="0.35"/>
  <cols>
    <col min="1" max="1" width="5.54296875" customWidth="1"/>
    <col min="2" max="2" width="77.54296875" customWidth="1"/>
    <col min="3" max="3" width="10.54296875" customWidth="1"/>
    <col min="4" max="4" width="14.453125" customWidth="1"/>
    <col min="5" max="5" width="17.54296875" customWidth="1"/>
    <col min="6" max="6" width="13.54296875" customWidth="1"/>
    <col min="7" max="7" width="28.453125" customWidth="1"/>
    <col min="8" max="8" width="52.453125" bestFit="1" customWidth="1"/>
    <col min="9" max="9" width="18.453125" customWidth="1"/>
    <col min="10" max="11" width="10.54296875" customWidth="1"/>
    <col min="12" max="12" width="20.453125" customWidth="1"/>
    <col min="13" max="13" width="24.453125" customWidth="1"/>
    <col min="14" max="14" width="8.90625" style="191"/>
    <col min="15" max="15" width="8.90625" style="115"/>
    <col min="17" max="17" width="75.453125" customWidth="1"/>
    <col min="18" max="18" width="68.453125" customWidth="1"/>
  </cols>
  <sheetData>
    <row r="2" spans="2:28" ht="47.25" customHeight="1" x14ac:dyDescent="0.7">
      <c r="B2" s="280" t="s">
        <v>136</v>
      </c>
      <c r="C2" s="280"/>
      <c r="D2" s="280"/>
      <c r="E2" s="280"/>
      <c r="F2" s="280"/>
      <c r="G2" s="280"/>
      <c r="H2" s="280"/>
      <c r="I2" s="280"/>
      <c r="J2" s="280"/>
      <c r="K2" s="280"/>
      <c r="L2" s="280"/>
      <c r="M2" s="280"/>
      <c r="N2" s="114"/>
      <c r="Q2" s="281" t="s">
        <v>137</v>
      </c>
      <c r="R2" s="281"/>
      <c r="S2" s="281"/>
      <c r="T2" s="281"/>
    </row>
    <row r="3" spans="2:28" ht="15" customHeight="1" x14ac:dyDescent="0.45">
      <c r="B3" s="116"/>
      <c r="C3" s="116"/>
      <c r="D3" s="116"/>
      <c r="E3" s="116"/>
      <c r="F3" s="116"/>
      <c r="G3" s="116"/>
      <c r="H3" s="116"/>
      <c r="I3" s="116"/>
      <c r="J3" s="116"/>
      <c r="K3" s="116"/>
      <c r="L3" s="116"/>
      <c r="M3" s="116"/>
      <c r="N3" s="117"/>
      <c r="O3" s="118"/>
      <c r="P3" s="116"/>
      <c r="Q3" s="282" t="s">
        <v>138</v>
      </c>
      <c r="R3" s="282"/>
      <c r="S3" s="282"/>
      <c r="T3" s="282"/>
      <c r="U3" s="116"/>
      <c r="V3" s="116"/>
      <c r="W3" s="116"/>
      <c r="X3" s="116"/>
      <c r="Y3" s="116"/>
      <c r="Z3" s="116"/>
      <c r="AA3" s="116"/>
      <c r="AB3" s="116"/>
    </row>
    <row r="4" spans="2:28" ht="35.25" customHeight="1" x14ac:dyDescent="0.45">
      <c r="B4" s="282" t="s">
        <v>139</v>
      </c>
      <c r="C4" s="282"/>
      <c r="D4" s="282"/>
      <c r="E4" s="282"/>
      <c r="F4" s="282"/>
      <c r="G4" s="282"/>
      <c r="H4" s="282"/>
      <c r="I4" s="282"/>
      <c r="J4" s="119"/>
      <c r="K4" s="119"/>
      <c r="L4" s="119"/>
      <c r="M4" s="116"/>
      <c r="N4" s="117"/>
      <c r="O4" s="118"/>
      <c r="P4" s="116"/>
      <c r="Q4" s="282"/>
      <c r="R4" s="282"/>
      <c r="S4" s="282"/>
      <c r="T4" s="282"/>
      <c r="U4" s="116"/>
      <c r="V4" s="116"/>
      <c r="W4" s="116"/>
      <c r="X4" s="116"/>
      <c r="Y4" s="116"/>
      <c r="Z4" s="116"/>
      <c r="AA4" s="116"/>
      <c r="AB4" s="116"/>
    </row>
    <row r="5" spans="2:28" ht="18.5" x14ac:dyDescent="0.45">
      <c r="B5" s="282"/>
      <c r="C5" s="282"/>
      <c r="D5" s="282"/>
      <c r="E5" s="282"/>
      <c r="F5" s="282"/>
      <c r="G5" s="282"/>
      <c r="H5" s="282"/>
      <c r="I5" s="282"/>
      <c r="J5" s="119"/>
      <c r="K5" s="119"/>
      <c r="L5" s="119"/>
      <c r="M5" s="120"/>
      <c r="N5" s="117"/>
      <c r="O5" s="118"/>
      <c r="P5" s="116"/>
      <c r="Q5" s="282"/>
      <c r="R5" s="282"/>
      <c r="S5" s="282"/>
      <c r="T5" s="282"/>
      <c r="U5" s="116"/>
      <c r="V5" s="116"/>
      <c r="W5" s="116"/>
      <c r="X5" s="116"/>
      <c r="Y5" s="116"/>
      <c r="Z5" s="116"/>
      <c r="AA5" s="116"/>
      <c r="AB5" s="116"/>
    </row>
    <row r="6" spans="2:28" ht="15.75" customHeight="1" thickBot="1" x14ac:dyDescent="0.5">
      <c r="B6" s="116"/>
      <c r="C6" s="116"/>
      <c r="D6" s="116"/>
      <c r="E6" s="116"/>
      <c r="F6" s="116"/>
      <c r="G6" s="121"/>
      <c r="H6" s="121"/>
      <c r="I6" s="283"/>
      <c r="J6" s="283"/>
      <c r="K6" s="283"/>
      <c r="L6" s="283"/>
      <c r="M6" s="283"/>
      <c r="N6" s="117"/>
      <c r="O6" s="118"/>
      <c r="P6" s="116"/>
      <c r="Q6" s="116"/>
      <c r="R6" s="116"/>
      <c r="S6" s="116"/>
      <c r="T6" s="116"/>
      <c r="U6" s="116"/>
      <c r="V6" s="116"/>
      <c r="W6" s="116"/>
      <c r="X6" s="116"/>
      <c r="Y6" s="116"/>
      <c r="Z6" s="116"/>
      <c r="AA6" s="116"/>
      <c r="AB6" s="116"/>
    </row>
    <row r="7" spans="2:28" ht="21" x14ac:dyDescent="0.45">
      <c r="B7" s="122" t="s">
        <v>140</v>
      </c>
      <c r="C7" s="284" t="s">
        <v>141</v>
      </c>
      <c r="D7" s="285"/>
      <c r="E7" s="285"/>
      <c r="F7" s="285"/>
      <c r="G7" s="285"/>
      <c r="H7" s="285"/>
      <c r="I7" s="285"/>
      <c r="J7" s="285"/>
      <c r="K7" s="285"/>
      <c r="L7" s="285"/>
      <c r="M7" s="286"/>
      <c r="N7" s="117"/>
      <c r="O7" s="118"/>
      <c r="P7" s="116"/>
      <c r="Q7" s="123" t="s">
        <v>140</v>
      </c>
      <c r="R7" s="124" t="s">
        <v>141</v>
      </c>
      <c r="S7" s="116"/>
      <c r="T7" s="116"/>
      <c r="U7" s="116"/>
      <c r="V7" s="116"/>
      <c r="W7" s="116"/>
      <c r="X7" s="116"/>
      <c r="Y7" s="116"/>
      <c r="Z7" s="116"/>
      <c r="AA7" s="116"/>
      <c r="AB7" s="116"/>
    </row>
    <row r="8" spans="2:28" ht="21" x14ac:dyDescent="0.45">
      <c r="B8" s="125" t="s">
        <v>142</v>
      </c>
      <c r="C8" s="302" t="s">
        <v>143</v>
      </c>
      <c r="D8" s="303"/>
      <c r="E8" s="303"/>
      <c r="F8" s="303"/>
      <c r="G8" s="303"/>
      <c r="H8" s="304"/>
      <c r="I8" s="305" t="s">
        <v>144</v>
      </c>
      <c r="J8" s="305"/>
      <c r="K8" s="305"/>
      <c r="L8" s="305"/>
      <c r="M8" s="306"/>
      <c r="N8" s="126"/>
      <c r="O8" s="118"/>
      <c r="P8" s="116"/>
      <c r="Q8" s="127" t="s">
        <v>142</v>
      </c>
      <c r="R8" s="128" t="s">
        <v>143</v>
      </c>
      <c r="S8" s="116"/>
      <c r="T8" s="116"/>
      <c r="U8" s="116"/>
      <c r="V8" s="116"/>
      <c r="W8" s="116"/>
      <c r="X8" s="116"/>
      <c r="Y8" s="116"/>
      <c r="Z8" s="116"/>
      <c r="AA8" s="116"/>
      <c r="AB8" s="116"/>
    </row>
    <row r="9" spans="2:28" ht="21" x14ac:dyDescent="0.45">
      <c r="B9" s="125" t="s">
        <v>145</v>
      </c>
      <c r="C9" s="307" t="s">
        <v>146</v>
      </c>
      <c r="D9" s="295"/>
      <c r="E9" s="295"/>
      <c r="F9" s="295"/>
      <c r="G9" s="295"/>
      <c r="H9" s="129" t="s">
        <v>147</v>
      </c>
      <c r="I9" s="295" t="s">
        <v>148</v>
      </c>
      <c r="J9" s="295"/>
      <c r="K9" s="295"/>
      <c r="L9" s="295"/>
      <c r="M9" s="296"/>
      <c r="N9" s="126"/>
      <c r="O9" s="118"/>
      <c r="P9" s="116"/>
      <c r="Q9" s="127" t="s">
        <v>145</v>
      </c>
      <c r="R9" s="130" t="s">
        <v>146</v>
      </c>
      <c r="S9" s="116"/>
      <c r="T9" s="116"/>
      <c r="U9" s="116"/>
      <c r="V9" s="116"/>
      <c r="W9" s="116"/>
      <c r="X9" s="116"/>
      <c r="Y9" s="116"/>
      <c r="Z9" s="116"/>
      <c r="AA9" s="116"/>
      <c r="AB9" s="116"/>
    </row>
    <row r="10" spans="2:28" ht="21" x14ac:dyDescent="0.45">
      <c r="B10" s="131" t="s">
        <v>149</v>
      </c>
      <c r="C10" s="308" t="s">
        <v>150</v>
      </c>
      <c r="D10" s="309"/>
      <c r="E10" s="309"/>
      <c r="F10" s="309"/>
      <c r="G10" s="310"/>
      <c r="H10" s="132" t="s">
        <v>151</v>
      </c>
      <c r="I10" s="311" t="s">
        <v>152</v>
      </c>
      <c r="J10" s="311"/>
      <c r="K10" s="311"/>
      <c r="L10" s="311"/>
      <c r="M10" s="312"/>
      <c r="N10" s="126"/>
      <c r="O10" s="118"/>
      <c r="P10" s="116"/>
      <c r="Q10" s="133" t="s">
        <v>149</v>
      </c>
      <c r="R10" s="134" t="s">
        <v>150</v>
      </c>
      <c r="S10" s="116"/>
      <c r="T10" s="116"/>
      <c r="U10" s="116"/>
      <c r="V10" s="116"/>
      <c r="W10" s="116"/>
      <c r="X10" s="116"/>
      <c r="Y10" s="116"/>
      <c r="Z10" s="116"/>
      <c r="AA10" s="116"/>
      <c r="AB10" s="116"/>
    </row>
    <row r="11" spans="2:28" ht="21" customHeight="1" x14ac:dyDescent="0.45">
      <c r="B11" s="131" t="s">
        <v>153</v>
      </c>
      <c r="C11" s="287" t="s">
        <v>154</v>
      </c>
      <c r="D11" s="288"/>
      <c r="E11" s="288"/>
      <c r="F11" s="288"/>
      <c r="G11" s="289"/>
      <c r="H11" s="135" t="s">
        <v>155</v>
      </c>
      <c r="I11" s="290" t="s">
        <v>156</v>
      </c>
      <c r="J11" s="290"/>
      <c r="K11" s="290"/>
      <c r="L11" s="290"/>
      <c r="M11" s="291"/>
      <c r="N11" s="136"/>
      <c r="O11" s="118"/>
      <c r="P11" s="116"/>
      <c r="Q11" s="133" t="s">
        <v>153</v>
      </c>
      <c r="R11" s="137" t="s">
        <v>154</v>
      </c>
      <c r="S11" s="116"/>
      <c r="T11" s="116"/>
      <c r="U11" s="116"/>
      <c r="V11" s="116"/>
      <c r="W11" s="116"/>
      <c r="X11" s="116"/>
      <c r="Y11" s="116"/>
      <c r="Z11" s="116"/>
      <c r="AA11" s="116"/>
      <c r="AB11" s="116"/>
    </row>
    <row r="12" spans="2:28" ht="21" x14ac:dyDescent="0.45">
      <c r="B12" s="125" t="s">
        <v>157</v>
      </c>
      <c r="C12" s="292" t="s">
        <v>158</v>
      </c>
      <c r="D12" s="293"/>
      <c r="E12" s="293"/>
      <c r="F12" s="293"/>
      <c r="G12" s="294"/>
      <c r="H12" s="138" t="s">
        <v>159</v>
      </c>
      <c r="I12" s="295" t="s">
        <v>160</v>
      </c>
      <c r="J12" s="295"/>
      <c r="K12" s="295"/>
      <c r="L12" s="295"/>
      <c r="M12" s="296"/>
      <c r="N12" s="139"/>
      <c r="O12" s="118"/>
      <c r="P12" s="116"/>
      <c r="Q12" s="127" t="s">
        <v>157</v>
      </c>
      <c r="R12" s="140" t="s">
        <v>158</v>
      </c>
      <c r="S12" s="116"/>
      <c r="T12" s="116"/>
      <c r="U12" s="116"/>
      <c r="V12" s="116"/>
      <c r="W12" s="116"/>
      <c r="X12" s="116"/>
      <c r="Y12" s="116"/>
      <c r="Z12" s="116"/>
      <c r="AA12" s="116"/>
      <c r="AB12" s="116"/>
    </row>
    <row r="13" spans="2:28" ht="21" x14ac:dyDescent="0.45">
      <c r="B13" s="125" t="s">
        <v>161</v>
      </c>
      <c r="C13" s="297" t="s">
        <v>162</v>
      </c>
      <c r="D13" s="298"/>
      <c r="E13" s="298"/>
      <c r="F13" s="298"/>
      <c r="G13" s="299"/>
      <c r="H13" s="141" t="s">
        <v>163</v>
      </c>
      <c r="I13" s="300" t="s">
        <v>162</v>
      </c>
      <c r="J13" s="300"/>
      <c r="K13" s="300"/>
      <c r="L13" s="300"/>
      <c r="M13" s="301"/>
      <c r="N13" s="142"/>
      <c r="O13" s="118"/>
      <c r="P13" s="116"/>
      <c r="Q13" s="127" t="s">
        <v>161</v>
      </c>
      <c r="R13" s="143" t="s">
        <v>162</v>
      </c>
      <c r="S13" s="116"/>
      <c r="T13" s="116"/>
      <c r="U13" s="116"/>
      <c r="V13" s="116"/>
      <c r="W13" s="116"/>
      <c r="X13" s="116"/>
      <c r="Y13" s="116"/>
      <c r="Z13" s="116"/>
      <c r="AA13" s="116"/>
      <c r="AB13" s="116"/>
    </row>
    <row r="14" spans="2:28" ht="45" customHeight="1" x14ac:dyDescent="0.45">
      <c r="B14" s="144" t="s">
        <v>164</v>
      </c>
      <c r="C14" s="323" t="s">
        <v>165</v>
      </c>
      <c r="D14" s="324"/>
      <c r="E14" s="325"/>
      <c r="F14" s="326" t="s">
        <v>166</v>
      </c>
      <c r="G14" s="325"/>
      <c r="H14" s="145" t="s">
        <v>167</v>
      </c>
      <c r="I14" s="326" t="s">
        <v>168</v>
      </c>
      <c r="J14" s="324"/>
      <c r="K14" s="325"/>
      <c r="L14" s="326" t="s">
        <v>169</v>
      </c>
      <c r="M14" s="327"/>
      <c r="N14" s="146"/>
      <c r="O14" s="118"/>
      <c r="P14" s="116"/>
      <c r="Q14" s="147" t="s">
        <v>164</v>
      </c>
      <c r="R14" s="148" t="s">
        <v>170</v>
      </c>
      <c r="S14" s="116"/>
      <c r="T14" s="116"/>
      <c r="U14" s="116"/>
      <c r="V14" s="116"/>
      <c r="W14" s="116"/>
      <c r="X14" s="116"/>
      <c r="Y14" s="116"/>
      <c r="Z14" s="116"/>
      <c r="AA14" s="116"/>
      <c r="AB14" s="116"/>
    </row>
    <row r="15" spans="2:28" ht="34.5" customHeight="1" x14ac:dyDescent="0.45">
      <c r="B15" s="149" t="s">
        <v>171</v>
      </c>
      <c r="C15" s="313" t="s">
        <v>172</v>
      </c>
      <c r="D15" s="314"/>
      <c r="E15" s="315"/>
      <c r="F15" s="328" t="s">
        <v>173</v>
      </c>
      <c r="G15" s="329"/>
      <c r="H15" s="129" t="s">
        <v>174</v>
      </c>
      <c r="I15" s="316" t="s">
        <v>173</v>
      </c>
      <c r="J15" s="314"/>
      <c r="K15" s="315"/>
      <c r="L15" s="316" t="s">
        <v>173</v>
      </c>
      <c r="M15" s="317"/>
      <c r="N15" s="150"/>
      <c r="O15" s="118"/>
      <c r="P15" s="116"/>
      <c r="Q15" s="151" t="s">
        <v>171</v>
      </c>
      <c r="R15" s="130" t="s">
        <v>175</v>
      </c>
      <c r="S15" s="116"/>
      <c r="T15" s="116"/>
      <c r="U15" s="116"/>
      <c r="V15" s="116"/>
      <c r="W15" s="116"/>
      <c r="X15" s="116"/>
      <c r="Y15" s="116"/>
      <c r="Z15" s="116"/>
      <c r="AA15" s="116"/>
      <c r="AB15" s="116"/>
    </row>
    <row r="16" spans="2:28" ht="18.5" x14ac:dyDescent="0.45">
      <c r="B16" s="152" t="s">
        <v>176</v>
      </c>
      <c r="C16" s="313" t="s">
        <v>177</v>
      </c>
      <c r="D16" s="314"/>
      <c r="E16" s="315"/>
      <c r="F16" s="316" t="s">
        <v>177</v>
      </c>
      <c r="G16" s="315"/>
      <c r="H16" s="129" t="s">
        <v>177</v>
      </c>
      <c r="I16" s="316" t="s">
        <v>177</v>
      </c>
      <c r="J16" s="314"/>
      <c r="K16" s="315"/>
      <c r="L16" s="316" t="s">
        <v>177</v>
      </c>
      <c r="M16" s="317"/>
      <c r="N16" s="126"/>
      <c r="O16" s="118"/>
      <c r="P16" s="116"/>
      <c r="Q16" s="153" t="s">
        <v>176</v>
      </c>
      <c r="R16" s="130" t="s">
        <v>175</v>
      </c>
      <c r="S16" s="116"/>
      <c r="T16" s="116"/>
      <c r="U16" s="116"/>
      <c r="V16" s="116"/>
      <c r="W16" s="116"/>
      <c r="X16" s="116"/>
      <c r="Y16" s="116"/>
      <c r="Z16" s="116"/>
      <c r="AA16" s="116"/>
      <c r="AB16" s="116"/>
    </row>
    <row r="17" spans="2:28" ht="21" x14ac:dyDescent="0.45">
      <c r="B17" s="149" t="s">
        <v>178</v>
      </c>
      <c r="C17" s="318" t="s">
        <v>179</v>
      </c>
      <c r="D17" s="319"/>
      <c r="E17" s="320"/>
      <c r="F17" s="321" t="s">
        <v>180</v>
      </c>
      <c r="G17" s="320"/>
      <c r="H17" s="154" t="s">
        <v>179</v>
      </c>
      <c r="I17" s="321" t="s">
        <v>180</v>
      </c>
      <c r="J17" s="319"/>
      <c r="K17" s="320"/>
      <c r="L17" s="321" t="s">
        <v>180</v>
      </c>
      <c r="M17" s="322"/>
      <c r="N17" s="126"/>
      <c r="O17" s="118"/>
      <c r="P17" s="116"/>
      <c r="Q17" s="151" t="s">
        <v>178</v>
      </c>
      <c r="R17" s="143" t="s">
        <v>180</v>
      </c>
      <c r="S17" s="116"/>
      <c r="T17" s="116"/>
      <c r="U17" s="116"/>
      <c r="V17" s="116"/>
      <c r="W17" s="116"/>
      <c r="X17" s="116"/>
      <c r="Y17" s="116"/>
      <c r="Z17" s="116"/>
      <c r="AA17" s="116"/>
      <c r="AB17" s="116"/>
    </row>
    <row r="18" spans="2:28" ht="21" x14ac:dyDescent="0.45">
      <c r="B18" s="155" t="s">
        <v>181</v>
      </c>
      <c r="C18" s="330">
        <v>3.05</v>
      </c>
      <c r="D18" s="331"/>
      <c r="E18" s="332"/>
      <c r="F18" s="333">
        <v>3.05</v>
      </c>
      <c r="G18" s="332"/>
      <c r="H18" s="156">
        <v>2</v>
      </c>
      <c r="I18" s="333">
        <v>3.3</v>
      </c>
      <c r="J18" s="331"/>
      <c r="K18" s="332"/>
      <c r="L18" s="333">
        <v>2.9</v>
      </c>
      <c r="M18" s="334"/>
      <c r="N18" s="146"/>
      <c r="O18" s="118"/>
      <c r="P18" s="116"/>
      <c r="Q18" s="157" t="s">
        <v>181</v>
      </c>
      <c r="R18" s="140" t="s">
        <v>175</v>
      </c>
      <c r="S18" s="116"/>
      <c r="T18" s="116"/>
      <c r="U18" s="116"/>
      <c r="V18" s="116"/>
      <c r="W18" s="116"/>
      <c r="X18" s="116"/>
      <c r="Y18" s="116"/>
      <c r="Z18" s="116"/>
      <c r="AA18" s="116"/>
      <c r="AB18" s="116"/>
    </row>
    <row r="19" spans="2:28" ht="18.5" x14ac:dyDescent="0.45">
      <c r="B19" s="155" t="s">
        <v>182</v>
      </c>
      <c r="C19" s="340">
        <v>3</v>
      </c>
      <c r="D19" s="341"/>
      <c r="E19" s="342"/>
      <c r="F19" s="343">
        <v>3</v>
      </c>
      <c r="G19" s="342"/>
      <c r="H19" s="158">
        <v>3</v>
      </c>
      <c r="I19" s="344">
        <v>3</v>
      </c>
      <c r="J19" s="345"/>
      <c r="K19" s="346"/>
      <c r="L19" s="345">
        <v>3</v>
      </c>
      <c r="M19" s="347"/>
      <c r="N19" s="159"/>
      <c r="O19" s="118"/>
      <c r="P19" s="116"/>
      <c r="Q19" s="157" t="s">
        <v>182</v>
      </c>
      <c r="R19" s="160">
        <v>3</v>
      </c>
      <c r="S19" s="116"/>
      <c r="T19" s="116"/>
      <c r="U19" s="116"/>
      <c r="V19" s="116"/>
      <c r="W19" s="116"/>
      <c r="X19" s="116"/>
      <c r="Y19" s="116"/>
      <c r="Z19" s="116"/>
      <c r="AA19" s="116"/>
      <c r="AB19" s="116"/>
    </row>
    <row r="20" spans="2:28" ht="21" x14ac:dyDescent="0.45">
      <c r="B20" s="161" t="s">
        <v>183</v>
      </c>
      <c r="C20" s="330">
        <f>C18*3</f>
        <v>9.1499999999999986</v>
      </c>
      <c r="D20" s="331"/>
      <c r="E20" s="332"/>
      <c r="F20" s="333">
        <f>F18*3</f>
        <v>9.1499999999999986</v>
      </c>
      <c r="G20" s="332"/>
      <c r="H20" s="156">
        <f>H18*3</f>
        <v>6</v>
      </c>
      <c r="I20" s="333">
        <f>I18*3</f>
        <v>9.8999999999999986</v>
      </c>
      <c r="J20" s="331"/>
      <c r="K20" s="332"/>
      <c r="L20" s="331">
        <f>L18*L19</f>
        <v>8.6999999999999993</v>
      </c>
      <c r="M20" s="334"/>
      <c r="N20" s="162"/>
      <c r="O20" s="118"/>
      <c r="P20" s="116"/>
      <c r="Q20" s="163" t="s">
        <v>183</v>
      </c>
      <c r="R20" s="140" t="s">
        <v>175</v>
      </c>
      <c r="S20" s="116"/>
      <c r="T20" s="116"/>
      <c r="U20" s="116"/>
      <c r="V20" s="116"/>
      <c r="W20" s="116"/>
      <c r="X20" s="116"/>
      <c r="Y20" s="116"/>
      <c r="Z20" s="116"/>
      <c r="AA20" s="116"/>
      <c r="AB20" s="116"/>
    </row>
    <row r="21" spans="2:28" ht="21.5" thickBot="1" x14ac:dyDescent="0.5">
      <c r="B21" s="161" t="s">
        <v>184</v>
      </c>
      <c r="C21" s="335">
        <v>0.1</v>
      </c>
      <c r="D21" s="336"/>
      <c r="E21" s="337"/>
      <c r="F21" s="338">
        <v>0.08</v>
      </c>
      <c r="G21" s="337"/>
      <c r="H21" s="164">
        <v>0.08</v>
      </c>
      <c r="I21" s="338">
        <v>0.05</v>
      </c>
      <c r="J21" s="336"/>
      <c r="K21" s="337"/>
      <c r="L21" s="338">
        <v>0.08</v>
      </c>
      <c r="M21" s="339"/>
      <c r="N21" s="159"/>
      <c r="O21" s="118"/>
      <c r="P21" s="116"/>
      <c r="Q21" s="163" t="s">
        <v>184</v>
      </c>
      <c r="R21" s="165" t="s">
        <v>175</v>
      </c>
      <c r="S21" s="116"/>
      <c r="T21" s="116"/>
      <c r="U21" s="116"/>
      <c r="V21" s="116"/>
      <c r="W21" s="116"/>
      <c r="X21" s="116"/>
      <c r="Y21" s="116"/>
      <c r="Z21" s="116"/>
      <c r="AA21" s="116"/>
      <c r="AB21" s="116"/>
    </row>
    <row r="22" spans="2:28" ht="33" customHeight="1" thickBot="1" x14ac:dyDescent="0.5">
      <c r="B22" s="161" t="s">
        <v>185</v>
      </c>
      <c r="C22" s="353">
        <v>0.1</v>
      </c>
      <c r="D22" s="354"/>
      <c r="E22" s="355"/>
      <c r="F22" s="356">
        <v>0.08</v>
      </c>
      <c r="G22" s="355"/>
      <c r="H22" s="166">
        <v>0.08</v>
      </c>
      <c r="I22" s="356">
        <v>0.05</v>
      </c>
      <c r="J22" s="354"/>
      <c r="K22" s="355"/>
      <c r="L22" s="356">
        <v>0.08</v>
      </c>
      <c r="M22" s="357"/>
      <c r="N22" s="167"/>
      <c r="O22" s="118"/>
      <c r="P22" s="116"/>
      <c r="Q22" s="163" t="s">
        <v>185</v>
      </c>
      <c r="R22" s="168" t="s">
        <v>175</v>
      </c>
      <c r="S22" s="116"/>
      <c r="T22" s="116"/>
      <c r="U22" s="116"/>
      <c r="V22" s="116"/>
      <c r="W22" s="116"/>
      <c r="X22" s="116"/>
      <c r="Y22" s="116"/>
      <c r="Z22" s="116"/>
      <c r="AA22" s="116"/>
      <c r="AB22" s="116"/>
    </row>
    <row r="23" spans="2:28" ht="37.5" customHeight="1" x14ac:dyDescent="0.45">
      <c r="B23" s="161" t="s">
        <v>186</v>
      </c>
      <c r="C23" s="358">
        <f>C20/(1-C22)</f>
        <v>10.166666666666664</v>
      </c>
      <c r="D23" s="359"/>
      <c r="E23" s="360"/>
      <c r="F23" s="361">
        <f>F20/(1-F22)</f>
        <v>9.9456521739130412</v>
      </c>
      <c r="G23" s="360"/>
      <c r="H23" s="169">
        <f>H20/(1-H22)</f>
        <v>6.5217391304347823</v>
      </c>
      <c r="I23" s="361">
        <f>I20/(1-I22)</f>
        <v>10.421052631578947</v>
      </c>
      <c r="J23" s="359"/>
      <c r="K23" s="360"/>
      <c r="L23" s="361">
        <f>L20/(1-L22)</f>
        <v>9.4565217391304337</v>
      </c>
      <c r="M23" s="362"/>
      <c r="N23" s="170"/>
      <c r="O23" s="118"/>
      <c r="P23" s="116"/>
      <c r="Q23" s="163" t="s">
        <v>186</v>
      </c>
      <c r="R23" s="171" t="s">
        <v>175</v>
      </c>
      <c r="S23" s="116"/>
      <c r="T23" s="116"/>
      <c r="U23" s="116"/>
      <c r="V23" s="116"/>
      <c r="W23" s="116"/>
      <c r="X23" s="116"/>
      <c r="Y23" s="116"/>
      <c r="Z23" s="116"/>
      <c r="AA23" s="116"/>
      <c r="AB23" s="116"/>
    </row>
    <row r="24" spans="2:28" ht="41.25" customHeight="1" x14ac:dyDescent="0.45">
      <c r="B24" s="125" t="s">
        <v>187</v>
      </c>
      <c r="C24" s="348">
        <v>40256</v>
      </c>
      <c r="D24" s="349"/>
      <c r="E24" s="350"/>
      <c r="F24" s="349">
        <v>43024</v>
      </c>
      <c r="G24" s="350"/>
      <c r="H24" s="172" t="s">
        <v>188</v>
      </c>
      <c r="I24" s="351">
        <v>40409</v>
      </c>
      <c r="J24" s="349"/>
      <c r="K24" s="350"/>
      <c r="L24" s="351">
        <v>42565</v>
      </c>
      <c r="M24" s="352"/>
      <c r="N24" s="159"/>
      <c r="O24" s="118"/>
      <c r="P24" s="116"/>
      <c r="Q24" s="127" t="s">
        <v>187</v>
      </c>
      <c r="R24" s="173">
        <v>40116</v>
      </c>
      <c r="S24" s="116"/>
      <c r="T24" s="116"/>
      <c r="U24" s="116"/>
      <c r="V24" s="116"/>
      <c r="W24" s="116"/>
      <c r="X24" s="116"/>
      <c r="Y24" s="116"/>
      <c r="Z24" s="116"/>
      <c r="AA24" s="116"/>
      <c r="AB24" s="116"/>
    </row>
    <row r="25" spans="2:28" ht="21" x14ac:dyDescent="0.45">
      <c r="B25" s="125" t="s">
        <v>189</v>
      </c>
      <c r="C25" s="313" t="s">
        <v>190</v>
      </c>
      <c r="D25" s="314"/>
      <c r="E25" s="315"/>
      <c r="F25" s="316" t="s">
        <v>190</v>
      </c>
      <c r="G25" s="315"/>
      <c r="H25" s="129" t="s">
        <v>190</v>
      </c>
      <c r="I25" s="316" t="s">
        <v>190</v>
      </c>
      <c r="J25" s="314"/>
      <c r="K25" s="315"/>
      <c r="L25" s="316" t="s">
        <v>190</v>
      </c>
      <c r="M25" s="317"/>
      <c r="N25" s="174"/>
      <c r="O25" s="118"/>
      <c r="P25" s="116"/>
      <c r="Q25" s="127" t="s">
        <v>189</v>
      </c>
      <c r="R25" s="130" t="s">
        <v>190</v>
      </c>
      <c r="S25" s="116"/>
      <c r="T25" s="116"/>
      <c r="U25" s="116"/>
      <c r="V25" s="116"/>
      <c r="W25" s="116"/>
      <c r="X25" s="116"/>
      <c r="Y25" s="116"/>
      <c r="Z25" s="116"/>
      <c r="AA25" s="116"/>
      <c r="AB25" s="116"/>
    </row>
    <row r="26" spans="2:28" ht="67.5" customHeight="1" x14ac:dyDescent="0.45">
      <c r="B26" s="125" t="s">
        <v>191</v>
      </c>
      <c r="C26" s="318" t="s">
        <v>192</v>
      </c>
      <c r="D26" s="319"/>
      <c r="E26" s="320"/>
      <c r="F26" s="321" t="s">
        <v>192</v>
      </c>
      <c r="G26" s="320"/>
      <c r="H26" s="154" t="s">
        <v>193</v>
      </c>
      <c r="I26" s="363" t="s">
        <v>194</v>
      </c>
      <c r="J26" s="364"/>
      <c r="K26" s="365"/>
      <c r="L26" s="375" t="s">
        <v>195</v>
      </c>
      <c r="M26" s="322"/>
      <c r="N26" s="126"/>
      <c r="O26" s="118"/>
      <c r="P26" s="116"/>
      <c r="Q26" s="127" t="s">
        <v>191</v>
      </c>
      <c r="R26" s="143" t="s">
        <v>196</v>
      </c>
      <c r="S26" s="116"/>
      <c r="T26" s="116"/>
      <c r="U26" s="116"/>
      <c r="V26" s="116"/>
      <c r="W26" s="116"/>
      <c r="X26" s="116"/>
      <c r="Y26" s="116"/>
      <c r="Z26" s="116"/>
      <c r="AA26" s="116"/>
      <c r="AB26" s="116"/>
    </row>
    <row r="27" spans="2:28" ht="50.25" customHeight="1" x14ac:dyDescent="0.45">
      <c r="B27" s="125" t="s">
        <v>197</v>
      </c>
      <c r="C27" s="313" t="s">
        <v>198</v>
      </c>
      <c r="D27" s="314"/>
      <c r="E27" s="315"/>
      <c r="F27" s="316" t="s">
        <v>199</v>
      </c>
      <c r="G27" s="315"/>
      <c r="H27" s="129" t="s">
        <v>199</v>
      </c>
      <c r="I27" s="321" t="s">
        <v>199</v>
      </c>
      <c r="J27" s="319"/>
      <c r="K27" s="320"/>
      <c r="L27" s="316" t="s">
        <v>200</v>
      </c>
      <c r="M27" s="317"/>
      <c r="N27" s="146"/>
      <c r="O27" s="118"/>
      <c r="P27" s="116"/>
      <c r="Q27" s="127" t="s">
        <v>197</v>
      </c>
      <c r="R27" s="130" t="s">
        <v>198</v>
      </c>
      <c r="S27" s="116"/>
      <c r="T27" s="116"/>
      <c r="U27" s="116"/>
      <c r="V27" s="116"/>
      <c r="W27" s="116"/>
      <c r="X27" s="116"/>
      <c r="Y27" s="116"/>
      <c r="Z27" s="116"/>
      <c r="AA27" s="116"/>
      <c r="AB27" s="116"/>
    </row>
    <row r="28" spans="2:28" ht="63" x14ac:dyDescent="0.45">
      <c r="B28" s="125" t="s">
        <v>201</v>
      </c>
      <c r="C28" s="313" t="s">
        <v>202</v>
      </c>
      <c r="D28" s="314"/>
      <c r="E28" s="315"/>
      <c r="F28" s="316" t="s">
        <v>203</v>
      </c>
      <c r="G28" s="315"/>
      <c r="H28" s="129" t="s">
        <v>204</v>
      </c>
      <c r="I28" s="363" t="s">
        <v>205</v>
      </c>
      <c r="J28" s="364"/>
      <c r="K28" s="365"/>
      <c r="L28" s="321" t="s">
        <v>206</v>
      </c>
      <c r="M28" s="322"/>
      <c r="N28" s="126"/>
      <c r="O28" s="118"/>
      <c r="P28" s="116"/>
      <c r="Q28" s="127" t="s">
        <v>201</v>
      </c>
      <c r="R28" s="143" t="s">
        <v>207</v>
      </c>
      <c r="S28" s="116"/>
      <c r="T28" s="116"/>
      <c r="U28" s="116"/>
      <c r="V28" s="116"/>
      <c r="W28" s="116"/>
      <c r="X28" s="116"/>
      <c r="Y28" s="116"/>
      <c r="Z28" s="116"/>
      <c r="AA28" s="116"/>
      <c r="AB28" s="116"/>
    </row>
    <row r="29" spans="2:28" ht="21" x14ac:dyDescent="0.45">
      <c r="B29" s="175" t="s">
        <v>208</v>
      </c>
      <c r="C29" s="366" t="s">
        <v>209</v>
      </c>
      <c r="D29" s="367"/>
      <c r="E29" s="368"/>
      <c r="F29" s="369" t="s">
        <v>210</v>
      </c>
      <c r="G29" s="368"/>
      <c r="H29" s="176" t="s">
        <v>211</v>
      </c>
      <c r="I29" s="370" t="s">
        <v>212</v>
      </c>
      <c r="J29" s="371"/>
      <c r="K29" s="372"/>
      <c r="L29" s="373" t="s">
        <v>213</v>
      </c>
      <c r="M29" s="374"/>
      <c r="N29" s="126"/>
      <c r="O29" s="118"/>
      <c r="P29" s="116"/>
      <c r="Q29" s="127" t="s">
        <v>214</v>
      </c>
      <c r="R29" s="143"/>
      <c r="S29" s="116"/>
      <c r="T29" s="116"/>
      <c r="U29" s="116"/>
      <c r="V29" s="116"/>
      <c r="W29" s="116"/>
      <c r="X29" s="116"/>
      <c r="Y29" s="116"/>
      <c r="Z29" s="116"/>
      <c r="AA29" s="116"/>
      <c r="AB29" s="116"/>
    </row>
    <row r="30" spans="2:28" ht="21" x14ac:dyDescent="0.45">
      <c r="B30" s="177" t="s">
        <v>215</v>
      </c>
      <c r="C30" s="366" t="s">
        <v>216</v>
      </c>
      <c r="D30" s="367"/>
      <c r="E30" s="368"/>
      <c r="F30" s="369" t="s">
        <v>217</v>
      </c>
      <c r="G30" s="368"/>
      <c r="H30" s="176" t="s">
        <v>218</v>
      </c>
      <c r="I30" s="370" t="s">
        <v>219</v>
      </c>
      <c r="J30" s="371"/>
      <c r="K30" s="372"/>
      <c r="L30" s="373" t="s">
        <v>220</v>
      </c>
      <c r="M30" s="374"/>
      <c r="N30" s="126"/>
      <c r="O30" s="118"/>
      <c r="P30" s="116"/>
      <c r="Q30" s="127" t="s">
        <v>221</v>
      </c>
      <c r="R30" s="143"/>
      <c r="S30" s="116"/>
      <c r="T30" s="116"/>
      <c r="U30" s="116"/>
      <c r="V30" s="116"/>
      <c r="W30" s="116"/>
      <c r="X30" s="116"/>
      <c r="Y30" s="116"/>
      <c r="Z30" s="116"/>
      <c r="AA30" s="116"/>
      <c r="AB30" s="116"/>
    </row>
    <row r="31" spans="2:28" ht="21" x14ac:dyDescent="0.45">
      <c r="B31" s="125" t="s">
        <v>222</v>
      </c>
      <c r="C31" s="313" t="s">
        <v>223</v>
      </c>
      <c r="D31" s="314"/>
      <c r="E31" s="315"/>
      <c r="F31" s="316" t="s">
        <v>224</v>
      </c>
      <c r="G31" s="315"/>
      <c r="H31" s="129" t="s">
        <v>224</v>
      </c>
      <c r="I31" s="316" t="s">
        <v>223</v>
      </c>
      <c r="J31" s="314"/>
      <c r="K31" s="315"/>
      <c r="L31" s="316" t="s">
        <v>223</v>
      </c>
      <c r="M31" s="317"/>
      <c r="N31" s="126"/>
      <c r="O31" s="118"/>
      <c r="P31" s="116"/>
      <c r="Q31" s="127" t="s">
        <v>222</v>
      </c>
      <c r="R31" s="130" t="s">
        <v>223</v>
      </c>
      <c r="S31" s="116"/>
      <c r="T31" s="116"/>
      <c r="U31" s="116"/>
      <c r="V31" s="116"/>
      <c r="W31" s="116"/>
      <c r="X31" s="116"/>
      <c r="Y31" s="116"/>
      <c r="Z31" s="116"/>
      <c r="AA31" s="116"/>
      <c r="AB31" s="116"/>
    </row>
    <row r="32" spans="2:28" ht="203.25" customHeight="1" x14ac:dyDescent="0.45">
      <c r="B32" s="178" t="s">
        <v>225</v>
      </c>
      <c r="C32" s="318" t="s">
        <v>226</v>
      </c>
      <c r="D32" s="319"/>
      <c r="E32" s="320"/>
      <c r="F32" s="319" t="s">
        <v>227</v>
      </c>
      <c r="G32" s="320"/>
      <c r="H32" s="154" t="s">
        <v>228</v>
      </c>
      <c r="I32" s="321" t="s">
        <v>175</v>
      </c>
      <c r="J32" s="319"/>
      <c r="K32" s="320"/>
      <c r="L32" s="321" t="s">
        <v>229</v>
      </c>
      <c r="M32" s="322"/>
      <c r="N32" s="126"/>
      <c r="O32" s="118"/>
      <c r="P32" s="116"/>
      <c r="Q32" s="127" t="s">
        <v>225</v>
      </c>
      <c r="R32" s="143" t="s">
        <v>175</v>
      </c>
      <c r="S32" s="116"/>
      <c r="T32" s="116"/>
      <c r="U32" s="116"/>
      <c r="V32" s="116"/>
      <c r="W32" s="116"/>
      <c r="X32" s="116"/>
      <c r="Y32" s="116"/>
      <c r="Z32" s="116"/>
      <c r="AA32" s="116"/>
      <c r="AB32" s="116"/>
    </row>
    <row r="33" spans="2:28" ht="261" customHeight="1" x14ac:dyDescent="0.45">
      <c r="B33" s="178" t="s">
        <v>230</v>
      </c>
      <c r="C33" s="318" t="s">
        <v>175</v>
      </c>
      <c r="D33" s="319"/>
      <c r="E33" s="320"/>
      <c r="F33" s="321" t="s">
        <v>175</v>
      </c>
      <c r="G33" s="320"/>
      <c r="H33" s="154" t="s">
        <v>175</v>
      </c>
      <c r="I33" s="321" t="s">
        <v>175</v>
      </c>
      <c r="J33" s="319"/>
      <c r="K33" s="320"/>
      <c r="L33" s="321" t="s">
        <v>175</v>
      </c>
      <c r="M33" s="322"/>
      <c r="N33" s="146"/>
      <c r="O33" s="118"/>
      <c r="P33" s="116"/>
      <c r="Q33" s="127" t="s">
        <v>230</v>
      </c>
      <c r="R33" s="143" t="s">
        <v>175</v>
      </c>
      <c r="S33" s="116"/>
      <c r="T33" s="116"/>
      <c r="U33" s="116"/>
      <c r="V33" s="116"/>
      <c r="W33" s="116"/>
      <c r="X33" s="116"/>
      <c r="Y33" s="116"/>
      <c r="Z33" s="116"/>
      <c r="AA33" s="116"/>
      <c r="AB33" s="116"/>
    </row>
    <row r="34" spans="2:28" ht="102" customHeight="1" x14ac:dyDescent="0.45">
      <c r="B34" s="179" t="s">
        <v>231</v>
      </c>
      <c r="C34" s="381" t="s">
        <v>232</v>
      </c>
      <c r="D34" s="382"/>
      <c r="E34" s="383"/>
      <c r="F34" s="382" t="s">
        <v>233</v>
      </c>
      <c r="G34" s="383"/>
      <c r="H34" s="172" t="s">
        <v>174</v>
      </c>
      <c r="I34" s="384" t="s">
        <v>234</v>
      </c>
      <c r="J34" s="382"/>
      <c r="K34" s="383"/>
      <c r="L34" s="385" t="s">
        <v>235</v>
      </c>
      <c r="M34" s="386"/>
      <c r="N34" s="146"/>
      <c r="O34" s="118"/>
      <c r="P34" s="116"/>
      <c r="Q34" s="151" t="s">
        <v>231</v>
      </c>
      <c r="R34" s="180" t="s">
        <v>236</v>
      </c>
      <c r="S34" s="116"/>
      <c r="T34" s="116"/>
      <c r="U34" s="116"/>
      <c r="V34" s="116"/>
      <c r="W34" s="116"/>
      <c r="X34" s="116"/>
      <c r="Y34" s="116"/>
      <c r="Z34" s="116"/>
      <c r="AA34" s="116"/>
      <c r="AB34" s="116"/>
    </row>
    <row r="35" spans="2:28" ht="175.5" customHeight="1" x14ac:dyDescent="0.45">
      <c r="B35" s="179" t="s">
        <v>237</v>
      </c>
      <c r="C35" s="387" t="s">
        <v>238</v>
      </c>
      <c r="D35" s="388"/>
      <c r="E35" s="388"/>
      <c r="F35" s="320"/>
      <c r="G35" s="388"/>
      <c r="H35" s="154" t="s">
        <v>174</v>
      </c>
      <c r="I35" s="388"/>
      <c r="J35" s="388"/>
      <c r="K35" s="388"/>
      <c r="L35" s="295"/>
      <c r="M35" s="296"/>
      <c r="N35" s="174"/>
      <c r="O35" s="118"/>
      <c r="P35" s="116"/>
      <c r="Q35" s="181" t="s">
        <v>237</v>
      </c>
      <c r="R35" s="182" t="s">
        <v>175</v>
      </c>
      <c r="S35" s="116"/>
      <c r="T35" s="116"/>
      <c r="U35" s="116"/>
      <c r="V35" s="116"/>
      <c r="W35" s="116"/>
      <c r="X35" s="116"/>
      <c r="Y35" s="116"/>
      <c r="Z35" s="116"/>
      <c r="AA35" s="116"/>
      <c r="AB35" s="116"/>
    </row>
    <row r="36" spans="2:28" ht="19" thickBot="1" x14ac:dyDescent="0.5">
      <c r="B36" s="183" t="s">
        <v>239</v>
      </c>
      <c r="C36" s="376" t="s">
        <v>175</v>
      </c>
      <c r="D36" s="377"/>
      <c r="E36" s="377"/>
      <c r="F36" s="377" t="s">
        <v>175</v>
      </c>
      <c r="G36" s="377"/>
      <c r="H36" s="184" t="s">
        <v>174</v>
      </c>
      <c r="I36" s="377" t="s">
        <v>175</v>
      </c>
      <c r="J36" s="377"/>
      <c r="K36" s="377"/>
      <c r="L36" s="378" t="s">
        <v>175</v>
      </c>
      <c r="M36" s="379"/>
      <c r="N36" s="146"/>
      <c r="O36" s="118"/>
      <c r="P36" s="116"/>
      <c r="Q36" s="185" t="s">
        <v>239</v>
      </c>
      <c r="R36" s="186" t="s">
        <v>175</v>
      </c>
      <c r="S36" s="116"/>
      <c r="T36" s="116"/>
      <c r="U36" s="116"/>
      <c r="V36" s="116"/>
      <c r="W36" s="116"/>
      <c r="X36" s="116"/>
      <c r="Y36" s="116"/>
      <c r="Z36" s="116"/>
      <c r="AA36" s="116"/>
      <c r="AB36" s="116"/>
    </row>
    <row r="37" spans="2:28" ht="42" customHeight="1" x14ac:dyDescent="0.45">
      <c r="B37" s="380" t="s">
        <v>240</v>
      </c>
      <c r="C37" s="380"/>
      <c r="D37" s="380"/>
      <c r="E37" s="380"/>
      <c r="F37" s="380"/>
      <c r="G37" s="380"/>
      <c r="H37" s="380"/>
      <c r="I37" s="380"/>
      <c r="J37" s="380"/>
      <c r="K37" s="380"/>
      <c r="L37" s="380"/>
      <c r="M37" s="380"/>
      <c r="N37" s="146"/>
      <c r="O37" s="187"/>
      <c r="P37" s="188"/>
      <c r="Q37" s="380" t="str">
        <f>B37</f>
        <v>1 Source: WHO PQ webpage: WHO updates these webpages as new information on products becomes available. Please refer to these pages (WHO PQ link) for the most up-to-date information. For presentations not yet WHO prequalified, data is based on discussions with manufacturers and partners in 2019.</v>
      </c>
      <c r="R37" s="380"/>
      <c r="S37" s="116"/>
      <c r="T37" s="116"/>
      <c r="U37" s="116"/>
      <c r="V37" s="116"/>
      <c r="W37" s="116"/>
      <c r="X37" s="116"/>
      <c r="Y37" s="116"/>
      <c r="Z37" s="116"/>
      <c r="AA37" s="116"/>
      <c r="AB37" s="116"/>
    </row>
    <row r="38" spans="2:28" ht="20.9" customHeight="1" x14ac:dyDescent="0.45">
      <c r="B38" s="390" t="s">
        <v>241</v>
      </c>
      <c r="C38" s="390"/>
      <c r="D38" s="390"/>
      <c r="E38" s="390"/>
      <c r="F38" s="390"/>
      <c r="G38" s="390"/>
      <c r="H38" s="390"/>
      <c r="I38" s="390"/>
      <c r="J38" s="390"/>
      <c r="K38" s="390"/>
      <c r="L38" s="390"/>
      <c r="M38" s="390"/>
      <c r="N38" s="189"/>
      <c r="O38" s="187"/>
      <c r="P38" s="188"/>
      <c r="Q38" s="282" t="str">
        <f>B38</f>
        <v>2 Source: UNICEF PRODUCT MENU FOR VACCINES SUPPLIED BY UNICEF FOR GAVI, THE VACCINE ALLIANCE (https://www.unicef.org/supply/files/Product_Menu_Jan_2020.pdf)</v>
      </c>
      <c r="R38" s="282"/>
      <c r="S38" s="116"/>
      <c r="T38" s="116"/>
      <c r="U38" s="116"/>
      <c r="V38" s="116"/>
      <c r="W38" s="116"/>
      <c r="X38" s="116"/>
      <c r="Y38" s="116"/>
      <c r="Z38" s="116"/>
      <c r="AA38" s="116"/>
      <c r="AB38" s="116"/>
    </row>
    <row r="39" spans="2:28" ht="18.5" x14ac:dyDescent="0.45">
      <c r="B39" s="390" t="s">
        <v>242</v>
      </c>
      <c r="C39" s="390"/>
      <c r="D39" s="390"/>
      <c r="E39" s="390"/>
      <c r="F39" s="390"/>
      <c r="G39" s="390"/>
      <c r="H39" s="390"/>
      <c r="I39" s="390"/>
      <c r="J39" s="390"/>
      <c r="K39" s="390"/>
      <c r="L39" s="390"/>
      <c r="M39" s="390"/>
      <c r="N39" s="189"/>
      <c r="O39" s="187"/>
      <c r="P39" s="188"/>
      <c r="Q39" s="282" t="str">
        <f>B39</f>
        <v>3 Source: WHO position paper: http://www.who.int/immunization/documents/positionpapers/en/</v>
      </c>
      <c r="R39" s="389"/>
      <c r="S39" s="116"/>
      <c r="T39" s="116"/>
      <c r="U39" s="116"/>
      <c r="V39" s="116"/>
      <c r="W39" s="116"/>
      <c r="X39" s="116"/>
      <c r="Y39" s="116"/>
      <c r="Z39" s="116"/>
      <c r="AA39" s="116"/>
      <c r="AB39" s="116"/>
    </row>
    <row r="40" spans="2:28" ht="18.5" x14ac:dyDescent="0.45">
      <c r="B40" s="390" t="s">
        <v>243</v>
      </c>
      <c r="C40" s="390"/>
      <c r="D40" s="390"/>
      <c r="E40" s="390"/>
      <c r="F40" s="390"/>
      <c r="G40" s="390"/>
      <c r="H40" s="390"/>
      <c r="I40" s="390"/>
      <c r="J40" s="390"/>
      <c r="K40" s="390"/>
      <c r="L40" s="390"/>
      <c r="M40" s="390"/>
      <c r="N40" s="189"/>
      <c r="O40" s="187"/>
      <c r="P40" s="188"/>
      <c r="Q40" s="188" t="str">
        <f>B40</f>
        <v xml:space="preserve">4 Source: Gavi Secretariat, see definitions tab for details </v>
      </c>
      <c r="R40" s="188"/>
      <c r="S40" s="116"/>
      <c r="T40" s="116"/>
      <c r="U40" s="116"/>
      <c r="V40" s="116"/>
      <c r="W40" s="116"/>
      <c r="X40" s="116"/>
      <c r="Y40" s="116"/>
      <c r="Z40" s="116"/>
      <c r="AA40" s="116"/>
      <c r="AB40" s="116"/>
    </row>
    <row r="41" spans="2:28" ht="18.5" x14ac:dyDescent="0.45">
      <c r="B41" s="390" t="s">
        <v>244</v>
      </c>
      <c r="C41" s="390"/>
      <c r="D41" s="390"/>
      <c r="E41" s="390"/>
      <c r="F41" s="390"/>
      <c r="G41" s="390"/>
      <c r="H41" s="390"/>
      <c r="I41" s="390"/>
      <c r="J41" s="390"/>
      <c r="K41" s="390"/>
      <c r="L41" s="390"/>
      <c r="M41" s="390"/>
      <c r="N41" s="189"/>
      <c r="O41" s="187"/>
      <c r="P41" s="188"/>
      <c r="Q41" s="188" t="str">
        <f>B41</f>
        <v>5 Source: Review of WHO vaccine wastage rate tool, 2019</v>
      </c>
      <c r="R41" s="188"/>
      <c r="S41" s="116"/>
      <c r="T41" s="116"/>
      <c r="U41" s="116"/>
      <c r="V41" s="116"/>
      <c r="W41" s="116"/>
      <c r="X41" s="116"/>
      <c r="Y41" s="116"/>
      <c r="Z41" s="116"/>
      <c r="AA41" s="116"/>
      <c r="AB41" s="116"/>
    </row>
    <row r="42" spans="2:28" ht="18.5" x14ac:dyDescent="0.45">
      <c r="B42" s="389" t="s">
        <v>245</v>
      </c>
      <c r="C42" s="389"/>
      <c r="D42" s="389"/>
      <c r="E42" s="389"/>
      <c r="F42" s="389"/>
      <c r="G42" s="389"/>
      <c r="H42" s="389"/>
      <c r="I42" s="389"/>
      <c r="J42" s="389"/>
      <c r="K42" s="389"/>
      <c r="L42" s="389"/>
      <c r="M42" s="389"/>
      <c r="N42" s="190"/>
      <c r="O42" s="187"/>
      <c r="P42" s="188"/>
      <c r="Q42" s="188"/>
      <c r="R42" s="188"/>
      <c r="S42" s="116"/>
      <c r="T42" s="116"/>
      <c r="U42" s="116"/>
      <c r="V42" s="116"/>
      <c r="W42" s="116"/>
      <c r="X42" s="116"/>
      <c r="Y42" s="116"/>
      <c r="Z42" s="116"/>
      <c r="AA42" s="116"/>
      <c r="AB42" s="116"/>
    </row>
    <row r="43" spans="2:28" ht="44.25" customHeight="1" x14ac:dyDescent="0.45">
      <c r="B43" s="282" t="s">
        <v>246</v>
      </c>
      <c r="C43" s="282"/>
      <c r="D43" s="282"/>
      <c r="E43" s="282"/>
      <c r="F43" s="282"/>
      <c r="G43" s="282"/>
      <c r="H43" s="282"/>
      <c r="I43" s="282"/>
      <c r="J43" s="282"/>
      <c r="K43" s="282"/>
      <c r="L43" s="282"/>
      <c r="M43" s="282"/>
      <c r="N43" s="189"/>
      <c r="O43" s="187"/>
      <c r="P43" s="188"/>
      <c r="Q43" s="188"/>
      <c r="R43" s="188"/>
      <c r="S43" s="116"/>
      <c r="T43" s="116"/>
      <c r="U43" s="116"/>
      <c r="V43" s="116"/>
      <c r="W43" s="116"/>
      <c r="X43" s="116"/>
      <c r="Y43" s="116"/>
      <c r="Z43" s="116"/>
      <c r="AA43" s="116"/>
      <c r="AB43" s="116"/>
    </row>
    <row r="44" spans="2:28" ht="18.5" x14ac:dyDescent="0.45">
      <c r="B44" s="282" t="s">
        <v>247</v>
      </c>
      <c r="C44" s="282"/>
      <c r="D44" s="282"/>
      <c r="E44" s="282"/>
      <c r="F44" s="282"/>
      <c r="G44" s="282"/>
      <c r="H44" s="282"/>
      <c r="I44" s="282"/>
      <c r="J44" s="282"/>
      <c r="K44" s="282"/>
      <c r="L44" s="282"/>
      <c r="M44" s="282"/>
      <c r="N44" s="189"/>
      <c r="O44" s="187"/>
      <c r="P44" s="188"/>
      <c r="Q44" s="188"/>
      <c r="R44" s="188"/>
      <c r="S44" s="116"/>
      <c r="T44" s="116"/>
      <c r="U44" s="116"/>
      <c r="V44" s="116"/>
      <c r="W44" s="116"/>
      <c r="X44" s="116"/>
      <c r="Y44" s="116"/>
      <c r="Z44" s="116"/>
      <c r="AA44" s="116"/>
      <c r="AB44" s="116"/>
    </row>
    <row r="45" spans="2:28" ht="18.5" x14ac:dyDescent="0.45">
      <c r="B45" s="188" t="s">
        <v>248</v>
      </c>
      <c r="C45" s="188"/>
      <c r="D45" s="188"/>
      <c r="E45" s="188"/>
      <c r="F45" s="188"/>
      <c r="G45" s="188"/>
      <c r="H45" s="188"/>
      <c r="I45" s="188"/>
      <c r="J45" s="188"/>
      <c r="K45" s="188"/>
      <c r="L45" s="188"/>
      <c r="M45" s="188"/>
      <c r="N45" s="189"/>
      <c r="O45" s="187"/>
      <c r="P45" s="188"/>
      <c r="Q45" s="188"/>
      <c r="R45" s="188"/>
      <c r="S45" s="116"/>
      <c r="T45" s="116"/>
      <c r="U45" s="116"/>
      <c r="V45" s="116"/>
      <c r="W45" s="116"/>
      <c r="X45" s="116"/>
      <c r="Y45" s="116"/>
      <c r="Z45" s="116"/>
      <c r="AA45" s="116"/>
      <c r="AB45" s="116"/>
    </row>
    <row r="46" spans="2:28" ht="18.5" x14ac:dyDescent="0.45">
      <c r="B46" s="188"/>
      <c r="C46" s="188"/>
      <c r="D46" s="188"/>
      <c r="E46" s="188"/>
      <c r="F46" s="188"/>
      <c r="G46" s="188"/>
      <c r="H46" s="188"/>
      <c r="I46" s="188"/>
      <c r="J46" s="188"/>
      <c r="K46" s="188"/>
      <c r="L46" s="188"/>
      <c r="M46" s="188"/>
      <c r="N46" s="189"/>
      <c r="O46" s="187"/>
      <c r="P46" s="188"/>
      <c r="Q46" s="188"/>
      <c r="R46" s="188"/>
      <c r="S46" s="116"/>
      <c r="T46" s="116"/>
      <c r="U46" s="116"/>
      <c r="V46" s="116"/>
      <c r="W46" s="116"/>
      <c r="X46" s="116"/>
      <c r="Y46" s="116"/>
      <c r="Z46" s="116"/>
      <c r="AA46" s="116"/>
      <c r="AB46" s="116"/>
    </row>
    <row r="47" spans="2:28" ht="18.5" x14ac:dyDescent="0.45">
      <c r="B47" s="188"/>
      <c r="C47" s="188"/>
      <c r="D47" s="188"/>
      <c r="E47" s="188"/>
      <c r="F47" s="188"/>
      <c r="G47" s="188"/>
      <c r="H47" s="188"/>
      <c r="I47" s="188"/>
      <c r="J47" s="188"/>
      <c r="K47" s="188"/>
      <c r="L47" s="188"/>
      <c r="M47" s="188"/>
      <c r="N47" s="189"/>
      <c r="O47" s="187"/>
      <c r="P47" s="188"/>
      <c r="Q47" s="188"/>
      <c r="R47" s="188"/>
      <c r="S47" s="116"/>
      <c r="T47" s="116"/>
      <c r="U47" s="116"/>
      <c r="V47" s="116"/>
      <c r="W47" s="116"/>
      <c r="X47" s="116"/>
      <c r="Y47" s="116"/>
      <c r="Z47" s="116"/>
      <c r="AA47" s="116"/>
      <c r="AB47" s="116"/>
    </row>
    <row r="48" spans="2:28" ht="18.5" x14ac:dyDescent="0.45">
      <c r="B48" s="116"/>
      <c r="C48" s="116"/>
      <c r="D48" s="116"/>
      <c r="E48" s="116"/>
      <c r="F48" s="116"/>
      <c r="G48" s="116"/>
      <c r="H48" s="116"/>
      <c r="I48" s="116"/>
      <c r="J48" s="116"/>
      <c r="K48" s="116"/>
      <c r="L48" s="116"/>
      <c r="M48" s="116"/>
      <c r="N48" s="117"/>
      <c r="O48" s="118"/>
      <c r="P48" s="116"/>
      <c r="Q48" s="116"/>
      <c r="R48" s="116"/>
      <c r="S48" s="116"/>
      <c r="T48" s="116"/>
      <c r="U48" s="116"/>
      <c r="V48" s="116"/>
      <c r="W48" s="116"/>
      <c r="X48" s="116"/>
      <c r="Y48" s="116"/>
      <c r="Z48" s="116"/>
      <c r="AA48" s="116"/>
      <c r="AB48" s="116"/>
    </row>
    <row r="49" spans="2:28" ht="18.5" x14ac:dyDescent="0.45">
      <c r="B49" s="116"/>
      <c r="C49" s="116"/>
      <c r="D49" s="116"/>
      <c r="E49" s="116"/>
      <c r="F49" s="116"/>
      <c r="G49" s="116"/>
      <c r="H49" s="116"/>
      <c r="I49" s="116"/>
      <c r="J49" s="116"/>
      <c r="K49" s="116"/>
      <c r="L49" s="116"/>
      <c r="M49" s="116"/>
      <c r="N49" s="117"/>
      <c r="O49" s="118"/>
      <c r="P49" s="116"/>
      <c r="Q49" s="116"/>
      <c r="R49" s="116"/>
      <c r="S49" s="116"/>
      <c r="T49" s="116"/>
      <c r="U49" s="116"/>
      <c r="V49" s="116"/>
      <c r="W49" s="116"/>
      <c r="X49" s="116"/>
      <c r="Y49" s="116"/>
      <c r="Z49" s="116"/>
      <c r="AA49" s="116"/>
      <c r="AB49" s="116"/>
    </row>
    <row r="50" spans="2:28" ht="18.5" x14ac:dyDescent="0.45">
      <c r="B50" s="116"/>
      <c r="C50" s="116"/>
      <c r="D50" s="116"/>
      <c r="E50" s="116"/>
      <c r="F50" s="116"/>
      <c r="G50" s="116"/>
      <c r="H50" s="116"/>
      <c r="I50" s="116"/>
      <c r="J50" s="116"/>
      <c r="K50" s="116"/>
      <c r="L50" s="116"/>
      <c r="M50" s="116"/>
      <c r="N50" s="117"/>
      <c r="O50" s="118"/>
      <c r="P50" s="116"/>
      <c r="Q50" s="116"/>
      <c r="R50" s="116"/>
      <c r="S50" s="116"/>
      <c r="T50" s="116"/>
      <c r="U50" s="116"/>
      <c r="V50" s="116"/>
      <c r="W50" s="116"/>
      <c r="X50" s="116"/>
      <c r="Y50" s="116"/>
      <c r="Z50" s="116"/>
      <c r="AA50" s="116"/>
      <c r="AB50" s="116"/>
    </row>
    <row r="51" spans="2:28" ht="18.5" x14ac:dyDescent="0.45">
      <c r="B51" s="116"/>
      <c r="C51" s="116"/>
      <c r="D51" s="116"/>
      <c r="E51" s="116"/>
      <c r="F51" s="116"/>
      <c r="G51" s="116"/>
      <c r="H51" s="116"/>
      <c r="I51" s="116"/>
      <c r="J51" s="116"/>
      <c r="K51" s="116"/>
      <c r="L51" s="116"/>
      <c r="M51" s="116"/>
      <c r="N51" s="117"/>
      <c r="O51" s="118"/>
      <c r="P51" s="116"/>
      <c r="Q51" s="116"/>
      <c r="R51" s="116"/>
      <c r="S51" s="116"/>
      <c r="T51" s="116"/>
      <c r="U51" s="116"/>
      <c r="V51" s="116"/>
      <c r="W51" s="116"/>
      <c r="X51" s="116"/>
      <c r="Y51" s="116"/>
      <c r="Z51" s="116"/>
      <c r="AA51" s="116"/>
      <c r="AB51" s="116"/>
    </row>
    <row r="52" spans="2:28" ht="18.5" x14ac:dyDescent="0.45">
      <c r="B52" s="116"/>
      <c r="C52" s="116"/>
      <c r="D52" s="116"/>
      <c r="E52" s="116"/>
      <c r="F52" s="116"/>
      <c r="G52" s="116"/>
      <c r="H52" s="116"/>
      <c r="I52" s="116"/>
      <c r="J52" s="116"/>
      <c r="K52" s="116"/>
      <c r="L52" s="116"/>
      <c r="M52" s="116"/>
      <c r="N52" s="117"/>
      <c r="O52" s="118"/>
      <c r="P52" s="116"/>
      <c r="Q52" s="116"/>
      <c r="R52" s="116"/>
      <c r="S52" s="116"/>
      <c r="T52" s="116"/>
      <c r="U52" s="116"/>
      <c r="V52" s="116"/>
      <c r="W52" s="116"/>
      <c r="X52" s="116"/>
      <c r="Y52" s="116"/>
      <c r="Z52" s="116"/>
      <c r="AA52" s="116"/>
      <c r="AB52" s="116"/>
    </row>
    <row r="53" spans="2:28" ht="18.5" x14ac:dyDescent="0.45">
      <c r="B53" s="116"/>
      <c r="C53" s="116"/>
      <c r="D53" s="116"/>
      <c r="E53" s="116"/>
      <c r="F53" s="116"/>
      <c r="G53" s="116"/>
      <c r="H53" s="116"/>
      <c r="I53" s="116"/>
      <c r="J53" s="116"/>
      <c r="K53" s="116"/>
      <c r="L53" s="116"/>
      <c r="M53" s="116"/>
      <c r="N53" s="117"/>
      <c r="O53" s="118"/>
      <c r="P53" s="116"/>
      <c r="Q53" s="116"/>
      <c r="R53" s="116"/>
      <c r="S53" s="116"/>
      <c r="T53" s="116"/>
      <c r="U53" s="116"/>
      <c r="V53" s="116"/>
      <c r="W53" s="116"/>
      <c r="X53" s="116"/>
      <c r="Y53" s="116"/>
      <c r="Z53" s="116"/>
      <c r="AA53" s="116"/>
      <c r="AB53" s="116"/>
    </row>
    <row r="54" spans="2:28" ht="18.5" x14ac:dyDescent="0.45">
      <c r="B54" s="116"/>
      <c r="C54" s="116"/>
      <c r="D54" s="116"/>
      <c r="E54" s="116"/>
      <c r="F54" s="116"/>
      <c r="G54" s="116"/>
      <c r="H54" s="116"/>
      <c r="I54" s="116"/>
      <c r="J54" s="116"/>
      <c r="K54" s="116"/>
      <c r="L54" s="116"/>
      <c r="M54" s="116"/>
      <c r="N54" s="117"/>
      <c r="O54" s="118"/>
      <c r="P54" s="116"/>
      <c r="Q54" s="116"/>
      <c r="R54" s="116"/>
      <c r="S54" s="116"/>
      <c r="T54" s="116"/>
      <c r="U54" s="116"/>
      <c r="V54" s="116"/>
      <c r="W54" s="116"/>
      <c r="X54" s="116"/>
      <c r="Y54" s="116"/>
      <c r="Z54" s="116"/>
      <c r="AA54" s="116"/>
      <c r="AB54" s="116"/>
    </row>
    <row r="55" spans="2:28" ht="18.5" x14ac:dyDescent="0.45">
      <c r="B55" s="116"/>
      <c r="C55" s="116"/>
      <c r="D55" s="116"/>
      <c r="E55" s="116"/>
      <c r="F55" s="116"/>
      <c r="G55" s="116"/>
      <c r="H55" s="116"/>
      <c r="I55" s="116"/>
      <c r="J55" s="116"/>
      <c r="K55" s="116"/>
      <c r="L55" s="116"/>
      <c r="M55" s="116"/>
      <c r="N55" s="117"/>
      <c r="O55" s="118"/>
      <c r="P55" s="116"/>
      <c r="Q55" s="116"/>
      <c r="R55" s="116"/>
      <c r="S55" s="116"/>
      <c r="T55" s="116"/>
      <c r="U55" s="116"/>
      <c r="V55" s="116"/>
      <c r="W55" s="116"/>
      <c r="X55" s="116"/>
      <c r="Y55" s="116"/>
      <c r="Z55" s="116"/>
      <c r="AA55" s="116"/>
      <c r="AB55" s="116"/>
    </row>
    <row r="56" spans="2:28" ht="18.5" x14ac:dyDescent="0.45">
      <c r="B56" s="116"/>
      <c r="C56" s="116"/>
      <c r="D56" s="116"/>
      <c r="E56" s="116"/>
      <c r="F56" s="116"/>
      <c r="G56" s="116"/>
      <c r="H56" s="116"/>
      <c r="I56" s="116"/>
      <c r="J56" s="116"/>
      <c r="K56" s="116"/>
      <c r="L56" s="116"/>
      <c r="M56" s="116"/>
      <c r="N56" s="117"/>
      <c r="O56" s="118"/>
      <c r="P56" s="116"/>
      <c r="Q56" s="116"/>
      <c r="R56" s="116"/>
      <c r="S56" s="116"/>
      <c r="T56" s="116"/>
      <c r="U56" s="116"/>
      <c r="V56" s="116"/>
      <c r="W56" s="116"/>
      <c r="X56" s="116"/>
      <c r="Y56" s="116"/>
      <c r="Z56" s="116"/>
      <c r="AA56" s="116"/>
      <c r="AB56" s="116"/>
    </row>
    <row r="57" spans="2:28" ht="18.5" x14ac:dyDescent="0.45">
      <c r="B57" s="116"/>
      <c r="C57" s="116"/>
      <c r="D57" s="116"/>
      <c r="E57" s="116"/>
      <c r="F57" s="116"/>
      <c r="G57" s="116"/>
      <c r="H57" s="116"/>
      <c r="I57" s="116"/>
      <c r="J57" s="116"/>
      <c r="K57" s="116"/>
      <c r="L57" s="116"/>
      <c r="M57" s="116"/>
      <c r="N57" s="117"/>
      <c r="O57" s="118"/>
      <c r="P57" s="116"/>
      <c r="Q57" s="116"/>
      <c r="R57" s="116"/>
      <c r="S57" s="116"/>
      <c r="T57" s="116"/>
      <c r="U57" s="116"/>
      <c r="V57" s="116"/>
      <c r="W57" s="116"/>
      <c r="X57" s="116"/>
      <c r="Y57" s="116"/>
      <c r="Z57" s="116"/>
      <c r="AA57" s="116"/>
      <c r="AB57" s="116"/>
    </row>
    <row r="58" spans="2:28" ht="18.5" x14ac:dyDescent="0.45">
      <c r="B58" s="116"/>
      <c r="C58" s="116"/>
      <c r="D58" s="116"/>
      <c r="E58" s="116"/>
      <c r="F58" s="116"/>
      <c r="G58" s="116"/>
      <c r="H58" s="116"/>
      <c r="I58" s="116"/>
      <c r="J58" s="116"/>
      <c r="K58" s="116"/>
      <c r="L58" s="116"/>
      <c r="M58" s="116"/>
      <c r="N58" s="117"/>
      <c r="O58" s="118"/>
      <c r="P58" s="116"/>
      <c r="Q58" s="116"/>
      <c r="R58" s="116"/>
      <c r="S58" s="116"/>
      <c r="T58" s="116"/>
      <c r="U58" s="116"/>
      <c r="V58" s="116"/>
      <c r="W58" s="116"/>
      <c r="X58" s="116"/>
      <c r="Y58" s="116"/>
      <c r="Z58" s="116"/>
      <c r="AA58" s="116"/>
      <c r="AB58" s="116"/>
    </row>
    <row r="59" spans="2:28" ht="18.5" x14ac:dyDescent="0.45">
      <c r="B59" s="116"/>
      <c r="C59" s="116"/>
      <c r="D59" s="116"/>
      <c r="E59" s="116"/>
      <c r="F59" s="116"/>
      <c r="G59" s="116"/>
      <c r="H59" s="116"/>
      <c r="I59" s="116"/>
      <c r="J59" s="116"/>
      <c r="K59" s="116"/>
      <c r="L59" s="116"/>
      <c r="M59" s="116"/>
      <c r="N59" s="117"/>
      <c r="O59" s="118"/>
      <c r="P59" s="116"/>
      <c r="Q59" s="116"/>
      <c r="R59" s="116"/>
      <c r="S59" s="116"/>
      <c r="T59" s="116"/>
      <c r="U59" s="116"/>
      <c r="V59" s="116"/>
      <c r="W59" s="116"/>
      <c r="X59" s="116"/>
      <c r="Y59" s="116"/>
      <c r="Z59" s="116"/>
      <c r="AA59" s="116"/>
      <c r="AB59" s="116"/>
    </row>
  </sheetData>
  <mergeCells count="121">
    <mergeCell ref="B42:M42"/>
    <mergeCell ref="B43:M43"/>
    <mergeCell ref="B44:M44"/>
    <mergeCell ref="B38:M38"/>
    <mergeCell ref="Q38:R38"/>
    <mergeCell ref="B39:M39"/>
    <mergeCell ref="Q39:R39"/>
    <mergeCell ref="B40:M40"/>
    <mergeCell ref="B41:M41"/>
    <mergeCell ref="C36:E36"/>
    <mergeCell ref="F36:G36"/>
    <mergeCell ref="I36:K36"/>
    <mergeCell ref="L36:M36"/>
    <mergeCell ref="B37:M37"/>
    <mergeCell ref="Q37:R37"/>
    <mergeCell ref="C34:E34"/>
    <mergeCell ref="F34:G34"/>
    <mergeCell ref="I34:K34"/>
    <mergeCell ref="L34:M34"/>
    <mergeCell ref="C35:E35"/>
    <mergeCell ref="F35:G35"/>
    <mergeCell ref="I35:K35"/>
    <mergeCell ref="L35:M35"/>
    <mergeCell ref="C32:E32"/>
    <mergeCell ref="F32:G32"/>
    <mergeCell ref="I32:K32"/>
    <mergeCell ref="L32:M32"/>
    <mergeCell ref="C33:E33"/>
    <mergeCell ref="F33:G33"/>
    <mergeCell ref="I33:K33"/>
    <mergeCell ref="L33:M33"/>
    <mergeCell ref="C30:E30"/>
    <mergeCell ref="F30:G30"/>
    <mergeCell ref="I30:K30"/>
    <mergeCell ref="L30:M30"/>
    <mergeCell ref="C31:E31"/>
    <mergeCell ref="F31:G31"/>
    <mergeCell ref="I31:K31"/>
    <mergeCell ref="L31:M31"/>
    <mergeCell ref="C28:E28"/>
    <mergeCell ref="F28:G28"/>
    <mergeCell ref="I28:K28"/>
    <mergeCell ref="L28:M28"/>
    <mergeCell ref="C29:E29"/>
    <mergeCell ref="F29:G29"/>
    <mergeCell ref="I29:K29"/>
    <mergeCell ref="L29:M29"/>
    <mergeCell ref="C26:E26"/>
    <mergeCell ref="F26:G26"/>
    <mergeCell ref="I26:K26"/>
    <mergeCell ref="L26:M26"/>
    <mergeCell ref="C27:E27"/>
    <mergeCell ref="F27:G27"/>
    <mergeCell ref="I27:K27"/>
    <mergeCell ref="L27:M27"/>
    <mergeCell ref="C24:E24"/>
    <mergeCell ref="F24:G24"/>
    <mergeCell ref="I24:K24"/>
    <mergeCell ref="L24:M24"/>
    <mergeCell ref="C25:E25"/>
    <mergeCell ref="F25:G25"/>
    <mergeCell ref="I25:K25"/>
    <mergeCell ref="L25:M25"/>
    <mergeCell ref="C22:E22"/>
    <mergeCell ref="F22:G22"/>
    <mergeCell ref="I22:K22"/>
    <mergeCell ref="L22:M22"/>
    <mergeCell ref="C23:E23"/>
    <mergeCell ref="F23:G23"/>
    <mergeCell ref="I23:K23"/>
    <mergeCell ref="L23:M23"/>
    <mergeCell ref="C20:E20"/>
    <mergeCell ref="F20:G20"/>
    <mergeCell ref="I20:K20"/>
    <mergeCell ref="L20:M20"/>
    <mergeCell ref="C21:E21"/>
    <mergeCell ref="F21:G21"/>
    <mergeCell ref="I21:K21"/>
    <mergeCell ref="L21:M21"/>
    <mergeCell ref="C18:E18"/>
    <mergeCell ref="F18:G18"/>
    <mergeCell ref="I18:K18"/>
    <mergeCell ref="L18:M18"/>
    <mergeCell ref="C19:E19"/>
    <mergeCell ref="F19:G19"/>
    <mergeCell ref="I19:K19"/>
    <mergeCell ref="L19:M19"/>
    <mergeCell ref="C17:E17"/>
    <mergeCell ref="F17:G17"/>
    <mergeCell ref="I17:K17"/>
    <mergeCell ref="L17:M17"/>
    <mergeCell ref="C14:E14"/>
    <mergeCell ref="F14:G14"/>
    <mergeCell ref="I14:K14"/>
    <mergeCell ref="L14:M14"/>
    <mergeCell ref="C15:E15"/>
    <mergeCell ref="F15:G15"/>
    <mergeCell ref="I15:K15"/>
    <mergeCell ref="L15:M15"/>
    <mergeCell ref="C13:G13"/>
    <mergeCell ref="I13:M13"/>
    <mergeCell ref="C8:H8"/>
    <mergeCell ref="I8:M8"/>
    <mergeCell ref="C9:G9"/>
    <mergeCell ref="I9:M9"/>
    <mergeCell ref="C10:G10"/>
    <mergeCell ref="I10:M10"/>
    <mergeCell ref="C16:E16"/>
    <mergeCell ref="F16:G16"/>
    <mergeCell ref="I16:K16"/>
    <mergeCell ref="L16:M16"/>
    <mergeCell ref="B2:M2"/>
    <mergeCell ref="Q2:T2"/>
    <mergeCell ref="Q3:T5"/>
    <mergeCell ref="B4:I5"/>
    <mergeCell ref="I6:M6"/>
    <mergeCell ref="C7:M7"/>
    <mergeCell ref="C11:G11"/>
    <mergeCell ref="I11:M11"/>
    <mergeCell ref="C12:G12"/>
    <mergeCell ref="I12:M12"/>
  </mergeCells>
  <hyperlinks>
    <hyperlink ref="I34" r:id="rId1" xr:uid="{00000000-0004-0000-0600-000000000000}"/>
    <hyperlink ref="C34" r:id="rId2" xr:uid="{00000000-0004-0000-0600-000001000000}"/>
    <hyperlink ref="R34" r:id="rId3" xr:uid="{00000000-0004-0000-0600-000002000000}"/>
    <hyperlink ref="L34" r:id="rId4" xr:uid="{00000000-0004-0000-0600-000003000000}"/>
    <hyperlink ref="F34" r:id="rId5" xr:uid="{00000000-0004-0000-0600-000004000000}"/>
  </hyperlinks>
  <pageMargins left="0.7" right="0.7" top="0.75" bottom="0.75" header="0.3" footer="0.3"/>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c847c303-283e-437c-90a5-0fabe07fd8ac">
      <Terms xmlns="http://schemas.microsoft.com/office/infopath/2007/PartnerControls"/>
    </TaxKeywordTaxHTField>
    <TaxCatchAll xmlns="d0706217-df7c-4bf4-936d-b09aa3b837a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312894DE0F6D4481F3D57F5C97C1BB" ma:contentTypeVersion="18" ma:contentTypeDescription="Create a new document." ma:contentTypeScope="" ma:versionID="3647964662e872905284fd87a48b0931">
  <xsd:schema xmlns:xsd="http://www.w3.org/2001/XMLSchema" xmlns:xs="http://www.w3.org/2001/XMLSchema" xmlns:p="http://schemas.microsoft.com/office/2006/metadata/properties" xmlns:ns3="c847c303-283e-437c-90a5-0fabe07fd8ac" xmlns:ns4="d0706217-df7c-4bf4-936d-b09aa3b837af" xmlns:ns5="7616a5cd-119c-483e-8aa3-5015e6666b37" targetNamespace="http://schemas.microsoft.com/office/2006/metadata/properties" ma:root="true" ma:fieldsID="bb083320f89f9d2973ec5ddbbe550b21" ns3:_="" ns4:_="" ns5:_="">
    <xsd:import namespace="c847c303-283e-437c-90a5-0fabe07fd8ac"/>
    <xsd:import namespace="d0706217-df7c-4bf4-936d-b09aa3b837af"/>
    <xsd:import namespace="7616a5cd-119c-483e-8aa3-5015e6666b37"/>
    <xsd:element name="properties">
      <xsd:complexType>
        <xsd:sequence>
          <xsd:element name="documentManagement">
            <xsd:complexType>
              <xsd:all>
                <xsd:element ref="ns3:SharedWithUsers" minOccurs="0"/>
                <xsd:element ref="ns3:SharedWithDetails" minOccurs="0"/>
                <xsd:element ref="ns3:SharingHintHash" minOccurs="0"/>
                <xsd:element ref="ns3:TaxKeywordTaxHTField" minOccurs="0"/>
                <xsd:element ref="ns4:TaxCatchAll"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Location"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7c303-283e-437c-90a5-0fabe07fd8a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TaxKeywordTaxHTField" ma:index="12" nillable="true" ma:taxonomy="true" ma:internalName="TaxKeywordTaxHTField" ma:taxonomyFieldName="TaxKeyword" ma:displayName="Enterprise Keywords" ma:fieldId="{23f27201-bee3-471e-b2e7-b64fd8b7ca38}" ma:taxonomyMulti="true" ma:sspId="93cb0222-e980-4273-ad97-85dba3159c09"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5c9c43c-17cf-4ee2-9b3d-9a6103e42a22}" ma:internalName="TaxCatchAll" ma:showField="CatchAllData" ma:web="c847c303-283e-437c-90a5-0fabe07fd8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16a5cd-119c-483e-8aa3-5015e6666b3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C1983F-F266-4005-8EC6-D5065FD7537B}">
  <ds:schemaRefs>
    <ds:schemaRef ds:uri="7616a5cd-119c-483e-8aa3-5015e6666b37"/>
    <ds:schemaRef ds:uri="c847c303-283e-437c-90a5-0fabe07fd8ac"/>
    <ds:schemaRef ds:uri="http://purl.org/dc/terms/"/>
    <ds:schemaRef ds:uri="d0706217-df7c-4bf4-936d-b09aa3b837a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69E5AC5-64B2-4B7B-9D75-A7C00E9C1AC0}">
  <ds:schemaRefs>
    <ds:schemaRef ds:uri="http://schemas.microsoft.com/sharepoint/v3/contenttype/forms"/>
  </ds:schemaRefs>
</ds:datastoreItem>
</file>

<file path=customXml/itemProps3.xml><?xml version="1.0" encoding="utf-8"?>
<ds:datastoreItem xmlns:ds="http://schemas.openxmlformats.org/officeDocument/2006/customXml" ds:itemID="{6BAE6F1F-44AD-425D-85FB-BEF7BF582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47c303-283e-437c-90a5-0fabe07fd8ac"/>
    <ds:schemaRef ds:uri="d0706217-df7c-4bf4-936d-b09aa3b837af"/>
    <ds:schemaRef ds:uri="7616a5cd-119c-483e-8aa3-5015e6666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INSTRUCCIONES</vt:lpstr>
      <vt:lpstr>Datos del modelo</vt:lpstr>
      <vt:lpstr>Resultados</vt:lpstr>
      <vt:lpstr>Gráficos</vt:lpstr>
      <vt:lpstr>Vaccine options</vt:lpstr>
      <vt:lpstr>Version</vt:lpstr>
      <vt:lpstr>DPP</vt:lpstr>
      <vt:lpstr>'Datos del modelo'!Print_Area</vt:lpstr>
      <vt:lpstr>Resultados!Print_Area</vt:lpstr>
    </vt:vector>
  </TitlesOfParts>
  <Company>PATH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Newhouse, Lauren</cp:lastModifiedBy>
  <cp:lastPrinted>2020-06-11T18:11:43Z</cp:lastPrinted>
  <dcterms:created xsi:type="dcterms:W3CDTF">2018-05-24T13:25:57Z</dcterms:created>
  <dcterms:modified xsi:type="dcterms:W3CDTF">2020-09-30T18:24:43Z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5e72d3-b6ef-4c9c-b371-eb3c79f627ee_Enabled">
    <vt:lpwstr>true</vt:lpwstr>
  </property>
  <property fmtid="{D5CDD505-2E9C-101B-9397-08002B2CF9AE}" pid="3" name="MSIP_Label_8f5e72d3-b6ef-4c9c-b371-eb3c79f627ee_SetDate">
    <vt:lpwstr>2019-12-04T11:02:07Z</vt:lpwstr>
  </property>
  <property fmtid="{D5CDD505-2E9C-101B-9397-08002B2CF9AE}" pid="4" name="MSIP_Label_8f5e72d3-b6ef-4c9c-b371-eb3c79f627ee_Method">
    <vt:lpwstr>Privileged</vt:lpwstr>
  </property>
  <property fmtid="{D5CDD505-2E9C-101B-9397-08002B2CF9AE}" pid="5" name="MSIP_Label_8f5e72d3-b6ef-4c9c-b371-eb3c79f627ee_Name">
    <vt:lpwstr>8f5e72d3-b6ef-4c9c-b371-eb3c79f627ee</vt:lpwstr>
  </property>
  <property fmtid="{D5CDD505-2E9C-101B-9397-08002B2CF9AE}" pid="6" name="MSIP_Label_8f5e72d3-b6ef-4c9c-b371-eb3c79f627ee_SiteId">
    <vt:lpwstr>1de6d9f3-0daf-4df6-b9d6-5959f16f6118</vt:lpwstr>
  </property>
  <property fmtid="{D5CDD505-2E9C-101B-9397-08002B2CF9AE}" pid="7" name="MSIP_Label_8f5e72d3-b6ef-4c9c-b371-eb3c79f627ee_ActionId">
    <vt:lpwstr>b8e400df-7c36-45f2-9454-000070304384</vt:lpwstr>
  </property>
  <property fmtid="{D5CDD505-2E9C-101B-9397-08002B2CF9AE}" pid="8" name="MSIP_Label_8f5e72d3-b6ef-4c9c-b371-eb3c79f627ee_ContentBits">
    <vt:lpwstr>1</vt:lpwstr>
  </property>
  <property fmtid="{D5CDD505-2E9C-101B-9397-08002B2CF9AE}" pid="9" name="ContentTypeId">
    <vt:lpwstr>0x010100C8312894DE0F6D4481F3D57F5C97C1BB</vt:lpwstr>
  </property>
</Properties>
</file>