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0.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pi.box.com/wopi/files/2184402064181/WOPIServiceId_TP_BOX_2/WOPIUserId_-/"/>
    </mc:Choice>
  </mc:AlternateContent>
  <xr:revisionPtr revIDLastSave="764" documentId="13_ncr:1_{5FB94F5A-6DB7-4303-8278-AB5B0A3A32D5}" xr6:coauthVersionLast="47" xr6:coauthVersionMax="47" xr10:uidLastSave="{602498F9-AFD6-4F5D-8B64-7B411E7B41C9}"/>
  <bookViews>
    <workbookView xWindow="-110" yWindow="-110" windowWidth="19420" windowHeight="11500" tabRatio="1000" firstSheet="2" activeTab="2" xr2:uid="{873B6932-8996-406C-928F-F4A569F03DA8}"/>
  </bookViews>
  <sheets>
    <sheet name="Model inputs (2)" sheetId="21" state="hidden" r:id="rId1"/>
    <sheet name="Model inputs (3)" sheetId="22" state="hidden" r:id="rId2"/>
    <sheet name="READ ME FIRST" sheetId="19" r:id="rId3"/>
    <sheet name="Model Inputs" sheetId="2" r:id="rId4"/>
    <sheet name="Dashboard" sheetId="11" r:id="rId5"/>
    <sheet name="Results" sheetId="12" r:id="rId6"/>
    <sheet name="Charts" sheetId="15" r:id="rId7"/>
    <sheet name="Charts_full options" sheetId="14" state="hidden" r:id="rId8"/>
    <sheet name="Target pop calculation eg." sheetId="20" r:id="rId9"/>
    <sheet name="Data" sheetId="3" state="hidden" r:id="rId10"/>
    <sheet name="Sheet1" sheetId="24" state="hidden" r:id="rId11"/>
    <sheet name="Charts (2)" sheetId="23" state="hidden" r:id="rId12"/>
    <sheet name="DPP" sheetId="5" state="hidden" r:id="rId13"/>
  </sheets>
  <definedNames>
    <definedName name="_xlnm.Print_Area" localSheetId="3">'Model Inputs'!$B$3:$S$104</definedName>
    <definedName name="_xlnm.Print_Area" localSheetId="0">'Model inputs (2)'!$A$1:$V$89</definedName>
    <definedName name="_xlnm.Print_Area" localSheetId="1">'Model inputs (3)'!$A$1:$V$88</definedName>
    <definedName name="_xlnm.Print_Area" localSheetId="5">Results!$B$4:$O$143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E88" i="2" l="1"/>
  <c r="F15" i="3" l="1"/>
  <c r="F14" i="3"/>
  <c r="C32" i="3" a="1"/>
  <c r="C24" i="3"/>
  <c r="K88" i="2"/>
  <c r="L81" i="2" l="1"/>
  <c r="R8" i="11" l="1"/>
  <c r="R9" i="11" s="1"/>
  <c r="M11" i="12" l="1"/>
  <c r="F92" i="2" l="1"/>
  <c r="G92" i="2"/>
  <c r="H92" i="2" l="1"/>
  <c r="I92" i="2"/>
  <c r="J92" i="2"/>
  <c r="K92" i="2"/>
  <c r="L92" i="2"/>
  <c r="E92" i="2"/>
  <c r="F88" i="2"/>
  <c r="G88" i="2"/>
  <c r="H88" i="2"/>
  <c r="I88" i="2"/>
  <c r="J88" i="2"/>
  <c r="L88" i="2"/>
  <c r="D53" i="2"/>
  <c r="D52" i="2"/>
  <c r="D51" i="2"/>
  <c r="D50" i="2"/>
  <c r="D49" i="2"/>
  <c r="D47" i="2"/>
  <c r="D46" i="2"/>
  <c r="D45" i="2"/>
  <c r="D44" i="2"/>
  <c r="D43" i="2"/>
  <c r="D37" i="2"/>
  <c r="D41" i="2"/>
  <c r="D40" i="2"/>
  <c r="D39" i="2"/>
  <c r="D38" i="2"/>
  <c r="D58" i="12" l="1"/>
  <c r="D57" i="12"/>
  <c r="D56" i="12"/>
  <c r="D55" i="12"/>
  <c r="D54" i="12"/>
  <c r="D49" i="12"/>
  <c r="D48" i="12"/>
  <c r="D47" i="12"/>
  <c r="D46" i="12"/>
  <c r="D45" i="12"/>
  <c r="D40" i="12"/>
  <c r="D39" i="12"/>
  <c r="D38" i="12"/>
  <c r="D37" i="12"/>
  <c r="D36" i="12"/>
  <c r="I13" i="20" l="1"/>
  <c r="I18" i="20" s="1"/>
  <c r="L91" i="2"/>
  <c r="D22" i="12" l="1"/>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s="1"/>
  <c r="K30" i="22" l="1"/>
  <c r="K33" i="22" s="1"/>
  <c r="K78" i="21" l="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s="1"/>
  <c r="K31" i="21" l="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N11" i="12" s="1"/>
  <c r="O9" i="12"/>
  <c r="O11" i="12" s="1"/>
  <c r="I9" i="12"/>
  <c r="I11" i="12" s="1"/>
  <c r="J9" i="12"/>
  <c r="J11" i="12" s="1"/>
  <c r="K9" i="12"/>
  <c r="K11" i="12" s="1"/>
  <c r="E9" i="12"/>
  <c r="E11" i="12" s="1"/>
  <c r="F9" i="12"/>
  <c r="F11" i="12" s="1"/>
  <c r="G9" i="12"/>
  <c r="G11" i="12" s="1"/>
  <c r="K89" i="2"/>
  <c r="L89" i="2"/>
  <c r="K91" i="2"/>
  <c r="N8" i="11" l="1"/>
  <c r="N9" i="11" s="1"/>
  <c r="J18" i="12"/>
  <c r="J36" i="12" s="1"/>
  <c r="J22" i="12"/>
  <c r="J40" i="12" s="1"/>
  <c r="J55" i="12"/>
  <c r="J56" i="12"/>
  <c r="J57" i="12"/>
  <c r="J19" i="12"/>
  <c r="J37" i="12" s="1"/>
  <c r="J21" i="12"/>
  <c r="J39" i="12" s="1"/>
  <c r="J48" i="12" s="1"/>
  <c r="J58" i="12"/>
  <c r="J20" i="12"/>
  <c r="J38" i="12" s="1"/>
  <c r="J54" i="12"/>
  <c r="J8" i="11"/>
  <c r="J9" i="11" s="1"/>
  <c r="G55" i="12"/>
  <c r="G56" i="12"/>
  <c r="G45" i="12"/>
  <c r="G57" i="12"/>
  <c r="G46" i="12"/>
  <c r="G49" i="12"/>
  <c r="G58" i="12"/>
  <c r="G47" i="12"/>
  <c r="G19" i="12"/>
  <c r="G37" i="12" s="1"/>
  <c r="G48" i="12"/>
  <c r="G20" i="12"/>
  <c r="G38" i="12" s="1"/>
  <c r="G54" i="12"/>
  <c r="G18" i="12"/>
  <c r="G36" i="12" s="1"/>
  <c r="G21" i="12"/>
  <c r="G39" i="12" s="1"/>
  <c r="G22" i="12"/>
  <c r="G40" i="12" s="1"/>
  <c r="N18" i="12"/>
  <c r="N48" i="12"/>
  <c r="N22" i="12"/>
  <c r="O22" i="12" s="1"/>
  <c r="N19" i="12"/>
  <c r="O19" i="12" s="1"/>
  <c r="N55" i="12"/>
  <c r="N46" i="12"/>
  <c r="N56" i="12"/>
  <c r="N47" i="12"/>
  <c r="N57" i="12"/>
  <c r="N58" i="12"/>
  <c r="N49" i="12"/>
  <c r="N20" i="12"/>
  <c r="O20" i="12" s="1"/>
  <c r="N54" i="12"/>
  <c r="N45" i="12"/>
  <c r="N21" i="12"/>
  <c r="O21" i="12" s="1"/>
  <c r="I58" i="12"/>
  <c r="I47" i="12"/>
  <c r="I57" i="12"/>
  <c r="I54" i="12"/>
  <c r="I49" i="12"/>
  <c r="I45" i="12"/>
  <c r="I48" i="12"/>
  <c r="I56" i="12"/>
  <c r="I46" i="12"/>
  <c r="I55" i="12"/>
  <c r="E19" i="12"/>
  <c r="E37" i="12" s="1"/>
  <c r="E46" i="12" s="1"/>
  <c r="E20" i="12"/>
  <c r="E38" i="12" s="1"/>
  <c r="E47" i="12" s="1"/>
  <c r="E55" i="12"/>
  <c r="E21" i="12"/>
  <c r="E39" i="12" s="1"/>
  <c r="E48" i="12" s="1"/>
  <c r="E56" i="12"/>
  <c r="E22" i="12"/>
  <c r="E40" i="12" s="1"/>
  <c r="E49" i="12" s="1"/>
  <c r="E57" i="12"/>
  <c r="E18" i="12"/>
  <c r="E36" i="12" s="1"/>
  <c r="E45" i="12" s="1"/>
  <c r="E58" i="12"/>
  <c r="E54" i="12"/>
  <c r="K22" i="12"/>
  <c r="K40" i="12" s="1"/>
  <c r="K49" i="12" s="1"/>
  <c r="K58" i="12" s="1"/>
  <c r="K18" i="12"/>
  <c r="K19" i="12"/>
  <c r="K37" i="12" s="1"/>
  <c r="K46" i="12" s="1"/>
  <c r="K55" i="12" s="1"/>
  <c r="K21" i="12"/>
  <c r="K39" i="12" s="1"/>
  <c r="K48" i="12" s="1"/>
  <c r="K57" i="12" s="1"/>
  <c r="K20" i="12"/>
  <c r="K38" i="12" s="1"/>
  <c r="L8" i="11"/>
  <c r="L9" i="11" s="1"/>
  <c r="I19" i="12"/>
  <c r="I37" i="12" s="1"/>
  <c r="I20" i="12"/>
  <c r="I38" i="12" s="1"/>
  <c r="I21" i="12"/>
  <c r="I39" i="12" s="1"/>
  <c r="I18" i="12"/>
  <c r="I22" i="12"/>
  <c r="I40" i="12" s="1"/>
  <c r="F8" i="11"/>
  <c r="F9" i="11" s="1"/>
  <c r="P8" i="11"/>
  <c r="P9" i="11" s="1"/>
  <c r="H8" i="11"/>
  <c r="H9" i="11" s="1"/>
  <c r="F55" i="12"/>
  <c r="F20" i="12"/>
  <c r="F38" i="12" s="1"/>
  <c r="F19" i="12"/>
  <c r="F37" i="12" s="1"/>
  <c r="F56" i="12"/>
  <c r="F21" i="12"/>
  <c r="F39" i="12" s="1"/>
  <c r="F57" i="12"/>
  <c r="F22" i="12"/>
  <c r="F40" i="12" s="1"/>
  <c r="F58" i="12"/>
  <c r="F18" i="12"/>
  <c r="F54" i="12"/>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N36" i="12" l="1"/>
  <c r="N17" i="12"/>
  <c r="J53" i="12"/>
  <c r="G30" i="12"/>
  <c r="N40" i="12"/>
  <c r="N31" i="12" s="1"/>
  <c r="N76" i="12" s="1"/>
  <c r="G53" i="12"/>
  <c r="G29" i="12"/>
  <c r="K47" i="12"/>
  <c r="K56" i="12" s="1"/>
  <c r="K17" i="12"/>
  <c r="K30" i="12"/>
  <c r="J35" i="12"/>
  <c r="J45" i="12"/>
  <c r="J46" i="12"/>
  <c r="J28" i="12" s="1"/>
  <c r="J30" i="12"/>
  <c r="J17" i="12"/>
  <c r="J47" i="12"/>
  <c r="J29" i="12" s="1"/>
  <c r="J49" i="12"/>
  <c r="J31" i="12" s="1"/>
  <c r="J76" i="12" s="1"/>
  <c r="G31" i="12"/>
  <c r="G76" i="12" s="1"/>
  <c r="G44" i="12"/>
  <c r="G28" i="12"/>
  <c r="G35" i="12"/>
  <c r="G27" i="12"/>
  <c r="G72" i="12" s="1"/>
  <c r="G71" i="12" s="1"/>
  <c r="G17" i="12"/>
  <c r="I17" i="12"/>
  <c r="F36" i="12"/>
  <c r="F35" i="12" s="1"/>
  <c r="F17" i="12"/>
  <c r="O18" i="12"/>
  <c r="O17" i="12" s="1"/>
  <c r="I28" i="12"/>
  <c r="I30" i="12"/>
  <c r="O40" i="12"/>
  <c r="M22" i="12"/>
  <c r="N37" i="12"/>
  <c r="N28" i="12" s="1"/>
  <c r="N73" i="12" s="1"/>
  <c r="O39" i="12"/>
  <c r="M21" i="12"/>
  <c r="N39" i="12"/>
  <c r="N30" i="12" s="1"/>
  <c r="N75" i="12" s="1"/>
  <c r="O38" i="12"/>
  <c r="M20" i="12"/>
  <c r="N38" i="12"/>
  <c r="N29" i="12" s="1"/>
  <c r="N74" i="12" s="1"/>
  <c r="M19" i="12"/>
  <c r="O37" i="12"/>
  <c r="I36" i="12"/>
  <c r="I35" i="12" s="1"/>
  <c r="E17" i="12"/>
  <c r="E35" i="12"/>
  <c r="K28" i="12"/>
  <c r="K31" i="12"/>
  <c r="K76" i="12" s="1"/>
  <c r="K36" i="12"/>
  <c r="K45" i="12" s="1"/>
  <c r="K54" i="12" s="1"/>
  <c r="F49" i="12"/>
  <c r="F31" i="12" s="1"/>
  <c r="F76" i="12" s="1"/>
  <c r="F47" i="12"/>
  <c r="F29" i="12" s="1"/>
  <c r="F74" i="12" s="1"/>
  <c r="F48" i="12"/>
  <c r="F30" i="12" s="1"/>
  <c r="F75" i="12" s="1"/>
  <c r="F46" i="12"/>
  <c r="F28" i="12" s="1"/>
  <c r="F73" i="12" s="1"/>
  <c r="F53" i="12"/>
  <c r="J79" i="2"/>
  <c r="I79" i="2"/>
  <c r="H79" i="2"/>
  <c r="E79" i="2"/>
  <c r="F79" i="2"/>
  <c r="G79" i="2"/>
  <c r="O48" i="12" l="1"/>
  <c r="O57" i="12" s="1"/>
  <c r="M57" i="12" s="1"/>
  <c r="O49" i="12"/>
  <c r="O58" i="12" s="1"/>
  <c r="M58" i="12" s="1"/>
  <c r="O47" i="12"/>
  <c r="O56" i="12" s="1"/>
  <c r="M56" i="12" s="1"/>
  <c r="O46" i="12"/>
  <c r="O55" i="12" s="1"/>
  <c r="M55" i="12" s="1"/>
  <c r="K73" i="12"/>
  <c r="G73" i="12"/>
  <c r="J75" i="12"/>
  <c r="J73" i="12"/>
  <c r="K75" i="12"/>
  <c r="K85" i="12" s="1"/>
  <c r="K94" i="12" s="1"/>
  <c r="K67" i="12" s="1"/>
  <c r="G74" i="12"/>
  <c r="I75" i="12"/>
  <c r="I73" i="12"/>
  <c r="J74" i="12"/>
  <c r="J84" i="12" s="1"/>
  <c r="G75" i="12"/>
  <c r="M18" i="12"/>
  <c r="M17" i="12" s="1"/>
  <c r="O36" i="12"/>
  <c r="G26" i="12"/>
  <c r="F45" i="12"/>
  <c r="F27" i="12" s="1"/>
  <c r="F72" i="12" s="1"/>
  <c r="F71" i="12" s="1"/>
  <c r="K29" i="12"/>
  <c r="J44" i="12"/>
  <c r="J27" i="12"/>
  <c r="J72" i="12" s="1"/>
  <c r="J71" i="12" s="1"/>
  <c r="G90" i="12"/>
  <c r="G63" i="12" s="1"/>
  <c r="G62" i="12" s="1"/>
  <c r="M37" i="12"/>
  <c r="M39" i="12"/>
  <c r="N35" i="12"/>
  <c r="M38"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F85" i="12"/>
  <c r="F94" i="12" s="1"/>
  <c r="F84" i="12"/>
  <c r="F93" i="12" s="1"/>
  <c r="F83" i="12"/>
  <c r="F92" i="12" s="1"/>
  <c r="D65" i="2"/>
  <c r="D69" i="2"/>
  <c r="D68" i="2"/>
  <c r="D67" i="2"/>
  <c r="D66" i="2"/>
  <c r="M47" i="12" l="1"/>
  <c r="M49" i="12"/>
  <c r="O28" i="12"/>
  <c r="M28" i="12" s="1"/>
  <c r="O30" i="12"/>
  <c r="M30" i="12" s="1"/>
  <c r="M46" i="12"/>
  <c r="M48" i="12"/>
  <c r="O45" i="12"/>
  <c r="O54" i="12" s="1"/>
  <c r="M54" i="12" s="1"/>
  <c r="M53" i="12" s="1"/>
  <c r="O31" i="12"/>
  <c r="O76" i="12" s="1"/>
  <c r="M76" i="12" s="1"/>
  <c r="O29" i="12"/>
  <c r="O74" i="12" s="1"/>
  <c r="M74" i="12" s="1"/>
  <c r="B35" i="3"/>
  <c r="B36" i="3"/>
  <c r="B32" i="3"/>
  <c r="B33" i="3"/>
  <c r="B34" i="3"/>
  <c r="J93" i="12"/>
  <c r="J66" i="12" s="1"/>
  <c r="J132" i="12" s="1"/>
  <c r="J141" i="12" s="1"/>
  <c r="J85" i="12"/>
  <c r="J94" i="12" s="1"/>
  <c r="J67" i="12" s="1"/>
  <c r="J133" i="12" s="1"/>
  <c r="J142" i="12" s="1"/>
  <c r="I76" i="12"/>
  <c r="I83" i="12"/>
  <c r="I74" i="12"/>
  <c r="I85" i="12"/>
  <c r="G83" i="12"/>
  <c r="G92" i="12" s="1"/>
  <c r="G65" i="12" s="1"/>
  <c r="G131" i="12" s="1"/>
  <c r="G140" i="12" s="1"/>
  <c r="N26" i="12"/>
  <c r="N72" i="12"/>
  <c r="K74" i="12"/>
  <c r="G85" i="12"/>
  <c r="G94" i="12" s="1"/>
  <c r="G67" i="12" s="1"/>
  <c r="G133" i="12" s="1"/>
  <c r="G142" i="12" s="1"/>
  <c r="G84" i="12"/>
  <c r="G93" i="12" s="1"/>
  <c r="G66" i="12" s="1"/>
  <c r="G132" i="12" s="1"/>
  <c r="G141" i="12" s="1"/>
  <c r="K83" i="12"/>
  <c r="O35" i="12"/>
  <c r="J83" i="12"/>
  <c r="J92" i="12" s="1"/>
  <c r="J65" i="12" s="1"/>
  <c r="J131" i="12" s="1"/>
  <c r="J140" i="12" s="1"/>
  <c r="K133" i="12"/>
  <c r="K142" i="12" s="1"/>
  <c r="M36" i="12"/>
  <c r="M35" i="12" s="1"/>
  <c r="F44" i="12"/>
  <c r="F26" i="12"/>
  <c r="F82" i="12"/>
  <c r="G82" i="12"/>
  <c r="G91" i="12" s="1"/>
  <c r="J26" i="12"/>
  <c r="G129" i="12"/>
  <c r="E85" i="12"/>
  <c r="E94" i="12" s="1"/>
  <c r="E84" i="12"/>
  <c r="E93" i="12" s="1"/>
  <c r="E83" i="12"/>
  <c r="E92" i="12" s="1"/>
  <c r="E27" i="12"/>
  <c r="I27" i="12"/>
  <c r="I53" i="12"/>
  <c r="K44" i="12"/>
  <c r="N53" i="12"/>
  <c r="N65" i="12"/>
  <c r="F66" i="12"/>
  <c r="N67" i="12"/>
  <c r="N102" i="12" s="1"/>
  <c r="N66" i="12"/>
  <c r="N101" i="12" s="1"/>
  <c r="F65" i="12"/>
  <c r="J91" i="2"/>
  <c r="I91" i="2"/>
  <c r="H91" i="2"/>
  <c r="G91" i="2"/>
  <c r="F91" i="2"/>
  <c r="E91" i="2"/>
  <c r="O75" i="12" l="1"/>
  <c r="M75" i="12" s="1"/>
  <c r="M85" i="12" s="1"/>
  <c r="M94" i="12" s="1"/>
  <c r="M29" i="12"/>
  <c r="O73" i="12"/>
  <c r="O83" i="12" s="1"/>
  <c r="O92" i="12" s="1"/>
  <c r="O65" i="12" s="1"/>
  <c r="O44" i="12"/>
  <c r="M31" i="12"/>
  <c r="M45" i="12"/>
  <c r="M44" i="12" s="1"/>
  <c r="I92" i="12"/>
  <c r="I65" i="12" s="1"/>
  <c r="I131" i="12" s="1"/>
  <c r="I140" i="12" s="1"/>
  <c r="F80" i="12"/>
  <c r="F91" i="12"/>
  <c r="F64" i="12" s="1"/>
  <c r="F130" i="12" s="1"/>
  <c r="F139" i="12" s="1"/>
  <c r="N71" i="12"/>
  <c r="N90" i="12"/>
  <c r="I26" i="12"/>
  <c r="I72" i="12"/>
  <c r="I71" i="12" s="1"/>
  <c r="I94" i="12"/>
  <c r="I67" i="12" s="1"/>
  <c r="I133" i="12" s="1"/>
  <c r="I142" i="12" s="1"/>
  <c r="M84" i="12"/>
  <c r="E26" i="12"/>
  <c r="E72" i="12"/>
  <c r="I84" i="12"/>
  <c r="K92" i="12"/>
  <c r="K65" i="12" s="1"/>
  <c r="K131" i="12" s="1"/>
  <c r="K140" i="12" s="1"/>
  <c r="G64" i="12"/>
  <c r="J10" i="11" s="1"/>
  <c r="G80" i="12"/>
  <c r="K84" i="12"/>
  <c r="G138" i="12"/>
  <c r="O53" i="12"/>
  <c r="O27" i="12"/>
  <c r="N100" i="12"/>
  <c r="F90" i="12"/>
  <c r="F63" i="12" s="1"/>
  <c r="G89" i="12"/>
  <c r="J90" i="12"/>
  <c r="J82" i="12"/>
  <c r="F132" i="12"/>
  <c r="F141" i="12" s="1"/>
  <c r="F131" i="12"/>
  <c r="F140" i="12" s="1"/>
  <c r="E66" i="12"/>
  <c r="O84" i="12"/>
  <c r="E65" i="12"/>
  <c r="E67" i="12"/>
  <c r="K27" i="12"/>
  <c r="K53" i="12"/>
  <c r="N133" i="12"/>
  <c r="N131" i="12"/>
  <c r="N132" i="12"/>
  <c r="G89" i="2"/>
  <c r="O85" i="12" l="1"/>
  <c r="O94" i="12" s="1"/>
  <c r="O67" i="12" s="1"/>
  <c r="O93" i="12"/>
  <c r="O66" i="12" s="1"/>
  <c r="M73" i="12"/>
  <c r="M83" i="12" s="1"/>
  <c r="M92" i="12" s="1"/>
  <c r="J11" i="11"/>
  <c r="G130" i="12"/>
  <c r="G139" i="12" s="1"/>
  <c r="J23" i="11" s="1"/>
  <c r="I93" i="12"/>
  <c r="I66" i="12" s="1"/>
  <c r="I132" i="12" s="1"/>
  <c r="I141" i="12" s="1"/>
  <c r="E90" i="12"/>
  <c r="E63" i="12" s="1"/>
  <c r="E71" i="12"/>
  <c r="J80" i="12"/>
  <c r="J91" i="12"/>
  <c r="J64" i="12" s="1"/>
  <c r="J130" i="12" s="1"/>
  <c r="J139" i="12" s="1"/>
  <c r="K93" i="12"/>
  <c r="K66" i="12" s="1"/>
  <c r="K132" i="12" s="1"/>
  <c r="K141" i="12" s="1"/>
  <c r="I82" i="12"/>
  <c r="O72" i="12"/>
  <c r="M93" i="12"/>
  <c r="K26" i="12"/>
  <c r="K72" i="12"/>
  <c r="K71" i="12" s="1"/>
  <c r="G137" i="12"/>
  <c r="J22" i="11" s="1"/>
  <c r="M27" i="12"/>
  <c r="M26" i="12" s="1"/>
  <c r="F129" i="12"/>
  <c r="F138" i="12" s="1"/>
  <c r="O26" i="12"/>
  <c r="G128" i="12"/>
  <c r="J19" i="11" s="1"/>
  <c r="J63" i="12"/>
  <c r="G101" i="12"/>
  <c r="G99" i="12"/>
  <c r="G102" i="12"/>
  <c r="G100" i="12"/>
  <c r="G98" i="12"/>
  <c r="I90" i="12"/>
  <c r="N140" i="12"/>
  <c r="N142" i="12"/>
  <c r="N141" i="12"/>
  <c r="O100" i="12"/>
  <c r="M100" i="12" s="1"/>
  <c r="M65" i="12"/>
  <c r="O131" i="12"/>
  <c r="O140" i="12" s="1"/>
  <c r="E131" i="12"/>
  <c r="E140" i="12" s="1"/>
  <c r="E133" i="12"/>
  <c r="E142" i="12" s="1"/>
  <c r="E132" i="12"/>
  <c r="E141" i="12" s="1"/>
  <c r="E82" i="12"/>
  <c r="N63" i="12"/>
  <c r="N82" i="12"/>
  <c r="E89" i="2"/>
  <c r="O82" i="12" l="1"/>
  <c r="O80" i="12" s="1"/>
  <c r="M72" i="12"/>
  <c r="M82" i="12" s="1"/>
  <c r="J20" i="11"/>
  <c r="M66" i="12"/>
  <c r="J89" i="12"/>
  <c r="O101" i="12"/>
  <c r="M101" i="12" s="1"/>
  <c r="E80" i="12"/>
  <c r="E91" i="12"/>
  <c r="E89" i="12" s="1"/>
  <c r="O90" i="12"/>
  <c r="O63" i="12" s="1"/>
  <c r="O71" i="12"/>
  <c r="O102" i="12"/>
  <c r="M102" i="12" s="1"/>
  <c r="I80" i="12"/>
  <c r="I91" i="12"/>
  <c r="I89" i="12" s="1"/>
  <c r="N80" i="12"/>
  <c r="N91" i="12"/>
  <c r="N64" i="12" s="1"/>
  <c r="M67" i="12"/>
  <c r="N11" i="11"/>
  <c r="O132" i="12"/>
  <c r="O141" i="12" s="1"/>
  <c r="M141" i="12" s="1"/>
  <c r="O133" i="12"/>
  <c r="O142" i="12" s="1"/>
  <c r="M142" i="12" s="1"/>
  <c r="J25" i="11"/>
  <c r="E100" i="12"/>
  <c r="I63" i="12"/>
  <c r="J129" i="12"/>
  <c r="N20" i="11" s="1"/>
  <c r="J62" i="12"/>
  <c r="N10" i="11" s="1"/>
  <c r="M140" i="12"/>
  <c r="M131" i="12"/>
  <c r="N98" i="12"/>
  <c r="E101" i="12"/>
  <c r="E102" i="12"/>
  <c r="E98" i="12"/>
  <c r="E129" i="12"/>
  <c r="K90" i="12"/>
  <c r="K82" i="12"/>
  <c r="J89" i="2"/>
  <c r="I89" i="2"/>
  <c r="H89" i="2"/>
  <c r="F89" i="2"/>
  <c r="D87" i="2"/>
  <c r="D86" i="2"/>
  <c r="D85" i="2"/>
  <c r="D84" i="2"/>
  <c r="D83" i="2"/>
  <c r="O41" i="5"/>
  <c r="O40" i="5"/>
  <c r="O39" i="5"/>
  <c r="O38" i="5"/>
  <c r="O37" i="5"/>
  <c r="K20" i="5"/>
  <c r="K23" i="5"/>
  <c r="J20" i="5"/>
  <c r="J23" i="5" s="1"/>
  <c r="I20" i="5"/>
  <c r="I23" i="5" s="1"/>
  <c r="H20" i="5"/>
  <c r="H23" i="5" s="1"/>
  <c r="G20" i="5"/>
  <c r="G23" i="5"/>
  <c r="F20" i="5"/>
  <c r="F23" i="5" s="1"/>
  <c r="E20" i="5"/>
  <c r="E23" i="5" s="1"/>
  <c r="D18" i="5"/>
  <c r="D20" i="5" s="1"/>
  <c r="D23" i="5" s="1"/>
  <c r="C18" i="5"/>
  <c r="C20" i="5" s="1"/>
  <c r="C23" i="5" s="1"/>
  <c r="O91" i="12" l="1"/>
  <c r="O89" i="12" s="1"/>
  <c r="O129" i="12"/>
  <c r="O138" i="12" s="1"/>
  <c r="O98" i="12"/>
  <c r="M98" i="12" s="1"/>
  <c r="M90" i="12"/>
  <c r="M71" i="12"/>
  <c r="E64" i="12"/>
  <c r="M63" i="12"/>
  <c r="M133" i="12"/>
  <c r="M132" i="12"/>
  <c r="N62" i="12"/>
  <c r="N99" i="12"/>
  <c r="N130" i="12"/>
  <c r="M80" i="12"/>
  <c r="M91" i="12"/>
  <c r="I64" i="12"/>
  <c r="I130" i="12" s="1"/>
  <c r="I139" i="12" s="1"/>
  <c r="K80" i="12"/>
  <c r="K91" i="12"/>
  <c r="K64" i="12" s="1"/>
  <c r="N89" i="12"/>
  <c r="I129" i="12"/>
  <c r="I138" i="12" s="1"/>
  <c r="J138" i="12"/>
  <c r="J128" i="12"/>
  <c r="N19" i="11" s="1"/>
  <c r="J99" i="12"/>
  <c r="J101" i="12"/>
  <c r="J98" i="12"/>
  <c r="J100" i="12"/>
  <c r="J102" i="12"/>
  <c r="E138" i="12"/>
  <c r="I102" i="12"/>
  <c r="I101" i="12"/>
  <c r="I100" i="12"/>
  <c r="I98" i="12"/>
  <c r="K102" i="12"/>
  <c r="K101" i="12"/>
  <c r="K100" i="12"/>
  <c r="K63" i="12"/>
  <c r="N129" i="12"/>
  <c r="F100" i="12"/>
  <c r="F99" i="12"/>
  <c r="F98" i="12"/>
  <c r="F101" i="12"/>
  <c r="O64" i="12" l="1"/>
  <c r="O130" i="12" s="1"/>
  <c r="M130" i="12" s="1"/>
  <c r="M89" i="12"/>
  <c r="E99" i="12"/>
  <c r="F25" i="11" s="1"/>
  <c r="F11" i="11"/>
  <c r="E130" i="12"/>
  <c r="E62" i="12"/>
  <c r="F10" i="11" s="1"/>
  <c r="I62" i="12"/>
  <c r="L10" i="11" s="1"/>
  <c r="L11" i="11"/>
  <c r="I137" i="12"/>
  <c r="K130" i="12"/>
  <c r="K139" i="12" s="1"/>
  <c r="K99" i="12"/>
  <c r="I99" i="12"/>
  <c r="O62" i="12"/>
  <c r="K89" i="12"/>
  <c r="N139" i="12"/>
  <c r="P11" i="11"/>
  <c r="I128" i="12"/>
  <c r="J137" i="12"/>
  <c r="N22" i="11" s="1"/>
  <c r="N23" i="11"/>
  <c r="N25" i="11"/>
  <c r="K62" i="12"/>
  <c r="P10" i="11" s="1"/>
  <c r="M129" i="12"/>
  <c r="N128" i="12"/>
  <c r="K129" i="12"/>
  <c r="K98" i="12"/>
  <c r="N138" i="12"/>
  <c r="M64" i="12" l="1"/>
  <c r="R11" i="11" s="1"/>
  <c r="O99" i="12"/>
  <c r="M99" i="12" s="1"/>
  <c r="R25" i="11" s="1"/>
  <c r="S25" i="11" s="1"/>
  <c r="P20" i="11"/>
  <c r="E139" i="12"/>
  <c r="F20" i="11"/>
  <c r="E128" i="12"/>
  <c r="F19" i="11" s="1"/>
  <c r="P25" i="11"/>
  <c r="O139" i="12"/>
  <c r="O137" i="12" s="1"/>
  <c r="O128" i="12"/>
  <c r="M62" i="12"/>
  <c r="R10" i="11" s="1"/>
  <c r="M128" i="12"/>
  <c r="R19" i="11" s="1"/>
  <c r="R20" i="11"/>
  <c r="M138" i="12"/>
  <c r="N137" i="12"/>
  <c r="K138" i="12"/>
  <c r="K128" i="12"/>
  <c r="P19" i="11" s="1"/>
  <c r="L25" i="11"/>
  <c r="L23" i="11"/>
  <c r="L20" i="11"/>
  <c r="L19" i="11"/>
  <c r="E137" i="12" l="1"/>
  <c r="F22" i="11" s="1"/>
  <c r="F23" i="11"/>
  <c r="M139" i="12"/>
  <c r="M137" i="12" s="1"/>
  <c r="R22" i="11" s="1"/>
  <c r="K137" i="12"/>
  <c r="P22" i="11" s="1"/>
  <c r="P23" i="11"/>
  <c r="S19" i="11"/>
  <c r="L22" i="11"/>
  <c r="Q19" i="11"/>
  <c r="M19" i="11"/>
  <c r="K19" i="11"/>
  <c r="O19" i="11"/>
  <c r="O25" i="11"/>
  <c r="Q25" i="11"/>
  <c r="M25" i="11"/>
  <c r="K25" i="11"/>
  <c r="R23" i="11" l="1"/>
  <c r="O22" i="11"/>
  <c r="M22" i="11"/>
  <c r="K22" i="11"/>
  <c r="S22" i="11"/>
  <c r="Q22" i="11"/>
  <c r="F67" i="12" l="1"/>
  <c r="F89" i="12"/>
  <c r="H11" i="11" l="1"/>
  <c r="F62" i="12"/>
  <c r="H10" i="11" s="1"/>
  <c r="F133" i="12"/>
  <c r="F102" i="12"/>
  <c r="H25" i="11" l="1"/>
  <c r="F128" i="12"/>
  <c r="H19" i="11" s="1"/>
  <c r="H20" i="11"/>
  <c r="F142" i="12"/>
  <c r="F137" i="12" l="1"/>
  <c r="H22" i="11" s="1"/>
  <c r="H23" i="11"/>
  <c r="C32" i="3"/>
  <c r="C33" i="3" l="1"/>
  <c r="E65" i="2"/>
  <c r="J83" i="2" l="1"/>
  <c r="K109" i="12" s="1"/>
  <c r="F83" i="2"/>
  <c r="F109" i="12" s="1"/>
  <c r="L83" i="2"/>
  <c r="O109" i="12" s="1"/>
  <c r="I83" i="2"/>
  <c r="J109" i="12" s="1"/>
  <c r="E83" i="2"/>
  <c r="E109" i="12" s="1"/>
  <c r="H83" i="2"/>
  <c r="I109" i="12" s="1"/>
  <c r="G83" i="2"/>
  <c r="G109" i="12" s="1"/>
  <c r="K83" i="2"/>
  <c r="N109" i="12" s="1"/>
  <c r="C34" i="3"/>
  <c r="E66" i="2"/>
  <c r="G118" i="12" l="1"/>
  <c r="G108" i="12"/>
  <c r="J13" i="11" s="1"/>
  <c r="I118" i="12"/>
  <c r="N108" i="12"/>
  <c r="M109" i="12"/>
  <c r="N118" i="12"/>
  <c r="E118" i="12"/>
  <c r="J118" i="12"/>
  <c r="J108" i="12"/>
  <c r="N13" i="11" s="1"/>
  <c r="O118" i="12"/>
  <c r="O117" i="12" s="1"/>
  <c r="O108" i="12"/>
  <c r="C35" i="3"/>
  <c r="E67" i="2"/>
  <c r="F118" i="12"/>
  <c r="F108" i="12"/>
  <c r="H13" i="11" s="1"/>
  <c r="K84" i="2"/>
  <c r="N110" i="12" s="1"/>
  <c r="J84" i="2"/>
  <c r="K110" i="12" s="1"/>
  <c r="K119" i="12" s="1"/>
  <c r="E84" i="2"/>
  <c r="E110" i="12" s="1"/>
  <c r="E119" i="12" s="1"/>
  <c r="L84" i="2"/>
  <c r="O110" i="12" s="1"/>
  <c r="O119" i="12" s="1"/>
  <c r="F84" i="2"/>
  <c r="F110" i="12" s="1"/>
  <c r="F119" i="12" s="1"/>
  <c r="I84" i="2"/>
  <c r="J110" i="12" s="1"/>
  <c r="J119" i="12" s="1"/>
  <c r="H84" i="2"/>
  <c r="I110" i="12" s="1"/>
  <c r="I119" i="12" s="1"/>
  <c r="G84" i="2"/>
  <c r="G110" i="12" s="1"/>
  <c r="G119" i="12" s="1"/>
  <c r="K118" i="12"/>
  <c r="K108" i="12"/>
  <c r="P13" i="11" s="1"/>
  <c r="F85" i="2" l="1"/>
  <c r="F111" i="12" s="1"/>
  <c r="G85" i="2"/>
  <c r="G111" i="12" s="1"/>
  <c r="G120" i="12" s="1"/>
  <c r="E85" i="2"/>
  <c r="E111" i="12" s="1"/>
  <c r="L85" i="2"/>
  <c r="O111" i="12" s="1"/>
  <c r="O120" i="12" s="1"/>
  <c r="J85" i="2"/>
  <c r="K111" i="12" s="1"/>
  <c r="K120" i="12" s="1"/>
  <c r="H85" i="2"/>
  <c r="I111" i="12" s="1"/>
  <c r="I120" i="12" s="1"/>
  <c r="K85" i="2"/>
  <c r="N111" i="12" s="1"/>
  <c r="I85" i="2"/>
  <c r="J111" i="12" s="1"/>
  <c r="J120" i="12" s="1"/>
  <c r="C36" i="3"/>
  <c r="E68" i="2"/>
  <c r="F117" i="12"/>
  <c r="H16" i="11" s="1"/>
  <c r="K117" i="12"/>
  <c r="P16" i="11" s="1"/>
  <c r="N119" i="12"/>
  <c r="M119" i="12" s="1"/>
  <c r="M110" i="12"/>
  <c r="M108" i="12" s="1"/>
  <c r="R13" i="11" s="1"/>
  <c r="M118" i="12"/>
  <c r="N117" i="12"/>
  <c r="J117" i="12"/>
  <c r="N16" i="11" s="1"/>
  <c r="G117" i="12"/>
  <c r="J16" i="11" s="1"/>
  <c r="L86" i="2" l="1"/>
  <c r="O112" i="12" s="1"/>
  <c r="O121" i="12" s="1"/>
  <c r="F86" i="2"/>
  <c r="F112" i="12" s="1"/>
  <c r="F121" i="12" s="1"/>
  <c r="E86" i="2"/>
  <c r="E112" i="12" s="1"/>
  <c r="E121" i="12" s="1"/>
  <c r="K86" i="2"/>
  <c r="N112" i="12" s="1"/>
  <c r="I86" i="2"/>
  <c r="J112" i="12" s="1"/>
  <c r="G86" i="2"/>
  <c r="G112" i="12" s="1"/>
  <c r="J86" i="2"/>
  <c r="K112" i="12" s="1"/>
  <c r="H86" i="2"/>
  <c r="I112" i="12" s="1"/>
  <c r="C37" i="3"/>
  <c r="C38" i="3" s="1"/>
  <c r="C39" i="3" s="1"/>
  <c r="C40" i="3" s="1"/>
  <c r="E69" i="2"/>
  <c r="M117" i="12"/>
  <c r="R16" i="11" s="1"/>
  <c r="E120" i="12"/>
  <c r="N120" i="12"/>
  <c r="M120" i="12" s="1"/>
  <c r="M111" i="12"/>
  <c r="F120" i="12"/>
  <c r="K121" i="12" l="1"/>
  <c r="I121" i="12"/>
  <c r="J121" i="12"/>
  <c r="G121" i="12"/>
  <c r="N121" i="12"/>
  <c r="M121" i="12" s="1"/>
  <c r="M112" i="12"/>
  <c r="E87" i="2"/>
  <c r="E113" i="12" s="1"/>
  <c r="E122" i="12" s="1"/>
  <c r="E117" i="12" s="1"/>
  <c r="F16" i="11" s="1"/>
  <c r="I87" i="2"/>
  <c r="J113" i="12" s="1"/>
  <c r="J122" i="12" s="1"/>
  <c r="F87" i="2"/>
  <c r="F113" i="12" s="1"/>
  <c r="F122" i="12" s="1"/>
  <c r="H17" i="11" s="1"/>
  <c r="L87" i="2"/>
  <c r="O113" i="12" s="1"/>
  <c r="O122" i="12" s="1"/>
  <c r="J87" i="2"/>
  <c r="K113" i="12" s="1"/>
  <c r="K122" i="12" s="1"/>
  <c r="K87" i="2"/>
  <c r="N113" i="12" s="1"/>
  <c r="H87" i="2"/>
  <c r="I113" i="12" s="1"/>
  <c r="I122" i="12" s="1"/>
  <c r="G87" i="2"/>
  <c r="G113" i="12" s="1"/>
  <c r="G122" i="12" s="1"/>
  <c r="I108" i="12" l="1"/>
  <c r="L13" i="11" s="1"/>
  <c r="F17" i="11"/>
  <c r="O16" i="11"/>
  <c r="Q16" i="11"/>
  <c r="K16" i="11"/>
  <c r="S16" i="11"/>
  <c r="E108" i="12"/>
  <c r="F13" i="11" s="1"/>
  <c r="F14" i="11"/>
  <c r="J14" i="11"/>
  <c r="N17" i="11"/>
  <c r="L14" i="11"/>
  <c r="L17" i="11"/>
  <c r="I117" i="12"/>
  <c r="L16" i="11" s="1"/>
  <c r="M16" i="11" s="1"/>
  <c r="H14" i="11"/>
  <c r="N14" i="11"/>
  <c r="P14" i="11"/>
  <c r="J17" i="11"/>
  <c r="P17" i="11"/>
  <c r="N122" i="12"/>
  <c r="M122" i="12" s="1"/>
  <c r="R17" i="11" s="1"/>
  <c r="M113" i="12"/>
  <c r="R14" i="11" s="1"/>
  <c r="M13" i="11" l="1"/>
  <c r="Q13" i="11"/>
  <c r="K13" i="11"/>
  <c r="O13" i="11"/>
  <c r="S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<sst xmlns="http://schemas.openxmlformats.org/spreadsheetml/2006/main" count="875" uniqueCount="481">
  <si>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</si>
  <si>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</si>
  <si>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</si>
  <si>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</si>
  <si>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</si>
  <si>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</si>
  <si>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</si>
  <si>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</si>
  <si>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</si>
  <si>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</si>
  <si>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</si>
  <si>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</si>
  <si>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</si>
  <si>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</si>
  <si>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</si>
  <si>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</si>
  <si>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</si>
  <si>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</si>
  <si>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</si>
  <si>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</si>
  <si>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</si>
  <si>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</si>
  <si>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</si>
  <si>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</si>
  <si>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</si>
  <si>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</si>
  <si>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</si>
  <si>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</si>
  <si>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</si>
  <si>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</si>
  <si>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</si>
  <si>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</si>
  <si>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</si>
  <si>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</si>
  <si>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</si>
  <si>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</si>
  <si>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</si>
  <si>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</si>
  <si>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</si>
  <si>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</si>
  <si>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</si>
  <si>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</si>
  <si>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</si>
  <si>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</si>
  <si>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</si>
  <si>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</si>
  <si>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</si>
  <si>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</si>
  <si>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</si>
  <si>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</si>
  <si>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</si>
  <si>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</si>
  <si>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</si>
  <si>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</si>
  <si>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</si>
  <si>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</si>
  <si>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</si>
  <si>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</si>
  <si>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</si>
  <si>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</si>
  <si>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</si>
  <si>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</si>
  <si>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</si>
  <si>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</si>
  <si>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</si>
  <si>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</si>
  <si>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</si>
  <si>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</si>
  <si>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</si>
  <si>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</si>
  <si>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</si>
  <si>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</si>
  <si>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</si>
  <si>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</si>
  <si>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</si>
  <si>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</si>
  <si>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</si>
  <si>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</si>
  <si>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</si>
  <si>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</si>
  <si>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</si>
  <si>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</si>
  <si>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</si>
  <si>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</si>
  <si>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</si>
  <si>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</si>
  <si>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</si>
  <si>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</si>
  <si>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</si>
  <si>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</si>
  <si>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</si>
  <si>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</si>
  <si>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</si>
  <si>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</si>
  <si>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</si>
  <si>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</si>
  <si>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b/>
        <sz val="30"/>
        <color theme="1"/>
        <rFont val="Arial"/>
        <family val="2"/>
      </rPr>
      <t>Respiratory Syncytial Virus (RSV) intervention</t>
    </r>
    <r>
      <rPr>
        <b/>
        <sz val="30"/>
        <color rgb="FF000000"/>
        <rFont val="Arial"/>
        <family val="2"/>
      </rPr>
      <t xml:space="preserve"> </t>
    </r>
    <r>
      <rPr>
        <b/>
        <sz val="12"/>
        <color rgb="FF000000"/>
        <rFont val="Arial"/>
        <family val="2"/>
      </rPr>
      <t xml:space="preserve">
</t>
    </r>
    <r>
      <rPr>
        <sz val="24"/>
        <color theme="1" tint="-0.499984740745262"/>
        <rFont val="Arial"/>
        <family val="2"/>
      </rPr>
      <t xml:space="preserve">Cost calculator </t>
    </r>
  </si>
  <si>
    <t>For Gavi- and non-Gavi-eligible countries</t>
  </si>
  <si>
    <r>
      <t xml:space="preserve">For questions or support, contact PATH's Health Economics &amp; Outcomes Research team: </t>
    </r>
    <r>
      <rPr>
        <u/>
        <sz val="12"/>
        <color rgb="FF000000"/>
        <rFont val="Arial"/>
        <family val="2"/>
      </rPr>
      <t>HEOR@path.org</t>
    </r>
  </si>
  <si>
    <t>Overview</t>
  </si>
  <si>
    <r>
      <t xml:space="preserve">The </t>
    </r>
    <r>
      <rPr>
        <b/>
        <sz val="14"/>
        <color theme="1" tint="-0.499984740745262"/>
        <rFont val="Arial"/>
        <family val="2"/>
      </rPr>
      <t>RSV intervention cost calculator</t>
    </r>
    <r>
      <rPr>
        <sz val="14"/>
        <color theme="1" tint="-0.499984740745262"/>
        <rFont val="Arial"/>
        <family val="2"/>
      </rPr>
      <t xml:space="preserve"> is a simple tool for assessing and comparing financial costs of childhood RSV interventions. It aims to help country-level policy-makers estimate immunization program costs and compare products for RSV maternal vaccine (administered during pregnancy) and RSV monoclonal antibodies (mAbs) (administered to infants). The tool can be used by any country, regardless of Gavi, the Vaccine Alliance co-funding eligibility. The tool can explore three different scenarios: A) maternal vaccines only; B) mAbs only; and C) both maternal vaccine and mAbs. For scenarios A and B, users can choose one or more product options. For scenario C, users can choose one maternal vaccine and one mAb. 
The tool calculates anticipated cold chain volume and costs annually and for a total period of five years. Product cost estimates (e.g., vaccine and supplies procurement and international shipping) and immunization program costs (e.g., cost of delivery) are provided separately for the country perspective (accounts only for what is paid from the country budget) and the combined country and donor/Gavi perspective (accounts for Gavi co-financing and support grants). All cost data are in US$; use of local currency requires separate currency conversion before inputting values in relevant fields. </t>
    </r>
  </si>
  <si>
    <r>
      <t xml:space="preserve">Disclaimer: </t>
    </r>
    <r>
      <rPr>
        <i/>
        <sz val="12"/>
        <color theme="1" tint="-0.499984740745262"/>
        <rFont val="Arial"/>
        <family val="2"/>
      </rPr>
      <t xml:space="preserve">The RSV intervention cost calculator is a tool that aims to inform vaccine introduction decision-making and product selection. It is important to note that cost is only one consideration, and users involved in decision-making around new vaccine introduction or product selection should always consider other dimensions as well. This model is meant to provide insights into the </t>
    </r>
    <r>
      <rPr>
        <b/>
        <i/>
        <sz val="12"/>
        <color theme="1" tint="-0.499984740745262"/>
        <rFont val="Arial"/>
        <family val="2"/>
      </rPr>
      <t>potential</t>
    </r>
    <r>
      <rPr>
        <i/>
        <sz val="12"/>
        <color theme="1" tint="-0.499984740745262"/>
        <rFont val="Arial"/>
        <family val="2"/>
      </rPr>
      <t xml:space="preserve"> costs of alternative product or delivery choices and should not replace detailed budget planning once a product has been selected.</t>
    </r>
  </si>
  <si>
    <t>User guide</t>
  </si>
  <si>
    <r>
      <t>Model inputs worksheet</t>
    </r>
    <r>
      <rPr>
        <sz val="16"/>
        <color theme="0"/>
        <rFont val="Arial"/>
        <family val="2"/>
      </rPr>
      <t xml:space="preserve"> </t>
    </r>
  </si>
  <si>
    <t>Purple boxes indicate a dropdown menu from which the user can select a pre-specified option. Click on the purple box and a dropdown arrow will appear. Clicking on the arrow will allow the user to select from a menu of options.</t>
  </si>
  <si>
    <t>Green boxes require user inputs. Example data are included in the model, but this information should be revised to reflect the local RSV program and inputs.</t>
  </si>
  <si>
    <t>White cells include information that is fixed and cannot be changed by the user.</t>
  </si>
  <si>
    <t xml:space="preserve">Immunization 
program </t>
  </si>
  <si>
    <t xml:space="preserve">If considering alternative vaccination strategies (for example, a seasonal vaccination strategy), refer to the "target pop calculation" tab for suggestions on relevant target population calculations. </t>
  </si>
  <si>
    <t>Note that  RSV maternal vaccine and mAbs only require one dose for a full course. The tool, however, allows for input of up to three-dose schedules, in anticipation of any future products that may require multiple doses.</t>
  </si>
  <si>
    <t>Gavi eligibility and 
co-financing</t>
  </si>
  <si>
    <t>RSV intervention options</t>
  </si>
  <si>
    <r>
      <rPr>
        <b/>
        <i/>
        <u/>
        <sz val="12"/>
        <color theme="1" tint="-0.499984740745262"/>
        <rFont val="Arial"/>
        <family val="2"/>
      </rPr>
      <t>Vaccine/mAb costs</t>
    </r>
    <r>
      <rPr>
        <i/>
        <u/>
        <sz val="12"/>
        <color theme="1" tint="-0.499984740745262"/>
        <rFont val="Arial"/>
        <family val="2"/>
      </rPr>
      <t xml:space="preserve">
</t>
    </r>
    <r>
      <rPr>
        <sz val="12"/>
        <color theme="1" tint="-0.499984740745262"/>
        <rFont val="Arial"/>
        <family val="2"/>
      </rPr>
      <t>Use the drop-down menu to select the product for each target group. Default data will automatically populate in the rows below, which can be adjusted based on local information. All vaccine characteristics are from the Gavi detailed product profiles.</t>
    </r>
    <r>
      <rPr>
        <i/>
        <u/>
        <sz val="12"/>
        <color theme="1" tint="-0.499984740745262"/>
        <rFont val="Arial"/>
        <family val="2"/>
      </rPr>
      <t xml:space="preserve">
</t>
    </r>
    <r>
      <rPr>
        <sz val="12"/>
        <color theme="1" tint="-0.499984740745262"/>
        <rFont val="Arial"/>
        <family val="2"/>
      </rPr>
      <t xml:space="preserve">
Annual co-financing amount per dose cannot be changed as these are the results of calculations based on the vaccine price and co-financing share.
The remaining required inputs are related to product characteristics like cold chain space requirement, expected wastage rate, buffer stock, handling costs, etc. Please input as appropriate. </t>
    </r>
  </si>
  <si>
    <t>Resources</t>
  </si>
  <si>
    <t xml:space="preserve">←Detailed Product Profile for RSV product not available. Link and estimates to be updated once available. </t>
  </si>
  <si>
    <t>Product characteristics: Gavi detailed product profiles</t>
  </si>
  <si>
    <t>Handling fees: UNICEF website – pricing data</t>
  </si>
  <si>
    <t>Supplies costs: UNICEF website – pricing data</t>
  </si>
  <si>
    <r>
      <rPr>
        <b/>
        <i/>
        <u/>
        <sz val="12"/>
        <color theme="1" tint="-0.499984740745262"/>
        <rFont val="Arial"/>
        <family val="2"/>
      </rPr>
      <t>Immunization program costs</t>
    </r>
    <r>
      <rPr>
        <i/>
        <u/>
        <sz val="12"/>
        <color theme="1" tint="-0.499984740745262"/>
        <rFont val="Arial"/>
        <family val="2"/>
      </rPr>
      <t xml:space="preserve">
</t>
    </r>
    <r>
      <rPr>
        <sz val="12"/>
        <color theme="1" tint="-0.499984740745262"/>
        <rFont val="Arial"/>
        <family val="2"/>
      </rPr>
      <t xml:space="preserve">The tool allows users to consider vaccine introduction grant support from external sources, including one-time introduction support and incremental health system costs. 
One-time support typically funds start-up costs in the first year and excludes expenditures related to activities such as microplanning, training, or communciation. </t>
    </r>
    <r>
      <rPr>
        <b/>
        <i/>
        <sz val="12"/>
        <color theme="1" tint="-0.499984740745262"/>
        <rFont val="Arial"/>
        <family val="2"/>
      </rPr>
      <t xml:space="preserve">It could be received either as one-time lump sum introduction support or one-time target population specific introduction support. </t>
    </r>
    <r>
      <rPr>
        <sz val="12"/>
        <color theme="1" tint="-0.499984740745262"/>
        <rFont val="Arial"/>
        <family val="2"/>
      </rPr>
      <t xml:space="preserve">The total program cost projections from country perspectives will exclude such externally funded expenses to reflect true cost to country.
For each RSV product in consideration, enter the amount budgeted for one-time introduction support, if applicable. 
Incremental health system costs refer to all additional expenditures required to deliver vaccines, outside of the direct cost of vaccine/mAb commodities and procurement. This could include operational costs such as: travel allowances, cold chain equipment, vehicles, transport and fuel, program management, training and capacity building, social mobilization and advocacy, disease surveillance and activities related to adverse events following immunization (AEFI), and waste management.
All operational recurrent costs should be reflected in the incremental cost of delivery per dose for each product being compared. Note this might vary from one product to another based on product presentation, storage requirements, and ease of administration. </t>
    </r>
  </si>
  <si>
    <t>Incremental cost of delivery per dose: Immunization Cost of Delivery Catalogue (IDCC)</t>
  </si>
  <si>
    <t>Dashboard worksheet</t>
  </si>
  <si>
    <t>The dashboard provides summary data of outputs in terms of cold chain volume per dose in million cm3, vaccine cost to country, and number of doses required in millions for scenarios analyzed. Conditional formatting highlights potential lower costs (green color) and potential higher costs (red color).</t>
  </si>
  <si>
    <t>Results worksheet</t>
  </si>
  <si>
    <r>
      <t>The results worksheet presents cost information annually and as a total over five years from</t>
    </r>
    <r>
      <rPr>
        <sz val="12"/>
        <color rgb="FFFF0000"/>
        <rFont val="Arial"/>
        <family val="2"/>
      </rPr>
      <t xml:space="preserve"> </t>
    </r>
    <r>
      <rPr>
        <sz val="12"/>
        <color theme="1" tint="-0.499984740745262"/>
        <rFont val="Arial"/>
        <family val="2"/>
      </rPr>
      <t>the country perspective and the combined country and donor/Gavi perspective for each product option.</t>
    </r>
  </si>
  <si>
    <r>
      <rPr>
        <sz val="12"/>
        <color rgb="FF20242B"/>
        <rFont val="Arial"/>
        <family val="2"/>
      </rPr>
      <t xml:space="preserve">Results are displayed in three subsections:
</t>
    </r>
    <r>
      <rPr>
        <b/>
        <sz val="12"/>
        <color rgb="FF20242B"/>
        <rFont val="Arial"/>
        <family val="2"/>
      </rPr>
      <t xml:space="preserve">1.      Immunization program
</t>
    </r>
    <r>
      <rPr>
        <sz val="12"/>
        <color rgb="FF20242B"/>
        <rFont val="Arial"/>
        <family val="2"/>
      </rPr>
      <t xml:space="preserve">This section provides results in terms of the number of doses delivered and the number of doses required for the immunization program. Number of doses required equals the number of doses delivered plus the number of doses wasted and the buffer stock required. This section also calculates the five-year and annual requirements in terms of cold chain volume, accounting for each product's cold chain volume per dose multiplied by the total number of doses required. This total volume should be used only as an estimate as it will vary depending on the number of vaccine shipments per year and the country’s distribution system. Also, some products may require negative cold chain at the central level and others include components that can be stored outside of the positive cold chain.
</t>
    </r>
    <r>
      <rPr>
        <b/>
        <sz val="12"/>
        <color rgb="FF20242B"/>
        <rFont val="Arial"/>
        <family val="2"/>
      </rPr>
      <t xml:space="preserve">2.      Country cost
</t>
    </r>
    <r>
      <rPr>
        <sz val="12"/>
        <color rgb="FF20242B"/>
        <rFont val="Arial"/>
        <family val="2"/>
      </rPr>
      <t xml:space="preserve">This section provides costs from only the country’s perspective. Product cost, corresponding to vaccine/mAb and commodities procurement, is provided separately from total immunization program cost, which includes vaccine/mAb costs and incremental health system costs.
</t>
    </r>
    <r>
      <rPr>
        <b/>
        <sz val="12"/>
        <color rgb="FF20242B"/>
        <rFont val="Arial"/>
        <family val="2"/>
      </rPr>
      <t xml:space="preserve">3.      Country and Gavi/donor cost
</t>
    </r>
    <r>
      <rPr>
        <sz val="12"/>
        <color rgb="FF20242B"/>
        <rFont val="Arial"/>
        <family val="2"/>
      </rPr>
      <t xml:space="preserve">This section provides costs from both the country and donor/Gavi perspectives (only relevant for Gavi-eligible countries). The subcategories are the same as what is found in the country cost subsection.
</t>
    </r>
    <r>
      <rPr>
        <i/>
        <sz val="12"/>
        <color rgb="FF20242B"/>
        <rFont val="Arial"/>
        <family val="2"/>
      </rPr>
      <t>Note: Conditional formatting is used in this sheet to highlight 5-year volume and cost cells for the low volume/least costly product option (dark green color) to the high volume/most costly product option (red color).</t>
    </r>
  </si>
  <si>
    <t>Charts worksheet</t>
  </si>
  <si>
    <t>The charts worksheet provides a graphic representation of the same results seen on the previous worksheet. The same perspectives and subcategories are reported here. After completing your first analysis, if you make changes on the model inputs worksheet, the results and charts worksheets will automatically update with the new results.</t>
  </si>
  <si>
    <t>Calculation formulas used in the cost calculator*</t>
  </si>
  <si>
    <r>
      <t>Number of doses delivered</t>
    </r>
    <r>
      <rPr>
        <sz val="12"/>
        <color theme="1" tint="-0.499984740745262"/>
        <rFont val="Arial"/>
        <family val="2"/>
      </rPr>
      <t xml:space="preserve"> = Target population x coverage</t>
    </r>
  </si>
  <si>
    <r>
      <t>Total doses required</t>
    </r>
    <r>
      <rPr>
        <sz val="12"/>
        <color theme="1" tint="-0.499984740745262"/>
        <rFont val="Arial"/>
        <family val="2"/>
      </rPr>
      <t xml:space="preserve"> = Number of doses delivered x wastage factor + buffer stock </t>
    </r>
  </si>
  <si>
    <r>
      <t>Total cold chain volume required</t>
    </r>
    <r>
      <rPr>
        <sz val="12"/>
        <color theme="1" tint="-0.499984740745262"/>
        <rFont val="Arial"/>
        <family val="2"/>
      </rPr>
      <t xml:space="preserve"> = Cold chain volume per dose in cm</t>
    </r>
    <r>
      <rPr>
        <vertAlign val="superscript"/>
        <sz val="12"/>
        <color theme="1" tint="-0.499984740745262"/>
        <rFont val="Arial"/>
        <family val="2"/>
      </rPr>
      <t>3</t>
    </r>
    <r>
      <rPr>
        <sz val="12"/>
        <color theme="1" tint="-0.499984740745262"/>
        <rFont val="Arial"/>
        <family val="2"/>
      </rPr>
      <t xml:space="preserve"> x total doses required</t>
    </r>
  </si>
  <si>
    <r>
      <t>Wastage factor</t>
    </r>
    <r>
      <rPr>
        <sz val="12"/>
        <color theme="1" tint="-0.499984740745262"/>
        <rFont val="Arial"/>
        <family val="2"/>
      </rPr>
      <t xml:space="preserve"> = (1 / (1 - wastage rate))</t>
    </r>
  </si>
  <si>
    <r>
      <t>Buffer stock</t>
    </r>
    <r>
      <rPr>
        <sz val="12"/>
        <color theme="1" tint="-0.499984740745262"/>
        <rFont val="Arial"/>
        <family val="2"/>
      </rPr>
      <t xml:space="preserve"> = % of buffer stock x number of doses delivered</t>
    </r>
  </si>
  <si>
    <r>
      <t>Vaccine cost (country cost)</t>
    </r>
    <r>
      <rPr>
        <sz val="12"/>
        <color theme="1" tint="-0.499984740745262"/>
        <rFont val="Arial"/>
        <family val="2"/>
      </rPr>
      <t xml:space="preserve"> = Total doses required x (co-financing amount per dose + co-financing amount per dose x international handling + co-financing amount per dose x international transportation) + (number of doses delivered / volume of safety box x price of safety box)**</t>
    </r>
  </si>
  <si>
    <r>
      <t>Immunization program cost (country cost)</t>
    </r>
    <r>
      <rPr>
        <sz val="12"/>
        <color theme="1" tint="-0.499984740745262"/>
        <rFont val="Arial"/>
        <family val="2"/>
      </rPr>
      <t xml:space="preserve"> = Vaccine/mAb cost + number of doses delivered x incremental cost of delivery per dose</t>
    </r>
  </si>
  <si>
    <r>
      <t>Vaccine cost (country + Gavi/Donor cost)</t>
    </r>
    <r>
      <rPr>
        <sz val="12"/>
        <color theme="1" tint="-0.499984740745262"/>
        <rFont val="Arial"/>
        <family val="2"/>
      </rPr>
      <t xml:space="preserve"> = Total doses required x (vaccine price per dose + vaccine price per dose x international handling + vaccine price per dose x international transportation) + (number of doses delivered / volume of safety box x price of safety box)**</t>
    </r>
  </si>
  <si>
    <r>
      <t>Immunization program cost (country + Gavi/Donor cost)</t>
    </r>
    <r>
      <rPr>
        <sz val="12"/>
        <color theme="1" tint="-0.499984740745262"/>
        <rFont val="Arial"/>
        <family val="2"/>
      </rPr>
      <t xml:space="preserve"> = Vaccine/mAb cost + number of doses delivered x incremental cost of delivery per dose + lump-sum support for introduction received from external sources (Year 1 only) + target population specific vaccine introduction grant from external sources (Year 1 only)</t>
    </r>
  </si>
  <si>
    <t>* x = multiply 
** number of safety boxes/bags required rounded up to the nearest whole number</t>
  </si>
  <si>
    <r>
      <rPr>
        <b/>
        <sz val="11"/>
        <color theme="1"/>
        <rFont val="Arial"/>
        <family val="2"/>
      </rPr>
      <t xml:space="preserve">Respiratory Syncytial Virus (RSV) intervention </t>
    </r>
    <r>
      <rPr>
        <sz val="11"/>
        <color theme="1"/>
        <rFont val="Arial"/>
        <family val="2"/>
      </rPr>
      <t>cost calculator</t>
    </r>
    <r>
      <rPr>
        <b/>
        <sz val="11"/>
        <color theme="1"/>
        <rFont val="Arial"/>
        <family val="2"/>
      </rPr>
      <t xml:space="preserve"> for Gavi- and non-Gavi-eligible countries</t>
    </r>
  </si>
  <si>
    <r>
      <rPr>
        <b/>
        <sz val="16"/>
        <color theme="0"/>
        <rFont val="Wingdings"/>
        <charset val="2"/>
      </rPr>
      <t>â</t>
    </r>
    <r>
      <rPr>
        <b/>
        <sz val="16"/>
        <color theme="0"/>
        <rFont val="Arial"/>
        <family val="2"/>
      </rPr>
      <t xml:space="preserve"> START HERE </t>
    </r>
    <r>
      <rPr>
        <b/>
        <sz val="16"/>
        <color theme="0"/>
        <rFont val="Wingdings"/>
        <charset val="2"/>
      </rPr>
      <t>â</t>
    </r>
  </si>
  <si>
    <t>IMMUNIZATION PROGRAM</t>
  </si>
  <si>
    <r>
      <rPr>
        <b/>
        <i/>
        <u/>
        <sz val="12"/>
        <color theme="1"/>
        <rFont val="Arial"/>
        <family val="2"/>
      </rPr>
      <t>Scenario A</t>
    </r>
    <r>
      <rPr>
        <b/>
        <sz val="12"/>
        <color theme="1"/>
        <rFont val="Arial"/>
        <family val="2"/>
      </rPr>
      <t>: Pregnant women only</t>
    </r>
  </si>
  <si>
    <r>
      <rPr>
        <b/>
        <i/>
        <u/>
        <sz val="12"/>
        <color theme="1"/>
        <rFont val="Arial"/>
        <family val="2"/>
      </rPr>
      <t>Scenario B</t>
    </r>
    <r>
      <rPr>
        <b/>
        <sz val="12"/>
        <color theme="1"/>
        <rFont val="Arial"/>
        <family val="2"/>
      </rPr>
      <t>: Infants only</t>
    </r>
  </si>
  <si>
    <r>
      <rPr>
        <b/>
        <i/>
        <u/>
        <sz val="12"/>
        <color theme="1"/>
        <rFont val="Arial"/>
        <family val="2"/>
      </rPr>
      <t>Scenario C</t>
    </r>
    <r>
      <rPr>
        <b/>
        <sz val="12"/>
        <color theme="1"/>
        <rFont val="Arial"/>
        <family val="2"/>
      </rPr>
      <t>: Both pregnant women and infants</t>
    </r>
  </si>
  <si>
    <t>No</t>
  </si>
  <si>
    <r>
      <t xml:space="preserve">Scenario A
</t>
    </r>
    <r>
      <rPr>
        <b/>
        <i/>
        <sz val="12"/>
        <color theme="1"/>
        <rFont val="Arial"/>
        <family val="2"/>
      </rPr>
      <t>↓</t>
    </r>
  </si>
  <si>
    <r>
      <t xml:space="preserve">Scenario B
</t>
    </r>
    <r>
      <rPr>
        <b/>
        <i/>
        <sz val="12"/>
        <color theme="1"/>
        <rFont val="Arial"/>
        <family val="2"/>
      </rPr>
      <t>↓</t>
    </r>
  </si>
  <si>
    <r>
      <t xml:space="preserve">Scenario C
</t>
    </r>
    <r>
      <rPr>
        <b/>
        <i/>
        <sz val="12"/>
        <color theme="1"/>
        <rFont val="Arial"/>
        <family val="2"/>
      </rPr>
      <t>↓</t>
    </r>
  </si>
  <si>
    <t>RSV vaccination to pregnant women 
(maternal vaccine)</t>
  </si>
  <si>
    <t>RSV vaccination to pregnant women and RSV mAb to infants 
(Both maternal vaccine and mAb)</t>
  </si>
  <si>
    <t>Target population size in the start year</t>
  </si>
  <si>
    <t>Pregnant 
women</t>
  </si>
  <si>
    <t>Pregnant population per year for maternal vaccine and infant population per year for mAb. For the combined strategy, mAb target population includes only those not covered by maternal vaccine and is auto-calculated.</t>
  </si>
  <si>
    <t>Expected coverage (Dose 1)</t>
  </si>
  <si>
    <t xml:space="preserve">TD vaccine coverage or ANC 4 coverage may approximate maternal vaccine coverage. An example calculation for seasonal administration or estimating coverage for the gestational age window is included in the "Target pop calculation tab" in the ANNEX. Birth dose coverage for another antigen such as HepB or BCG may be used to approximate mAb coverage.
Current RSV products (maternal vaccine and long-acting mAbs) only require one dose for a full course. If products with more than one dose are considered, please also complete expected coverage for Dose 2 and Dose 3, as applicable. </t>
  </si>
  <si>
    <t>Expected coverage (Dose 2), if applicable</t>
  </si>
  <si>
    <t>Expected annual coverage (%), Dose 2</t>
  </si>
  <si>
    <t>Input expected coverage for Dose 2 if any of the product under a given scenario includes more than one dose schedule.</t>
  </si>
  <si>
    <t>Expected coverage (Dose 3), if applicable</t>
  </si>
  <si>
    <t>Expected annual coverage (%), Dose 3</t>
  </si>
  <si>
    <t>Input expected coverage for Dose 3 if any of the product under a given scenario includes more than two Dose schedule.</t>
  </si>
  <si>
    <t>GAVI ELIGIBILITY AND CO-FINANCING</t>
  </si>
  <si>
    <t>Preparatory transition</t>
  </si>
  <si>
    <t>Are you planning a new RSV vaccine introduction or a product switch?</t>
  </si>
  <si>
    <t>New introduction</t>
  </si>
  <si>
    <t>Indicate whether you are planning a new RSV vaccine introduction or a product switch in an existing RSV vaccination program.</t>
  </si>
  <si>
    <t>Introduction/Switch year in accelerated transition phase</t>
  </si>
  <si>
    <t xml:space="preserve">If you selected "Accelerated transition," indicate which year your country will be in this phase when starting the RSV vaccination program or switching products. This value should be from 1 to 8. 
NOTE: This field is not used in the results calculations if you selected "Initial self-financing" or "Preparatory transition" above.   </t>
  </si>
  <si>
    <t xml:space="preserve">Country co-financing share </t>
  </si>
  <si>
    <t>*If your country is scheduled to move from initial self-financing to preparatory transition during the 5-year period, contact HEOR@path.org to discuss how to set up the model</t>
  </si>
  <si>
    <t>Price fraction applied to other vaccines in portfolio in the introduction year</t>
  </si>
  <si>
    <r>
      <t xml:space="preserve">Insert % of vaccine price per dose or "price fraction" that applied to other vaccines in the portfolio in the introduction/switch year.
 If you do not know your country co-financing share, contact your Senior Country Manager at Gavi.
</t>
    </r>
    <r>
      <rPr>
        <b/>
        <i/>
        <sz val="12"/>
        <color theme="1"/>
        <rFont val="Arial"/>
        <family val="2"/>
      </rPr>
      <t>NOTE: This field is not used in results calculations if you selected "Initial self-financing" above.</t>
    </r>
  </si>
  <si>
    <t xml:space="preserve">RSV INTERVENTION OPTIONS                                                                               </t>
  </si>
  <si>
    <r>
      <t xml:space="preserve">RSV Intervention option
</t>
    </r>
    <r>
      <rPr>
        <i/>
        <sz val="12"/>
        <color theme="4" tint="-0.249977111117893"/>
        <rFont val="Arial"/>
        <family val="2"/>
      </rPr>
      <t>Note: For scenarios A (maternal vaccine only) and B (mAbs only), the tool allows comparison of multiple product options. These products are currently unavailale. Such analyses may be useful in the future when such products are available in the market.</t>
    </r>
  </si>
  <si>
    <t>RSV vaccination to pregnant women and RSV mAb to infants (Both maternal vaccine and mAb)</t>
  </si>
  <si>
    <t>None</t>
  </si>
  <si>
    <t>Select "None" for all product options under scenarios A and B if "No" is selected in Step 1.</t>
  </si>
  <si>
    <t>←To be updated with recommended values in vaccine option tab when data is available</t>
  </si>
  <si>
    <r>
      <t>Cold chain volume per dose (in cm</t>
    </r>
    <r>
      <rPr>
        <b/>
        <vertAlign val="superscript"/>
        <sz val="12"/>
        <color theme="1"/>
        <rFont val="Arial"/>
        <family val="2"/>
      </rPr>
      <t>3</t>
    </r>
    <r>
      <rPr>
        <b/>
        <sz val="12"/>
        <color theme="1"/>
        <rFont val="Arial"/>
        <family val="2"/>
      </rPr>
      <t>)</t>
    </r>
  </si>
  <si>
    <t>←To be updated with recommended values from Gavi DPP when available</t>
  </si>
  <si>
    <t xml:space="preserve">IMMUNIZATION PROGRAM COST </t>
  </si>
  <si>
    <t>One-time lump sum introduction support received by country from external sources</t>
  </si>
  <si>
    <t>Lump sum or budget in first year, if relevant.</t>
  </si>
  <si>
    <t xml:space="preserve">One time vaccine introduction grant </t>
  </si>
  <si>
    <t>Target population specific introduction support grant received in the first year (e.g., Gavi Vaccine introduction support grant), if relevant.</t>
  </si>
  <si>
    <r>
      <rPr>
        <b/>
        <sz val="11"/>
        <color theme="1"/>
        <rFont val="Arial"/>
        <family val="2"/>
      </rPr>
      <t>Respiratory Syncytial Virus (RSV) intervention</t>
    </r>
    <r>
      <rPr>
        <sz val="11"/>
        <color theme="1"/>
        <rFont val="Arial"/>
        <family val="2"/>
      </rPr>
      <t xml:space="preserve"> cost calculator</t>
    </r>
    <r>
      <rPr>
        <b/>
        <sz val="11"/>
        <color theme="1"/>
        <rFont val="Arial"/>
        <family val="2"/>
      </rPr>
      <t xml:space="preserve"> for Gavi- and non-Gavi-eligible countries</t>
    </r>
  </si>
  <si>
    <t>DASHBOARD</t>
  </si>
  <si>
    <t>Scenario A: 
Maternal Vaccine</t>
  </si>
  <si>
    <t>Scenario B: 
mAb</t>
  </si>
  <si>
    <t>Scenario C</t>
  </si>
  <si>
    <t>Million doses required</t>
  </si>
  <si>
    <t>All 5 years</t>
  </si>
  <si>
    <t>Average per year</t>
  </si>
  <si>
    <t>Product cost to country (US$M)</t>
  </si>
  <si>
    <t>Total program cost to country (US$M)</t>
  </si>
  <si>
    <t>Total product cost
Country + Gavi/Donor
 (US$M)</t>
  </si>
  <si>
    <t>Total program cost 
Country + Gavi/Donor
(US$M)</t>
  </si>
  <si>
    <r>
      <t>Cold chain volume per dose (in M cm</t>
    </r>
    <r>
      <rPr>
        <b/>
        <vertAlign val="superscript"/>
        <sz val="12"/>
        <color theme="1"/>
        <rFont val="Arial"/>
        <family val="2"/>
      </rPr>
      <t>3</t>
    </r>
    <r>
      <rPr>
        <b/>
        <sz val="12"/>
        <color theme="1"/>
        <rFont val="Arial"/>
        <family val="2"/>
      </rPr>
      <t>)</t>
    </r>
  </si>
  <si>
    <t>NOTES:</t>
  </si>
  <si>
    <t>Product Cost includes procurement of vaccines/mAbs, supplies, handling, and freight. It does not account for incremental cost of delivering vaccines/mAbs.</t>
  </si>
  <si>
    <t>Cost to country may be partly offset through cash support that Gavi may provide in the form of vaccine introduction grants and any one-time grants from other donors.</t>
  </si>
  <si>
    <r>
      <rPr>
        <b/>
        <sz val="11"/>
        <color theme="1"/>
        <rFont val="Arial"/>
        <family val="2"/>
      </rPr>
      <t>Respiratory Syncytial Virus (RSV) intervention</t>
    </r>
    <r>
      <rPr>
        <sz val="11"/>
        <color theme="1"/>
        <rFont val="Arial"/>
        <family val="2"/>
      </rPr>
      <t xml:space="preserve"> cost calculator </t>
    </r>
    <r>
      <rPr>
        <b/>
        <sz val="11"/>
        <color theme="1"/>
        <rFont val="Arial"/>
        <family val="2"/>
      </rPr>
      <t>for Gavi- and non-Gavi-eligible countries</t>
    </r>
  </si>
  <si>
    <t>RESULTS</t>
  </si>
  <si>
    <t>RSV intervention to infant
 (mAb)</t>
  </si>
  <si>
    <t>Scenario A: 
Maternal vaccine</t>
  </si>
  <si>
    <t>Scenario C: 
Both maternal vaccine and mAb</t>
  </si>
  <si>
    <t>Both, total</t>
  </si>
  <si>
    <t>Scenario A: Maternal vaccine</t>
  </si>
  <si>
    <t>Scenario B: mAb</t>
  </si>
  <si>
    <t>Scenario C: Both maternal vaccine and mAb</t>
  </si>
  <si>
    <t>Expected target population size</t>
  </si>
  <si>
    <t>Total
for 5 years</t>
  </si>
  <si>
    <t>Number of doses delivered</t>
  </si>
  <si>
    <t>Number of doses delivered, dose 1</t>
  </si>
  <si>
    <t>Growth adjusted population for a given year * coverage</t>
  </si>
  <si>
    <t>Number of doses delivered, dose 2</t>
  </si>
  <si>
    <t>Dose 1 reciepient * dose 2 coverage</t>
  </si>
  <si>
    <t>Number of doses delivered, dose 3</t>
  </si>
  <si>
    <t>Dose 2 reciepient * dose 3 coverage</t>
  </si>
  <si>
    <r>
      <t xml:space="preserve">Total number of doses required
</t>
    </r>
    <r>
      <rPr>
        <i/>
        <sz val="12"/>
        <color theme="0"/>
        <rFont val="Arial"/>
        <family val="2"/>
      </rPr>
      <t>includes doses wasted and doses needed for maintaining buffer stock</t>
    </r>
  </si>
  <si>
    <t>Total number of buffer doses required</t>
  </si>
  <si>
    <t>Number of doses delivered * buffer stock %</t>
  </si>
  <si>
    <t xml:space="preserve">Total number of buffer doses from previous year </t>
  </si>
  <si>
    <t>Total number of buffer doses required to maintain buffer stock</t>
  </si>
  <si>
    <r>
      <rPr>
        <b/>
        <sz val="16"/>
        <color theme="0"/>
        <rFont val="Arial"/>
        <family val="2"/>
      </rPr>
      <t>Total cold chain volume required</t>
    </r>
    <r>
      <rPr>
        <b/>
        <sz val="12"/>
        <color theme="0"/>
        <rFont val="Arial"/>
        <family val="2"/>
      </rPr>
      <t xml:space="preserve">
</t>
    </r>
    <r>
      <rPr>
        <i/>
        <sz val="12"/>
        <color theme="0"/>
        <rFont val="Arial"/>
        <family val="2"/>
      </rPr>
      <t>in cm</t>
    </r>
    <r>
      <rPr>
        <i/>
        <vertAlign val="superscript"/>
        <sz val="12"/>
        <color theme="0"/>
        <rFont val="Arial"/>
        <family val="2"/>
      </rPr>
      <t>3</t>
    </r>
  </si>
  <si>
    <t>COUNTRY COST</t>
  </si>
  <si>
    <r>
      <rPr>
        <b/>
        <sz val="16"/>
        <color theme="0"/>
        <rFont val="Arial"/>
        <family val="2"/>
      </rPr>
      <t>Vaccine/mAb cost</t>
    </r>
    <r>
      <rPr>
        <b/>
        <sz val="12"/>
        <color theme="0"/>
        <rFont val="Arial"/>
        <family val="2"/>
      </rPr>
      <t xml:space="preserve">
</t>
    </r>
    <r>
      <rPr>
        <i/>
        <sz val="12"/>
        <color theme="0"/>
        <rFont val="Arial"/>
        <family val="2"/>
      </rPr>
      <t>Cost of vaccines/mAbs and supplies procurement</t>
    </r>
  </si>
  <si>
    <r>
      <rPr>
        <b/>
        <sz val="16"/>
        <color theme="0"/>
        <rFont val="Arial"/>
        <family val="2"/>
      </rPr>
      <t>Immunization program cost</t>
    </r>
    <r>
      <rPr>
        <b/>
        <sz val="12"/>
        <color theme="0"/>
        <rFont val="Arial"/>
        <family val="2"/>
      </rPr>
      <t xml:space="preserve">
</t>
    </r>
    <r>
      <rPr>
        <i/>
        <sz val="12"/>
        <color theme="0"/>
        <rFont val="Arial"/>
        <family val="2"/>
      </rPr>
      <t>Vaccine/mAb cost + incremental health system costs</t>
    </r>
  </si>
  <si>
    <t>COUNTRY + GAVI/DONOR COST</t>
  </si>
  <si>
    <r>
      <rPr>
        <b/>
        <sz val="10"/>
        <color theme="1"/>
        <rFont val="Arial"/>
        <family val="2"/>
      </rPr>
      <t>Respiratory Syncytial Virus (RSV) intervention</t>
    </r>
    <r>
      <rPr>
        <sz val="10"/>
        <color theme="1"/>
        <rFont val="Arial"/>
        <family val="2"/>
      </rPr>
      <t xml:space="preserve"> cost calculator</t>
    </r>
    <r>
      <rPr>
        <b/>
        <sz val="10"/>
        <color theme="1"/>
        <rFont val="Arial"/>
        <family val="2"/>
      </rPr>
      <t xml:space="preserve"> for Gavi- and non-Gavi-eligible countries</t>
    </r>
  </si>
  <si>
    <t>5-year summary results</t>
  </si>
  <si>
    <t>Note that horizontal/vertical axis scales are different by figure</t>
  </si>
  <si>
    <t>Annual results</t>
  </si>
  <si>
    <t>Note that vertical axis scales are different by figure</t>
  </si>
  <si>
    <t>COUNTRY + GAVI COST</t>
  </si>
  <si>
    <t>Note that vertical axis scales are different by figure.</t>
  </si>
  <si>
    <r>
      <rPr>
        <b/>
        <sz val="11"/>
        <color theme="1"/>
        <rFont val="Arial"/>
        <family val="2"/>
      </rPr>
      <t xml:space="preserve">Respiratory Syncytial Virus (RSV) intervention </t>
    </r>
    <r>
      <rPr>
        <sz val="11"/>
        <color theme="1"/>
        <rFont val="Arial"/>
        <family val="2"/>
      </rPr>
      <t xml:space="preserve">cost calculator </t>
    </r>
    <r>
      <rPr>
        <b/>
        <sz val="11"/>
        <color theme="1"/>
        <rFont val="Arial"/>
        <family val="2"/>
      </rPr>
      <t>for Gavi- and non-Gavi-eligible countries</t>
    </r>
  </si>
  <si>
    <t>Example for target population calculation</t>
  </si>
  <si>
    <t xml:space="preserve">This example includes seasonal vaccination (part 1) and adjustments to account for gestational age windows (part 2). These calculations can be completed independently. </t>
  </si>
  <si>
    <t>Countries with seasonal transmission that are considering seasonal vaccination.</t>
  </si>
  <si>
    <t>If your country considers seasonal vaccination, then it will be necessary to project a target population for seasonal vaccination. This would require clear data noting the seasonal transmission pattern.</t>
  </si>
  <si>
    <t>If</t>
  </si>
  <si>
    <t xml:space="preserve">the population of pregnant women in a given year </t>
  </si>
  <si>
    <t>=</t>
  </si>
  <si>
    <t>And</t>
  </si>
  <si>
    <t xml:space="preserve">the number of months in which RSV seasonal vaccination would occur </t>
  </si>
  <si>
    <t>Then</t>
  </si>
  <si>
    <t>the approximate target population in season</t>
  </si>
  <si>
    <t>The vaccination window for a maternal vaccine is likely influenced by the recommended gestational period.</t>
  </si>
  <si>
    <t xml:space="preserve"> Countries further considering vaccination within a restricted gestational window may consider adjusting the target population as below.</t>
  </si>
  <si>
    <t>the proportion of target population expected to be reached during a vaccination window</t>
  </si>
  <si>
    <t xml:space="preserve">
 the approximate target population in season
</t>
  </si>
  <si>
    <t>Example calculations such as these can be used to find the "target population" for maternal vaccination for seasonal transmission or a gestational age window in the Model Inputs tab.</t>
  </si>
  <si>
    <t>Product and presentation</t>
  </si>
  <si>
    <t>Price per dose</t>
  </si>
  <si>
    <t>Doses in schedule</t>
  </si>
  <si>
    <t>Wastage</t>
  </si>
  <si>
    <t>Cold chain volume (cm3) per dose</t>
  </si>
  <si>
    <t>Disclaimer</t>
  </si>
  <si>
    <t>Clesrovimab, Merck</t>
  </si>
  <si>
    <t>RSV interventions</t>
  </si>
  <si>
    <t>Latest info on maternal vaccine from Gavi (6 May 2026)</t>
  </si>
  <si>
    <t>Doses per vial</t>
  </si>
  <si>
    <t>3 doses/2ml vial (expected for the multi-dose vial)</t>
  </si>
  <si>
    <t>Cold chain volume per dose</t>
  </si>
  <si>
    <t>smallest cold chain per dose (2 separtate 25-packs):</t>
  </si>
  <si>
    <t>86X86X41 MM</t>
  </si>
  <si>
    <t>Gavi transition phase</t>
  </si>
  <si>
    <t>Initial self-financing</t>
  </si>
  <si>
    <t>Gavi guidance on introductory price fraction for AT</t>
  </si>
  <si>
    <t>Accelerated transition</t>
  </si>
  <si>
    <t>Application year</t>
  </si>
  <si>
    <t>Introductory price fraction</t>
  </si>
  <si>
    <t>As applied to other vaccines</t>
  </si>
  <si>
    <t>Introduction or Switch</t>
  </si>
  <si>
    <t>Product switch</t>
  </si>
  <si>
    <t>7 and 8</t>
  </si>
  <si>
    <t>Fully Self finanicng</t>
  </si>
  <si>
    <t>Y1</t>
  </si>
  <si>
    <t>Y2</t>
  </si>
  <si>
    <t>Y3</t>
  </si>
  <si>
    <t>Y4</t>
  </si>
  <si>
    <t>Y5</t>
  </si>
  <si>
    <t>Y6</t>
  </si>
  <si>
    <t>Y7</t>
  </si>
  <si>
    <t>Y8</t>
  </si>
  <si>
    <t>Y9</t>
  </si>
  <si>
    <t>ISF</t>
  </si>
  <si>
    <t>0.20 per dose no annual increase</t>
  </si>
  <si>
    <t>Price fraction applies in special case (specific conditons)</t>
  </si>
  <si>
    <t>Look at the guidance to see if it applies toRSV?</t>
  </si>
  <si>
    <t>PT</t>
  </si>
  <si>
    <t>Transition to PT from ISF</t>
  </si>
  <si>
    <t>Year1 (grace year)</t>
  </si>
  <si>
    <t>Year2</t>
  </si>
  <si>
    <t>Year3</t>
  </si>
  <si>
    <t>Year4</t>
  </si>
  <si>
    <t>Year5</t>
  </si>
  <si>
    <t>same as last year in ISF</t>
  </si>
  <si>
    <t>15%+Yr1</t>
  </si>
  <si>
    <t>15%+Yr2</t>
  </si>
  <si>
    <t>15%+Yr3</t>
  </si>
  <si>
    <t>15%+Yr4</t>
  </si>
  <si>
    <t>For a maximum of 80% until country reaches AT</t>
  </si>
  <si>
    <t>For new intro same as that is applied for other vaccines in portfolio</t>
  </si>
  <si>
    <t>AT</t>
  </si>
  <si>
    <t>Transition to PT from AT</t>
  </si>
  <si>
    <t>same as PT + 15%</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</si>
  <si>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</si>
  <si>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</si>
  <si>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</si>
  <si>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</si>
  <si>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</si>
  <si>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</si>
  <si>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</si>
  <si>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</si>
  <si>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</si>
  <si>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</si>
  <si>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</si>
  <si>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</si>
  <si>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</si>
  <si>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</si>
  <si>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</si>
  <si>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</si>
  <si>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</si>
  <si>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</si>
  <si>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</si>
  <si>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</si>
  <si>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</si>
  <si>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</si>
  <si>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</si>
  <si>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</si>
  <si>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</si>
  <si>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</si>
  <si>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</si>
  <si>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</si>
  <si>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</si>
  <si>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</si>
  <si>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</si>
  <si>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</si>
  <si>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</si>
  <si>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</si>
  <si>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</si>
  <si>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</si>
  <si>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</si>
  <si>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</si>
  <si>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</si>
  <si>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</si>
  <si>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</si>
  <si>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</si>
  <si>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</si>
  <si>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</si>
  <si>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</si>
  <si>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</si>
  <si>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</si>
  <si>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</si>
  <si>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</si>
  <si>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</si>
  <si>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</si>
  <si>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</si>
  <si>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</si>
  <si>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</si>
  <si>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</si>
  <si>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</si>
  <si>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</si>
  <si>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</si>
  <si>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</si>
  <si>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</si>
  <si>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</si>
  <si>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</si>
  <si>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</si>
  <si>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</si>
  <si>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</si>
  <si>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</si>
  <si>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</si>
  <si>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</si>
  <si>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</si>
  <si>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</si>
  <si>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</si>
  <si>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</si>
  <si>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</si>
  <si>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</si>
  <si>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</si>
  <si>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</si>
  <si>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</si>
  <si>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</si>
  <si>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</si>
  <si>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</si>
  <si>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</si>
  <si>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</si>
  <si>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</si>
  <si>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</si>
  <si>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</si>
  <si>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</si>
  <si>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</si>
  <si>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</si>
  <si>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</si>
  <si>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</si>
  <si>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</si>
  <si>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</si>
  <si>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</si>
  <si>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</si>
  <si>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</si>
  <si>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</si>
  <si>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</si>
  <si>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</si>
  <si>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</si>
  <si>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</si>
  <si>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</si>
  <si>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</si>
  <si>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</si>
  <si>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</si>
  <si>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</si>
  <si>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</si>
  <si>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</si>
  <si>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</si>
  <si>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</si>
  <si>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</si>
  <si>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</si>
  <si>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</si>
  <si>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</si>
  <si>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</si>
  <si>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</si>
  <si>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</si>
  <si>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</si>
  <si>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</si>
  <si>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</si>
  <si>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</si>
  <si>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</si>
  <si>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</si>
  <si>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</si>
  <si>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</si>
  <si>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</si>
  <si>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</si>
  <si>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</si>
  <si>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</si>
  <si>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</si>
  <si>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</si>
  <si>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</si>
  <si>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</si>
  <si>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</si>
  <si>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</si>
  <si>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</si>
  <si>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</si>
  <si>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</si>
  <si>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</si>
  <si>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</si>
  <si>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</si>
  <si>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</si>
  <si>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</si>
  <si>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</si>
  <si>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</si>
  <si>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</si>
  <si>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</si>
  <si>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</si>
  <si>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</si>
  <si>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</si>
  <si>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</si>
  <si>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</si>
  <si>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</si>
  <si>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</si>
  <si>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</si>
  <si>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</si>
  <si>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</si>
  <si>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</si>
  <si>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</si>
  <si>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</si>
  <si>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</si>
  <si>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</si>
  <si>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</si>
  <si>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</si>
  <si>
    <t xml:space="preserve">► Select the scenario and target population(s) using the dropdown menu. </t>
  </si>
  <si>
    <t>► Enter information related to the start year you want to explore, keeping in mind this will be the first year of a 5-year program period.</t>
  </si>
  <si>
    <t xml:space="preserve">► Enter the target population size for the selected intervention(s). If only Scenario A [maternal vaccine] is selected, then complete only Column E. If only Scenario B [mAb] is selected, then complete only Column H. If Scenario C [both maternal vaccine and mAb] is selected, then complete only column K. For Scenario C, only infants whose mothers are not vaccinated are anticipated to be eligible for mAb, and column L will be auto-calculated. </t>
  </si>
  <si>
    <t>► Enter the annual population growth rate(s) expected over the analysis period.</t>
  </si>
  <si>
    <t xml:space="preserve">► Enter the expected intervention coverage for each year. To approximate maternal vaccine coverage, use rates based on Tetanus-Diphtheria (TD) vaccine or ANC 4. To approximate mAb coverage, use rates for another birth dose antigen such as hepatitis B or bacille Calmette-Guerin. You can also use coverage estimate targets or expected coverage estimates. Note this will affect the number of doses required. </t>
  </si>
  <si>
    <t xml:space="preserve">► Indicate if your country is currently eligible for Gavi funding using the dropdown menu. 
► Indicate if your country is currently in the Gavi initial self-financing phase, preparatory transition phase, or accelerated transition phase.
► If your country is in the Gavi initial self-financing phase, calculations of co-financing will be automatic, displaying co-financing per dose as per Gavi's ELTRACO policy.
► If your country is in the preparatory transition or accelerated transition phase, enter your country’s co-financing share applied to other vaccines of the portfolio in the introduction or switch year. If you are not aware of your country co-financing share, please contact your Senior Country Manager at Gavi for this information.
► If your country is in the accelerated transition phase, indicate whether your country is planning for a new vaccine introduction or product switch for an existing vaccination program. Then, enter the year your country will be in the accelerated transition phase when starting the new vaccination program or switching products. </t>
  </si>
  <si>
    <t>If the country is not Gavi eligible, select "NA".
For Gavi eligible country, if you selected "Preparatory transition" or "Accelerated transition", 
please complete the country co-financing share below.*</t>
  </si>
  <si>
    <t>If no, 100% of program and product costs will be assigned to country. And rows 65-69 below will be autoset at 100%.</t>
  </si>
  <si>
    <t>Version 0.5/July 2026</t>
  </si>
  <si>
    <t>Assumed indicative price and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</si>
</sst>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s>
  <fonts count="137">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i/>
      <sz val="12"/>
      <color theme="1" tint="-0.499984740745262"/>
      <name val="Arial"/>
      <family val="2"/>
    </font>
    <font>
      <sz val="16"/>
      <color theme="0"/>
      <name val="Arial"/>
      <family val="2"/>
    </font>
    <font>
      <b/>
      <sz val="16"/>
      <color theme="0"/>
      <name val="Arial"/>
      <family val="2"/>
    </font>
    <font>
      <b/>
      <sz val="30"/>
      <color rgb="FF00000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30"/>
      <color theme="1"/>
      <name val="Arial"/>
      <family val="2"/>
    </font>
    <font>
      <sz val="24"/>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sz val="12"/>
      <color rgb="FF20242B"/>
      <name val="Arial"/>
      <family val="2"/>
    </font>
    <font>
      <b/>
      <sz val="12"/>
      <color rgb="FF20242B"/>
      <name val="Arial"/>
      <family val="2"/>
    </font>
    <font>
      <i/>
      <sz val="12"/>
      <color rgb="FF20242B"/>
      <name val="Arial"/>
      <family val="2"/>
    </font>
    <font>
      <i/>
      <sz val="9"/>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D7EDEF"/>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xf numFmtId="43" fontId="2" fillId="0" borderId="0" applyFont="0" applyFill="0" applyBorder="0" applyAlignment="0" applyProtection="0"/>
    <xf numFmtId="0" fontId="2" fillId="13" borderId="103" applyNumberFormat="0" applyFont="0" applyAlignment="0" applyProtection="0"/>
  </cellStyleXfs>
  <cellXfs count="1127">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37" fontId="0" fillId="0" borderId="0" xfId="1" applyNumberFormat="1" applyFont="1" applyAlignment="1">
      <alignment horizontal="center" vertical="center"/>
    </xf>
    <xf numFmtId="0" fontId="5" fillId="0" borderId="0" xfId="0" applyFont="1"/>
    <xf numFmtId="0" fontId="5" fillId="5" borderId="0" xfId="0" applyFont="1" applyFill="1"/>
    <xf numFmtId="0" fontId="6" fillId="0" borderId="0" xfId="0" applyFont="1"/>
    <xf numFmtId="0" fontId="7" fillId="0" borderId="0" xfId="0" applyFont="1" applyAlignment="1">
      <alignment horizontal="center"/>
    </xf>
    <xf numFmtId="0" fontId="7" fillId="0" borderId="0" xfId="0" applyFont="1"/>
    <xf numFmtId="0" fontId="8" fillId="0" borderId="0" xfId="0" applyFont="1"/>
    <xf numFmtId="0" fontId="8" fillId="0" borderId="0" xfId="0" applyFont="1" applyAlignment="1">
      <alignment horizontal="center"/>
    </xf>
    <xf numFmtId="0" fontId="8" fillId="5" borderId="0" xfId="0" applyFont="1" applyFill="1"/>
    <xf numFmtId="0" fontId="8" fillId="0" borderId="0" xfId="0" applyFont="1" applyAlignment="1">
      <alignment horizontal="center" vertical="top" wrapText="1"/>
    </xf>
    <xf numFmtId="0" fontId="8" fillId="0" borderId="0" xfId="0" applyFont="1" applyAlignment="1">
      <alignment horizontal="center" wrapText="1"/>
    </xf>
    <xf numFmtId="0" fontId="8" fillId="0" borderId="0" xfId="0" applyFont="1" applyAlignment="1">
      <alignment wrapText="1"/>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0" borderId="11" xfId="0" applyFont="1" applyBorder="1" applyAlignment="1">
      <alignment horizontal="left" vertical="center"/>
    </xf>
    <xf numFmtId="0" fontId="8" fillId="6" borderId="11" xfId="0" applyFont="1" applyFill="1" applyBorder="1" applyAlignment="1">
      <alignment horizontal="left" vertical="center"/>
    </xf>
    <xf numFmtId="0" fontId="8" fillId="6" borderId="18" xfId="0" applyFont="1" applyFill="1" applyBorder="1" applyAlignment="1">
      <alignment horizontal="center" vertical="center"/>
    </xf>
    <xf numFmtId="0" fontId="8" fillId="6" borderId="19" xfId="0" applyFont="1" applyFill="1" applyBorder="1" applyAlignment="1">
      <alignment horizontal="center" vertical="center" wrapText="1"/>
    </xf>
    <xf numFmtId="0" fontId="8" fillId="6" borderId="26" xfId="0" applyFont="1" applyFill="1" applyBorder="1" applyAlignment="1">
      <alignment horizontal="center" vertical="center"/>
    </xf>
    <xf numFmtId="0" fontId="8" fillId="0" borderId="11" xfId="0" applyFont="1" applyBorder="1" applyAlignment="1">
      <alignment horizontal="left" vertical="center" wrapText="1"/>
    </xf>
    <xf numFmtId="0" fontId="8" fillId="6" borderId="11" xfId="0" applyFont="1" applyFill="1" applyBorder="1" applyAlignment="1">
      <alignment horizontal="left" vertical="center" wrapText="1"/>
    </xf>
    <xf numFmtId="0" fontId="10" fillId="6" borderId="26" xfId="0" applyFont="1" applyFill="1" applyBorder="1" applyAlignment="1">
      <alignment horizontal="center" vertical="center" wrapText="1"/>
    </xf>
    <xf numFmtId="0" fontId="11" fillId="0" borderId="11" xfId="0" applyFont="1" applyBorder="1" applyAlignment="1">
      <alignment horizontal="left" vertical="center"/>
    </xf>
    <xf numFmtId="0" fontId="11" fillId="6" borderId="11" xfId="0" applyFont="1" applyFill="1" applyBorder="1" applyAlignment="1">
      <alignment horizontal="left" vertical="center"/>
    </xf>
    <xf numFmtId="2" fontId="11" fillId="6" borderId="26" xfId="0" applyNumberFormat="1" applyFont="1" applyFill="1" applyBorder="1" applyAlignment="1">
      <alignment horizontal="center" vertical="center"/>
    </xf>
    <xf numFmtId="0" fontId="11" fillId="6" borderId="26"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36" xfId="0" applyFont="1" applyBorder="1" applyAlignment="1">
      <alignment horizontal="center" vertical="center"/>
    </xf>
    <xf numFmtId="0" fontId="11" fillId="0" borderId="37" xfId="0" applyFont="1" applyBorder="1" applyAlignment="1">
      <alignment horizontal="center" vertical="center" wrapText="1"/>
    </xf>
    <xf numFmtId="0" fontId="11" fillId="6" borderId="11" xfId="0" applyFont="1" applyFill="1" applyBorder="1" applyAlignment="1">
      <alignment horizontal="left" vertical="center" wrapText="1"/>
    </xf>
    <xf numFmtId="0" fontId="11" fillId="6" borderId="26" xfId="0" applyFont="1" applyFill="1" applyBorder="1" applyAlignment="1">
      <alignment horizontal="center" vertical="center"/>
    </xf>
    <xf numFmtId="0" fontId="10" fillId="0" borderId="20" xfId="0" applyFont="1" applyBorder="1" applyAlignment="1">
      <alignment horizontal="center" vertical="center"/>
    </xf>
    <xf numFmtId="0" fontId="10" fillId="0" borderId="38" xfId="0" applyFont="1" applyBorder="1" applyAlignment="1">
      <alignment horizontal="center" vertical="center"/>
    </xf>
    <xf numFmtId="0" fontId="8" fillId="0" borderId="38" xfId="0" applyFont="1" applyBorder="1" applyAlignment="1">
      <alignment horizontal="center" vertical="center" wrapText="1"/>
    </xf>
    <xf numFmtId="0" fontId="8" fillId="0" borderId="39" xfId="0" applyFont="1" applyBorder="1" applyAlignment="1">
      <alignment horizontal="left" vertical="center" wrapText="1"/>
    </xf>
    <xf numFmtId="0" fontId="8" fillId="0" borderId="38" xfId="0" applyFont="1" applyBorder="1" applyAlignment="1">
      <alignment horizontal="center" vertical="center"/>
    </xf>
    <xf numFmtId="0" fontId="8" fillId="6" borderId="39" xfId="0" applyFont="1" applyFill="1" applyBorder="1" applyAlignment="1">
      <alignment horizontal="left" vertical="center" wrapText="1"/>
    </xf>
    <xf numFmtId="0" fontId="8" fillId="0" borderId="39" xfId="0" applyFont="1" applyBorder="1" applyAlignment="1">
      <alignment wrapText="1"/>
    </xf>
    <xf numFmtId="166" fontId="8" fillId="0" borderId="20" xfId="0" applyNumberFormat="1" applyFont="1" applyBorder="1" applyAlignment="1">
      <alignment horizontal="center" vertical="center"/>
    </xf>
    <xf numFmtId="167" fontId="8" fillId="0" borderId="38" xfId="0" applyNumberFormat="1" applyFont="1" applyBorder="1" applyAlignment="1">
      <alignment horizontal="center" vertical="center"/>
    </xf>
    <xf numFmtId="167" fontId="10" fillId="0" borderId="38" xfId="0" applyNumberFormat="1" applyFont="1" applyBorder="1" applyAlignment="1">
      <alignment horizontal="center" vertical="center"/>
    </xf>
    <xf numFmtId="0" fontId="8" fillId="6" borderId="39" xfId="0" applyFont="1" applyFill="1" applyBorder="1" applyAlignment="1">
      <alignment wrapText="1"/>
    </xf>
    <xf numFmtId="2" fontId="8" fillId="6" borderId="26" xfId="0" applyNumberFormat="1" applyFont="1" applyFill="1" applyBorder="1" applyAlignment="1">
      <alignment horizontal="center" vertical="center"/>
    </xf>
    <xf numFmtId="1" fontId="8" fillId="0" borderId="20" xfId="0" applyNumberFormat="1" applyFont="1" applyBorder="1" applyAlignment="1">
      <alignment horizontal="center" vertical="center"/>
    </xf>
    <xf numFmtId="1" fontId="8" fillId="6" borderId="26" xfId="0" applyNumberFormat="1" applyFont="1" applyFill="1" applyBorder="1" applyAlignment="1">
      <alignment horizontal="center" vertical="center"/>
    </xf>
    <xf numFmtId="12" fontId="8" fillId="0" borderId="11" xfId="0" applyNumberFormat="1" applyFont="1" applyBorder="1" applyAlignment="1">
      <alignment horizontal="left" vertical="center"/>
    </xf>
    <xf numFmtId="12" fontId="8" fillId="6" borderId="11" xfId="0" applyNumberFormat="1" applyFont="1" applyFill="1" applyBorder="1" applyAlignment="1">
      <alignment horizontal="left" vertical="center"/>
    </xf>
    <xf numFmtId="9" fontId="8" fillId="0" borderId="40" xfId="0" applyNumberFormat="1" applyFont="1" applyBorder="1" applyAlignment="1">
      <alignment horizontal="center" vertical="center"/>
    </xf>
    <xf numFmtId="9" fontId="8" fillId="0" borderId="38" xfId="2" applyFont="1" applyFill="1" applyBorder="1" applyAlignment="1">
      <alignment horizontal="center" vertical="center"/>
    </xf>
    <xf numFmtId="9" fontId="8" fillId="7" borderId="41" xfId="0" applyNumberFormat="1" applyFont="1" applyFill="1" applyBorder="1" applyAlignment="1" applyProtection="1">
      <alignment horizontal="center" vertical="center"/>
      <protection locked="0"/>
    </xf>
    <xf numFmtId="9" fontId="8" fillId="7" borderId="38" xfId="2" applyFont="1" applyFill="1" applyBorder="1" applyAlignment="1">
      <alignment horizontal="center" vertical="center"/>
    </xf>
    <xf numFmtId="9" fontId="8" fillId="6" borderId="26" xfId="0" applyNumberFormat="1" applyFont="1" applyFill="1" applyBorder="1" applyAlignment="1">
      <alignment horizontal="center" vertical="center"/>
    </xf>
    <xf numFmtId="166" fontId="8" fillId="0" borderId="42" xfId="0" applyNumberFormat="1" applyFont="1" applyBorder="1" applyAlignment="1">
      <alignment horizontal="center" vertical="center"/>
    </xf>
    <xf numFmtId="166" fontId="8" fillId="6" borderId="26" xfId="0" applyNumberFormat="1" applyFont="1" applyFill="1" applyBorder="1" applyAlignment="1">
      <alignment horizontal="center" vertical="center"/>
    </xf>
    <xf numFmtId="14" fontId="8" fillId="0" borderId="20" xfId="0" applyNumberFormat="1" applyFont="1" applyBorder="1" applyAlignment="1">
      <alignment horizontal="center" vertical="center"/>
    </xf>
    <xf numFmtId="14" fontId="8" fillId="0" borderId="38" xfId="0" applyNumberFormat="1" applyFont="1" applyBorder="1" applyAlignment="1">
      <alignment horizontal="center" vertical="center"/>
    </xf>
    <xf numFmtId="14" fontId="8" fillId="0" borderId="20" xfId="0" applyNumberFormat="1" applyFont="1" applyBorder="1" applyAlignment="1">
      <alignment horizontal="center" vertical="center" wrapText="1"/>
    </xf>
    <xf numFmtId="14" fontId="8" fillId="0" borderId="38" xfId="0" applyNumberFormat="1" applyFont="1" applyBorder="1" applyAlignment="1">
      <alignment horizontal="center" vertical="center" wrapText="1"/>
    </xf>
    <xf numFmtId="14" fontId="8" fillId="6" borderId="26" xfId="0" applyNumberFormat="1" applyFont="1" applyFill="1" applyBorder="1" applyAlignment="1">
      <alignment horizontal="center" vertical="center"/>
    </xf>
    <xf numFmtId="9" fontId="8" fillId="0" borderId="27" xfId="0" applyNumberFormat="1" applyFont="1" applyBorder="1" applyAlignment="1">
      <alignment horizontal="center" vertical="center"/>
    </xf>
    <xf numFmtId="9" fontId="8" fillId="0" borderId="43" xfId="0" applyNumberFormat="1" applyFont="1" applyBorder="1" applyAlignment="1">
      <alignment horizontal="center" vertical="center"/>
    </xf>
    <xf numFmtId="0" fontId="8" fillId="6" borderId="26" xfId="0" applyFont="1" applyFill="1" applyBorder="1" applyAlignment="1">
      <alignment horizontal="center" vertical="center" wrapText="1"/>
    </xf>
    <xf numFmtId="2" fontId="8" fillId="0" borderId="38" xfId="0" applyNumberFormat="1" applyFont="1" applyBorder="1" applyAlignment="1">
      <alignment horizontal="center" vertical="center" wrapText="1"/>
    </xf>
    <xf numFmtId="0" fontId="16" fillId="0" borderId="20" xfId="3" applyFont="1" applyFill="1" applyBorder="1" applyAlignment="1">
      <alignment horizontal="center" vertical="center" wrapText="1"/>
    </xf>
    <xf numFmtId="0" fontId="16" fillId="0" borderId="38" xfId="3" applyFont="1" applyFill="1" applyBorder="1" applyAlignment="1">
      <alignment horizontal="center" vertical="center" wrapText="1"/>
    </xf>
    <xf numFmtId="0" fontId="16" fillId="6" borderId="26" xfId="3" applyFont="1" applyFill="1" applyBorder="1" applyAlignment="1">
      <alignment horizontal="center" vertical="center" wrapText="1"/>
    </xf>
    <xf numFmtId="0" fontId="8" fillId="0" borderId="44" xfId="0" applyFont="1" applyBorder="1" applyAlignment="1">
      <alignment horizontal="left"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6" borderId="44" xfId="0" applyFont="1" applyFill="1" applyBorder="1" applyAlignment="1">
      <alignment horizontal="left" vertical="center" wrapText="1"/>
    </xf>
    <xf numFmtId="0" fontId="8" fillId="6" borderId="47" xfId="0" applyFont="1" applyFill="1" applyBorder="1" applyAlignment="1">
      <alignment horizontal="center" vertical="center"/>
    </xf>
    <xf numFmtId="0" fontId="8" fillId="0" borderId="48" xfId="0" applyFont="1" applyBorder="1" applyAlignment="1">
      <alignment wrapText="1"/>
    </xf>
    <xf numFmtId="0" fontId="8" fillId="0" borderId="0" xfId="0" applyFont="1" applyAlignment="1">
      <alignment vertical="top"/>
    </xf>
    <xf numFmtId="0" fontId="10" fillId="0" borderId="0" xfId="0" applyFont="1" applyAlignment="1">
      <alignment horizontal="left"/>
    </xf>
    <xf numFmtId="0" fontId="7" fillId="0" borderId="0" xfId="0" applyFont="1" applyAlignment="1">
      <alignment horizontal="center" wrapText="1"/>
    </xf>
    <xf numFmtId="0" fontId="7" fillId="5" borderId="0" xfId="0" applyFont="1" applyFill="1"/>
    <xf numFmtId="0" fontId="20" fillId="4" borderId="0" xfId="0" applyFont="1" applyFill="1"/>
    <xf numFmtId="0" fontId="0" fillId="4" borderId="0" xfId="0" applyFill="1"/>
    <xf numFmtId="0" fontId="27" fillId="4" borderId="0" xfId="0" applyFont="1" applyFill="1" applyAlignment="1">
      <alignment vertical="center"/>
    </xf>
    <xf numFmtId="0" fontId="3"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1" fillId="3" borderId="1" xfId="0" applyFont="1" applyFill="1" applyBorder="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164" fontId="21" fillId="2" borderId="51" xfId="0" applyNumberFormat="1" applyFont="1" applyFill="1" applyBorder="1" applyAlignment="1" applyProtection="1">
      <alignment horizontal="center" vertical="center"/>
      <protection hidden="1"/>
    </xf>
    <xf numFmtId="9" fontId="21" fillId="2" borderId="1" xfId="2" applyFont="1" applyFill="1" applyBorder="1" applyAlignment="1" applyProtection="1">
      <alignment horizontal="center" vertical="center"/>
      <protection locked="0"/>
    </xf>
    <xf numFmtId="168" fontId="21" fillId="2" borderId="1" xfId="2" applyNumberFormat="1" applyFont="1" applyFill="1" applyBorder="1" applyAlignment="1" applyProtection="1">
      <alignment horizontal="center" vertical="center"/>
      <protection locked="0"/>
    </xf>
    <xf numFmtId="164" fontId="21" fillId="2" borderId="1" xfId="2" applyNumberFormat="1" applyFont="1" applyFill="1" applyBorder="1" applyAlignment="1" applyProtection="1">
      <alignment horizontal="center" vertical="center"/>
      <protection locked="0"/>
    </xf>
    <xf numFmtId="1" fontId="21" fillId="2" borderId="1" xfId="2" applyNumberFormat="1" applyFont="1" applyFill="1" applyBorder="1" applyAlignment="1" applyProtection="1">
      <alignment horizontal="center" vertical="center"/>
      <protection locked="0"/>
    </xf>
    <xf numFmtId="165" fontId="21" fillId="2" borderId="49" xfId="0" applyNumberFormat="1" applyFont="1" applyFill="1" applyBorder="1" applyAlignment="1" applyProtection="1">
      <alignment horizontal="center" vertical="center" wrapText="1"/>
      <protection locked="0"/>
    </xf>
    <xf numFmtId="164" fontId="21" fillId="2" borderId="49" xfId="0" applyNumberFormat="1" applyFont="1" applyFill="1" applyBorder="1" applyAlignment="1" applyProtection="1">
      <alignment horizontal="center" vertical="center"/>
      <protection locked="0"/>
    </xf>
    <xf numFmtId="2" fontId="21" fillId="3" borderId="1" xfId="2" applyNumberFormat="1" applyFont="1" applyFill="1" applyBorder="1" applyAlignment="1" applyProtection="1">
      <alignment horizontal="center" vertical="center"/>
      <protection hidden="1"/>
    </xf>
    <xf numFmtId="9" fontId="21" fillId="2" borderId="49" xfId="2"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wrapText="1"/>
      <protection hidden="1"/>
    </xf>
    <xf numFmtId="165" fontId="21" fillId="2" borderId="1" xfId="0" applyNumberFormat="1" applyFont="1" applyFill="1" applyBorder="1" applyAlignment="1" applyProtection="1">
      <alignment horizontal="center" vertical="center" wrapText="1"/>
      <protection locked="0"/>
    </xf>
    <xf numFmtId="164" fontId="21" fillId="2" borderId="51" xfId="0" applyNumberFormat="1" applyFont="1" applyFill="1" applyBorder="1" applyAlignment="1" applyProtection="1">
      <alignment horizontal="center" vertical="center"/>
      <protection locked="0"/>
    </xf>
    <xf numFmtId="0" fontId="24" fillId="3" borderId="0" xfId="0" applyFont="1" applyFill="1" applyAlignment="1" applyProtection="1">
      <alignment vertical="center" wrapText="1"/>
      <protection hidden="1"/>
    </xf>
    <xf numFmtId="0" fontId="21" fillId="3" borderId="0" xfId="0" applyFont="1" applyFill="1" applyAlignment="1" applyProtection="1">
      <alignment horizontal="center" vertical="center" wrapText="1"/>
      <protection hidden="1"/>
    </xf>
    <xf numFmtId="0" fontId="15"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5" fillId="8" borderId="0" xfId="3" applyFill="1" applyBorder="1" applyAlignment="1" applyProtection="1">
      <alignment horizontal="left" vertical="center"/>
      <protection hidden="1"/>
    </xf>
    <xf numFmtId="0" fontId="4"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3" fillId="3" borderId="0" xfId="0" applyFont="1" applyFill="1" applyAlignment="1" applyProtection="1">
      <alignment horizontal="center" vertical="center" wrapText="1"/>
      <protection hidden="1"/>
    </xf>
    <xf numFmtId="4" fontId="21"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1" fillId="0" borderId="0" xfId="0" applyNumberFormat="1" applyFont="1" applyAlignment="1" applyProtection="1">
      <alignment horizontal="center" vertical="center" wrapText="1"/>
      <protection locked="0"/>
    </xf>
    <xf numFmtId="164" fontId="21" fillId="0" borderId="0" xfId="0" applyNumberFormat="1" applyFont="1" applyAlignment="1" applyProtection="1">
      <alignment horizontal="center" vertical="center"/>
      <protection locked="0"/>
    </xf>
    <xf numFmtId="9" fontId="21" fillId="3" borderId="0" xfId="2" applyFont="1" applyFill="1" applyBorder="1" applyAlignment="1" applyProtection="1">
      <alignment horizontal="center" vertical="center"/>
      <protection locked="0"/>
    </xf>
    <xf numFmtId="168" fontId="21" fillId="3" borderId="0" xfId="2" applyNumberFormat="1" applyFont="1" applyFill="1" applyBorder="1" applyAlignment="1" applyProtection="1">
      <alignment horizontal="center" vertical="center"/>
      <protection locked="0"/>
    </xf>
    <xf numFmtId="9" fontId="21" fillId="3" borderId="0" xfId="2" applyFont="1" applyFill="1" applyBorder="1" applyAlignment="1" applyProtection="1">
      <alignment vertical="center"/>
      <protection locked="0"/>
    </xf>
    <xf numFmtId="0" fontId="30" fillId="3" borderId="0" xfId="0" applyFont="1" applyFill="1" applyAlignment="1" applyProtection="1">
      <alignment horizontal="right" vertical="center" wrapText="1"/>
      <protection hidden="1"/>
    </xf>
    <xf numFmtId="0" fontId="22" fillId="8" borderId="0" xfId="0" applyFont="1" applyFill="1" applyAlignment="1" applyProtection="1">
      <alignment vertical="center" wrapText="1"/>
      <protection hidden="1"/>
    </xf>
    <xf numFmtId="0" fontId="23" fillId="8" borderId="0" xfId="0" applyFont="1" applyFill="1" applyAlignment="1" applyProtection="1">
      <alignment horizontal="right" vertical="center"/>
      <protection hidden="1"/>
    </xf>
    <xf numFmtId="4" fontId="21" fillId="3" borderId="3" xfId="0" applyNumberFormat="1" applyFont="1" applyFill="1" applyBorder="1" applyAlignment="1" applyProtection="1">
      <alignment horizontal="center" vertical="center"/>
      <protection hidden="1"/>
    </xf>
    <xf numFmtId="2" fontId="21" fillId="3" borderId="3" xfId="2" applyNumberFormat="1" applyFont="1" applyFill="1" applyBorder="1" applyAlignment="1" applyProtection="1">
      <alignment horizontal="center" vertical="center"/>
      <protection hidden="1"/>
    </xf>
    <xf numFmtId="9" fontId="21" fillId="2" borderId="52" xfId="2" applyFont="1" applyFill="1" applyBorder="1" applyAlignment="1" applyProtection="1">
      <alignment horizontal="center" vertical="center"/>
      <protection locked="0"/>
    </xf>
    <xf numFmtId="4" fontId="21" fillId="3" borderId="57" xfId="2" applyNumberFormat="1" applyFont="1" applyFill="1" applyBorder="1" applyAlignment="1" applyProtection="1">
      <alignment horizontal="center" vertical="center"/>
      <protection hidden="1"/>
    </xf>
    <xf numFmtId="168" fontId="21" fillId="2" borderId="3" xfId="2" applyNumberFormat="1" applyFont="1" applyFill="1" applyBorder="1" applyAlignment="1" applyProtection="1">
      <alignment horizontal="center" vertical="center"/>
      <protection locked="0"/>
    </xf>
    <xf numFmtId="9" fontId="21" fillId="2" borderId="3" xfId="2" applyFont="1" applyFill="1" applyBorder="1" applyAlignment="1" applyProtection="1">
      <alignment horizontal="center" vertical="center"/>
      <protection locked="0"/>
    </xf>
    <xf numFmtId="164" fontId="21" fillId="2" borderId="3" xfId="2" applyNumberFormat="1" applyFont="1" applyFill="1" applyBorder="1" applyAlignment="1" applyProtection="1">
      <alignment horizontal="center" vertical="center"/>
      <protection locked="0"/>
    </xf>
    <xf numFmtId="1" fontId="21" fillId="2" borderId="3" xfId="2" applyNumberFormat="1" applyFont="1" applyFill="1" applyBorder="1" applyAlignment="1" applyProtection="1">
      <alignment horizontal="center" vertical="center"/>
      <protection locked="0"/>
    </xf>
    <xf numFmtId="7" fontId="21" fillId="3" borderId="0" xfId="1" applyNumberFormat="1" applyFont="1" applyFill="1" applyBorder="1" applyAlignment="1" applyProtection="1">
      <alignment horizontal="center" vertical="center"/>
      <protection hidden="1"/>
    </xf>
    <xf numFmtId="0" fontId="3" fillId="3" borderId="0" xfId="0" applyFont="1" applyFill="1" applyAlignment="1" applyProtection="1">
      <alignment vertical="center" wrapText="1"/>
      <protection hidden="1"/>
    </xf>
    <xf numFmtId="4" fontId="21" fillId="3" borderId="0" xfId="0" applyNumberFormat="1" applyFont="1" applyFill="1" applyAlignment="1" applyProtection="1">
      <alignment horizontal="center" vertical="center"/>
      <protection hidden="1"/>
    </xf>
    <xf numFmtId="1" fontId="21" fillId="3" borderId="0" xfId="2" applyNumberFormat="1" applyFont="1" applyFill="1" applyBorder="1" applyAlignment="1" applyProtection="1">
      <alignment horizontal="center" vertical="center"/>
      <protection hidden="1"/>
    </xf>
    <xf numFmtId="2" fontId="21" fillId="3" borderId="0" xfId="2" applyNumberFormat="1" applyFont="1" applyFill="1" applyBorder="1" applyAlignment="1" applyProtection="1">
      <alignment horizontal="center" vertical="center"/>
      <protection hidden="1"/>
    </xf>
    <xf numFmtId="4" fontId="21" fillId="3" borderId="0" xfId="2" applyNumberFormat="1" applyFont="1" applyFill="1" applyBorder="1" applyAlignment="1" applyProtection="1">
      <alignment horizontal="center" vertical="center"/>
      <protection hidden="1"/>
    </xf>
    <xf numFmtId="0" fontId="22" fillId="3" borderId="0" xfId="0" applyFont="1" applyFill="1" applyAlignment="1" applyProtection="1">
      <alignment vertical="center"/>
      <protection hidden="1"/>
    </xf>
    <xf numFmtId="0" fontId="21" fillId="3" borderId="0" xfId="0" applyFont="1" applyFill="1" applyAlignment="1" applyProtection="1">
      <alignment vertical="center" wrapText="1"/>
      <protection locked="0"/>
    </xf>
    <xf numFmtId="0" fontId="22" fillId="3" borderId="0" xfId="0" applyFont="1" applyFill="1" applyAlignment="1" applyProtection="1">
      <alignment vertical="center" wrapText="1"/>
      <protection hidden="1"/>
    </xf>
    <xf numFmtId="9" fontId="21" fillId="3" borderId="0" xfId="2" applyFont="1" applyFill="1" applyBorder="1" applyAlignment="1" applyProtection="1">
      <alignment horizontal="center" vertical="center"/>
    </xf>
    <xf numFmtId="9" fontId="30" fillId="3" borderId="0" xfId="2" applyFont="1" applyFill="1" applyBorder="1" applyAlignment="1" applyProtection="1">
      <alignment horizontal="right" vertical="center"/>
    </xf>
    <xf numFmtId="164" fontId="21" fillId="3" borderId="0" xfId="2" applyNumberFormat="1" applyFont="1" applyFill="1" applyBorder="1" applyAlignment="1" applyProtection="1">
      <alignment horizontal="center" vertical="center"/>
      <protection locked="0"/>
    </xf>
    <xf numFmtId="1" fontId="21" fillId="3" borderId="0" xfId="2" applyNumberFormat="1" applyFont="1" applyFill="1" applyBorder="1" applyAlignment="1" applyProtection="1">
      <alignment horizontal="center" vertical="center"/>
      <protection locked="0"/>
    </xf>
    <xf numFmtId="165" fontId="21" fillId="3" borderId="0" xfId="0" applyNumberFormat="1" applyFont="1" applyFill="1" applyAlignment="1" applyProtection="1">
      <alignment horizontal="center" vertical="center" wrapText="1"/>
      <protection locked="0"/>
    </xf>
    <xf numFmtId="164" fontId="21" fillId="3" borderId="0" xfId="0" applyNumberFormat="1" applyFont="1" applyFill="1" applyAlignment="1" applyProtection="1">
      <alignment horizontal="center" vertical="center"/>
      <protection locked="0"/>
    </xf>
    <xf numFmtId="164" fontId="21" fillId="3" borderId="0" xfId="0" applyNumberFormat="1" applyFont="1" applyFill="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8"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9" fontId="21" fillId="3" borderId="0" xfId="0" applyNumberFormat="1" applyFont="1" applyFill="1" applyAlignment="1" applyProtection="1">
      <alignment horizontal="center" vertical="center"/>
      <protection locked="0"/>
    </xf>
    <xf numFmtId="0" fontId="21" fillId="3" borderId="3" xfId="0" applyFont="1" applyFill="1" applyBorder="1" applyAlignment="1" applyProtection="1">
      <alignment horizontal="center" vertical="center" wrapText="1"/>
      <protection hidden="1"/>
    </xf>
    <xf numFmtId="0" fontId="34" fillId="3" borderId="0" xfId="0" applyFont="1" applyFill="1" applyAlignment="1" applyProtection="1">
      <alignment horizontal="left" vertical="center" wrapText="1"/>
      <protection hidden="1"/>
    </xf>
    <xf numFmtId="0" fontId="23" fillId="3" borderId="0" xfId="0" applyFont="1" applyFill="1" applyAlignment="1" applyProtection="1">
      <alignment horizontal="right" vertical="center"/>
      <protection hidden="1"/>
    </xf>
    <xf numFmtId="0" fontId="1" fillId="0" borderId="0" xfId="0" applyFont="1" applyAlignment="1">
      <alignment horizontal="center"/>
    </xf>
    <xf numFmtId="0" fontId="28" fillId="3" borderId="1" xfId="0" applyFont="1" applyFill="1" applyBorder="1" applyAlignment="1" applyProtection="1">
      <alignment vertical="center"/>
      <protection hidden="1"/>
    </xf>
    <xf numFmtId="0" fontId="21" fillId="10" borderId="56" xfId="0" applyFont="1" applyFill="1" applyBorder="1" applyAlignment="1" applyProtection="1">
      <alignment horizontal="center" vertical="center"/>
      <protection locked="0"/>
    </xf>
    <xf numFmtId="0" fontId="21" fillId="10" borderId="61" xfId="0" applyFont="1" applyFill="1" applyBorder="1" applyAlignment="1" applyProtection="1">
      <alignment horizontal="center" vertical="center"/>
      <protection locked="0"/>
    </xf>
    <xf numFmtId="0" fontId="34" fillId="3" borderId="56" xfId="0" applyFont="1" applyFill="1" applyBorder="1" applyAlignment="1" applyProtection="1">
      <alignment horizontal="left" vertical="center" wrapText="1"/>
      <protection hidden="1"/>
    </xf>
    <xf numFmtId="0" fontId="24" fillId="3" borderId="55" xfId="0" applyFont="1" applyFill="1" applyBorder="1" applyAlignment="1" applyProtection="1">
      <alignment horizontal="center" vertical="center" wrapText="1"/>
      <protection hidden="1"/>
    </xf>
    <xf numFmtId="0" fontId="28" fillId="3" borderId="5" xfId="0" applyFont="1" applyFill="1" applyBorder="1" applyAlignment="1" applyProtection="1">
      <alignment vertical="center"/>
      <protection hidden="1"/>
    </xf>
    <xf numFmtId="0" fontId="28" fillId="3" borderId="4" xfId="0" applyFont="1" applyFill="1" applyBorder="1" applyAlignment="1" applyProtection="1">
      <alignment vertical="center"/>
      <protection hidden="1"/>
    </xf>
    <xf numFmtId="0" fontId="36" fillId="3" borderId="0" xfId="0" applyFont="1" applyFill="1" applyAlignment="1" applyProtection="1">
      <alignment horizontal="left" vertical="center"/>
      <protection hidden="1"/>
    </xf>
    <xf numFmtId="9" fontId="21" fillId="2" borderId="66" xfId="2" applyFont="1" applyFill="1" applyBorder="1" applyAlignment="1" applyProtection="1">
      <alignment horizontal="center" vertical="center"/>
      <protection locked="0"/>
    </xf>
    <xf numFmtId="9" fontId="31" fillId="2" borderId="66" xfId="2" applyFont="1" applyFill="1" applyBorder="1" applyAlignment="1" applyProtection="1">
      <alignment horizontal="center" vertical="center"/>
      <protection locked="0"/>
    </xf>
    <xf numFmtId="9" fontId="31" fillId="2" borderId="67" xfId="2" applyFont="1" applyFill="1" applyBorder="1" applyAlignment="1" applyProtection="1">
      <alignment horizontal="center" vertical="center"/>
      <protection locked="0"/>
    </xf>
    <xf numFmtId="0" fontId="25" fillId="3" borderId="63" xfId="0" applyFont="1" applyFill="1" applyBorder="1" applyAlignment="1" applyProtection="1">
      <alignment horizontal="center" vertical="center" wrapText="1"/>
      <protection hidden="1"/>
    </xf>
    <xf numFmtId="0" fontId="25" fillId="3" borderId="65" xfId="0" applyFont="1" applyFill="1" applyBorder="1" applyAlignment="1" applyProtection="1">
      <alignment horizontal="center" vertical="center" wrapText="1"/>
      <protection hidden="1"/>
    </xf>
    <xf numFmtId="9" fontId="21" fillId="2" borderId="67" xfId="2" applyFont="1" applyFill="1" applyBorder="1" applyAlignment="1" applyProtection="1">
      <alignment horizontal="center" vertical="center"/>
      <protection locked="0"/>
    </xf>
    <xf numFmtId="0" fontId="21" fillId="10" borderId="4" xfId="0" applyFont="1" applyFill="1" applyBorder="1" applyAlignment="1" applyProtection="1">
      <alignment horizontal="center" vertical="center"/>
      <protection locked="0"/>
    </xf>
    <xf numFmtId="0" fontId="21" fillId="10" borderId="1" xfId="0" applyFont="1" applyFill="1" applyBorder="1" applyAlignment="1" applyProtection="1">
      <alignment horizontal="center" vertical="center" wrapText="1"/>
      <protection locked="0"/>
    </xf>
    <xf numFmtId="0" fontId="24" fillId="3" borderId="49" xfId="0" applyFont="1" applyFill="1" applyBorder="1" applyAlignment="1" applyProtection="1">
      <alignment horizontal="center" vertical="top" wrapText="1"/>
      <protection hidden="1"/>
    </xf>
    <xf numFmtId="0" fontId="21" fillId="3" borderId="57" xfId="0" applyFont="1" applyFill="1" applyBorder="1" applyAlignment="1" applyProtection="1">
      <alignment horizontal="center" vertical="center" wrapText="1"/>
      <protection hidden="1"/>
    </xf>
    <xf numFmtId="9" fontId="30" fillId="0" borderId="57" xfId="2" applyFont="1" applyFill="1" applyBorder="1" applyAlignment="1" applyProtection="1">
      <alignment horizontal="center" vertical="center"/>
    </xf>
    <xf numFmtId="9" fontId="30" fillId="0" borderId="51" xfId="2" applyFont="1" applyFill="1" applyBorder="1" applyAlignment="1" applyProtection="1">
      <alignment horizontal="center" vertical="center"/>
    </xf>
    <xf numFmtId="0" fontId="3" fillId="0" borderId="3" xfId="0" applyFont="1" applyBorder="1" applyAlignment="1" applyProtection="1">
      <alignment vertical="center"/>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center"/>
      <protection hidden="1"/>
    </xf>
    <xf numFmtId="0" fontId="22" fillId="0" borderId="0" xfId="0" applyFont="1" applyAlignment="1" applyProtection="1">
      <alignment vertical="center" wrapText="1"/>
      <protection hidden="1"/>
    </xf>
    <xf numFmtId="0" fontId="32" fillId="3" borderId="0" xfId="0" applyFont="1" applyFill="1" applyAlignment="1" applyProtection="1">
      <alignment horizontal="center" vertical="center" wrapText="1"/>
      <protection hidden="1"/>
    </xf>
    <xf numFmtId="0" fontId="24" fillId="3" borderId="57" xfId="0" applyFont="1" applyFill="1" applyBorder="1" applyAlignment="1" applyProtection="1">
      <alignment horizontal="center" vertical="center" wrapText="1"/>
      <protection hidden="1"/>
    </xf>
    <xf numFmtId="0" fontId="24" fillId="3" borderId="3"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3" fillId="0" borderId="0" xfId="0" applyFont="1" applyAlignment="1" applyProtection="1">
      <alignment horizontal="center" vertical="center"/>
      <protection hidden="1"/>
    </xf>
    <xf numFmtId="1" fontId="21" fillId="2" borderId="49" xfId="2" applyNumberFormat="1" applyFont="1" applyFill="1" applyBorder="1" applyAlignment="1" applyProtection="1">
      <alignment horizontal="center" vertical="center"/>
      <protection locked="0"/>
    </xf>
    <xf numFmtId="0" fontId="21" fillId="0" borderId="1" xfId="0" applyFont="1" applyBorder="1" applyAlignment="1">
      <alignment horizontal="right" vertical="center"/>
    </xf>
    <xf numFmtId="0" fontId="3" fillId="3" borderId="3" xfId="0" applyFont="1" applyFill="1" applyBorder="1" applyAlignment="1" applyProtection="1">
      <alignment vertical="center"/>
      <protection hidden="1"/>
    </xf>
    <xf numFmtId="0" fontId="3" fillId="3" borderId="5" xfId="0" applyFont="1" applyFill="1" applyBorder="1" applyAlignment="1" applyProtection="1">
      <alignment vertical="center"/>
      <protection hidden="1"/>
    </xf>
    <xf numFmtId="0" fontId="3" fillId="3" borderId="4" xfId="0" applyFont="1" applyFill="1" applyBorder="1" applyAlignment="1" applyProtection="1">
      <alignment vertical="center"/>
      <protection hidden="1"/>
    </xf>
    <xf numFmtId="0" fontId="21" fillId="0" borderId="0" xfId="0" applyFont="1" applyAlignment="1">
      <alignment vertical="top" wrapText="1"/>
    </xf>
    <xf numFmtId="9" fontId="21" fillId="2" borderId="1" xfId="0" applyNumberFormat="1" applyFont="1" applyFill="1" applyBorder="1" applyAlignment="1" applyProtection="1">
      <alignment horizontal="center" vertical="center"/>
      <protection locked="0"/>
    </xf>
    <xf numFmtId="0" fontId="28" fillId="3" borderId="3" xfId="0" applyFont="1" applyFill="1" applyBorder="1" applyAlignment="1" applyProtection="1">
      <alignment vertical="center"/>
      <protection hidden="1"/>
    </xf>
    <xf numFmtId="0" fontId="3" fillId="3" borderId="0" xfId="0" applyFont="1" applyFill="1" applyAlignment="1" applyProtection="1">
      <alignment vertical="center"/>
      <protection hidden="1"/>
    </xf>
    <xf numFmtId="0" fontId="21" fillId="3" borderId="51" xfId="0" applyFont="1" applyFill="1" applyBorder="1" applyAlignment="1" applyProtection="1">
      <alignment horizontal="center" vertical="center" wrapText="1"/>
      <protection hidden="1"/>
    </xf>
    <xf numFmtId="4" fontId="21"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1"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2"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30" fillId="8" borderId="0" xfId="0" applyFont="1" applyFill="1" applyAlignment="1" applyProtection="1">
      <alignment horizontal="center" vertical="center" wrapText="1"/>
      <protection hidden="1"/>
    </xf>
    <xf numFmtId="0" fontId="38" fillId="0" borderId="0" xfId="0" applyFont="1" applyAlignment="1" applyProtection="1">
      <alignment vertical="center" wrapText="1"/>
      <protection hidden="1"/>
    </xf>
    <xf numFmtId="0" fontId="23" fillId="0" borderId="0" xfId="0" applyFont="1" applyAlignment="1" applyProtection="1">
      <alignment horizontal="right" vertical="center"/>
      <protection hidden="1"/>
    </xf>
    <xf numFmtId="0" fontId="34" fillId="0" borderId="0" xfId="0" applyFont="1" applyAlignment="1" applyProtection="1">
      <alignment horizontal="left" vertical="center" wrapText="1"/>
      <protection hidden="1"/>
    </xf>
    <xf numFmtId="0" fontId="38" fillId="0" borderId="0" xfId="0" applyFont="1" applyAlignment="1" applyProtection="1">
      <alignment vertical="top" wrapText="1"/>
      <protection hidden="1"/>
    </xf>
    <xf numFmtId="0" fontId="28" fillId="0" borderId="0" xfId="0" applyFont="1" applyAlignment="1" applyProtection="1">
      <alignment horizontal="left" vertical="center"/>
      <protection hidden="1"/>
    </xf>
    <xf numFmtId="0" fontId="28" fillId="0" borderId="0" xfId="0" applyFont="1" applyAlignment="1" applyProtection="1">
      <alignment horizontal="center" vertical="center"/>
      <protection hidden="1"/>
    </xf>
    <xf numFmtId="0" fontId="36" fillId="0" borderId="0" xfId="0" applyFont="1" applyAlignment="1" applyProtection="1">
      <alignment horizontal="left" vertical="center"/>
      <protection hidden="1"/>
    </xf>
    <xf numFmtId="0" fontId="30" fillId="0" borderId="0" xfId="0" applyFont="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lignment horizontal="center" wrapText="1"/>
    </xf>
    <xf numFmtId="0" fontId="19"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21" fillId="0" borderId="0" xfId="0" applyFont="1" applyAlignment="1" applyProtection="1">
      <alignment vertical="center" wrapText="1"/>
      <protection locked="0"/>
    </xf>
    <xf numFmtId="7" fontId="21" fillId="0" borderId="0" xfId="1" applyNumberFormat="1" applyFont="1" applyFill="1" applyBorder="1" applyAlignment="1" applyProtection="1">
      <alignment horizontal="center" vertical="center"/>
      <protection hidden="1"/>
    </xf>
    <xf numFmtId="4" fontId="21" fillId="0" borderId="0" xfId="0" applyNumberFormat="1" applyFont="1" applyAlignment="1" applyProtection="1">
      <alignment horizontal="center" vertical="center"/>
      <protection hidden="1"/>
    </xf>
    <xf numFmtId="1" fontId="21" fillId="0" borderId="0" xfId="2" applyNumberFormat="1" applyFont="1" applyFill="1" applyBorder="1" applyAlignment="1" applyProtection="1">
      <alignment horizontal="center" vertical="center"/>
      <protection hidden="1"/>
    </xf>
    <xf numFmtId="2" fontId="21" fillId="0" borderId="0" xfId="2" applyNumberFormat="1" applyFont="1" applyFill="1" applyBorder="1" applyAlignment="1" applyProtection="1">
      <alignment horizontal="center" vertical="center"/>
      <protection hidden="1"/>
    </xf>
    <xf numFmtId="9" fontId="21" fillId="0" borderId="0" xfId="2" applyFont="1" applyFill="1" applyBorder="1" applyAlignment="1" applyProtection="1">
      <alignment horizontal="center" vertical="center"/>
      <protection locked="0"/>
    </xf>
    <xf numFmtId="9" fontId="21" fillId="0" borderId="0" xfId="2" applyFont="1" applyFill="1" applyBorder="1" applyAlignment="1" applyProtection="1">
      <alignment horizontal="center" vertical="center"/>
    </xf>
    <xf numFmtId="4" fontId="21" fillId="0" borderId="0" xfId="2" applyNumberFormat="1" applyFont="1" applyFill="1" applyBorder="1" applyAlignment="1" applyProtection="1">
      <alignment horizontal="center" vertical="center"/>
      <protection hidden="1"/>
    </xf>
    <xf numFmtId="168" fontId="21" fillId="0" borderId="0" xfId="2" applyNumberFormat="1" applyFont="1" applyFill="1" applyBorder="1" applyAlignment="1" applyProtection="1">
      <alignment horizontal="center" vertical="center"/>
      <protection locked="0"/>
    </xf>
    <xf numFmtId="164" fontId="21" fillId="0" borderId="0" xfId="2" applyNumberFormat="1" applyFont="1" applyFill="1" applyBorder="1" applyAlignment="1" applyProtection="1">
      <alignment horizontal="center" vertical="center"/>
      <protection locked="0"/>
    </xf>
    <xf numFmtId="1" fontId="21"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4" fillId="3" borderId="3" xfId="0" applyFont="1" applyFill="1" applyBorder="1" applyAlignment="1" applyProtection="1">
      <alignment horizontal="left" vertical="center"/>
      <protection hidden="1"/>
    </xf>
    <xf numFmtId="0" fontId="4"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8" fillId="3" borderId="5" xfId="0" applyFont="1" applyFill="1" applyBorder="1" applyAlignment="1" applyProtection="1">
      <alignment horizontal="left" vertical="center"/>
      <protection hidden="1"/>
    </xf>
    <xf numFmtId="0" fontId="43"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3" fontId="21" fillId="3" borderId="66" xfId="0" applyNumberFormat="1" applyFont="1" applyFill="1" applyBorder="1" applyAlignment="1" applyProtection="1">
      <alignment horizontal="center" vertical="center"/>
      <protection locked="0"/>
    </xf>
    <xf numFmtId="9" fontId="21" fillId="2" borderId="76" xfId="2" applyFont="1" applyFill="1" applyBorder="1" applyAlignment="1" applyProtection="1">
      <alignment horizontal="center" vertical="center"/>
      <protection locked="0"/>
    </xf>
    <xf numFmtId="9" fontId="21" fillId="3" borderId="70" xfId="2" applyFont="1" applyFill="1" applyBorder="1" applyAlignment="1" applyProtection="1">
      <alignment horizontal="center" vertical="center"/>
      <protection locked="0"/>
    </xf>
    <xf numFmtId="3" fontId="21" fillId="3" borderId="64" xfId="0" applyNumberFormat="1" applyFont="1" applyFill="1" applyBorder="1" applyAlignment="1" applyProtection="1">
      <alignment horizontal="center" vertical="center"/>
      <protection locked="0"/>
    </xf>
    <xf numFmtId="0" fontId="25" fillId="3" borderId="10" xfId="0" applyFont="1" applyFill="1" applyBorder="1" applyAlignment="1" applyProtection="1">
      <alignment horizontal="center" vertical="center" wrapText="1"/>
      <protection hidden="1"/>
    </xf>
    <xf numFmtId="0" fontId="24" fillId="3" borderId="58" xfId="0" applyFont="1" applyFill="1" applyBorder="1" applyAlignment="1" applyProtection="1">
      <alignment horizontal="center" vertical="center"/>
      <protection hidden="1"/>
    </xf>
    <xf numFmtId="9" fontId="21" fillId="2" borderId="62" xfId="2" applyFont="1" applyFill="1" applyBorder="1" applyAlignment="1" applyProtection="1">
      <alignment horizontal="center" vertical="center"/>
      <protection locked="0"/>
    </xf>
    <xf numFmtId="0" fontId="25" fillId="3" borderId="58" xfId="0" applyFont="1" applyFill="1" applyBorder="1" applyAlignment="1" applyProtection="1">
      <alignment horizontal="left" vertical="center" wrapText="1"/>
      <protection hidden="1"/>
    </xf>
    <xf numFmtId="9" fontId="31" fillId="2" borderId="76" xfId="2" applyFont="1" applyFill="1" applyBorder="1" applyAlignment="1" applyProtection="1">
      <alignment horizontal="center" vertical="center"/>
      <protection locked="0"/>
    </xf>
    <xf numFmtId="9" fontId="21" fillId="3" borderId="59" xfId="2" applyFont="1" applyFill="1" applyBorder="1" applyAlignment="1" applyProtection="1">
      <alignment horizontal="center" vertical="center"/>
      <protection locked="0"/>
    </xf>
    <xf numFmtId="9" fontId="21" fillId="3" borderId="60" xfId="2" applyFont="1" applyFill="1" applyBorder="1" applyAlignment="1" applyProtection="1">
      <alignment horizontal="center" vertical="center"/>
      <protection locked="0"/>
    </xf>
    <xf numFmtId="0" fontId="44" fillId="0" borderId="0" xfId="0" applyFont="1" applyAlignment="1" applyProtection="1">
      <alignment horizontal="left" vertical="center"/>
      <protection hidden="1"/>
    </xf>
    <xf numFmtId="0" fontId="46" fillId="3" borderId="4" xfId="0" applyFont="1" applyFill="1" applyBorder="1" applyAlignment="1" applyProtection="1">
      <alignment vertical="center" wrapText="1"/>
      <protection hidden="1"/>
    </xf>
    <xf numFmtId="0" fontId="46" fillId="3" borderId="5" xfId="0" applyFont="1" applyFill="1" applyBorder="1" applyAlignment="1" applyProtection="1">
      <alignment vertical="center" wrapText="1"/>
      <protection hidden="1"/>
    </xf>
    <xf numFmtId="0" fontId="25" fillId="3" borderId="74" xfId="0" applyFont="1" applyFill="1" applyBorder="1" applyAlignment="1" applyProtection="1">
      <alignment horizontal="center" vertical="center" wrapText="1"/>
      <protection hidden="1"/>
    </xf>
    <xf numFmtId="3" fontId="21" fillId="3" borderId="68" xfId="0" applyNumberFormat="1" applyFont="1" applyFill="1" applyBorder="1" applyAlignment="1" applyProtection="1">
      <alignment horizontal="center" vertical="center"/>
      <protection hidden="1"/>
    </xf>
    <xf numFmtId="3" fontId="21" fillId="2" borderId="1" xfId="0" applyNumberFormat="1" applyFont="1" applyFill="1" applyBorder="1" applyAlignment="1" applyProtection="1">
      <alignment horizontal="center" vertical="center"/>
      <protection locked="0"/>
    </xf>
    <xf numFmtId="3" fontId="21" fillId="2" borderId="83" xfId="0" applyNumberFormat="1" applyFont="1" applyFill="1" applyBorder="1" applyAlignment="1" applyProtection="1">
      <alignment horizontal="center" vertical="center"/>
      <protection locked="0"/>
    </xf>
    <xf numFmtId="0" fontId="21" fillId="3" borderId="63" xfId="0" applyFont="1" applyFill="1" applyBorder="1" applyAlignment="1" applyProtection="1">
      <alignment horizontal="center" vertical="center" wrapText="1"/>
      <protection hidden="1"/>
    </xf>
    <xf numFmtId="0" fontId="21" fillId="3" borderId="65" xfId="0" applyFont="1" applyFill="1" applyBorder="1" applyAlignment="1" applyProtection="1">
      <alignment horizontal="center" vertical="center" wrapText="1"/>
      <protection hidden="1"/>
    </xf>
    <xf numFmtId="3" fontId="21" fillId="2" borderId="80" xfId="0" applyNumberFormat="1" applyFont="1" applyFill="1" applyBorder="1" applyAlignment="1" applyProtection="1">
      <alignment horizontal="center" vertical="center"/>
      <protection locked="0"/>
    </xf>
    <xf numFmtId="3" fontId="21" fillId="2" borderId="81" xfId="0" applyNumberFormat="1" applyFont="1" applyFill="1" applyBorder="1" applyAlignment="1" applyProtection="1">
      <alignment horizontal="center" vertical="center"/>
      <protection locked="0"/>
    </xf>
    <xf numFmtId="9" fontId="21" fillId="2" borderId="82" xfId="2" applyFont="1" applyFill="1" applyBorder="1" applyAlignment="1" applyProtection="1">
      <alignment horizontal="center" vertical="center"/>
      <protection locked="0"/>
    </xf>
    <xf numFmtId="3" fontId="21" fillId="2" borderId="77" xfId="0" applyNumberFormat="1" applyFont="1" applyFill="1" applyBorder="1" applyAlignment="1" applyProtection="1">
      <alignment horizontal="center" vertical="center"/>
      <protection locked="0"/>
    </xf>
    <xf numFmtId="9" fontId="21" fillId="3" borderId="67" xfId="2" applyFont="1" applyFill="1" applyBorder="1" applyAlignment="1" applyProtection="1">
      <alignment horizontal="center" vertical="center"/>
      <protection locked="0"/>
    </xf>
    <xf numFmtId="3" fontId="21" fillId="3" borderId="76" xfId="0" applyNumberFormat="1" applyFont="1" applyFill="1" applyBorder="1" applyAlignment="1" applyProtection="1">
      <alignment horizontal="center" vertical="center"/>
      <protection locked="0"/>
    </xf>
    <xf numFmtId="3" fontId="21" fillId="3" borderId="75" xfId="0" applyNumberFormat="1" applyFont="1" applyFill="1" applyBorder="1" applyAlignment="1" applyProtection="1">
      <alignment horizontal="center" vertical="center"/>
      <protection locked="0"/>
    </xf>
    <xf numFmtId="0" fontId="19" fillId="3" borderId="62" xfId="0" applyFont="1" applyFill="1" applyBorder="1" applyAlignment="1" applyProtection="1">
      <alignment horizontal="center" vertical="center"/>
      <protection hidden="1"/>
    </xf>
    <xf numFmtId="0" fontId="19" fillId="3" borderId="60" xfId="0" applyFont="1" applyFill="1" applyBorder="1" applyAlignment="1" applyProtection="1">
      <alignment horizontal="center" vertical="center"/>
      <protection hidden="1"/>
    </xf>
    <xf numFmtId="0" fontId="25"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7" fillId="4" borderId="0" xfId="0" applyFont="1" applyFill="1" applyAlignment="1">
      <alignment vertical="center"/>
    </xf>
    <xf numFmtId="0" fontId="3" fillId="11" borderId="62" xfId="0" applyFont="1" applyFill="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3" fillId="3" borderId="2" xfId="0" applyFont="1" applyFill="1" applyBorder="1" applyAlignment="1" applyProtection="1">
      <alignment vertical="center" wrapText="1"/>
      <protection hidden="1"/>
    </xf>
    <xf numFmtId="164" fontId="21" fillId="2" borderId="52" xfId="0" applyNumberFormat="1" applyFont="1" applyFill="1" applyBorder="1" applyAlignment="1" applyProtection="1">
      <alignment horizontal="center" vertical="center"/>
      <protection locked="0"/>
    </xf>
    <xf numFmtId="164" fontId="21" fillId="2" borderId="53" xfId="0" applyNumberFormat="1" applyFont="1" applyFill="1" applyBorder="1" applyAlignment="1" applyProtection="1">
      <alignment horizontal="center" vertical="center"/>
      <protection locked="0"/>
    </xf>
    <xf numFmtId="164" fontId="21" fillId="2" borderId="54" xfId="0" applyNumberFormat="1" applyFont="1" applyFill="1" applyBorder="1" applyAlignment="1" applyProtection="1">
      <alignment horizontal="center" vertical="center"/>
      <protection locked="0"/>
    </xf>
    <xf numFmtId="7" fontId="21" fillId="3" borderId="57" xfId="1" applyNumberFormat="1" applyFont="1" applyFill="1" applyBorder="1" applyAlignment="1" applyProtection="1">
      <alignment horizontal="center" vertical="center"/>
      <protection hidden="1"/>
    </xf>
    <xf numFmtId="7" fontId="21" fillId="3" borderId="2" xfId="1" applyNumberFormat="1" applyFont="1" applyFill="1" applyBorder="1" applyAlignment="1" applyProtection="1">
      <alignment horizontal="center" vertical="center"/>
      <protection hidden="1"/>
    </xf>
    <xf numFmtId="7" fontId="21" fillId="3" borderId="61" xfId="1" applyNumberFormat="1" applyFont="1" applyFill="1" applyBorder="1" applyAlignment="1" applyProtection="1">
      <alignment horizontal="center" vertical="center"/>
      <protection hidden="1"/>
    </xf>
    <xf numFmtId="0" fontId="3" fillId="3" borderId="57" xfId="0" applyFont="1" applyFill="1" applyBorder="1" applyAlignment="1" applyProtection="1">
      <alignment vertical="center" wrapText="1"/>
      <protection hidden="1"/>
    </xf>
    <xf numFmtId="0" fontId="37" fillId="3" borderId="51" xfId="0" applyFont="1" applyFill="1" applyBorder="1" applyAlignment="1" applyProtection="1">
      <alignment horizontal="center" vertical="center" wrapText="1"/>
      <protection hidden="1"/>
    </xf>
    <xf numFmtId="7" fontId="21" fillId="3" borderId="51" xfId="1" applyNumberFormat="1" applyFont="1" applyFill="1" applyBorder="1" applyAlignment="1" applyProtection="1">
      <alignment horizontal="center" vertical="center"/>
      <protection hidden="1"/>
    </xf>
    <xf numFmtId="0" fontId="24" fillId="3" borderId="80" xfId="0" applyFont="1" applyFill="1" applyBorder="1" applyAlignment="1" applyProtection="1">
      <alignment horizontal="center" vertical="center" wrapText="1"/>
      <protection hidden="1"/>
    </xf>
    <xf numFmtId="0" fontId="24" fillId="3" borderId="88" xfId="0" applyFont="1" applyFill="1" applyBorder="1" applyAlignment="1" applyProtection="1">
      <alignment horizontal="center" vertical="center" wrapText="1"/>
      <protection hidden="1"/>
    </xf>
    <xf numFmtId="0" fontId="24" fillId="3" borderId="82" xfId="0" applyFont="1" applyFill="1" applyBorder="1" applyAlignment="1" applyProtection="1">
      <alignment horizontal="center" vertical="center" wrapText="1"/>
      <protection hidden="1"/>
    </xf>
    <xf numFmtId="0" fontId="24" fillId="3" borderId="7" xfId="0" applyFont="1" applyFill="1" applyBorder="1" applyAlignment="1" applyProtection="1">
      <alignment horizontal="center" vertical="center" wrapText="1"/>
      <protection hidden="1"/>
    </xf>
    <xf numFmtId="0" fontId="24" fillId="3" borderId="9" xfId="0" applyFont="1" applyFill="1" applyBorder="1" applyAlignment="1" applyProtection="1">
      <alignment horizontal="center" vertical="center" wrapText="1"/>
      <protection hidden="1"/>
    </xf>
    <xf numFmtId="0" fontId="21" fillId="10" borderId="93" xfId="0" applyFont="1" applyFill="1" applyBorder="1" applyAlignment="1" applyProtection="1">
      <alignment horizontal="center" vertical="center"/>
      <protection locked="0"/>
    </xf>
    <xf numFmtId="0" fontId="34" fillId="3" borderId="93" xfId="0" applyFont="1" applyFill="1" applyBorder="1" applyAlignment="1" applyProtection="1">
      <alignment horizontal="left" vertical="center" wrapText="1"/>
      <protection hidden="1"/>
    </xf>
    <xf numFmtId="0" fontId="24" fillId="3" borderId="74" xfId="0" applyFont="1" applyFill="1" applyBorder="1" applyAlignment="1" applyProtection="1">
      <alignment horizontal="center" vertical="center" wrapText="1"/>
      <protection hidden="1"/>
    </xf>
    <xf numFmtId="0" fontId="21" fillId="10" borderId="79" xfId="0" applyFont="1" applyFill="1" applyBorder="1" applyAlignment="1" applyProtection="1">
      <alignment horizontal="center" vertical="center"/>
      <protection locked="0"/>
    </xf>
    <xf numFmtId="0" fontId="24" fillId="0" borderId="89" xfId="0" applyFont="1" applyBorder="1" applyAlignment="1">
      <alignment horizontal="right" vertical="center"/>
    </xf>
    <xf numFmtId="0" fontId="21"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4" fillId="3" borderId="97" xfId="0" applyFont="1" applyFill="1" applyBorder="1" applyAlignment="1" applyProtection="1">
      <alignment horizontal="center" vertical="top" wrapText="1"/>
      <protection hidden="1"/>
    </xf>
    <xf numFmtId="0" fontId="24" fillId="3" borderId="63" xfId="0" applyFont="1" applyFill="1" applyBorder="1" applyAlignment="1" applyProtection="1">
      <alignment horizontal="center" vertical="center" wrapText="1"/>
      <protection hidden="1"/>
    </xf>
    <xf numFmtId="0" fontId="24" fillId="3" borderId="64" xfId="0" applyFont="1" applyFill="1" applyBorder="1" applyAlignment="1" applyProtection="1">
      <alignment horizontal="center" vertical="center" wrapText="1"/>
      <protection hidden="1"/>
    </xf>
    <xf numFmtId="0" fontId="21"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3" fillId="0" borderId="7" xfId="0" applyFont="1" applyBorder="1" applyAlignment="1" applyProtection="1">
      <alignment vertical="center"/>
      <protection hidden="1"/>
    </xf>
    <xf numFmtId="0" fontId="3" fillId="0" borderId="63" xfId="0" applyFont="1" applyBorder="1" applyAlignment="1" applyProtection="1">
      <alignment vertical="center"/>
      <protection hidden="1"/>
    </xf>
    <xf numFmtId="0" fontId="3" fillId="0" borderId="81" xfId="0" applyFont="1" applyBorder="1" applyAlignment="1" applyProtection="1">
      <alignment horizontal="center" vertical="center" wrapText="1"/>
      <protection hidden="1"/>
    </xf>
    <xf numFmtId="0" fontId="21" fillId="10" borderId="81" xfId="0" applyFont="1" applyFill="1" applyBorder="1" applyAlignment="1" applyProtection="1">
      <alignment horizontal="center" vertical="center" wrapText="1"/>
      <protection locked="0"/>
    </xf>
    <xf numFmtId="0" fontId="24" fillId="8" borderId="88" xfId="0" applyFont="1" applyFill="1" applyBorder="1" applyAlignment="1" applyProtection="1">
      <alignment horizontal="center" vertical="center" wrapText="1"/>
      <protection hidden="1"/>
    </xf>
    <xf numFmtId="0" fontId="22" fillId="8" borderId="93" xfId="0" applyFont="1" applyFill="1" applyBorder="1" applyAlignment="1" applyProtection="1">
      <alignment vertical="center" wrapText="1"/>
      <protection hidden="1"/>
    </xf>
    <xf numFmtId="0" fontId="24" fillId="3" borderId="97" xfId="0" applyFont="1" applyFill="1" applyBorder="1" applyAlignment="1" applyProtection="1">
      <alignment horizontal="center" vertical="center" wrapText="1"/>
      <protection hidden="1"/>
    </xf>
    <xf numFmtId="164" fontId="21" fillId="2" borderId="98" xfId="0" applyNumberFormat="1" applyFont="1" applyFill="1" applyBorder="1" applyAlignment="1" applyProtection="1">
      <alignment horizontal="center" vertical="center"/>
      <protection locked="0"/>
    </xf>
    <xf numFmtId="0" fontId="37" fillId="3" borderId="84" xfId="0" applyFont="1" applyFill="1" applyBorder="1" applyAlignment="1" applyProtection="1">
      <alignment horizontal="center" vertical="center" wrapText="1"/>
      <protection hidden="1"/>
    </xf>
    <xf numFmtId="7" fontId="21" fillId="3" borderId="75" xfId="1" applyNumberFormat="1" applyFont="1" applyFill="1" applyBorder="1" applyAlignment="1" applyProtection="1">
      <alignment horizontal="center" vertical="center"/>
      <protection hidden="1"/>
    </xf>
    <xf numFmtId="0" fontId="3" fillId="3" borderId="10" xfId="0" applyFont="1" applyFill="1" applyBorder="1" applyAlignment="1" applyProtection="1">
      <alignment vertical="center" wrapText="1"/>
      <protection hidden="1"/>
    </xf>
    <xf numFmtId="0" fontId="3" fillId="3" borderId="75" xfId="0" applyFont="1" applyFill="1" applyBorder="1" applyAlignment="1" applyProtection="1">
      <alignment vertical="center" wrapText="1"/>
      <protection hidden="1"/>
    </xf>
    <xf numFmtId="0" fontId="21" fillId="3" borderId="84" xfId="0" applyFont="1" applyFill="1" applyBorder="1" applyAlignment="1" applyProtection="1">
      <alignment horizontal="center" vertical="center" wrapText="1"/>
      <protection hidden="1"/>
    </xf>
    <xf numFmtId="4" fontId="21" fillId="3" borderId="85" xfId="0" applyNumberFormat="1" applyFont="1" applyFill="1" applyBorder="1" applyAlignment="1" applyProtection="1">
      <alignment horizontal="center" vertical="center"/>
      <protection hidden="1"/>
    </xf>
    <xf numFmtId="0" fontId="21" fillId="3" borderId="80" xfId="0" applyFont="1" applyFill="1" applyBorder="1" applyAlignment="1" applyProtection="1">
      <alignment horizontal="center" vertical="center" wrapText="1"/>
      <protection hidden="1"/>
    </xf>
    <xf numFmtId="4" fontId="21" fillId="3" borderId="81" xfId="0" applyNumberFormat="1" applyFont="1" applyFill="1" applyBorder="1" applyAlignment="1" applyProtection="1">
      <alignment horizontal="center" vertical="center"/>
      <protection hidden="1"/>
    </xf>
    <xf numFmtId="1" fontId="21" fillId="2" borderId="99" xfId="2" applyNumberFormat="1" applyFont="1" applyFill="1" applyBorder="1" applyAlignment="1" applyProtection="1">
      <alignment horizontal="center" vertical="center"/>
      <protection locked="0"/>
    </xf>
    <xf numFmtId="2" fontId="21" fillId="3" borderId="81" xfId="2" applyNumberFormat="1" applyFont="1" applyFill="1" applyBorder="1" applyAlignment="1" applyProtection="1">
      <alignment horizontal="center" vertical="center"/>
      <protection hidden="1"/>
    </xf>
    <xf numFmtId="9" fontId="21" fillId="2" borderId="99" xfId="2" applyFont="1" applyFill="1" applyBorder="1" applyAlignment="1" applyProtection="1">
      <alignment horizontal="center" vertical="center"/>
      <protection locked="0"/>
    </xf>
    <xf numFmtId="9" fontId="30" fillId="0" borderId="85" xfId="2" applyFont="1" applyFill="1" applyBorder="1" applyAlignment="1" applyProtection="1">
      <alignment horizontal="center" vertical="center"/>
    </xf>
    <xf numFmtId="4" fontId="21" fillId="3" borderId="85" xfId="2" applyNumberFormat="1" applyFont="1" applyFill="1" applyBorder="1" applyAlignment="1" applyProtection="1">
      <alignment horizontal="center" vertical="center"/>
      <protection hidden="1"/>
    </xf>
    <xf numFmtId="168" fontId="21" fillId="2" borderId="81" xfId="2" applyNumberFormat="1" applyFont="1" applyFill="1" applyBorder="1" applyAlignment="1" applyProtection="1">
      <alignment horizontal="center" vertical="center"/>
      <protection locked="0"/>
    </xf>
    <xf numFmtId="9" fontId="21" fillId="2" borderId="81" xfId="2" applyFont="1" applyFill="1" applyBorder="1" applyAlignment="1" applyProtection="1">
      <alignment horizontal="center" vertical="center"/>
      <protection locked="0"/>
    </xf>
    <xf numFmtId="164" fontId="21" fillId="2" borderId="81" xfId="2" applyNumberFormat="1" applyFont="1" applyFill="1" applyBorder="1" applyAlignment="1" applyProtection="1">
      <alignment horizontal="center" vertical="center"/>
      <protection locked="0"/>
    </xf>
    <xf numFmtId="1" fontId="21" fillId="2" borderId="96" xfId="2" applyNumberFormat="1" applyFont="1" applyFill="1" applyBorder="1" applyAlignment="1" applyProtection="1">
      <alignment horizontal="center" vertical="center"/>
      <protection locked="0"/>
    </xf>
    <xf numFmtId="1" fontId="21" fillId="2" borderId="83" xfId="2" applyNumberFormat="1" applyFont="1" applyFill="1" applyBorder="1" applyAlignment="1" applyProtection="1">
      <alignment horizontal="center" vertical="center"/>
      <protection locked="0"/>
    </xf>
    <xf numFmtId="1" fontId="21" fillId="2" borderId="77" xfId="2" applyNumberFormat="1" applyFont="1" applyFill="1" applyBorder="1" applyAlignment="1" applyProtection="1">
      <alignment horizontal="center" vertical="center"/>
      <protection locked="0"/>
    </xf>
    <xf numFmtId="0" fontId="25" fillId="0" borderId="89" xfId="0" applyFont="1" applyBorder="1" applyAlignment="1" applyProtection="1">
      <alignment horizontal="center" vertical="center" wrapText="1"/>
      <protection hidden="1"/>
    </xf>
    <xf numFmtId="165" fontId="21" fillId="2" borderId="90" xfId="0" applyNumberFormat="1" applyFont="1" applyFill="1" applyBorder="1" applyAlignment="1" applyProtection="1">
      <alignment horizontal="center" vertical="center" wrapText="1"/>
      <protection locked="0"/>
    </xf>
    <xf numFmtId="165" fontId="21" fillId="2" borderId="91" xfId="0" applyNumberFormat="1" applyFont="1" applyFill="1" applyBorder="1" applyAlignment="1" applyProtection="1">
      <alignment horizontal="center" vertical="center" wrapText="1"/>
      <protection locked="0"/>
    </xf>
    <xf numFmtId="165" fontId="21" fillId="2" borderId="92" xfId="0" applyNumberFormat="1" applyFont="1" applyFill="1" applyBorder="1" applyAlignment="1" applyProtection="1">
      <alignment horizontal="center" vertical="center" wrapText="1"/>
      <protection locked="0"/>
    </xf>
    <xf numFmtId="164" fontId="21" fillId="2" borderId="99" xfId="0" applyNumberFormat="1" applyFont="1" applyFill="1" applyBorder="1" applyAlignment="1" applyProtection="1">
      <alignment horizontal="center" vertical="center"/>
      <protection locked="0"/>
    </xf>
    <xf numFmtId="0" fontId="24" fillId="3" borderId="100" xfId="0" applyFont="1" applyFill="1" applyBorder="1" applyAlignment="1" applyProtection="1">
      <alignment horizontal="center" vertical="center" wrapText="1"/>
      <protection hidden="1"/>
    </xf>
    <xf numFmtId="164" fontId="21" fillId="2" borderId="46" xfId="0" applyNumberFormat="1" applyFont="1" applyFill="1" applyBorder="1" applyAlignment="1" applyProtection="1">
      <alignment horizontal="center" vertical="center"/>
      <protection locked="0"/>
    </xf>
    <xf numFmtId="164" fontId="21" fillId="2" borderId="46" xfId="0" applyNumberFormat="1" applyFont="1" applyFill="1" applyBorder="1" applyAlignment="1" applyProtection="1">
      <alignment horizontal="center" vertical="center"/>
      <protection hidden="1"/>
    </xf>
    <xf numFmtId="164" fontId="21" fillId="2" borderId="101" xfId="0" applyNumberFormat="1" applyFont="1" applyFill="1" applyBorder="1" applyAlignment="1" applyProtection="1">
      <alignment horizontal="center" vertical="center"/>
      <protection hidden="1"/>
    </xf>
    <xf numFmtId="0" fontId="53" fillId="3" borderId="0" xfId="0" applyFont="1" applyFill="1" applyAlignment="1">
      <alignment vertical="center" wrapText="1"/>
    </xf>
    <xf numFmtId="0" fontId="57" fillId="3" borderId="0" xfId="0" applyFont="1" applyFill="1" applyAlignment="1">
      <alignment horizontal="left" vertical="center" wrapText="1"/>
    </xf>
    <xf numFmtId="0" fontId="55" fillId="3" borderId="0" xfId="0" applyFont="1" applyFill="1" applyAlignment="1">
      <alignment horizontal="right" vertical="center" wrapText="1"/>
    </xf>
    <xf numFmtId="0" fontId="53" fillId="10" borderId="1" xfId="0" applyFont="1" applyFill="1" applyBorder="1" applyAlignment="1">
      <alignment vertical="center" wrapText="1"/>
    </xf>
    <xf numFmtId="0" fontId="53" fillId="3" borderId="1" xfId="0" applyFont="1" applyFill="1" applyBorder="1" applyAlignment="1">
      <alignment vertical="center" wrapText="1"/>
    </xf>
    <xf numFmtId="0" fontId="53" fillId="3" borderId="0" xfId="0" applyFont="1" applyFill="1" applyAlignment="1">
      <alignment vertical="top" wrapText="1"/>
    </xf>
    <xf numFmtId="0" fontId="60" fillId="3" borderId="0" xfId="3" applyFont="1" applyFill="1" applyBorder="1" applyAlignment="1">
      <alignment horizontal="left" indent="5"/>
    </xf>
    <xf numFmtId="0" fontId="57" fillId="8" borderId="0" xfId="0" applyFont="1" applyFill="1" applyAlignment="1">
      <alignment horizontal="left" vertical="center" wrapText="1"/>
    </xf>
    <xf numFmtId="0" fontId="53" fillId="8" borderId="0" xfId="0" applyFont="1" applyFill="1" applyAlignment="1">
      <alignment vertical="center" wrapText="1"/>
    </xf>
    <xf numFmtId="0" fontId="58" fillId="8" borderId="0" xfId="0" applyFont="1" applyFill="1" applyAlignment="1">
      <alignment horizontal="left" vertical="center" wrapText="1"/>
    </xf>
    <xf numFmtId="0" fontId="53" fillId="8" borderId="0" xfId="0" applyFont="1" applyFill="1" applyAlignment="1">
      <alignment vertical="top" wrapText="1"/>
    </xf>
    <xf numFmtId="0" fontId="61" fillId="8" borderId="0" xfId="0" applyFont="1" applyFill="1" applyAlignment="1">
      <alignment vertical="center" wrapText="1"/>
    </xf>
    <xf numFmtId="0" fontId="55" fillId="8" borderId="0" xfId="0" applyFont="1" applyFill="1" applyAlignment="1">
      <alignment horizontal="center" vertical="center" wrapText="1"/>
    </xf>
    <xf numFmtId="0" fontId="64" fillId="8" borderId="0" xfId="0" applyFont="1" applyFill="1" applyAlignment="1">
      <alignment horizontal="left" vertical="center" wrapText="1"/>
    </xf>
    <xf numFmtId="0" fontId="53" fillId="18" borderId="0" xfId="0" applyFont="1" applyFill="1" applyAlignment="1">
      <alignment vertical="center" wrapText="1"/>
    </xf>
    <xf numFmtId="0" fontId="59" fillId="18" borderId="0" xfId="0" applyFont="1" applyFill="1" applyAlignment="1">
      <alignment horizontal="left" vertical="center" wrapText="1" indent="1"/>
    </xf>
    <xf numFmtId="0" fontId="53" fillId="20" borderId="1" xfId="0" applyFont="1" applyFill="1" applyBorder="1" applyAlignment="1">
      <alignment vertical="center" wrapText="1"/>
    </xf>
    <xf numFmtId="0" fontId="54" fillId="3" borderId="0" xfId="0" applyFont="1" applyFill="1" applyAlignment="1">
      <alignment vertical="center" wrapText="1"/>
    </xf>
    <xf numFmtId="0" fontId="62" fillId="3" borderId="0" xfId="0" applyFont="1" applyFill="1" applyAlignment="1">
      <alignment vertical="center" wrapText="1"/>
    </xf>
    <xf numFmtId="0" fontId="53" fillId="18" borderId="0" xfId="0" applyFont="1" applyFill="1" applyAlignment="1">
      <alignment horizontal="right" vertical="center" wrapText="1"/>
    </xf>
    <xf numFmtId="0" fontId="53" fillId="18" borderId="54" xfId="0" applyFont="1" applyFill="1" applyBorder="1" applyAlignment="1">
      <alignment vertical="center" wrapText="1"/>
    </xf>
    <xf numFmtId="0" fontId="53" fillId="18" borderId="56" xfId="0" applyFont="1" applyFill="1" applyBorder="1" applyAlignment="1">
      <alignment vertical="center" wrapText="1"/>
    </xf>
    <xf numFmtId="0" fontId="63" fillId="3" borderId="0" xfId="0" applyFont="1" applyFill="1" applyAlignment="1">
      <alignment horizontal="center" vertical="center" wrapText="1"/>
    </xf>
    <xf numFmtId="0" fontId="53" fillId="24" borderId="0" xfId="0" applyFont="1" applyFill="1" applyAlignment="1">
      <alignment vertical="center" wrapText="1"/>
    </xf>
    <xf numFmtId="0" fontId="53" fillId="0" borderId="0" xfId="0" applyFont="1" applyAlignment="1">
      <alignment vertical="top" wrapText="1"/>
    </xf>
    <xf numFmtId="0" fontId="53" fillId="3" borderId="0" xfId="0" applyFont="1" applyFill="1" applyAlignment="1" applyProtection="1">
      <alignment vertical="center" wrapText="1"/>
      <protection locked="0"/>
    </xf>
    <xf numFmtId="0" fontId="57" fillId="0" borderId="0" xfId="0" applyFont="1" applyAlignment="1" applyProtection="1">
      <alignment horizontal="left" vertical="center" wrapText="1"/>
      <protection hidden="1"/>
    </xf>
    <xf numFmtId="0" fontId="57" fillId="3" borderId="0" xfId="0" applyFont="1" applyFill="1" applyAlignment="1" applyProtection="1">
      <alignment horizontal="left" vertical="center" wrapText="1"/>
      <protection hidden="1"/>
    </xf>
    <xf numFmtId="0" fontId="53" fillId="0" borderId="0" xfId="0" applyFont="1" applyAlignment="1" applyProtection="1">
      <alignment horizontal="center" vertical="center" wrapText="1"/>
      <protection hidden="1"/>
    </xf>
    <xf numFmtId="9" fontId="53" fillId="3" borderId="0" xfId="0" applyNumberFormat="1" applyFont="1" applyFill="1" applyAlignment="1" applyProtection="1">
      <alignment horizontal="center" vertical="center"/>
      <protection locked="0"/>
    </xf>
    <xf numFmtId="0" fontId="81" fillId="3" borderId="62" xfId="0" applyFont="1" applyFill="1" applyBorder="1" applyAlignment="1" applyProtection="1">
      <alignment horizontal="left" vertical="center" wrapText="1"/>
      <protection hidden="1"/>
    </xf>
    <xf numFmtId="0" fontId="81" fillId="0" borderId="10" xfId="0" applyFont="1" applyBorder="1" applyAlignment="1" applyProtection="1">
      <alignment horizontal="center" vertical="center" wrapText="1"/>
      <protection hidden="1"/>
    </xf>
    <xf numFmtId="0" fontId="86" fillId="3" borderId="0" xfId="0" applyFont="1" applyFill="1" applyAlignment="1" applyProtection="1">
      <alignment horizontal="center" vertical="center" wrapText="1"/>
      <protection hidden="1"/>
    </xf>
    <xf numFmtId="0" fontId="57" fillId="3" borderId="3" xfId="0" applyFont="1" applyFill="1" applyBorder="1" applyAlignment="1" applyProtection="1">
      <alignment horizontal="center" vertical="center" wrapText="1"/>
      <protection hidden="1"/>
    </xf>
    <xf numFmtId="0" fontId="57" fillId="3" borderId="49" xfId="0" applyFont="1" applyFill="1" applyBorder="1" applyAlignment="1" applyProtection="1">
      <alignment horizontal="center" vertical="top" wrapText="1"/>
      <protection hidden="1"/>
    </xf>
    <xf numFmtId="0" fontId="53" fillId="3" borderId="57" xfId="0" applyFont="1" applyFill="1" applyBorder="1" applyAlignment="1" applyProtection="1">
      <alignment horizontal="center" vertical="center" wrapText="1"/>
      <protection hidden="1"/>
    </xf>
    <xf numFmtId="0" fontId="53" fillId="3" borderId="3" xfId="0" applyFont="1" applyFill="1" applyBorder="1" applyAlignment="1" applyProtection="1">
      <alignment horizontal="center" vertical="center" wrapText="1"/>
      <protection hidden="1"/>
    </xf>
    <xf numFmtId="0" fontId="53" fillId="0" borderId="0" xfId="0" applyFont="1" applyAlignment="1" applyProtection="1">
      <alignment vertical="center" wrapText="1"/>
      <protection locked="0"/>
    </xf>
    <xf numFmtId="0" fontId="58" fillId="3" borderId="0" xfId="0" applyFont="1" applyFill="1" applyAlignment="1" applyProtection="1">
      <alignment vertical="center"/>
      <protection hidden="1"/>
    </xf>
    <xf numFmtId="0" fontId="58" fillId="0" borderId="0" xfId="0" applyFont="1" applyAlignment="1" applyProtection="1">
      <alignment vertical="center" wrapText="1"/>
      <protection hidden="1"/>
    </xf>
    <xf numFmtId="7" fontId="53" fillId="3" borderId="0" xfId="1" applyNumberFormat="1" applyFont="1" applyFill="1" applyBorder="1" applyAlignment="1" applyProtection="1">
      <alignment horizontal="center" vertical="center"/>
      <protection hidden="1"/>
    </xf>
    <xf numFmtId="0" fontId="58" fillId="3" borderId="0" xfId="0" applyFont="1" applyFill="1" applyAlignment="1" applyProtection="1">
      <alignment vertical="center" wrapText="1"/>
      <protection hidden="1"/>
    </xf>
    <xf numFmtId="7" fontId="53" fillId="0" borderId="0" xfId="1" applyNumberFormat="1" applyFont="1" applyFill="1" applyBorder="1" applyAlignment="1" applyProtection="1">
      <alignment horizontal="center" vertical="center"/>
      <protection hidden="1"/>
    </xf>
    <xf numFmtId="0" fontId="89" fillId="3" borderId="51" xfId="0" applyFont="1" applyFill="1" applyBorder="1" applyAlignment="1" applyProtection="1">
      <alignment horizontal="center" vertical="center" wrapText="1"/>
      <protection hidden="1"/>
    </xf>
    <xf numFmtId="4" fontId="53" fillId="3" borderId="0" xfId="0" applyNumberFormat="1" applyFont="1" applyFill="1" applyAlignment="1" applyProtection="1">
      <alignment horizontal="center" vertical="center"/>
      <protection hidden="1"/>
    </xf>
    <xf numFmtId="0" fontId="57" fillId="3" borderId="0" xfId="0" applyFont="1" applyFill="1" applyAlignment="1" applyProtection="1">
      <alignment vertical="center" wrapText="1"/>
      <protection hidden="1"/>
    </xf>
    <xf numFmtId="4" fontId="53" fillId="0" borderId="0" xfId="0" applyNumberFormat="1" applyFont="1" applyAlignment="1" applyProtection="1">
      <alignment horizontal="center" vertical="center"/>
      <protection hidden="1"/>
    </xf>
    <xf numFmtId="0" fontId="53" fillId="3" borderId="0" xfId="0" applyFont="1" applyFill="1" applyAlignment="1" applyProtection="1">
      <alignment horizontal="center" vertical="center" wrapText="1"/>
      <protection hidden="1"/>
    </xf>
    <xf numFmtId="1" fontId="53" fillId="3" borderId="0" xfId="2" applyNumberFormat="1" applyFont="1" applyFill="1" applyBorder="1" applyAlignment="1" applyProtection="1">
      <alignment horizontal="center" vertical="center"/>
      <protection hidden="1"/>
    </xf>
    <xf numFmtId="0" fontId="57" fillId="0" borderId="1" xfId="0" applyFont="1" applyBorder="1" applyAlignment="1" applyProtection="1">
      <alignment horizontal="center" vertical="center" wrapText="1"/>
      <protection hidden="1"/>
    </xf>
    <xf numFmtId="1" fontId="53" fillId="0" borderId="0" xfId="2" applyNumberFormat="1" applyFont="1" applyFill="1" applyBorder="1" applyAlignment="1" applyProtection="1">
      <alignment horizontal="center" vertical="center"/>
      <protection hidden="1"/>
    </xf>
    <xf numFmtId="2" fontId="53" fillId="3" borderId="0" xfId="2" applyNumberFormat="1" applyFont="1" applyFill="1" applyBorder="1" applyAlignment="1" applyProtection="1">
      <alignment horizontal="center" vertical="center"/>
      <protection hidden="1"/>
    </xf>
    <xf numFmtId="2" fontId="53" fillId="0" borderId="0" xfId="2" applyNumberFormat="1" applyFont="1" applyFill="1" applyBorder="1" applyAlignment="1" applyProtection="1">
      <alignment horizontal="center" vertical="center"/>
      <protection hidden="1"/>
    </xf>
    <xf numFmtId="9" fontId="53" fillId="3" borderId="0" xfId="2" applyFont="1" applyFill="1" applyBorder="1" applyAlignment="1" applyProtection="1">
      <alignment vertical="center"/>
      <protection locked="0"/>
    </xf>
    <xf numFmtId="9" fontId="53" fillId="0" borderId="0" xfId="2" applyFont="1" applyFill="1" applyBorder="1" applyAlignment="1" applyProtection="1">
      <alignment horizontal="center" vertical="center"/>
      <protection locked="0"/>
    </xf>
    <xf numFmtId="9" fontId="53" fillId="3" borderId="0" xfId="2" applyFont="1" applyFill="1" applyBorder="1" applyAlignment="1" applyProtection="1">
      <alignment horizontal="center" vertical="center"/>
    </xf>
    <xf numFmtId="9" fontId="53" fillId="3" borderId="0" xfId="2" applyFont="1" applyFill="1" applyBorder="1" applyAlignment="1" applyProtection="1">
      <alignment horizontal="center" vertical="center"/>
      <protection locked="0"/>
    </xf>
    <xf numFmtId="0" fontId="84" fillId="3" borderId="0" xfId="0" applyFont="1" applyFill="1" applyAlignment="1" applyProtection="1">
      <alignment horizontal="right" vertical="center" wrapText="1"/>
      <protection hidden="1"/>
    </xf>
    <xf numFmtId="9" fontId="53" fillId="0" borderId="0" xfId="2" applyFont="1" applyFill="1" applyBorder="1" applyAlignment="1" applyProtection="1">
      <alignment horizontal="center" vertical="center"/>
    </xf>
    <xf numFmtId="4" fontId="53" fillId="3" borderId="0" xfId="2" applyNumberFormat="1" applyFont="1" applyFill="1" applyBorder="1" applyAlignment="1" applyProtection="1">
      <alignment horizontal="center" vertical="center"/>
      <protection hidden="1"/>
    </xf>
    <xf numFmtId="9" fontId="84" fillId="3" borderId="0" xfId="2" applyFont="1" applyFill="1" applyBorder="1" applyAlignment="1" applyProtection="1">
      <alignment horizontal="right" vertical="center"/>
    </xf>
    <xf numFmtId="4" fontId="53" fillId="0" borderId="0" xfId="2" applyNumberFormat="1" applyFont="1" applyFill="1" applyBorder="1" applyAlignment="1" applyProtection="1">
      <alignment horizontal="center" vertical="center"/>
      <protection hidden="1"/>
    </xf>
    <xf numFmtId="168" fontId="53" fillId="3" borderId="0" xfId="2" applyNumberFormat="1" applyFont="1" applyFill="1" applyBorder="1" applyAlignment="1" applyProtection="1">
      <alignment horizontal="center" vertical="center"/>
      <protection locked="0"/>
    </xf>
    <xf numFmtId="168" fontId="53" fillId="0" borderId="0" xfId="2" applyNumberFormat="1" applyFont="1" applyFill="1" applyBorder="1" applyAlignment="1" applyProtection="1">
      <alignment horizontal="center" vertical="center"/>
      <protection locked="0"/>
    </xf>
    <xf numFmtId="164" fontId="53" fillId="3" borderId="0" xfId="2" applyNumberFormat="1" applyFont="1" applyFill="1" applyBorder="1" applyAlignment="1" applyProtection="1">
      <alignment horizontal="center" vertical="center"/>
      <protection locked="0"/>
    </xf>
    <xf numFmtId="164" fontId="53" fillId="0" borderId="0" xfId="2" applyNumberFormat="1" applyFont="1" applyFill="1" applyBorder="1" applyAlignment="1" applyProtection="1">
      <alignment horizontal="center" vertical="center"/>
      <protection locked="0"/>
    </xf>
    <xf numFmtId="1" fontId="53" fillId="3" borderId="0" xfId="2" applyNumberFormat="1" applyFont="1" applyFill="1" applyBorder="1" applyAlignment="1" applyProtection="1">
      <alignment horizontal="center" vertical="center"/>
      <protection locked="0"/>
    </xf>
    <xf numFmtId="1" fontId="53" fillId="0" borderId="0" xfId="2" applyNumberFormat="1" applyFont="1" applyFill="1" applyBorder="1" applyAlignment="1" applyProtection="1">
      <alignment horizontal="center" vertical="center"/>
      <protection locked="0"/>
    </xf>
    <xf numFmtId="165" fontId="53" fillId="3" borderId="0" xfId="0" applyNumberFormat="1" applyFont="1" applyFill="1" applyAlignment="1" applyProtection="1">
      <alignment horizontal="center" vertical="center" wrapText="1"/>
      <protection locked="0"/>
    </xf>
    <xf numFmtId="165" fontId="53" fillId="0" borderId="0" xfId="0" applyNumberFormat="1" applyFont="1" applyAlignment="1" applyProtection="1">
      <alignment horizontal="center" vertical="center" wrapText="1"/>
      <protection locked="0"/>
    </xf>
    <xf numFmtId="164" fontId="53" fillId="3" borderId="0" xfId="0" applyNumberFormat="1" applyFont="1" applyFill="1" applyAlignment="1" applyProtection="1">
      <alignment horizontal="center" vertical="center"/>
      <protection locked="0"/>
    </xf>
    <xf numFmtId="164" fontId="53" fillId="0" borderId="0" xfId="0" applyNumberFormat="1" applyFont="1" applyAlignment="1" applyProtection="1">
      <alignment horizontal="center" vertical="center"/>
      <protection locked="0"/>
    </xf>
    <xf numFmtId="164" fontId="53" fillId="3" borderId="0" xfId="0" applyNumberFormat="1" applyFont="1" applyFill="1" applyAlignment="1" applyProtection="1">
      <alignment horizontal="center" vertical="center"/>
      <protection hidden="1"/>
    </xf>
    <xf numFmtId="0" fontId="53" fillId="8" borderId="0" xfId="0" applyFont="1" applyFill="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0" xfId="0" applyFont="1" applyAlignment="1" applyProtection="1">
      <alignment vertical="center" wrapText="1"/>
      <protection hidden="1"/>
    </xf>
    <xf numFmtId="0" fontId="58" fillId="0" borderId="0" xfId="0" applyFont="1" applyAlignment="1" applyProtection="1">
      <alignment horizontal="right" vertical="center"/>
      <protection hidden="1"/>
    </xf>
    <xf numFmtId="0" fontId="58" fillId="3" borderId="0" xfId="0" applyFont="1" applyFill="1" applyAlignment="1" applyProtection="1">
      <alignment horizontal="right" vertical="center"/>
      <protection hidden="1"/>
    </xf>
    <xf numFmtId="0" fontId="53" fillId="3" borderId="4" xfId="0" applyFont="1" applyFill="1" applyBorder="1" applyAlignment="1" applyProtection="1">
      <alignment horizontal="center" vertical="center"/>
      <protection hidden="1"/>
    </xf>
    <xf numFmtId="0" fontId="53" fillId="0" borderId="0" xfId="0" applyFont="1" applyAlignment="1" applyProtection="1">
      <alignment horizontal="left" vertical="center" wrapText="1"/>
      <protection hidden="1"/>
    </xf>
    <xf numFmtId="0" fontId="53" fillId="3" borderId="0" xfId="0" applyFont="1" applyFill="1" applyAlignment="1" applyProtection="1">
      <alignment horizontal="left" vertical="center" wrapText="1"/>
      <protection hidden="1"/>
    </xf>
    <xf numFmtId="0" fontId="57" fillId="8" borderId="0" xfId="0" applyFont="1" applyFill="1" applyAlignment="1" applyProtection="1">
      <alignment vertical="center"/>
      <protection hidden="1"/>
    </xf>
    <xf numFmtId="0" fontId="53" fillId="0" borderId="0" xfId="0" applyFont="1" applyAlignment="1" applyProtection="1">
      <alignment vertical="top" wrapText="1"/>
      <protection hidden="1"/>
    </xf>
    <xf numFmtId="0" fontId="57" fillId="3" borderId="0" xfId="0" applyFont="1" applyFill="1" applyAlignment="1" applyProtection="1">
      <alignment vertical="center"/>
      <protection hidden="1"/>
    </xf>
    <xf numFmtId="0" fontId="91" fillId="0" borderId="0" xfId="0" applyFont="1" applyAlignment="1" applyProtection="1">
      <alignment horizontal="left" vertical="center"/>
      <protection hidden="1"/>
    </xf>
    <xf numFmtId="0" fontId="57" fillId="3" borderId="5" xfId="0" applyFont="1" applyFill="1" applyBorder="1" applyAlignment="1" applyProtection="1">
      <alignment vertical="center"/>
      <protection hidden="1"/>
    </xf>
    <xf numFmtId="0" fontId="57" fillId="0" borderId="0" xfId="0" applyFont="1" applyAlignment="1" applyProtection="1">
      <alignment vertical="center"/>
      <protection hidden="1"/>
    </xf>
    <xf numFmtId="0" fontId="53" fillId="8" borderId="0" xfId="0" applyFont="1" applyFill="1" applyAlignment="1" applyProtection="1">
      <alignment horizontal="left" vertical="center"/>
      <protection hidden="1"/>
    </xf>
    <xf numFmtId="0" fontId="53" fillId="0" borderId="53" xfId="0" applyFont="1" applyBorder="1" applyAlignment="1" applyProtection="1">
      <alignment horizontal="center" vertical="center"/>
      <protection hidden="1"/>
    </xf>
    <xf numFmtId="0" fontId="60" fillId="3" borderId="0" xfId="3"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protection hidden="1"/>
    </xf>
    <xf numFmtId="0" fontId="58" fillId="18" borderId="0" xfId="0" applyFont="1" applyFill="1" applyAlignment="1" applyProtection="1">
      <alignment horizontal="right" vertical="center"/>
      <protection hidden="1"/>
    </xf>
    <xf numFmtId="0" fontId="57" fillId="18" borderId="0" xfId="0" applyFont="1" applyFill="1" applyAlignment="1" applyProtection="1">
      <alignment horizontal="left" vertical="center"/>
      <protection hidden="1"/>
    </xf>
    <xf numFmtId="0" fontId="57" fillId="18" borderId="0" xfId="0" applyFont="1" applyFill="1" applyAlignment="1" applyProtection="1">
      <alignment horizontal="center" vertical="center"/>
      <protection hidden="1"/>
    </xf>
    <xf numFmtId="0" fontId="86" fillId="18" borderId="0" xfId="0" applyFont="1" applyFill="1" applyAlignment="1" applyProtection="1">
      <alignment horizontal="center" vertical="center" wrapText="1"/>
      <protection hidden="1"/>
    </xf>
    <xf numFmtId="0" fontId="88" fillId="18" borderId="0" xfId="0" applyFont="1" applyFill="1" applyAlignment="1" applyProtection="1">
      <alignment horizontal="left" vertical="center"/>
      <protection hidden="1"/>
    </xf>
    <xf numFmtId="0" fontId="53" fillId="18" borderId="0" xfId="0" applyFont="1" applyFill="1" applyAlignment="1">
      <alignment horizontal="center" wrapText="1"/>
    </xf>
    <xf numFmtId="0" fontId="88" fillId="18" borderId="0" xfId="0" applyFont="1" applyFill="1" applyAlignment="1" applyProtection="1">
      <alignment horizontal="center" vertical="center"/>
      <protection hidden="1"/>
    </xf>
    <xf numFmtId="0" fontId="57" fillId="18" borderId="0" xfId="0" applyFont="1" applyFill="1" applyAlignment="1" applyProtection="1">
      <alignment vertical="center"/>
      <protection hidden="1"/>
    </xf>
    <xf numFmtId="0" fontId="91" fillId="18" borderId="0" xfId="0" applyFont="1" applyFill="1" applyAlignment="1" applyProtection="1">
      <alignment horizontal="left" vertical="center"/>
      <protection hidden="1"/>
    </xf>
    <xf numFmtId="0" fontId="53" fillId="18" borderId="0" xfId="0" applyFont="1" applyFill="1" applyAlignment="1" applyProtection="1">
      <alignment horizontal="left" vertical="center"/>
      <protection hidden="1"/>
    </xf>
    <xf numFmtId="0" fontId="57" fillId="18" borderId="0" xfId="0" applyFont="1" applyFill="1" applyAlignment="1" applyProtection="1">
      <alignment horizontal="right" vertical="center"/>
      <protection hidden="1"/>
    </xf>
    <xf numFmtId="0" fontId="57" fillId="8" borderId="0" xfId="0" applyFont="1" applyFill="1" applyAlignment="1" applyProtection="1">
      <alignment horizontal="right" vertical="center"/>
      <protection hidden="1"/>
    </xf>
    <xf numFmtId="0" fontId="70" fillId="25" borderId="104" xfId="0" applyFont="1" applyFill="1" applyBorder="1" applyAlignment="1" applyProtection="1">
      <alignment horizontal="center" vertical="center" wrapText="1"/>
      <protection hidden="1"/>
    </xf>
    <xf numFmtId="0" fontId="53" fillId="3" borderId="104" xfId="0" applyFont="1" applyFill="1" applyBorder="1" applyAlignment="1" applyProtection="1">
      <alignment horizontal="center" vertical="center" wrapText="1"/>
      <protection hidden="1"/>
    </xf>
    <xf numFmtId="3" fontId="53" fillId="3" borderId="104" xfId="0" applyNumberFormat="1" applyFont="1" applyFill="1" applyBorder="1" applyAlignment="1" applyProtection="1">
      <alignment horizontal="center" vertical="center"/>
      <protection hidden="1"/>
    </xf>
    <xf numFmtId="0" fontId="81" fillId="3" borderId="68" xfId="0" applyFont="1" applyFill="1" applyBorder="1" applyAlignment="1" applyProtection="1">
      <alignment horizontal="left" vertical="center" wrapText="1"/>
      <protection hidden="1"/>
    </xf>
    <xf numFmtId="0" fontId="57" fillId="3" borderId="108" xfId="0" applyFont="1" applyFill="1" applyBorder="1" applyAlignment="1" applyProtection="1">
      <alignment horizontal="left" vertical="center" wrapText="1"/>
      <protection hidden="1"/>
    </xf>
    <xf numFmtId="0" fontId="57" fillId="3" borderId="109"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center" vertical="center" wrapText="1"/>
      <protection hidden="1"/>
    </xf>
    <xf numFmtId="0" fontId="57" fillId="18" borderId="106" xfId="0" applyFont="1" applyFill="1" applyBorder="1" applyAlignment="1" applyProtection="1">
      <alignment horizontal="right" vertical="center"/>
      <protection hidden="1"/>
    </xf>
    <xf numFmtId="0" fontId="60" fillId="18" borderId="0" xfId="3" applyFont="1" applyFill="1" applyBorder="1" applyAlignment="1" applyProtection="1">
      <alignment horizontal="left" vertical="center"/>
      <protection hidden="1"/>
    </xf>
    <xf numFmtId="0" fontId="53" fillId="18" borderId="0" xfId="0" applyFont="1" applyFill="1" applyAlignment="1" applyProtection="1">
      <alignment horizontal="left" vertical="center" wrapText="1"/>
      <protection hidden="1"/>
    </xf>
    <xf numFmtId="0" fontId="57" fillId="0" borderId="104" xfId="0" applyFont="1" applyBorder="1" applyAlignment="1" applyProtection="1">
      <alignment vertical="center" wrapText="1"/>
      <protection hidden="1"/>
    </xf>
    <xf numFmtId="0" fontId="57" fillId="0" borderId="104" xfId="0" applyFont="1" applyBorder="1" applyAlignment="1" applyProtection="1">
      <alignment vertical="center"/>
      <protection hidden="1"/>
    </xf>
    <xf numFmtId="0" fontId="57" fillId="3" borderId="104" xfId="0" applyFont="1" applyFill="1" applyBorder="1" applyAlignment="1" applyProtection="1">
      <alignment vertical="center"/>
      <protection hidden="1"/>
    </xf>
    <xf numFmtId="0" fontId="57" fillId="3" borderId="55" xfId="0" applyFont="1" applyFill="1" applyBorder="1" applyAlignment="1" applyProtection="1">
      <alignment vertical="center" wrapText="1"/>
      <protection hidden="1"/>
    </xf>
    <xf numFmtId="0" fontId="57" fillId="3" borderId="50" xfId="0" applyFont="1" applyFill="1" applyBorder="1" applyAlignment="1" applyProtection="1">
      <alignment horizontal="center" vertical="center" wrapText="1"/>
      <protection hidden="1"/>
    </xf>
    <xf numFmtId="0" fontId="89" fillId="3" borderId="50" xfId="0" applyFont="1" applyFill="1" applyBorder="1" applyAlignment="1" applyProtection="1">
      <alignment horizontal="center" vertical="center" wrapText="1"/>
      <protection hidden="1"/>
    </xf>
    <xf numFmtId="0" fontId="57" fillId="18" borderId="0" xfId="0" applyFont="1" applyFill="1" applyAlignment="1" applyProtection="1">
      <alignment horizontal="center" vertical="center" wrapText="1"/>
      <protection hidden="1"/>
    </xf>
    <xf numFmtId="0" fontId="58" fillId="18" borderId="0" xfId="0" applyFont="1" applyFill="1" applyAlignment="1" applyProtection="1">
      <alignment vertical="center" wrapText="1"/>
      <protection hidden="1"/>
    </xf>
    <xf numFmtId="7" fontId="98" fillId="3" borderId="2" xfId="1" applyNumberFormat="1" applyFont="1" applyFill="1" applyBorder="1" applyAlignment="1" applyProtection="1">
      <alignment horizontal="center" vertical="center"/>
      <protection hidden="1"/>
    </xf>
    <xf numFmtId="7" fontId="98" fillId="3" borderId="51" xfId="1" applyNumberFormat="1" applyFont="1" applyFill="1" applyBorder="1" applyAlignment="1" applyProtection="1">
      <alignment horizontal="center" vertical="center"/>
      <protection hidden="1"/>
    </xf>
    <xf numFmtId="7" fontId="98" fillId="3" borderId="61" xfId="1" applyNumberFormat="1" applyFont="1" applyFill="1" applyBorder="1" applyAlignment="1" applyProtection="1">
      <alignment horizontal="center" vertical="center"/>
      <protection hidden="1"/>
    </xf>
    <xf numFmtId="7" fontId="98" fillId="3" borderId="57" xfId="1" applyNumberFormat="1" applyFont="1" applyFill="1" applyBorder="1" applyAlignment="1" applyProtection="1">
      <alignment horizontal="center" vertical="center"/>
      <protection hidden="1"/>
    </xf>
    <xf numFmtId="0" fontId="83" fillId="3" borderId="0" xfId="0" applyFont="1" applyFill="1" applyAlignment="1" applyProtection="1">
      <alignment vertical="center" wrapText="1"/>
      <protection hidden="1"/>
    </xf>
    <xf numFmtId="2" fontId="98" fillId="3" borderId="104" xfId="2" applyNumberFormat="1" applyFont="1" applyFill="1" applyBorder="1" applyAlignment="1" applyProtection="1">
      <alignment horizontal="center" vertical="center"/>
      <protection hidden="1"/>
    </xf>
    <xf numFmtId="4" fontId="98" fillId="3" borderId="104" xfId="2" applyNumberFormat="1" applyFont="1" applyFill="1" applyBorder="1" applyAlignment="1" applyProtection="1">
      <alignment horizontal="center" vertical="center"/>
      <protection hidden="1"/>
    </xf>
    <xf numFmtId="0" fontId="99" fillId="3" borderId="3" xfId="0" applyFont="1" applyFill="1" applyBorder="1" applyAlignment="1" applyProtection="1">
      <alignment horizontal="left" vertical="center" indent="1"/>
      <protection hidden="1"/>
    </xf>
    <xf numFmtId="0" fontId="102" fillId="18" borderId="0" xfId="0" applyFont="1" applyFill="1" applyAlignment="1" applyProtection="1">
      <alignment horizontal="left" vertical="center"/>
      <protection hidden="1"/>
    </xf>
    <xf numFmtId="0" fontId="102" fillId="18" borderId="0" xfId="0" applyFont="1" applyFill="1" applyAlignment="1" applyProtection="1">
      <alignment horizontal="center" vertical="center"/>
      <protection hidden="1"/>
    </xf>
    <xf numFmtId="2" fontId="98" fillId="3" borderId="111" xfId="2" applyNumberFormat="1" applyFont="1" applyFill="1" applyBorder="1" applyAlignment="1" applyProtection="1">
      <alignment horizontal="center" vertical="center"/>
      <protection hidden="1"/>
    </xf>
    <xf numFmtId="0" fontId="84" fillId="0" borderId="114" xfId="0" applyFont="1" applyBorder="1" applyAlignment="1" applyProtection="1">
      <alignment horizontal="left" vertical="center" wrapText="1"/>
      <protection hidden="1"/>
    </xf>
    <xf numFmtId="0" fontId="53" fillId="3" borderId="115" xfId="0" applyFont="1" applyFill="1" applyBorder="1" applyAlignment="1" applyProtection="1">
      <alignment horizontal="left" vertical="center"/>
      <protection hidden="1"/>
    </xf>
    <xf numFmtId="0" fontId="84" fillId="3" borderId="105" xfId="0" applyFont="1" applyFill="1" applyBorder="1" applyAlignment="1" applyProtection="1">
      <alignment horizontal="left" vertical="center" wrapText="1"/>
      <protection hidden="1"/>
    </xf>
    <xf numFmtId="0" fontId="53" fillId="3" borderId="107" xfId="0" applyFont="1" applyFill="1" applyBorder="1" applyAlignment="1" applyProtection="1">
      <alignment horizontal="left" vertical="center"/>
      <protection hidden="1"/>
    </xf>
    <xf numFmtId="0" fontId="53" fillId="18" borderId="0" xfId="0" applyFont="1" applyFill="1" applyAlignment="1" applyProtection="1">
      <alignment horizontal="left" vertical="center" indent="1"/>
      <protection hidden="1"/>
    </xf>
    <xf numFmtId="0" fontId="99" fillId="3" borderId="111" xfId="0" applyFont="1" applyFill="1" applyBorder="1" applyAlignment="1" applyProtection="1">
      <alignment horizontal="left" vertical="center" indent="1"/>
      <protection hidden="1"/>
    </xf>
    <xf numFmtId="0" fontId="57" fillId="3" borderId="112" xfId="0" applyFont="1" applyFill="1" applyBorder="1" applyAlignment="1" applyProtection="1">
      <alignment horizontal="left" vertical="center" indent="1"/>
      <protection hidden="1"/>
    </xf>
    <xf numFmtId="0" fontId="57" fillId="3" borderId="110" xfId="0" applyFont="1" applyFill="1" applyBorder="1" applyAlignment="1" applyProtection="1">
      <alignment horizontal="left" vertical="center" indent="1"/>
      <protection hidden="1"/>
    </xf>
    <xf numFmtId="0" fontId="57" fillId="18" borderId="0" xfId="0" applyFont="1" applyFill="1" applyAlignment="1" applyProtection="1">
      <alignment horizontal="left" vertical="center" indent="1"/>
      <protection hidden="1"/>
    </xf>
    <xf numFmtId="0" fontId="57" fillId="0" borderId="0" xfId="0" applyFont="1" applyAlignment="1" applyProtection="1">
      <alignment horizontal="left" vertical="center" indent="1"/>
      <protection hidden="1"/>
    </xf>
    <xf numFmtId="0" fontId="53" fillId="3" borderId="0" xfId="0" applyFont="1" applyFill="1" applyAlignment="1" applyProtection="1">
      <alignment horizontal="left" vertical="center" indent="1"/>
      <protection hidden="1"/>
    </xf>
    <xf numFmtId="0" fontId="53" fillId="0" borderId="0" xfId="0" applyFont="1"/>
    <xf numFmtId="0" fontId="85" fillId="0" borderId="0" xfId="0" applyFont="1"/>
    <xf numFmtId="0" fontId="103" fillId="0" borderId="0" xfId="0" applyFont="1"/>
    <xf numFmtId="0" fontId="93" fillId="0" borderId="0" xfId="0" applyFont="1" applyAlignment="1" applyProtection="1">
      <alignment horizontal="center" vertical="center"/>
      <protection hidden="1"/>
    </xf>
    <xf numFmtId="0" fontId="104" fillId="0" borderId="0" xfId="0" applyFont="1" applyAlignment="1">
      <alignment wrapText="1"/>
    </xf>
    <xf numFmtId="0" fontId="57" fillId="0" borderId="0" xfId="0" applyFont="1"/>
    <xf numFmtId="2" fontId="53" fillId="0" borderId="0" xfId="0" applyNumberFormat="1" applyFont="1"/>
    <xf numFmtId="0" fontId="104" fillId="0" borderId="0" xfId="0" applyFont="1"/>
    <xf numFmtId="0" fontId="81" fillId="0" borderId="0" xfId="0" applyFont="1" applyAlignment="1" applyProtection="1">
      <alignment horizontal="center" vertical="center"/>
      <protection hidden="1"/>
    </xf>
    <xf numFmtId="0" fontId="103" fillId="0" borderId="0" xfId="0" applyFont="1" applyAlignment="1" applyProtection="1">
      <alignment horizontal="center" vertical="center"/>
      <protection hidden="1"/>
    </xf>
    <xf numFmtId="0" fontId="81" fillId="0" borderId="0" xfId="0" applyFont="1" applyAlignment="1" applyProtection="1">
      <alignment horizontal="center" vertical="center" wrapText="1"/>
      <protection hidden="1"/>
    </xf>
    <xf numFmtId="165" fontId="85" fillId="0" borderId="0" xfId="0" applyNumberFormat="1" applyFont="1" applyAlignment="1" applyProtection="1">
      <alignment horizontal="center" vertical="center" wrapText="1"/>
      <protection locked="0"/>
    </xf>
    <xf numFmtId="165" fontId="103" fillId="0" borderId="0" xfId="0" applyNumberFormat="1" applyFont="1" applyAlignment="1" applyProtection="1">
      <alignment horizontal="center" vertical="center" wrapText="1"/>
      <protection locked="0"/>
    </xf>
    <xf numFmtId="164" fontId="85"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hidden="1"/>
    </xf>
    <xf numFmtId="164" fontId="53" fillId="0" borderId="0" xfId="0" applyNumberFormat="1" applyFont="1" applyAlignment="1" applyProtection="1">
      <alignment horizontal="center" vertical="center"/>
      <protection hidden="1"/>
    </xf>
    <xf numFmtId="0" fontId="53" fillId="22" borderId="0" xfId="0" applyFont="1" applyFill="1"/>
    <xf numFmtId="0" fontId="93" fillId="22" borderId="0" xfId="0" applyFont="1" applyFill="1" applyAlignment="1" applyProtection="1">
      <alignment horizontal="center" vertical="center"/>
      <protection hidden="1"/>
    </xf>
    <xf numFmtId="0" fontId="93" fillId="22" borderId="0" xfId="0" applyFont="1" applyFill="1" applyAlignment="1">
      <alignment vertical="center" wrapText="1"/>
    </xf>
    <xf numFmtId="0" fontId="93" fillId="22" borderId="0" xfId="0" applyFont="1" applyFill="1" applyAlignment="1" applyProtection="1">
      <alignment vertical="center"/>
      <protection hidden="1"/>
    </xf>
    <xf numFmtId="2" fontId="103" fillId="22" borderId="0" xfId="0" applyNumberFormat="1" applyFont="1" applyFill="1" applyAlignment="1" applyProtection="1">
      <alignment horizontal="center" vertical="center"/>
      <protection hidden="1"/>
    </xf>
    <xf numFmtId="9" fontId="103" fillId="22" borderId="0" xfId="2" applyFont="1" applyFill="1" applyBorder="1" applyAlignment="1" applyProtection="1">
      <alignment horizontal="center" vertical="center"/>
      <protection hidden="1"/>
    </xf>
    <xf numFmtId="0" fontId="103" fillId="22" borderId="0" xfId="0" applyFont="1" applyFill="1"/>
    <xf numFmtId="0" fontId="94" fillId="22" borderId="0" xfId="0" applyFont="1" applyFill="1" applyAlignment="1" applyProtection="1">
      <alignment horizontal="center" vertical="center" wrapText="1"/>
      <protection hidden="1"/>
    </xf>
    <xf numFmtId="0" fontId="85" fillId="22" borderId="0" xfId="0" applyFont="1" applyFill="1"/>
    <xf numFmtId="0" fontId="57" fillId="22" borderId="0" xfId="0" applyFont="1" applyFill="1" applyAlignment="1" applyProtection="1">
      <alignment vertical="center" wrapText="1"/>
      <protection hidden="1"/>
    </xf>
    <xf numFmtId="0" fontId="57" fillId="22" borderId="0" xfId="0" applyFont="1" applyFill="1" applyAlignment="1" applyProtection="1">
      <alignment horizontal="center" vertical="center" wrapText="1"/>
      <protection hidden="1"/>
    </xf>
    <xf numFmtId="0" fontId="52" fillId="22" borderId="0" xfId="0" applyFont="1" applyFill="1" applyAlignment="1" applyProtection="1">
      <alignment horizontal="center" vertical="center"/>
      <protection hidden="1"/>
    </xf>
    <xf numFmtId="0" fontId="59" fillId="22" borderId="0" xfId="0" applyFont="1" applyFill="1" applyAlignment="1" applyProtection="1">
      <alignment horizontal="center" vertical="center" wrapText="1"/>
      <protection hidden="1"/>
    </xf>
    <xf numFmtId="0" fontId="73" fillId="22" borderId="0" xfId="0" applyFont="1" applyFill="1" applyAlignment="1" applyProtection="1">
      <alignment vertical="center"/>
      <protection hidden="1"/>
    </xf>
    <xf numFmtId="0" fontId="81" fillId="22" borderId="0" xfId="0" applyFont="1" applyFill="1" applyAlignment="1" applyProtection="1">
      <alignment vertical="center" wrapText="1"/>
      <protection hidden="1"/>
    </xf>
    <xf numFmtId="0" fontId="58" fillId="22" borderId="0" xfId="0" applyFont="1" applyFill="1" applyAlignment="1" applyProtection="1">
      <alignment vertical="center" wrapText="1"/>
      <protection hidden="1"/>
    </xf>
    <xf numFmtId="0" fontId="52" fillId="22" borderId="0" xfId="0" applyFont="1" applyFill="1" applyAlignment="1" applyProtection="1">
      <alignment horizontal="center" vertical="center" wrapText="1"/>
      <protection hidden="1"/>
    </xf>
    <xf numFmtId="0" fontId="52" fillId="3" borderId="1" xfId="0" applyFont="1" applyFill="1" applyBorder="1" applyAlignment="1" applyProtection="1">
      <alignment horizontal="center" vertical="center"/>
      <protection hidden="1"/>
    </xf>
    <xf numFmtId="0" fontId="84" fillId="22" borderId="0" xfId="0" applyFont="1" applyFill="1" applyAlignment="1" applyProtection="1">
      <alignment horizontal="right" vertical="center" wrapText="1"/>
      <protection hidden="1"/>
    </xf>
    <xf numFmtId="0" fontId="89" fillId="22" borderId="0" xfId="0" applyFont="1" applyFill="1" applyAlignment="1" applyProtection="1">
      <alignment horizontal="center" vertical="center" wrapText="1"/>
      <protection hidden="1"/>
    </xf>
    <xf numFmtId="2" fontId="85" fillId="22" borderId="0" xfId="0" applyNumberFormat="1" applyFont="1" applyFill="1" applyAlignment="1" applyProtection="1">
      <alignment horizontal="center" vertical="center"/>
      <protection hidden="1"/>
    </xf>
    <xf numFmtId="2" fontId="53" fillId="22" borderId="0" xfId="1" applyNumberFormat="1" applyFont="1" applyFill="1" applyBorder="1" applyAlignment="1" applyProtection="1">
      <alignment horizontal="center" vertical="center"/>
      <protection hidden="1"/>
    </xf>
    <xf numFmtId="2" fontId="53" fillId="22" borderId="0" xfId="0" applyNumberFormat="1" applyFont="1" applyFill="1" applyAlignment="1" applyProtection="1">
      <alignment horizontal="center" vertical="center"/>
      <protection hidden="1"/>
    </xf>
    <xf numFmtId="0" fontId="84" fillId="22" borderId="0" xfId="0" applyFont="1" applyFill="1" applyAlignment="1" applyProtection="1">
      <alignment horizontal="center" vertical="center" wrapText="1"/>
      <protection hidden="1"/>
    </xf>
    <xf numFmtId="0" fontId="84" fillId="3" borderId="1" xfId="0" applyFont="1" applyFill="1" applyBorder="1" applyAlignment="1" applyProtection="1">
      <alignment horizontal="center" vertical="center" wrapText="1"/>
      <protection hidden="1"/>
    </xf>
    <xf numFmtId="2" fontId="85" fillId="3" borderId="1" xfId="1" applyNumberFormat="1" applyFont="1" applyFill="1" applyBorder="1" applyAlignment="1" applyProtection="1">
      <alignment horizontal="center" vertical="center"/>
      <protection hidden="1"/>
    </xf>
    <xf numFmtId="2" fontId="85" fillId="3" borderId="1" xfId="0" applyNumberFormat="1" applyFont="1" applyFill="1" applyBorder="1" applyAlignment="1" applyProtection="1">
      <alignment horizontal="center" vertical="center"/>
      <protection hidden="1"/>
    </xf>
    <xf numFmtId="2" fontId="53" fillId="3" borderId="1" xfId="1" applyNumberFormat="1" applyFont="1" applyFill="1" applyBorder="1" applyAlignment="1" applyProtection="1">
      <alignment horizontal="center" vertical="center"/>
      <protection hidden="1"/>
    </xf>
    <xf numFmtId="2" fontId="53" fillId="3" borderId="1" xfId="0" applyNumberFormat="1" applyFont="1" applyFill="1" applyBorder="1" applyAlignment="1" applyProtection="1">
      <alignment horizontal="center" vertical="center"/>
      <protection hidden="1"/>
    </xf>
    <xf numFmtId="4" fontId="85" fillId="3" borderId="1" xfId="2"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locked="0" hidden="1"/>
    </xf>
    <xf numFmtId="2" fontId="105" fillId="22" borderId="0" xfId="0" applyNumberFormat="1" applyFont="1" applyFill="1" applyAlignment="1" applyProtection="1">
      <alignment horizontal="center" vertical="center"/>
      <protection hidden="1"/>
    </xf>
    <xf numFmtId="9" fontId="105" fillId="22" borderId="0" xfId="2"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locked="0"/>
    </xf>
    <xf numFmtId="9" fontId="105" fillId="22" borderId="0" xfId="2" applyFont="1" applyFill="1" applyBorder="1" applyAlignment="1" applyProtection="1">
      <alignment horizontal="center" vertical="center"/>
      <protection locked="0"/>
    </xf>
    <xf numFmtId="0" fontId="53" fillId="24" borderId="0" xfId="0" applyFont="1" applyFill="1"/>
    <xf numFmtId="0" fontId="85" fillId="24" borderId="0" xfId="0" applyFont="1" applyFill="1"/>
    <xf numFmtId="0" fontId="103" fillId="24" borderId="0" xfId="0" applyFont="1" applyFill="1"/>
    <xf numFmtId="0" fontId="53" fillId="24" borderId="0" xfId="0" applyFont="1" applyFill="1" applyAlignment="1" applyProtection="1">
      <alignment horizontal="center" vertical="center"/>
      <protection hidden="1"/>
    </xf>
    <xf numFmtId="0" fontId="109" fillId="0" borderId="0" xfId="0" applyFont="1" applyAlignment="1" applyProtection="1">
      <alignment horizontal="right" vertical="center" wrapText="1"/>
      <protection hidden="1"/>
    </xf>
    <xf numFmtId="3" fontId="53" fillId="0" borderId="0" xfId="0" applyNumberFormat="1" applyFont="1" applyAlignment="1" applyProtection="1">
      <alignment horizontal="center" vertical="center"/>
      <protection hidden="1"/>
    </xf>
    <xf numFmtId="0" fontId="84" fillId="0" borderId="0" xfId="0" applyFont="1" applyAlignment="1" applyProtection="1">
      <alignment horizontal="right" vertical="center" wrapText="1"/>
      <protection hidden="1"/>
    </xf>
    <xf numFmtId="3" fontId="57" fillId="3" borderId="1" xfId="0" applyNumberFormat="1" applyFont="1" applyFill="1" applyBorder="1" applyAlignment="1" applyProtection="1">
      <alignment horizontal="center" vertical="center"/>
      <protection hidden="1"/>
    </xf>
    <xf numFmtId="165" fontId="57" fillId="3" borderId="1" xfId="0" applyNumberFormat="1" applyFont="1" applyFill="1" applyBorder="1" applyAlignment="1" applyProtection="1">
      <alignment horizontal="center" vertical="center"/>
      <protection hidden="1"/>
    </xf>
    <xf numFmtId="0" fontId="84" fillId="3" borderId="1" xfId="0" applyFont="1" applyFill="1" applyBorder="1" applyAlignment="1" applyProtection="1">
      <alignment horizontal="right" vertical="center" wrapText="1"/>
      <protection hidden="1"/>
    </xf>
    <xf numFmtId="3" fontId="53" fillId="0" borderId="1" xfId="0" applyNumberFormat="1" applyFont="1" applyBorder="1" applyAlignment="1" applyProtection="1">
      <alignment horizontal="center" vertical="center"/>
      <protection hidden="1"/>
    </xf>
    <xf numFmtId="3" fontId="84" fillId="0" borderId="0" xfId="0" applyNumberFormat="1" applyFont="1" applyAlignment="1" applyProtection="1">
      <alignment horizontal="right" vertical="center" wrapText="1"/>
      <protection hidden="1"/>
    </xf>
    <xf numFmtId="3" fontId="57" fillId="0" borderId="1" xfId="0" applyNumberFormat="1" applyFont="1" applyBorder="1" applyAlignment="1" applyProtection="1">
      <alignment horizontal="center" vertical="center"/>
      <protection hidden="1"/>
    </xf>
    <xf numFmtId="0" fontId="89" fillId="14" borderId="1" xfId="0" applyFont="1" applyFill="1" applyBorder="1" applyAlignment="1" applyProtection="1">
      <alignment horizontal="right" vertical="center" wrapText="1"/>
      <protection hidden="1"/>
    </xf>
    <xf numFmtId="3" fontId="57" fillId="14" borderId="1" xfId="0" applyNumberFormat="1" applyFont="1" applyFill="1" applyBorder="1" applyAlignment="1" applyProtection="1">
      <alignment horizontal="center" vertical="center"/>
      <protection hidden="1"/>
    </xf>
    <xf numFmtId="0" fontId="84" fillId="0" borderId="0" xfId="0" applyFont="1" applyAlignment="1" applyProtection="1">
      <alignment vertical="center"/>
      <protection hidden="1"/>
    </xf>
    <xf numFmtId="0" fontId="84" fillId="14" borderId="1" xfId="0" applyFont="1" applyFill="1" applyBorder="1" applyAlignment="1" applyProtection="1">
      <alignment horizontal="right" vertical="center" wrapText="1"/>
      <protection hidden="1"/>
    </xf>
    <xf numFmtId="3" fontId="53" fillId="14"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wrapText="1"/>
      <protection hidden="1"/>
    </xf>
    <xf numFmtId="3" fontId="53" fillId="3"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protection hidden="1"/>
    </xf>
    <xf numFmtId="165" fontId="53" fillId="0" borderId="0" xfId="0" applyNumberFormat="1" applyFont="1" applyAlignment="1" applyProtection="1">
      <alignment horizontal="center" vertical="center"/>
      <protection hidden="1"/>
    </xf>
    <xf numFmtId="165" fontId="109" fillId="0" borderId="0" xfId="0" applyNumberFormat="1" applyFont="1" applyAlignment="1" applyProtection="1">
      <alignment horizontal="left" vertical="center"/>
      <protection hidden="1"/>
    </xf>
    <xf numFmtId="165" fontId="85" fillId="0" borderId="0" xfId="0" applyNumberFormat="1" applyFont="1" applyAlignment="1" applyProtection="1">
      <alignment horizontal="center" vertical="center"/>
      <protection hidden="1"/>
    </xf>
    <xf numFmtId="0" fontId="84" fillId="0" borderId="1" xfId="0" applyFont="1" applyBorder="1" applyAlignment="1" applyProtection="1">
      <alignment horizontal="right" vertical="center" wrapText="1"/>
      <protection hidden="1"/>
    </xf>
    <xf numFmtId="165" fontId="53" fillId="0" borderId="1" xfId="0" applyNumberFormat="1" applyFont="1" applyBorder="1" applyAlignment="1" applyProtection="1">
      <alignment horizontal="center" vertical="center"/>
      <protection hidden="1"/>
    </xf>
    <xf numFmtId="165" fontId="109" fillId="0" borderId="0" xfId="0" applyNumberFormat="1" applyFont="1" applyAlignment="1" applyProtection="1">
      <alignment horizontal="right" vertical="center" wrapText="1"/>
      <protection hidden="1"/>
    </xf>
    <xf numFmtId="165" fontId="53" fillId="3" borderId="1" xfId="0" applyNumberFormat="1" applyFont="1" applyFill="1" applyBorder="1" applyAlignment="1" applyProtection="1">
      <alignment horizontal="center" vertical="center"/>
      <protection hidden="1"/>
    </xf>
    <xf numFmtId="0" fontId="109" fillId="0" borderId="0" xfId="0" applyFont="1" applyAlignment="1" applyProtection="1">
      <alignment horizontal="left" vertical="center"/>
      <protection hidden="1"/>
    </xf>
    <xf numFmtId="0" fontId="53" fillId="3" borderId="0" xfId="0" applyFont="1" applyFill="1" applyProtection="1">
      <protection hidden="1"/>
    </xf>
    <xf numFmtId="0" fontId="53" fillId="0" borderId="0" xfId="0" applyFont="1" applyProtection="1">
      <protection hidden="1"/>
    </xf>
    <xf numFmtId="3" fontId="57" fillId="0" borderId="0" xfId="0" applyNumberFormat="1" applyFont="1" applyAlignment="1" applyProtection="1">
      <alignment horizontal="center" vertical="center"/>
      <protection hidden="1"/>
    </xf>
    <xf numFmtId="0" fontId="53" fillId="3" borderId="0" xfId="0" quotePrefix="1" applyFont="1" applyFill="1" applyProtection="1">
      <protection hidden="1"/>
    </xf>
    <xf numFmtId="0" fontId="53" fillId="4" borderId="0" xfId="0" applyFont="1" applyFill="1" applyProtection="1">
      <protection hidden="1"/>
    </xf>
    <xf numFmtId="0" fontId="53" fillId="4" borderId="0" xfId="0" applyFont="1" applyFill="1"/>
    <xf numFmtId="0" fontId="57" fillId="8" borderId="0" xfId="0" applyFont="1" applyFill="1" applyAlignment="1" applyProtection="1">
      <alignment horizontal="center" vertical="center" wrapText="1"/>
      <protection hidden="1"/>
    </xf>
    <xf numFmtId="0" fontId="57" fillId="0" borderId="0" xfId="0" applyFont="1" applyAlignment="1" applyProtection="1">
      <alignment vertical="center" wrapText="1"/>
      <protection hidden="1"/>
    </xf>
    <xf numFmtId="0" fontId="53" fillId="4" borderId="0" xfId="0" applyFont="1" applyFill="1" applyAlignment="1" applyProtection="1">
      <alignment horizontal="center" vertical="center"/>
      <protection hidden="1"/>
    </xf>
    <xf numFmtId="0" fontId="121" fillId="23" borderId="0" xfId="0" applyFont="1" applyFill="1"/>
    <xf numFmtId="0" fontId="122" fillId="23" borderId="0" xfId="0" applyFont="1" applyFill="1"/>
    <xf numFmtId="0" fontId="106" fillId="0" borderId="0" xfId="0" applyFont="1"/>
    <xf numFmtId="0" fontId="106" fillId="4" borderId="0" xfId="0" applyFont="1" applyFill="1"/>
    <xf numFmtId="0" fontId="123" fillId="4" borderId="0" xfId="0" applyFont="1" applyFill="1" applyAlignment="1">
      <alignment vertical="center"/>
    </xf>
    <xf numFmtId="0" fontId="124" fillId="4" borderId="0" xfId="0" applyFont="1" applyFill="1"/>
    <xf numFmtId="0" fontId="125" fillId="4" borderId="0" xfId="0" applyFont="1" applyFill="1" applyAlignment="1">
      <alignment vertical="center"/>
    </xf>
    <xf numFmtId="0" fontId="107" fillId="4" borderId="0" xfId="0" applyFont="1" applyFill="1" applyAlignment="1" applyProtection="1">
      <alignment horizontal="center" vertical="center"/>
      <protection hidden="1"/>
    </xf>
    <xf numFmtId="0" fontId="107" fillId="4" borderId="0" xfId="0" applyFont="1" applyFill="1"/>
    <xf numFmtId="3" fontId="108" fillId="0" borderId="0" xfId="0" applyNumberFormat="1" applyFont="1" applyAlignment="1" applyProtection="1">
      <alignment horizontal="center" vertical="center"/>
      <protection hidden="1"/>
    </xf>
    <xf numFmtId="0" fontId="107" fillId="0" borderId="0" xfId="0" applyFont="1" applyProtection="1">
      <protection hidden="1"/>
    </xf>
    <xf numFmtId="0" fontId="107" fillId="3" borderId="0" xfId="0" applyFont="1" applyFill="1" applyProtection="1">
      <protection hidden="1"/>
    </xf>
    <xf numFmtId="0" fontId="57" fillId="4" borderId="0" xfId="0" applyFont="1" applyFill="1" applyAlignment="1" applyProtection="1">
      <alignment horizontal="center" vertical="center"/>
      <protection hidden="1"/>
    </xf>
    <xf numFmtId="0" fontId="107" fillId="4" borderId="0" xfId="0" applyFont="1" applyFill="1" applyProtection="1">
      <protection hidden="1"/>
    </xf>
    <xf numFmtId="0" fontId="81" fillId="10" borderId="0" xfId="0" applyFont="1" applyFill="1" applyAlignment="1" applyProtection="1">
      <alignment horizontal="center" vertical="center"/>
      <protection hidden="1"/>
    </xf>
    <xf numFmtId="0" fontId="53" fillId="23" borderId="0" xfId="0" applyFont="1" applyFill="1" applyAlignment="1" applyProtection="1">
      <alignment horizontal="center" vertical="center"/>
      <protection hidden="1"/>
    </xf>
    <xf numFmtId="0" fontId="53" fillId="23" borderId="0" xfId="0" applyFont="1" applyFill="1"/>
    <xf numFmtId="0" fontId="122" fillId="4" borderId="0" xfId="0" applyFont="1" applyFill="1" applyAlignment="1" applyProtection="1">
      <alignment horizontal="center" vertical="center"/>
      <protection hidden="1"/>
    </xf>
    <xf numFmtId="0" fontId="81" fillId="4" borderId="0" xfId="0" applyFont="1" applyFill="1" applyAlignment="1" applyProtection="1">
      <alignment horizontal="center" vertical="center"/>
      <protection hidden="1"/>
    </xf>
    <xf numFmtId="0" fontId="84" fillId="4" borderId="5" xfId="0" applyFont="1" applyFill="1" applyBorder="1" applyAlignment="1" applyProtection="1">
      <alignment horizontal="right" vertical="center" wrapText="1"/>
      <protection hidden="1"/>
    </xf>
    <xf numFmtId="3" fontId="53" fillId="4" borderId="5" xfId="0" applyNumberFormat="1" applyFont="1" applyFill="1" applyBorder="1" applyAlignment="1" applyProtection="1">
      <alignment horizontal="center" vertical="center"/>
      <protection hidden="1"/>
    </xf>
    <xf numFmtId="0" fontId="84" fillId="4" borderId="0" xfId="0" applyFont="1" applyFill="1" applyAlignment="1" applyProtection="1">
      <alignment horizontal="right" vertical="center" wrapText="1"/>
      <protection hidden="1"/>
    </xf>
    <xf numFmtId="3" fontId="53" fillId="4" borderId="0" xfId="0" applyNumberFormat="1" applyFont="1" applyFill="1" applyAlignment="1" applyProtection="1">
      <alignment horizontal="center" vertical="center"/>
      <protection hidden="1"/>
    </xf>
    <xf numFmtId="0" fontId="126" fillId="3" borderId="1" xfId="0" applyFont="1" applyFill="1" applyBorder="1" applyAlignment="1" applyProtection="1">
      <alignment horizontal="right" vertical="center" wrapText="1"/>
      <protection hidden="1"/>
    </xf>
    <xf numFmtId="0" fontId="57" fillId="4" borderId="2"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protection hidden="1"/>
    </xf>
    <xf numFmtId="0" fontId="58" fillId="4" borderId="5" xfId="0" applyFont="1" applyFill="1" applyBorder="1" applyAlignment="1" applyProtection="1">
      <alignment horizontal="center" vertical="center" wrapText="1"/>
      <protection hidden="1"/>
    </xf>
    <xf numFmtId="3" fontId="58" fillId="14" borderId="1" xfId="0" applyNumberFormat="1" applyFont="1" applyFill="1" applyBorder="1" applyAlignment="1" applyProtection="1">
      <alignment horizontal="center" vertical="center"/>
      <protection hidden="1"/>
    </xf>
    <xf numFmtId="3" fontId="91" fillId="14" borderId="1" xfId="0" applyNumberFormat="1" applyFont="1" applyFill="1" applyBorder="1" applyAlignment="1" applyProtection="1">
      <alignment horizontal="center" vertical="center"/>
      <protection hidden="1"/>
    </xf>
    <xf numFmtId="0" fontId="87" fillId="4" borderId="5" xfId="0" applyFont="1" applyFill="1" applyBorder="1" applyAlignment="1" applyProtection="1">
      <alignment horizontal="right" vertical="center" wrapText="1"/>
      <protection hidden="1"/>
    </xf>
    <xf numFmtId="3" fontId="91" fillId="4" borderId="5" xfId="0" applyNumberFormat="1" applyFont="1" applyFill="1" applyBorder="1" applyAlignment="1" applyProtection="1">
      <alignment horizontal="center" vertical="center"/>
      <protection hidden="1"/>
    </xf>
    <xf numFmtId="0" fontId="118" fillId="4" borderId="53" xfId="0" applyFont="1" applyFill="1" applyBorder="1" applyAlignment="1" applyProtection="1">
      <alignment horizontal="right" vertical="center" wrapText="1"/>
      <protection hidden="1"/>
    </xf>
    <xf numFmtId="3" fontId="119" fillId="4" borderId="53" xfId="0" applyNumberFormat="1" applyFont="1" applyFill="1" applyBorder="1" applyAlignment="1" applyProtection="1">
      <alignment horizontal="center" vertical="center"/>
      <protection hidden="1"/>
    </xf>
    <xf numFmtId="0" fontId="57" fillId="4" borderId="2" xfId="0" applyFont="1" applyFill="1" applyBorder="1" applyAlignment="1" applyProtection="1">
      <alignment horizontal="center" vertical="center" wrapText="1"/>
      <protection hidden="1"/>
    </xf>
    <xf numFmtId="0" fontId="114" fillId="4" borderId="53" xfId="0" applyFont="1" applyFill="1" applyBorder="1" applyAlignment="1" applyProtection="1">
      <alignment horizontal="right" vertical="center" wrapText="1"/>
      <protection hidden="1"/>
    </xf>
    <xf numFmtId="3" fontId="115" fillId="4" borderId="53" xfId="0" applyNumberFormat="1" applyFont="1" applyFill="1" applyBorder="1" applyAlignment="1" applyProtection="1">
      <alignment horizontal="center" vertical="center"/>
      <protection hidden="1"/>
    </xf>
    <xf numFmtId="0" fontId="116" fillId="4" borderId="2" xfId="0" applyFont="1" applyFill="1" applyBorder="1" applyAlignment="1" applyProtection="1">
      <alignment horizontal="center" vertical="center" wrapText="1"/>
      <protection hidden="1"/>
    </xf>
    <xf numFmtId="0" fontId="111" fillId="14" borderId="1" xfId="0" applyFont="1" applyFill="1" applyBorder="1" applyAlignment="1" applyProtection="1">
      <alignment horizontal="right" vertical="center" wrapText="1"/>
      <protection hidden="1"/>
    </xf>
    <xf numFmtId="0" fontId="87" fillId="14" borderId="1" xfId="0" applyFont="1" applyFill="1" applyBorder="1" applyAlignment="1" applyProtection="1">
      <alignment horizontal="right" vertical="center" wrapText="1"/>
      <protection hidden="1"/>
    </xf>
    <xf numFmtId="0" fontId="113" fillId="14" borderId="1" xfId="0" applyFont="1" applyFill="1" applyBorder="1" applyAlignment="1" applyProtection="1">
      <alignment horizontal="right" vertical="center" wrapText="1"/>
      <protection hidden="1"/>
    </xf>
    <xf numFmtId="3" fontId="112" fillId="14" borderId="1" xfId="0" applyNumberFormat="1" applyFont="1" applyFill="1" applyBorder="1" applyAlignment="1" applyProtection="1">
      <alignment horizontal="center" vertical="center"/>
      <protection hidden="1"/>
    </xf>
    <xf numFmtId="0" fontId="114" fillId="14" borderId="1" xfId="0" applyFont="1" applyFill="1" applyBorder="1" applyAlignment="1" applyProtection="1">
      <alignment horizontal="right" vertical="center" wrapText="1"/>
      <protection hidden="1"/>
    </xf>
    <xf numFmtId="3" fontId="115" fillId="14" borderId="1" xfId="0" applyNumberFormat="1" applyFont="1" applyFill="1" applyBorder="1" applyAlignment="1" applyProtection="1">
      <alignment horizontal="center" vertical="center"/>
      <protection hidden="1"/>
    </xf>
    <xf numFmtId="0" fontId="117" fillId="14" borderId="1" xfId="0" applyFont="1" applyFill="1" applyBorder="1" applyAlignment="1" applyProtection="1">
      <alignment horizontal="right" vertical="center" wrapText="1"/>
      <protection hidden="1"/>
    </xf>
    <xf numFmtId="3" fontId="116" fillId="14" borderId="1" xfId="0" applyNumberFormat="1" applyFont="1" applyFill="1" applyBorder="1" applyAlignment="1" applyProtection="1">
      <alignment horizontal="center" vertical="center"/>
      <protection hidden="1"/>
    </xf>
    <xf numFmtId="0" fontId="118" fillId="14" borderId="1" xfId="0" applyFont="1" applyFill="1" applyBorder="1" applyAlignment="1" applyProtection="1">
      <alignment horizontal="right" vertical="center" wrapText="1"/>
      <protection hidden="1"/>
    </xf>
    <xf numFmtId="3" fontId="119" fillId="14" borderId="1" xfId="0" applyNumberFormat="1" applyFont="1" applyFill="1" applyBorder="1" applyAlignment="1" applyProtection="1">
      <alignment horizontal="center" vertical="center"/>
      <protection hidden="1"/>
    </xf>
    <xf numFmtId="0" fontId="84" fillId="4" borderId="53" xfId="0" applyFont="1" applyFill="1" applyBorder="1" applyAlignment="1" applyProtection="1">
      <alignment horizontal="right" vertical="center" wrapText="1"/>
      <protection hidden="1"/>
    </xf>
    <xf numFmtId="3" fontId="53" fillId="4" borderId="53" xfId="0" applyNumberFormat="1" applyFont="1" applyFill="1" applyBorder="1" applyAlignment="1" applyProtection="1">
      <alignment horizontal="center" vertical="center"/>
      <protection hidden="1"/>
    </xf>
    <xf numFmtId="0" fontId="126" fillId="0" borderId="1" xfId="0" applyFont="1" applyBorder="1" applyAlignment="1" applyProtection="1">
      <alignment horizontal="right" vertical="center" wrapText="1"/>
      <protection hidden="1"/>
    </xf>
    <xf numFmtId="165" fontId="85" fillId="4" borderId="53" xfId="0" applyNumberFormat="1" applyFont="1" applyFill="1" applyBorder="1" applyAlignment="1" applyProtection="1">
      <alignment horizontal="center" vertical="center"/>
      <protection hidden="1"/>
    </xf>
    <xf numFmtId="165" fontId="53" fillId="4" borderId="53" xfId="0" applyNumberFormat="1" applyFont="1" applyFill="1" applyBorder="1" applyAlignment="1" applyProtection="1">
      <alignment horizontal="center" vertical="center"/>
      <protection hidden="1"/>
    </xf>
    <xf numFmtId="0" fontId="93" fillId="4" borderId="0" xfId="0" applyFont="1" applyFill="1" applyAlignment="1" applyProtection="1">
      <alignment horizontal="center" vertical="center" wrapText="1"/>
      <protection hidden="1"/>
    </xf>
    <xf numFmtId="0" fontId="57" fillId="4" borderId="0" xfId="0" applyFont="1" applyFill="1" applyAlignment="1" applyProtection="1">
      <alignment horizontal="center" vertical="center" wrapText="1"/>
      <protection hidden="1"/>
    </xf>
    <xf numFmtId="165" fontId="53" fillId="4" borderId="0" xfId="0" applyNumberFormat="1" applyFont="1" applyFill="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0" fontId="108" fillId="4" borderId="0" xfId="0" applyFont="1" applyFill="1" applyAlignment="1" applyProtection="1">
      <alignment horizontal="center" vertical="center" wrapText="1"/>
      <protection hidden="1"/>
    </xf>
    <xf numFmtId="3" fontId="53" fillId="4" borderId="2" xfId="0" applyNumberFormat="1" applyFont="1" applyFill="1" applyBorder="1" applyAlignment="1" applyProtection="1">
      <alignment horizontal="center" vertical="center"/>
      <protection hidden="1"/>
    </xf>
    <xf numFmtId="0" fontId="57" fillId="4" borderId="53" xfId="0" applyFont="1" applyFill="1" applyBorder="1" applyAlignment="1" applyProtection="1">
      <alignment horizontal="center" vertical="center"/>
      <protection hidden="1"/>
    </xf>
    <xf numFmtId="165" fontId="57" fillId="4" borderId="0" xfId="0" applyNumberFormat="1" applyFont="1" applyFill="1" applyAlignment="1" applyProtection="1">
      <alignment horizontal="center" vertical="center"/>
      <protection hidden="1"/>
    </xf>
    <xf numFmtId="0" fontId="58" fillId="4" borderId="53" xfId="0" applyFont="1" applyFill="1" applyBorder="1" applyAlignment="1" applyProtection="1">
      <alignment horizontal="center" vertical="center" wrapText="1"/>
      <protection hidden="1"/>
    </xf>
    <xf numFmtId="3" fontId="91" fillId="4" borderId="2" xfId="0" applyNumberFormat="1" applyFont="1" applyFill="1" applyBorder="1" applyAlignment="1" applyProtection="1">
      <alignment horizontal="center" vertical="center"/>
      <protection hidden="1"/>
    </xf>
    <xf numFmtId="3" fontId="58" fillId="4" borderId="0" xfId="0" applyNumberFormat="1" applyFont="1" applyFill="1" applyAlignment="1" applyProtection="1">
      <alignment horizontal="center" vertical="center"/>
      <protection hidden="1"/>
    </xf>
    <xf numFmtId="3" fontId="91" fillId="4" borderId="0" xfId="0" applyNumberFormat="1" applyFont="1" applyFill="1" applyAlignment="1" applyProtection="1">
      <alignment horizontal="center" vertical="center"/>
      <protection hidden="1"/>
    </xf>
    <xf numFmtId="3" fontId="115" fillId="4" borderId="0" xfId="0" applyNumberFormat="1" applyFont="1" applyFill="1" applyAlignment="1" applyProtection="1">
      <alignment horizontal="center" vertical="center"/>
      <protection hidden="1"/>
    </xf>
    <xf numFmtId="3" fontId="112" fillId="4" borderId="0" xfId="0" applyNumberFormat="1" applyFont="1" applyFill="1" applyAlignment="1" applyProtection="1">
      <alignment horizontal="center" vertical="center"/>
      <protection hidden="1"/>
    </xf>
    <xf numFmtId="0" fontId="116" fillId="4" borderId="0" xfId="0" applyFont="1" applyFill="1" applyAlignment="1" applyProtection="1">
      <alignment horizontal="center" vertical="center" wrapText="1"/>
      <protection hidden="1"/>
    </xf>
    <xf numFmtId="3" fontId="119" fillId="4" borderId="0" xfId="0" applyNumberFormat="1" applyFont="1" applyFill="1" applyAlignment="1" applyProtection="1">
      <alignment horizontal="center" vertical="center"/>
      <protection hidden="1"/>
    </xf>
    <xf numFmtId="3" fontId="116" fillId="4" borderId="0" xfId="0" applyNumberFormat="1" applyFont="1" applyFill="1" applyAlignment="1" applyProtection="1">
      <alignment horizontal="center" vertical="center"/>
      <protection hidden="1"/>
    </xf>
    <xf numFmtId="165" fontId="85" fillId="4" borderId="0" xfId="0" applyNumberFormat="1" applyFont="1" applyFill="1" applyAlignment="1" applyProtection="1">
      <alignment horizontal="center" vertical="center"/>
      <protection hidden="1"/>
    </xf>
    <xf numFmtId="0" fontId="112" fillId="4" borderId="0" xfId="0" applyFont="1" applyFill="1" applyAlignment="1" applyProtection="1">
      <alignment horizontal="center" vertical="center" wrapText="1"/>
      <protection hidden="1"/>
    </xf>
    <xf numFmtId="0" fontId="112" fillId="4" borderId="2" xfId="0" applyFont="1" applyFill="1" applyBorder="1" applyAlignment="1" applyProtection="1">
      <alignment horizontal="center" vertical="center" wrapText="1"/>
      <protection hidden="1"/>
    </xf>
    <xf numFmtId="0" fontId="108" fillId="8" borderId="1" xfId="0" applyFont="1" applyFill="1" applyBorder="1" applyAlignment="1" applyProtection="1">
      <alignment horizontal="center" vertical="center" wrapText="1"/>
      <protection hidden="1"/>
    </xf>
    <xf numFmtId="0" fontId="53" fillId="24" borderId="0" xfId="0" applyFont="1" applyFill="1" applyProtection="1">
      <protection hidden="1"/>
    </xf>
    <xf numFmtId="0" fontId="106" fillId="24" borderId="0" xfId="0" applyFont="1" applyFill="1"/>
    <xf numFmtId="0" fontId="53" fillId="18" borderId="0" xfId="0" applyFont="1" applyFill="1"/>
    <xf numFmtId="0" fontId="57" fillId="18" borderId="0" xfId="0" applyFont="1" applyFill="1"/>
    <xf numFmtId="0" fontId="53" fillId="18" borderId="0" xfId="0" applyFont="1" applyFill="1" applyAlignment="1">
      <alignment horizontal="center" vertical="center"/>
    </xf>
    <xf numFmtId="169" fontId="53" fillId="18" borderId="0" xfId="4" applyNumberFormat="1" applyFont="1" applyFill="1" applyAlignment="1">
      <alignment horizontal="center" vertical="center"/>
    </xf>
    <xf numFmtId="0" fontId="53" fillId="18" borderId="0" xfId="0" applyFont="1" applyFill="1" applyAlignment="1">
      <alignment horizontal="center" vertical="top" wrapText="1"/>
    </xf>
    <xf numFmtId="0" fontId="130" fillId="19" borderId="0" xfId="0" applyFont="1" applyFill="1" applyAlignment="1">
      <alignment vertical="center"/>
    </xf>
    <xf numFmtId="0" fontId="120" fillId="19" borderId="0" xfId="0" applyFont="1" applyFill="1" applyAlignment="1">
      <alignment vertical="center"/>
    </xf>
    <xf numFmtId="0" fontId="53" fillId="3" borderId="1" xfId="0" applyFont="1" applyFill="1" applyBorder="1" applyAlignment="1">
      <alignment horizontal="center" vertical="center"/>
    </xf>
    <xf numFmtId="0" fontId="53" fillId="3" borderId="1" xfId="0" applyFont="1" applyFill="1" applyBorder="1" applyAlignment="1">
      <alignment horizontal="center" vertical="center" wrapText="1"/>
    </xf>
    <xf numFmtId="169" fontId="53" fillId="3" borderId="1" xfId="4" applyNumberFormat="1" applyFont="1" applyFill="1" applyBorder="1" applyAlignment="1">
      <alignment horizontal="center" vertical="center"/>
    </xf>
    <xf numFmtId="0" fontId="130" fillId="18" borderId="0" xfId="0" applyFont="1" applyFill="1"/>
    <xf numFmtId="0" fontId="53" fillId="0" borderId="0" xfId="0" applyFont="1" applyAlignment="1">
      <alignment vertical="center"/>
    </xf>
    <xf numFmtId="0" fontId="53" fillId="18" borderId="0" xfId="0" applyFont="1" applyFill="1" applyAlignment="1">
      <alignment vertical="center"/>
    </xf>
    <xf numFmtId="0" fontId="53" fillId="18" borderId="0" xfId="0" applyFont="1" applyFill="1" applyAlignment="1">
      <alignment horizontal="center" vertical="center" wrapText="1"/>
    </xf>
    <xf numFmtId="169" fontId="53" fillId="18" borderId="0" xfId="4" applyNumberFormat="1" applyFont="1" applyFill="1" applyBorder="1" applyAlignment="1">
      <alignment horizontal="center" vertical="center"/>
    </xf>
    <xf numFmtId="0" fontId="53" fillId="3" borderId="3" xfId="0" applyFont="1" applyFill="1" applyBorder="1" applyAlignment="1">
      <alignment horizontal="center" vertical="center"/>
    </xf>
    <xf numFmtId="0" fontId="53" fillId="3" borderId="49" xfId="0" applyFont="1" applyFill="1" applyBorder="1" applyAlignment="1">
      <alignment horizontal="center" vertical="center"/>
    </xf>
    <xf numFmtId="169" fontId="131" fillId="3" borderId="62" xfId="4" applyNumberFormat="1" applyFont="1" applyFill="1" applyBorder="1" applyAlignment="1">
      <alignment horizontal="center" vertical="center"/>
    </xf>
    <xf numFmtId="9" fontId="53" fillId="3" borderId="49" xfId="2" applyFont="1" applyFill="1" applyBorder="1" applyAlignment="1">
      <alignment horizontal="center" vertical="center"/>
    </xf>
    <xf numFmtId="0" fontId="53" fillId="8" borderId="0" xfId="0" applyFont="1" applyFill="1" applyAlignment="1">
      <alignment horizontal="left" wrapText="1" indent="1"/>
    </xf>
    <xf numFmtId="0" fontId="53" fillId="3" borderId="0" xfId="0" applyFont="1" applyFill="1" applyAlignment="1">
      <alignment horizontal="left" wrapText="1" indent="1"/>
    </xf>
    <xf numFmtId="0" fontId="53" fillId="8" borderId="0" xfId="0" applyFont="1" applyFill="1" applyAlignment="1">
      <alignment horizontal="left" vertical="top" wrapText="1" indent="1"/>
    </xf>
    <xf numFmtId="0" fontId="53" fillId="3" borderId="0" xfId="0" applyFont="1" applyFill="1" applyAlignment="1">
      <alignment horizontal="left" vertical="top" wrapText="1" indent="1"/>
    </xf>
    <xf numFmtId="0" fontId="132" fillId="4" borderId="0" xfId="0" applyFont="1" applyFill="1" applyAlignment="1" applyProtection="1">
      <alignment horizontal="center" vertical="center" wrapText="1"/>
      <protection hidden="1"/>
    </xf>
    <xf numFmtId="0" fontId="84" fillId="18" borderId="0" xfId="0" applyFont="1" applyFill="1" applyAlignment="1" applyProtection="1">
      <alignment horizontal="center" vertical="center" wrapText="1"/>
      <protection hidden="1"/>
    </xf>
    <xf numFmtId="0" fontId="0" fillId="0" borderId="0" xfId="0" applyAlignment="1">
      <alignment horizontal="left" vertical="center" wrapText="1"/>
    </xf>
    <xf numFmtId="0" fontId="91" fillId="0" borderId="0" xfId="0" applyFont="1" applyAlignment="1" applyProtection="1">
      <alignment vertical="center" wrapText="1"/>
      <protection hidden="1"/>
    </xf>
    <xf numFmtId="0" fontId="53" fillId="3" borderId="1" xfId="0" applyFont="1" applyFill="1" applyBorder="1" applyAlignment="1" applyProtection="1">
      <alignment horizontal="center" vertical="center" wrapText="1"/>
      <protection hidden="1"/>
    </xf>
    <xf numFmtId="9" fontId="0" fillId="0" borderId="0" xfId="0" applyNumberFormat="1"/>
    <xf numFmtId="9" fontId="0" fillId="0" borderId="0" xfId="2" applyFont="1"/>
    <xf numFmtId="0" fontId="57" fillId="3" borderId="52" xfId="0" applyFont="1" applyFill="1" applyBorder="1" applyAlignment="1" applyProtection="1">
      <alignment horizontal="center" vertical="top" wrapText="1"/>
      <protection hidden="1"/>
    </xf>
    <xf numFmtId="0" fontId="57" fillId="3" borderId="4" xfId="0" applyFont="1" applyFill="1" applyBorder="1" applyAlignment="1" applyProtection="1">
      <alignment horizontal="center" vertical="center" wrapText="1"/>
      <protection hidden="1"/>
    </xf>
    <xf numFmtId="0" fontId="0" fillId="0" borderId="88" xfId="0" applyBorder="1" applyAlignment="1">
      <alignment horizontal="center"/>
    </xf>
    <xf numFmtId="0" fontId="0" fillId="0" borderId="93" xfId="0" applyBorder="1" applyAlignment="1">
      <alignment horizontal="center"/>
    </xf>
    <xf numFmtId="9" fontId="0" fillId="0" borderId="93" xfId="0" applyNumberFormat="1" applyBorder="1" applyAlignment="1">
      <alignment horizontal="center"/>
    </xf>
    <xf numFmtId="0" fontId="0" fillId="0" borderId="74" xfId="0" applyBorder="1" applyAlignment="1">
      <alignment horizontal="center"/>
    </xf>
    <xf numFmtId="9" fontId="0" fillId="0" borderId="79" xfId="0" applyNumberFormat="1" applyBorder="1" applyAlignment="1">
      <alignment horizontal="center"/>
    </xf>
    <xf numFmtId="0" fontId="1" fillId="0" borderId="116" xfId="0" applyFont="1" applyBorder="1"/>
    <xf numFmtId="0" fontId="1" fillId="0" borderId="117" xfId="0" applyFont="1" applyBorder="1"/>
    <xf numFmtId="0" fontId="1" fillId="0" borderId="0" xfId="0" applyFont="1"/>
    <xf numFmtId="0" fontId="0" fillId="0" borderId="116" xfId="0" applyBorder="1"/>
    <xf numFmtId="0" fontId="0" fillId="0" borderId="48" xfId="0" applyBorder="1"/>
    <xf numFmtId="0" fontId="0" fillId="0" borderId="117" xfId="0" applyBorder="1"/>
    <xf numFmtId="0" fontId="0" fillId="0" borderId="88" xfId="0" applyBorder="1"/>
    <xf numFmtId="0" fontId="0" fillId="0" borderId="93" xfId="0" applyBorder="1"/>
    <xf numFmtId="0" fontId="0" fillId="0" borderId="74" xfId="0" applyBorder="1"/>
    <xf numFmtId="0" fontId="0" fillId="0" borderId="78" xfId="0" applyBorder="1"/>
    <xf numFmtId="0" fontId="0" fillId="0" borderId="79" xfId="0" applyBorder="1"/>
    <xf numFmtId="0" fontId="66" fillId="3" borderId="0" xfId="0" applyFont="1" applyFill="1" applyAlignment="1">
      <alignment horizontal="left" vertical="center" wrapText="1"/>
    </xf>
    <xf numFmtId="0" fontId="64" fillId="3" borderId="0" xfId="0" applyFont="1" applyFill="1" applyAlignment="1">
      <alignment horizontal="left" vertical="center" wrapText="1"/>
    </xf>
    <xf numFmtId="0" fontId="53" fillId="18" borderId="0" xfId="0" applyFont="1" applyFill="1" applyAlignment="1">
      <alignment horizontal="left" vertical="top" wrapText="1"/>
    </xf>
    <xf numFmtId="0" fontId="19" fillId="3"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2"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84" fillId="3" borderId="5" xfId="0" applyFont="1" applyFill="1" applyBorder="1" applyAlignment="1" applyProtection="1">
      <alignment horizontal="left" vertical="center" wrapText="1"/>
      <protection hidden="1"/>
    </xf>
    <xf numFmtId="0" fontId="84" fillId="3" borderId="104"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wrapText="1"/>
      <protection hidden="1"/>
    </xf>
    <xf numFmtId="0" fontId="87" fillId="18" borderId="0" xfId="0" applyFont="1" applyFill="1" applyAlignment="1" applyProtection="1">
      <alignment horizontal="center" vertical="center" wrapText="1"/>
      <protection hidden="1"/>
    </xf>
    <xf numFmtId="0" fontId="84" fillId="3" borderId="104" xfId="0" applyFont="1" applyFill="1" applyBorder="1" applyAlignment="1" applyProtection="1">
      <alignment horizontal="center" vertical="center" wrapText="1"/>
      <protection hidden="1"/>
    </xf>
    <xf numFmtId="0" fontId="84" fillId="3" borderId="104" xfId="0" applyFont="1" applyFill="1" applyBorder="1" applyAlignment="1" applyProtection="1">
      <alignment horizontal="center" vertical="center"/>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57" fillId="0" borderId="104" xfId="0" applyFont="1" applyBorder="1" applyAlignment="1" applyProtection="1">
      <alignment horizontal="center" vertical="center" wrapText="1"/>
      <protection hidden="1"/>
    </xf>
    <xf numFmtId="0" fontId="57" fillId="3" borderId="0" xfId="0" applyFont="1" applyFill="1" applyAlignment="1" applyProtection="1">
      <alignment horizontal="left" vertical="center" indent="1"/>
      <protection hidden="1"/>
    </xf>
    <xf numFmtId="0" fontId="84" fillId="3" borderId="0" xfId="0" applyFont="1" applyFill="1" applyAlignment="1" applyProtection="1">
      <alignment horizontal="center" vertical="center" wrapText="1"/>
      <protection hidden="1"/>
    </xf>
    <xf numFmtId="0" fontId="57" fillId="3" borderId="49" xfId="0" applyFont="1" applyFill="1" applyBorder="1" applyAlignment="1" applyProtection="1">
      <alignment horizontal="center" vertical="center" wrapText="1"/>
      <protection hidden="1"/>
    </xf>
    <xf numFmtId="0" fontId="57" fillId="3" borderId="104" xfId="0" applyFont="1" applyFill="1" applyBorder="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8" fillId="0" borderId="0" xfId="0" applyFont="1" applyAlignment="1">
      <alignment horizontal="left"/>
    </xf>
    <xf numFmtId="0" fontId="8" fillId="0" borderId="20" xfId="0" applyFont="1" applyBorder="1" applyAlignment="1">
      <alignment horizontal="center" vertical="center"/>
    </xf>
    <xf numFmtId="0" fontId="8" fillId="0" borderId="20" xfId="0" applyFont="1" applyBorder="1" applyAlignment="1">
      <alignment horizontal="center" vertical="center" wrapText="1"/>
    </xf>
    <xf numFmtId="0" fontId="5" fillId="0" borderId="0" xfId="0" applyFont="1" applyAlignment="1">
      <alignment horizontal="left"/>
    </xf>
    <xf numFmtId="44" fontId="98" fillId="3" borderId="104" xfId="1" applyFont="1" applyFill="1" applyBorder="1" applyAlignment="1" applyProtection="1">
      <alignment horizontal="center" vertical="center"/>
      <protection hidden="1"/>
    </xf>
    <xf numFmtId="0" fontId="53" fillId="3" borderId="111" xfId="0" applyFont="1" applyFill="1" applyBorder="1" applyAlignment="1" applyProtection="1">
      <alignment horizontal="center" vertical="center" wrapText="1"/>
      <protection hidden="1"/>
    </xf>
    <xf numFmtId="44" fontId="98" fillId="3" borderId="110" xfId="1" applyFont="1" applyFill="1" applyBorder="1" applyAlignment="1" applyProtection="1">
      <alignment horizontal="center" vertical="center"/>
      <protection hidden="1"/>
    </xf>
    <xf numFmtId="7" fontId="98" fillId="3" borderId="1" xfId="1" applyNumberFormat="1" applyFont="1" applyFill="1" applyBorder="1" applyAlignment="1" applyProtection="1">
      <alignment horizontal="center" vertical="center"/>
      <protection hidden="1"/>
    </xf>
    <xf numFmtId="3" fontId="98" fillId="3" borderId="104" xfId="0" applyNumberFormat="1" applyFont="1" applyFill="1" applyBorder="1" applyAlignment="1" applyProtection="1">
      <alignment horizontal="center" vertical="center"/>
      <protection hidden="1"/>
    </xf>
    <xf numFmtId="0" fontId="91" fillId="3" borderId="0" xfId="0" applyFont="1" applyFill="1" applyAlignment="1" applyProtection="1">
      <alignment vertical="center" wrapText="1"/>
      <protection hidden="1"/>
    </xf>
    <xf numFmtId="0" fontId="91" fillId="3" borderId="0" xfId="0" applyFont="1" applyFill="1" applyAlignment="1">
      <alignment vertical="center" wrapText="1"/>
    </xf>
    <xf numFmtId="9" fontId="53" fillId="3" borderId="1" xfId="0" applyNumberFormat="1" applyFont="1" applyFill="1" applyBorder="1" applyAlignment="1" applyProtection="1">
      <alignment horizontal="center" vertical="center"/>
      <protection hidden="1"/>
    </xf>
    <xf numFmtId="1" fontId="98" fillId="0" borderId="104" xfId="2" applyNumberFormat="1" applyFont="1" applyFill="1" applyBorder="1" applyAlignment="1" applyProtection="1">
      <alignment horizontal="center" vertical="center"/>
      <protection hidden="1"/>
    </xf>
    <xf numFmtId="1" fontId="98" fillId="0" borderId="111" xfId="2" applyNumberFormat="1" applyFont="1" applyFill="1" applyBorder="1" applyAlignment="1" applyProtection="1">
      <alignment horizontal="center" vertical="center"/>
      <protection hidden="1"/>
    </xf>
    <xf numFmtId="9" fontId="100" fillId="0" borderId="55" xfId="2" applyFont="1" applyFill="1" applyBorder="1" applyAlignment="1" applyProtection="1">
      <alignment horizontal="center" vertical="center"/>
      <protection hidden="1"/>
    </xf>
    <xf numFmtId="9" fontId="100" fillId="0" borderId="50" xfId="2" applyFont="1" applyFill="1" applyBorder="1" applyAlignment="1" applyProtection="1">
      <alignment horizontal="center" vertical="center"/>
      <protection hidden="1"/>
    </xf>
    <xf numFmtId="2" fontId="103" fillId="22" borderId="0" xfId="1"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hidden="1"/>
    </xf>
    <xf numFmtId="168" fontId="103" fillId="22" borderId="0" xfId="2" applyNumberFormat="1"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hidden="1"/>
    </xf>
    <xf numFmtId="0" fontId="57" fillId="20" borderId="1" xfId="0" applyFont="1" applyFill="1" applyBorder="1" applyAlignment="1" applyProtection="1">
      <alignment horizontal="center" vertical="center" wrapText="1"/>
      <protection hidden="1"/>
    </xf>
    <xf numFmtId="0" fontId="53" fillId="22" borderId="0" xfId="0" applyFont="1" applyFill="1" applyAlignment="1" applyProtection="1">
      <alignment horizontal="center" vertical="center" wrapText="1"/>
      <protection hidden="1"/>
    </xf>
    <xf numFmtId="3" fontId="98" fillId="2" borderId="104" xfId="0" applyNumberFormat="1" applyFont="1" applyFill="1" applyBorder="1" applyAlignment="1" applyProtection="1">
      <alignment horizontal="center" vertical="center"/>
      <protection hidden="1"/>
    </xf>
    <xf numFmtId="9" fontId="98" fillId="2" borderId="104" xfId="2" applyFont="1" applyFill="1" applyBorder="1" applyAlignment="1" applyProtection="1">
      <alignment horizontal="center" vertical="center"/>
      <protection hidden="1"/>
    </xf>
    <xf numFmtId="9" fontId="53" fillId="3" borderId="104" xfId="2" applyFont="1" applyFill="1" applyBorder="1" applyAlignment="1" applyProtection="1">
      <alignment horizontal="center" vertical="center"/>
      <protection hidden="1"/>
    </xf>
    <xf numFmtId="9" fontId="53" fillId="3" borderId="78" xfId="2" applyFont="1" applyFill="1" applyBorder="1" applyAlignment="1" applyProtection="1">
      <alignment horizontal="center" vertical="center"/>
      <protection hidden="1"/>
    </xf>
    <xf numFmtId="9" fontId="53" fillId="3" borderId="79" xfId="2" applyFont="1" applyFill="1" applyBorder="1" applyAlignment="1" applyProtection="1">
      <alignment horizontal="center" vertical="center"/>
      <protection hidden="1"/>
    </xf>
    <xf numFmtId="9" fontId="53" fillId="3" borderId="59" xfId="2" applyFont="1" applyFill="1" applyBorder="1" applyAlignment="1" applyProtection="1">
      <alignment horizontal="center" vertical="center"/>
      <protection hidden="1"/>
    </xf>
    <xf numFmtId="9" fontId="53" fillId="3" borderId="60" xfId="2" applyFont="1" applyFill="1" applyBorder="1" applyAlignment="1" applyProtection="1">
      <alignment horizontal="center" vertical="center"/>
      <protection hidden="1"/>
    </xf>
    <xf numFmtId="0" fontId="57" fillId="0" borderId="1" xfId="0" applyFont="1" applyBorder="1" applyAlignment="1" applyProtection="1">
      <alignment horizontal="center" vertical="center"/>
      <protection hidden="1"/>
    </xf>
    <xf numFmtId="0" fontId="53" fillId="18" borderId="0" xfId="0" applyFont="1" applyFill="1" applyAlignment="1" applyProtection="1">
      <alignment horizontal="center" wrapText="1"/>
      <protection hidden="1"/>
    </xf>
    <xf numFmtId="0" fontId="53" fillId="10" borderId="106" xfId="0" applyFont="1" applyFill="1" applyBorder="1" applyAlignment="1" applyProtection="1">
      <alignment horizontal="center" vertical="center"/>
      <protection locked="0" hidden="1"/>
    </xf>
    <xf numFmtId="0" fontId="53" fillId="10" borderId="107" xfId="0" applyFont="1" applyFill="1" applyBorder="1" applyAlignment="1" applyProtection="1">
      <alignment horizontal="center" vertical="center"/>
      <protection locked="0" hidden="1"/>
    </xf>
    <xf numFmtId="3" fontId="98" fillId="20" borderId="104" xfId="5" applyNumberFormat="1" applyFont="1" applyFill="1" applyBorder="1" applyAlignment="1" applyProtection="1">
      <alignment horizontal="center" vertical="center"/>
      <protection locked="0" hidden="1"/>
    </xf>
    <xf numFmtId="9" fontId="98" fillId="20" borderId="104" xfId="2" applyFont="1" applyFill="1" applyBorder="1" applyAlignment="1" applyProtection="1">
      <alignment horizontal="center" vertical="center"/>
      <protection locked="0" hidden="1"/>
    </xf>
    <xf numFmtId="9" fontId="83" fillId="20" borderId="104" xfId="2" applyFont="1" applyFill="1" applyBorder="1" applyAlignment="1" applyProtection="1">
      <alignment horizontal="center" vertical="center"/>
      <protection locked="0" hidden="1"/>
    </xf>
    <xf numFmtId="0" fontId="53" fillId="10" borderId="4" xfId="0" applyFont="1" applyFill="1" applyBorder="1" applyAlignment="1" applyProtection="1">
      <alignment horizontal="center" vertical="center"/>
      <protection locked="0" hidden="1"/>
    </xf>
    <xf numFmtId="0" fontId="53" fillId="10" borderId="1" xfId="0" applyFont="1" applyFill="1" applyBorder="1" applyAlignment="1" applyProtection="1">
      <alignment horizontal="center" vertical="center" wrapText="1"/>
      <protection locked="0" hidden="1"/>
    </xf>
    <xf numFmtId="0" fontId="53" fillId="20" borderId="1" xfId="4" applyNumberFormat="1" applyFont="1" applyFill="1" applyBorder="1" applyAlignment="1" applyProtection="1">
      <alignment horizontal="center" vertical="center"/>
      <protection locked="0" hidden="1"/>
    </xf>
    <xf numFmtId="9" fontId="53" fillId="20" borderId="1" xfId="0" applyNumberFormat="1" applyFont="1" applyFill="1" applyBorder="1" applyAlignment="1" applyProtection="1">
      <alignment horizontal="center" vertical="center"/>
      <protection locked="0" hidden="1"/>
    </xf>
    <xf numFmtId="0" fontId="53" fillId="10" borderId="104" xfId="0" applyFont="1" applyFill="1" applyBorder="1" applyAlignment="1" applyProtection="1">
      <alignment horizontal="center" vertical="center" wrapText="1"/>
      <protection locked="0" hidden="1"/>
    </xf>
    <xf numFmtId="164" fontId="83" fillId="20" borderId="53" xfId="0" applyNumberFormat="1" applyFont="1" applyFill="1" applyBorder="1" applyAlignment="1" applyProtection="1">
      <alignment horizontal="center" vertical="center"/>
      <protection locked="0" hidden="1"/>
    </xf>
    <xf numFmtId="164" fontId="83" fillId="20" borderId="49" xfId="0" applyNumberFormat="1" applyFont="1" applyFill="1" applyBorder="1" applyAlignment="1" applyProtection="1">
      <alignment horizontal="center" vertical="center"/>
      <protection locked="0" hidden="1"/>
    </xf>
    <xf numFmtId="164" fontId="83" fillId="20" borderId="54" xfId="0" applyNumberFormat="1" applyFont="1" applyFill="1" applyBorder="1" applyAlignment="1" applyProtection="1">
      <alignment horizontal="center" vertical="center"/>
      <protection locked="0" hidden="1"/>
    </xf>
    <xf numFmtId="164" fontId="83" fillId="20" borderId="52" xfId="0" applyNumberFormat="1" applyFont="1" applyFill="1" applyBorder="1" applyAlignment="1" applyProtection="1">
      <alignment horizontal="center" vertical="center"/>
      <protection locked="0" hidden="1"/>
    </xf>
    <xf numFmtId="9" fontId="83" fillId="20" borderId="55" xfId="2" applyFont="1" applyFill="1" applyBorder="1" applyAlignment="1" applyProtection="1">
      <alignment horizontal="center" vertical="center"/>
      <protection locked="0" hidden="1"/>
    </xf>
    <xf numFmtId="9" fontId="83" fillId="20" borderId="50" xfId="2" applyFont="1" applyFill="1" applyBorder="1" applyAlignment="1" applyProtection="1">
      <alignment horizontal="center" vertical="center"/>
      <protection locked="0" hidden="1"/>
    </xf>
    <xf numFmtId="168" fontId="83" fillId="20" borderId="104" xfId="2" applyNumberFormat="1" applyFont="1" applyFill="1" applyBorder="1" applyAlignment="1" applyProtection="1">
      <alignment horizontal="center" vertical="center"/>
      <protection locked="0" hidden="1"/>
    </xf>
    <xf numFmtId="164" fontId="83" fillId="20" borderId="104" xfId="2" applyNumberFormat="1" applyFont="1" applyFill="1" applyBorder="1" applyAlignment="1" applyProtection="1">
      <alignment horizontal="center" vertical="center"/>
      <protection locked="0" hidden="1"/>
    </xf>
    <xf numFmtId="1" fontId="83" fillId="20" borderId="104" xfId="2" applyNumberFormat="1" applyFont="1" applyFill="1" applyBorder="1" applyAlignment="1" applyProtection="1">
      <alignment horizontal="center" vertical="center"/>
      <protection locked="0" hidden="1"/>
    </xf>
    <xf numFmtId="165" fontId="83" fillId="20" borderId="1" xfId="0" applyNumberFormat="1" applyFont="1" applyFill="1" applyBorder="1" applyAlignment="1" applyProtection="1">
      <alignment horizontal="center" vertical="center" wrapText="1"/>
      <protection locked="0" hidden="1"/>
    </xf>
    <xf numFmtId="165" fontId="83" fillId="20" borderId="49" xfId="0" applyNumberFormat="1" applyFont="1" applyFill="1" applyBorder="1" applyAlignment="1" applyProtection="1">
      <alignment horizontal="center" vertical="center" wrapText="1"/>
      <protection locked="0" hidden="1"/>
    </xf>
    <xf numFmtId="164" fontId="83" fillId="20" borderId="1" xfId="0" applyNumberFormat="1" applyFont="1" applyFill="1" applyBorder="1" applyAlignment="1" applyProtection="1">
      <alignment horizontal="center" vertical="center" wrapText="1"/>
      <protection locked="0" hidden="1"/>
    </xf>
    <xf numFmtId="9" fontId="53" fillId="2" borderId="76" xfId="2" applyFont="1" applyFill="1" applyBorder="1" applyAlignment="1" applyProtection="1">
      <alignment horizontal="center" vertical="center"/>
      <protection locked="0" hidden="1"/>
    </xf>
    <xf numFmtId="9" fontId="53" fillId="2" borderId="66" xfId="2" applyFont="1" applyFill="1" applyBorder="1" applyAlignment="1" applyProtection="1">
      <alignment horizontal="center" vertical="center"/>
      <protection locked="0" hidden="1"/>
    </xf>
    <xf numFmtId="9" fontId="53" fillId="2" borderId="67" xfId="2" applyFont="1" applyFill="1" applyBorder="1" applyAlignment="1" applyProtection="1">
      <alignment horizontal="center" vertical="center"/>
      <protection locked="0" hidden="1"/>
    </xf>
    <xf numFmtId="9" fontId="53" fillId="2" borderId="102" xfId="2" applyFont="1" applyFill="1" applyBorder="1" applyAlignment="1" applyProtection="1">
      <alignment horizontal="center" vertical="center"/>
      <protection locked="0" hidden="1"/>
    </xf>
    <xf numFmtId="0" fontId="54" fillId="3" borderId="0" xfId="0" applyFont="1" applyFill="1" applyAlignment="1">
      <alignment horizontal="left" vertical="center" wrapText="1"/>
    </xf>
    <xf numFmtId="0" fontId="62" fillId="3" borderId="0" xfId="0" applyFont="1" applyFill="1" applyAlignment="1">
      <alignment horizontal="left" vertical="center" wrapText="1"/>
    </xf>
    <xf numFmtId="0" fontId="57" fillId="19" borderId="52" xfId="0" applyFont="1" applyFill="1" applyBorder="1" applyAlignment="1">
      <alignment horizontal="center" vertical="center" wrapText="1"/>
    </xf>
    <xf numFmtId="0" fontId="57" fillId="19" borderId="53" xfId="0" applyFont="1" applyFill="1" applyBorder="1" applyAlignment="1">
      <alignment horizontal="center" vertical="center" wrapText="1"/>
    </xf>
    <xf numFmtId="0" fontId="57" fillId="19" borderId="55" xfId="0" applyFont="1" applyFill="1" applyBorder="1" applyAlignment="1">
      <alignment horizontal="center" vertical="center" wrapText="1"/>
    </xf>
    <xf numFmtId="0" fontId="57" fillId="19" borderId="0" xfId="0" applyFont="1" applyFill="1" applyAlignment="1">
      <alignment horizontal="center" vertical="center" wrapText="1"/>
    </xf>
    <xf numFmtId="0" fontId="57" fillId="19" borderId="57"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101" fillId="18" borderId="0" xfId="0" applyFont="1" applyFill="1" applyAlignment="1">
      <alignment horizontal="left" vertical="top" wrapText="1"/>
    </xf>
    <xf numFmtId="0" fontId="53" fillId="18" borderId="0" xfId="0" applyFont="1" applyFill="1" applyAlignment="1">
      <alignment horizontal="left" vertical="top" wrapText="1"/>
    </xf>
    <xf numFmtId="0" fontId="53" fillId="18" borderId="56" xfId="0" applyFont="1" applyFill="1" applyBorder="1" applyAlignment="1">
      <alignment horizontal="left" vertical="top" wrapText="1"/>
    </xf>
    <xf numFmtId="0" fontId="101" fillId="18" borderId="2" xfId="0" applyFont="1" applyFill="1" applyBorder="1" applyAlignment="1">
      <alignment vertical="top" wrapText="1"/>
    </xf>
    <xf numFmtId="0" fontId="53" fillId="18" borderId="2" xfId="0" applyFont="1" applyFill="1" applyBorder="1" applyAlignment="1">
      <alignment vertical="top" wrapText="1"/>
    </xf>
    <xf numFmtId="0" fontId="53" fillId="18" borderId="61" xfId="0" applyFont="1" applyFill="1" applyBorder="1" applyAlignment="1">
      <alignment vertical="top" wrapText="1"/>
    </xf>
    <xf numFmtId="0" fontId="75" fillId="18" borderId="56" xfId="0" applyFont="1" applyFill="1" applyBorder="1" applyAlignment="1">
      <alignment horizontal="center" vertical="center" wrapText="1"/>
    </xf>
    <xf numFmtId="0" fontId="66" fillId="18" borderId="0" xfId="0" applyFont="1" applyFill="1" applyAlignment="1">
      <alignment horizontal="left" vertical="top" wrapText="1"/>
    </xf>
    <xf numFmtId="0" fontId="66" fillId="18" borderId="53" xfId="0" applyFont="1" applyFill="1" applyBorder="1" applyAlignment="1">
      <alignment horizontal="left" vertical="top" wrapText="1"/>
    </xf>
    <xf numFmtId="0" fontId="66" fillId="18" borderId="54" xfId="0" applyFont="1" applyFill="1" applyBorder="1" applyAlignment="1">
      <alignment horizontal="left" vertical="top" wrapText="1"/>
    </xf>
    <xf numFmtId="0" fontId="66" fillId="18" borderId="56" xfId="0" applyFont="1" applyFill="1" applyBorder="1" applyAlignment="1">
      <alignment horizontal="left" vertical="top" wrapText="1"/>
    </xf>
    <xf numFmtId="0" fontId="70" fillId="17" borderId="0" xfId="0" applyFont="1" applyFill="1" applyAlignment="1">
      <alignment horizontal="center" vertical="center" wrapText="1"/>
    </xf>
    <xf numFmtId="0" fontId="55" fillId="8" borderId="0" xfId="0" applyFont="1" applyFill="1" applyAlignment="1">
      <alignment horizontal="left" vertical="center" wrapText="1"/>
    </xf>
    <xf numFmtId="0" fontId="52" fillId="3" borderId="0" xfId="0" applyFont="1" applyFill="1" applyAlignment="1">
      <alignment horizontal="center" vertical="center" wrapText="1"/>
    </xf>
    <xf numFmtId="0" fontId="63" fillId="16" borderId="0" xfId="0" applyFont="1" applyFill="1" applyAlignment="1">
      <alignment horizontal="center" vertical="center" wrapText="1"/>
    </xf>
    <xf numFmtId="0" fontId="64" fillId="3" borderId="0" xfId="0" applyFont="1" applyFill="1" applyAlignment="1">
      <alignment horizontal="left" vertical="center" wrapText="1"/>
    </xf>
    <xf numFmtId="0" fontId="67" fillId="8" borderId="0" xfId="0" applyFont="1" applyFill="1" applyAlignment="1">
      <alignment horizontal="left" vertical="center" wrapText="1"/>
    </xf>
    <xf numFmtId="0" fontId="63" fillId="21" borderId="0" xfId="0" applyFont="1" applyFill="1" applyAlignment="1">
      <alignment horizontal="center" vertical="center" wrapText="1"/>
    </xf>
    <xf numFmtId="0" fontId="57" fillId="19" borderId="3"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66" fillId="18" borderId="5" xfId="0" applyFont="1" applyFill="1" applyBorder="1" applyAlignment="1">
      <alignment horizontal="left" vertical="center" wrapText="1"/>
    </xf>
    <xf numFmtId="0" fontId="66" fillId="18" borderId="4" xfId="0" applyFont="1" applyFill="1" applyBorder="1" applyAlignment="1">
      <alignment horizontal="left" vertical="center" wrapText="1"/>
    </xf>
    <xf numFmtId="0" fontId="72" fillId="18" borderId="53" xfId="0" applyFont="1" applyFill="1" applyBorder="1" applyAlignment="1">
      <alignment horizontal="left" vertical="center" wrapText="1"/>
    </xf>
    <xf numFmtId="0" fontId="73" fillId="18" borderId="0" xfId="0" applyFont="1" applyFill="1" applyAlignment="1">
      <alignment horizontal="left" vertical="center" wrapText="1"/>
    </xf>
    <xf numFmtId="0" fontId="60" fillId="18" borderId="0" xfId="3" applyFont="1" applyFill="1" applyBorder="1" applyAlignment="1">
      <alignment horizontal="left"/>
    </xf>
    <xf numFmtId="0" fontId="57" fillId="18" borderId="0" xfId="0" applyFont="1" applyFill="1" applyAlignment="1">
      <alignment horizontal="center" vertical="center" wrapText="1"/>
    </xf>
    <xf numFmtId="0" fontId="72" fillId="18" borderId="0" xfId="0" applyFont="1" applyFill="1" applyAlignment="1">
      <alignment horizontal="left" vertical="top" wrapText="1"/>
    </xf>
    <xf numFmtId="0" fontId="72" fillId="18" borderId="56" xfId="0" applyFont="1" applyFill="1" applyBorder="1" applyAlignment="1">
      <alignment horizontal="left" vertical="top" wrapText="1"/>
    </xf>
    <xf numFmtId="0" fontId="60" fillId="18" borderId="2" xfId="3" applyFont="1" applyFill="1" applyBorder="1" applyAlignment="1">
      <alignment horizontal="left" vertical="top"/>
    </xf>
    <xf numFmtId="0" fontId="60" fillId="18" borderId="61" xfId="3" applyFont="1" applyFill="1" applyBorder="1" applyAlignment="1">
      <alignment horizontal="left" vertical="top"/>
    </xf>
    <xf numFmtId="0" fontId="76" fillId="22" borderId="0" xfId="0" applyFont="1" applyFill="1" applyAlignment="1">
      <alignment horizontal="center" vertical="center" wrapText="1"/>
    </xf>
    <xf numFmtId="0" fontId="63" fillId="23" borderId="0" xfId="0" applyFont="1" applyFill="1" applyAlignment="1">
      <alignment horizontal="center" vertical="center" wrapText="1"/>
    </xf>
    <xf numFmtId="0" fontId="77" fillId="3" borderId="0" xfId="0" applyFont="1" applyFill="1" applyAlignment="1">
      <alignment horizontal="left" vertical="center" wrapText="1"/>
    </xf>
    <xf numFmtId="0" fontId="133" fillId="4" borderId="0" xfId="0" applyFont="1" applyFill="1" applyAlignment="1">
      <alignment horizontal="left" vertical="center" wrapText="1"/>
    </xf>
    <xf numFmtId="0" fontId="66" fillId="4" borderId="0" xfId="0" applyFont="1" applyFill="1" applyAlignment="1">
      <alignment horizontal="left" vertical="center" wrapText="1"/>
    </xf>
    <xf numFmtId="0" fontId="66" fillId="3" borderId="0" xfId="0" applyFont="1" applyFill="1" applyAlignment="1">
      <alignment horizontal="left" vertical="center" wrapText="1"/>
    </xf>
    <xf numFmtId="0" fontId="65" fillId="22" borderId="0" xfId="0" applyFont="1" applyFill="1" applyAlignment="1">
      <alignment horizontal="center" vertical="center" wrapText="1"/>
    </xf>
    <xf numFmtId="0" fontId="53" fillId="4" borderId="0" xfId="0" applyFont="1" applyFill="1" applyAlignment="1">
      <alignment horizontal="center" vertical="center" wrapText="1"/>
    </xf>
    <xf numFmtId="0" fontId="30" fillId="3" borderId="52" xfId="0" applyFont="1" applyFill="1" applyBorder="1" applyAlignment="1" applyProtection="1">
      <alignment horizontal="center" vertical="center" wrapText="1"/>
      <protection hidden="1"/>
    </xf>
    <xf numFmtId="0" fontId="30" fillId="3" borderId="54" xfId="0" applyFont="1" applyFill="1" applyBorder="1" applyAlignment="1" applyProtection="1">
      <alignment horizontal="center" vertical="center" wrapText="1"/>
      <protection hidden="1"/>
    </xf>
    <xf numFmtId="0" fontId="15" fillId="3" borderId="57" xfId="3" applyFill="1" applyBorder="1" applyAlignment="1" applyProtection="1">
      <alignment horizontal="center" vertical="center" wrapText="1"/>
      <protection hidden="1"/>
    </xf>
    <xf numFmtId="0" fontId="15" fillId="3" borderId="61" xfId="3" applyFill="1" applyBorder="1" applyAlignment="1" applyProtection="1">
      <alignment horizontal="center" vertical="center" wrapText="1"/>
      <protection hidden="1"/>
    </xf>
    <xf numFmtId="0" fontId="30" fillId="3" borderId="3" xfId="0" applyFont="1" applyFill="1" applyBorder="1" applyAlignment="1" applyProtection="1">
      <alignment horizontal="center" vertical="center" wrapText="1"/>
      <protection hidden="1"/>
    </xf>
    <xf numFmtId="0" fontId="30" fillId="3" borderId="4" xfId="0" applyFont="1" applyFill="1" applyBorder="1" applyAlignment="1" applyProtection="1">
      <alignment horizontal="center" vertical="center" wrapText="1"/>
      <protection hidden="1"/>
    </xf>
    <xf numFmtId="0" fontId="30" fillId="3" borderId="57" xfId="0" applyFont="1" applyFill="1" applyBorder="1" applyAlignment="1" applyProtection="1">
      <alignment horizontal="center" vertical="center" wrapText="1"/>
      <protection hidden="1"/>
    </xf>
    <xf numFmtId="0" fontId="30" fillId="3" borderId="61" xfId="0" applyFont="1" applyFill="1" applyBorder="1" applyAlignment="1" applyProtection="1">
      <alignment horizontal="center" vertical="center" wrapText="1"/>
      <protection hidden="1"/>
    </xf>
    <xf numFmtId="0" fontId="3" fillId="3" borderId="0" xfId="0" applyFont="1" applyFill="1" applyAlignment="1" applyProtection="1">
      <alignment horizontal="center" vertical="center"/>
      <protection hidden="1"/>
    </xf>
    <xf numFmtId="0" fontId="31" fillId="3" borderId="0" xfId="0" applyFont="1" applyFill="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30" fillId="3" borderId="5" xfId="0" applyFont="1" applyFill="1" applyBorder="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5" xfId="0" applyFont="1" applyFill="1" applyBorder="1" applyAlignment="1" applyProtection="1">
      <alignment horizontal="center" vertical="center" wrapText="1"/>
      <protection hidden="1"/>
    </xf>
    <xf numFmtId="0" fontId="30" fillId="3" borderId="56"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19" fillId="8" borderId="53" xfId="0" applyFont="1" applyFill="1" applyBorder="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3" borderId="52"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3" fillId="3" borderId="57" xfId="0" applyFont="1" applyFill="1" applyBorder="1" applyAlignment="1" applyProtection="1">
      <alignment horizontal="center" vertical="center"/>
      <protection hidden="1"/>
    </xf>
    <xf numFmtId="0" fontId="3" fillId="3" borderId="61" xfId="0" applyFont="1" applyFill="1" applyBorder="1" applyAlignment="1" applyProtection="1">
      <alignment horizontal="center" vertical="center"/>
      <protection hidden="1"/>
    </xf>
    <xf numFmtId="0" fontId="19" fillId="3" borderId="52" xfId="0" applyFont="1" applyFill="1" applyBorder="1" applyAlignment="1" applyProtection="1">
      <alignment horizontal="center" vertical="center" wrapText="1"/>
      <protection hidden="1"/>
    </xf>
    <xf numFmtId="0" fontId="19" fillId="3" borderId="53" xfId="0" applyFont="1" applyFill="1" applyBorder="1" applyAlignment="1" applyProtection="1">
      <alignment horizontal="center" vertical="center" wrapText="1"/>
      <protection hidden="1"/>
    </xf>
    <xf numFmtId="0" fontId="19" fillId="3" borderId="54" xfId="0" applyFont="1" applyFill="1" applyBorder="1" applyAlignment="1" applyProtection="1">
      <alignment horizontal="center" vertical="center" wrapText="1"/>
      <protection hidden="1"/>
    </xf>
    <xf numFmtId="0" fontId="19" fillId="3" borderId="55" xfId="0" applyFont="1" applyFill="1" applyBorder="1" applyAlignment="1" applyProtection="1">
      <alignment horizontal="center" vertical="center" wrapText="1"/>
      <protection hidden="1"/>
    </xf>
    <xf numFmtId="0" fontId="19" fillId="3" borderId="0" xfId="0" applyFont="1" applyFill="1" applyAlignment="1" applyProtection="1">
      <alignment horizontal="center" vertical="center" wrapText="1"/>
      <protection hidden="1"/>
    </xf>
    <xf numFmtId="0" fontId="19" fillId="3" borderId="56" xfId="0" applyFont="1" applyFill="1" applyBorder="1" applyAlignment="1" applyProtection="1">
      <alignment horizontal="center" vertical="center" wrapText="1"/>
      <protection hidden="1"/>
    </xf>
    <xf numFmtId="0" fontId="19" fillId="3" borderId="57" xfId="0" applyFont="1" applyFill="1" applyBorder="1" applyAlignment="1" applyProtection="1">
      <alignment horizontal="center" vertical="center" wrapText="1"/>
      <protection hidden="1"/>
    </xf>
    <xf numFmtId="0" fontId="19" fillId="3" borderId="2" xfId="0" applyFont="1" applyFill="1" applyBorder="1" applyAlignment="1" applyProtection="1">
      <alignment horizontal="center" vertical="center" wrapText="1"/>
      <protection hidden="1"/>
    </xf>
    <xf numFmtId="0" fontId="19" fillId="3" borderId="61" xfId="0" applyFont="1" applyFill="1" applyBorder="1" applyAlignment="1" applyProtection="1">
      <alignment horizontal="center" vertical="center" wrapText="1"/>
      <protection hidden="1"/>
    </xf>
    <xf numFmtId="9" fontId="31" fillId="2" borderId="10" xfId="2" applyFont="1" applyFill="1" applyBorder="1" applyAlignment="1" applyProtection="1">
      <alignment horizontal="center" vertical="center"/>
      <protection locked="0"/>
    </xf>
    <xf numFmtId="9" fontId="31" fillId="2" borderId="2" xfId="2" applyFont="1" applyFill="1" applyBorder="1" applyAlignment="1" applyProtection="1">
      <alignment horizontal="center" vertical="center"/>
      <protection locked="0"/>
    </xf>
    <xf numFmtId="0" fontId="46" fillId="3" borderId="87" xfId="0" applyFont="1" applyFill="1" applyBorder="1" applyAlignment="1" applyProtection="1">
      <alignment horizontal="center" vertical="center" wrapText="1"/>
      <protection hidden="1"/>
    </xf>
    <xf numFmtId="0" fontId="46" fillId="3" borderId="54" xfId="0" applyFont="1" applyFill="1" applyBorder="1" applyAlignment="1" applyProtection="1">
      <alignment horizontal="center" vertical="center" wrapText="1"/>
      <protection hidden="1"/>
    </xf>
    <xf numFmtId="0" fontId="46" fillId="3" borderId="88" xfId="0" applyFont="1" applyFill="1" applyBorder="1" applyAlignment="1" applyProtection="1">
      <alignment horizontal="center" vertical="center" wrapText="1"/>
      <protection hidden="1"/>
    </xf>
    <xf numFmtId="0" fontId="46" fillId="3" borderId="56" xfId="0" applyFont="1" applyFill="1" applyBorder="1" applyAlignment="1" applyProtection="1">
      <alignment horizontal="center" vertical="center" wrapText="1"/>
      <protection hidden="1"/>
    </xf>
    <xf numFmtId="0" fontId="46" fillId="3" borderId="10" xfId="0" applyFont="1" applyFill="1" applyBorder="1" applyAlignment="1" applyProtection="1">
      <alignment horizontal="center" vertical="center" wrapText="1"/>
      <protection hidden="1"/>
    </xf>
    <xf numFmtId="0" fontId="46" fillId="3" borderId="61" xfId="0" applyFont="1" applyFill="1" applyBorder="1" applyAlignment="1" applyProtection="1">
      <alignment horizontal="center" vertical="center" wrapText="1"/>
      <protection hidden="1"/>
    </xf>
    <xf numFmtId="9" fontId="31" fillId="2" borderId="63" xfId="2" applyFont="1" applyFill="1" applyBorder="1" applyAlignment="1" applyProtection="1">
      <alignment horizontal="center" vertical="center"/>
      <protection locked="0"/>
    </xf>
    <xf numFmtId="9" fontId="31" fillId="2" borderId="5" xfId="2" applyFont="1" applyFill="1" applyBorder="1" applyAlignment="1" applyProtection="1">
      <alignment horizontal="center" vertical="center"/>
      <protection locked="0"/>
    </xf>
    <xf numFmtId="9" fontId="31" fillId="2" borderId="65" xfId="2" applyFont="1" applyFill="1" applyBorder="1" applyAlignment="1" applyProtection="1">
      <alignment horizontal="center" vertical="center"/>
      <protection locked="0"/>
    </xf>
    <xf numFmtId="9" fontId="31" fillId="2" borderId="69" xfId="2" applyFont="1" applyFill="1" applyBorder="1" applyAlignment="1" applyProtection="1">
      <alignment horizontal="center" vertical="center"/>
      <protection locked="0"/>
    </xf>
    <xf numFmtId="0" fontId="28" fillId="3" borderId="3" xfId="0" applyFont="1" applyFill="1" applyBorder="1" applyAlignment="1" applyProtection="1">
      <alignment horizontal="left" vertical="center"/>
      <protection hidden="1"/>
    </xf>
    <xf numFmtId="0" fontId="28" fillId="3" borderId="5" xfId="0" applyFont="1" applyFill="1" applyBorder="1" applyAlignment="1" applyProtection="1">
      <alignment horizontal="left" vertical="center"/>
      <protection hidden="1"/>
    </xf>
    <xf numFmtId="0" fontId="28" fillId="3" borderId="4" xfId="0" applyFont="1" applyFill="1" applyBorder="1" applyAlignment="1" applyProtection="1">
      <alignment horizontal="left" vertical="center"/>
      <protection hidden="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9" fillId="3" borderId="3" xfId="0" applyFont="1" applyFill="1" applyBorder="1" applyAlignment="1" applyProtection="1">
      <alignment horizontal="center" vertical="center" wrapText="1"/>
      <protection hidden="1"/>
    </xf>
    <xf numFmtId="0" fontId="19" fillId="3" borderId="5" xfId="0" applyFont="1" applyFill="1" applyBorder="1" applyAlignment="1" applyProtection="1">
      <alignment horizontal="center" vertical="center" wrapText="1"/>
      <protection hidden="1"/>
    </xf>
    <xf numFmtId="0" fontId="19" fillId="3" borderId="4" xfId="0" applyFont="1" applyFill="1" applyBorder="1" applyAlignment="1" applyProtection="1">
      <alignment horizontal="center" vertical="center" wrapText="1"/>
      <protection hidden="1"/>
    </xf>
    <xf numFmtId="0" fontId="46" fillId="3" borderId="53" xfId="0" applyFont="1" applyFill="1" applyBorder="1" applyAlignment="1" applyProtection="1">
      <alignment horizontal="center" vertical="center" wrapText="1"/>
      <protection hidden="1"/>
    </xf>
    <xf numFmtId="3" fontId="21" fillId="3" borderId="74" xfId="0" applyNumberFormat="1" applyFont="1" applyFill="1" applyBorder="1" applyAlignment="1" applyProtection="1">
      <alignment horizontal="center" vertical="center"/>
      <protection hidden="1"/>
    </xf>
    <xf numFmtId="3" fontId="21" fillId="3" borderId="78" xfId="0" applyNumberFormat="1" applyFont="1" applyFill="1" applyBorder="1" applyAlignment="1" applyProtection="1">
      <alignment horizontal="center" vertical="center"/>
      <protection hidden="1"/>
    </xf>
    <xf numFmtId="3" fontId="21" fillId="3" borderId="79" xfId="0" applyNumberFormat="1" applyFont="1" applyFill="1" applyBorder="1" applyAlignment="1" applyProtection="1">
      <alignment horizontal="center" vertical="center"/>
      <protection hidden="1"/>
    </xf>
    <xf numFmtId="9" fontId="21" fillId="2" borderId="58" xfId="2" applyFont="1" applyFill="1" applyBorder="1" applyAlignment="1" applyProtection="1">
      <alignment horizontal="center" vertical="center"/>
      <protection locked="0"/>
    </xf>
    <xf numFmtId="9" fontId="21" fillId="2" borderId="59" xfId="2" applyFont="1" applyFill="1" applyBorder="1" applyAlignment="1" applyProtection="1">
      <alignment horizontal="center" vertical="center"/>
      <protection locked="0"/>
    </xf>
    <xf numFmtId="9" fontId="21" fillId="2" borderId="60" xfId="2" applyFont="1" applyFill="1" applyBorder="1" applyAlignment="1" applyProtection="1">
      <alignment horizontal="center" vertical="center"/>
      <protection locked="0"/>
    </xf>
    <xf numFmtId="0" fontId="21" fillId="2" borderId="58" xfId="0" applyFont="1" applyFill="1" applyBorder="1" applyAlignment="1" applyProtection="1">
      <alignment horizontal="center" vertical="center"/>
      <protection locked="0"/>
    </xf>
    <xf numFmtId="0" fontId="21" fillId="2" borderId="59" xfId="0" applyFont="1" applyFill="1" applyBorder="1" applyAlignment="1" applyProtection="1">
      <alignment horizontal="center" vertical="center"/>
      <protection locked="0"/>
    </xf>
    <xf numFmtId="0" fontId="21" fillId="2" borderId="60" xfId="0" applyFont="1" applyFill="1" applyBorder="1" applyAlignment="1" applyProtection="1">
      <alignment horizontal="center" vertical="center"/>
      <protection locked="0"/>
    </xf>
    <xf numFmtId="0" fontId="24" fillId="3" borderId="86" xfId="0" applyFont="1" applyFill="1" applyBorder="1" applyAlignment="1" applyProtection="1">
      <alignment horizontal="left" vertical="center" wrapText="1"/>
      <protection hidden="1"/>
    </xf>
    <xf numFmtId="0" fontId="24" fillId="3" borderId="76" xfId="0" applyFont="1" applyFill="1" applyBorder="1" applyAlignment="1" applyProtection="1">
      <alignment horizontal="left" vertical="center" wrapText="1"/>
      <protection hidden="1"/>
    </xf>
    <xf numFmtId="0" fontId="19" fillId="3" borderId="71" xfId="0" applyFont="1" applyFill="1" applyBorder="1" applyAlignment="1" applyProtection="1">
      <alignment horizontal="center" vertical="center"/>
      <protection hidden="1"/>
    </xf>
    <xf numFmtId="0" fontId="19" fillId="3" borderId="72" xfId="0" applyFont="1" applyFill="1" applyBorder="1" applyAlignment="1" applyProtection="1">
      <alignment horizontal="center" vertical="center"/>
      <protection hidden="1"/>
    </xf>
    <xf numFmtId="0" fontId="19" fillId="3" borderId="73" xfId="0" applyFont="1" applyFill="1" applyBorder="1" applyAlignment="1" applyProtection="1">
      <alignment horizontal="center" vertical="center"/>
      <protection hidden="1"/>
    </xf>
    <xf numFmtId="0" fontId="46" fillId="3" borderId="2" xfId="0" applyFont="1" applyFill="1" applyBorder="1" applyAlignment="1" applyProtection="1">
      <alignment horizontal="center" vertical="center" wrapText="1"/>
      <protection hidden="1"/>
    </xf>
    <xf numFmtId="3" fontId="21" fillId="2" borderId="84" xfId="0" applyNumberFormat="1" applyFont="1" applyFill="1" applyBorder="1" applyAlignment="1" applyProtection="1">
      <alignment horizontal="center" vertical="center"/>
      <protection locked="0"/>
    </xf>
    <xf numFmtId="3" fontId="21" fillId="2" borderId="51" xfId="0" applyNumberFormat="1" applyFont="1" applyFill="1" applyBorder="1" applyAlignment="1" applyProtection="1">
      <alignment horizontal="center" vertical="center"/>
      <protection locked="0"/>
    </xf>
    <xf numFmtId="3" fontId="21" fillId="2" borderId="85" xfId="0" applyNumberFormat="1" applyFont="1" applyFill="1" applyBorder="1" applyAlignment="1" applyProtection="1">
      <alignment horizontal="center" vertical="center"/>
      <protection locked="0"/>
    </xf>
    <xf numFmtId="0" fontId="3" fillId="11" borderId="58" xfId="0" applyFont="1" applyFill="1" applyBorder="1" applyAlignment="1" applyProtection="1">
      <alignment horizontal="center" vertical="center" wrapText="1"/>
      <protection hidden="1"/>
    </xf>
    <xf numFmtId="0" fontId="3" fillId="11" borderId="59" xfId="0" applyFont="1" applyFill="1" applyBorder="1" applyAlignment="1" applyProtection="1">
      <alignment horizontal="center" vertical="center" wrapText="1"/>
      <protection hidden="1"/>
    </xf>
    <xf numFmtId="0" fontId="3" fillId="11" borderId="60"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48" fillId="8" borderId="2" xfId="0" applyFont="1" applyFill="1" applyBorder="1" applyAlignment="1" applyProtection="1">
      <alignment horizontal="center" vertical="center"/>
      <protection hidden="1"/>
    </xf>
    <xf numFmtId="0" fontId="38" fillId="8" borderId="0" xfId="0" applyFont="1" applyFill="1" applyAlignment="1" applyProtection="1">
      <alignment horizontal="left" vertical="top" wrapText="1"/>
      <protection hidden="1"/>
    </xf>
    <xf numFmtId="0" fontId="21" fillId="9" borderId="52" xfId="0" applyFont="1" applyFill="1" applyBorder="1" applyAlignment="1">
      <alignment horizontal="left" vertical="top" wrapText="1"/>
    </xf>
    <xf numFmtId="0" fontId="21" fillId="9" borderId="53" xfId="0" applyFont="1" applyFill="1" applyBorder="1" applyAlignment="1">
      <alignment horizontal="left" vertical="top" wrapText="1"/>
    </xf>
    <xf numFmtId="0" fontId="21" fillId="9" borderId="54" xfId="0" applyFont="1" applyFill="1" applyBorder="1" applyAlignment="1">
      <alignment horizontal="left" vertical="top" wrapText="1"/>
    </xf>
    <xf numFmtId="0" fontId="21" fillId="9" borderId="55"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56" xfId="0" applyFont="1" applyFill="1" applyBorder="1" applyAlignment="1">
      <alignment horizontal="left" vertical="top" wrapText="1"/>
    </xf>
    <xf numFmtId="0" fontId="21" fillId="9" borderId="57" xfId="0" applyFont="1" applyFill="1" applyBorder="1" applyAlignment="1">
      <alignment horizontal="left" vertical="top" wrapText="1"/>
    </xf>
    <xf numFmtId="0" fontId="21" fillId="9" borderId="2" xfId="0" applyFont="1" applyFill="1" applyBorder="1" applyAlignment="1">
      <alignment horizontal="left" vertical="top" wrapText="1"/>
    </xf>
    <xf numFmtId="0" fontId="21" fillId="9" borderId="61" xfId="0" applyFont="1" applyFill="1" applyBorder="1" applyAlignment="1">
      <alignment horizontal="left" vertical="top" wrapText="1"/>
    </xf>
    <xf numFmtId="0" fontId="39" fillId="3" borderId="3" xfId="0" applyFont="1" applyFill="1" applyBorder="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15" fillId="3" borderId="2" xfId="3" applyFill="1" applyBorder="1" applyAlignment="1" applyProtection="1">
      <alignment horizontal="center" vertical="center" wrapText="1"/>
      <protection hidden="1"/>
    </xf>
    <xf numFmtId="0" fontId="30" fillId="3" borderId="2" xfId="0" applyFont="1" applyFill="1" applyBorder="1" applyAlignment="1" applyProtection="1">
      <alignment horizontal="center" vertical="center" wrapText="1"/>
      <protection hidden="1"/>
    </xf>
    <xf numFmtId="0" fontId="46" fillId="3" borderId="5" xfId="0" applyFont="1" applyFill="1" applyBorder="1" applyAlignment="1" applyProtection="1">
      <alignment horizontal="center" vertical="center" wrapText="1"/>
      <protection hidden="1"/>
    </xf>
    <xf numFmtId="0" fontId="46" fillId="3" borderId="4"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19" fillId="8" borderId="65" xfId="0" applyFont="1" applyFill="1" applyBorder="1" applyAlignment="1" applyProtection="1">
      <alignment horizontal="center" vertical="center" wrapText="1"/>
      <protection hidden="1"/>
    </xf>
    <xf numFmtId="0" fontId="19" fillId="8" borderId="69" xfId="0" applyFont="1" applyFill="1" applyBorder="1" applyAlignment="1" applyProtection="1">
      <alignment horizontal="center" vertical="center" wrapText="1"/>
      <protection hidden="1"/>
    </xf>
    <xf numFmtId="0" fontId="19" fillId="8" borderId="78" xfId="0" applyFont="1" applyFill="1" applyBorder="1" applyAlignment="1" applyProtection="1">
      <alignment horizontal="center" vertical="center" wrapText="1"/>
      <protection hidden="1"/>
    </xf>
    <xf numFmtId="0" fontId="3" fillId="0" borderId="94"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95" xfId="0" applyFont="1" applyBorder="1" applyAlignment="1" applyProtection="1">
      <alignment horizontal="center" vertical="center" wrapText="1"/>
      <protection hidden="1"/>
    </xf>
    <xf numFmtId="0" fontId="3" fillId="0" borderId="90" xfId="0" applyFont="1" applyBorder="1" applyAlignment="1" applyProtection="1">
      <alignment horizontal="center" vertical="center" wrapText="1"/>
      <protection hidden="1"/>
    </xf>
    <xf numFmtId="0" fontId="3" fillId="0" borderId="92" xfId="0" applyFont="1" applyBorder="1" applyAlignment="1" applyProtection="1">
      <alignment horizontal="center" vertical="center" wrapText="1"/>
      <protection hidden="1"/>
    </xf>
    <xf numFmtId="0" fontId="3" fillId="3" borderId="53"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19" fillId="3" borderId="98" xfId="0" applyFont="1" applyFill="1" applyBorder="1" applyAlignment="1" applyProtection="1">
      <alignment horizontal="center" vertical="center" wrapText="1"/>
      <protection hidden="1"/>
    </xf>
    <xf numFmtId="0" fontId="19" fillId="3" borderId="93" xfId="0" applyFont="1" applyFill="1" applyBorder="1" applyAlignment="1" applyProtection="1">
      <alignment horizontal="center" vertical="center" wrapText="1"/>
      <protection hidden="1"/>
    </xf>
    <xf numFmtId="0" fontId="19" fillId="3" borderId="75" xfId="0" applyFont="1" applyFill="1" applyBorder="1" applyAlignment="1" applyProtection="1">
      <alignment horizontal="center" vertical="center" wrapText="1"/>
      <protection hidden="1"/>
    </xf>
    <xf numFmtId="0" fontId="49" fillId="0" borderId="94" xfId="0" applyFont="1" applyBorder="1" applyAlignment="1">
      <alignment horizontal="center" wrapText="1"/>
    </xf>
    <xf numFmtId="0" fontId="49" fillId="0" borderId="8" xfId="0" applyFont="1" applyBorder="1" applyAlignment="1">
      <alignment horizontal="center" wrapText="1"/>
    </xf>
    <xf numFmtId="0" fontId="49" fillId="0" borderId="9" xfId="0" applyFont="1" applyBorder="1" applyAlignment="1">
      <alignment horizontal="center" wrapText="1"/>
    </xf>
    <xf numFmtId="0" fontId="50" fillId="3" borderId="3" xfId="0" applyFont="1" applyFill="1" applyBorder="1" applyAlignment="1" applyProtection="1">
      <alignment horizontal="center" vertical="center" wrapText="1"/>
      <protection hidden="1"/>
    </xf>
    <xf numFmtId="0" fontId="50" fillId="3" borderId="5" xfId="0" applyFont="1" applyFill="1" applyBorder="1" applyAlignment="1" applyProtection="1">
      <alignment horizontal="center" vertical="center" wrapText="1"/>
      <protection hidden="1"/>
    </xf>
    <xf numFmtId="0" fontId="50" fillId="3" borderId="64" xfId="0" applyFont="1" applyFill="1" applyBorder="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protection hidden="1"/>
    </xf>
    <xf numFmtId="0" fontId="57" fillId="3" borderId="104" xfId="0" applyFont="1" applyFill="1" applyBorder="1" applyAlignment="1" applyProtection="1">
      <alignment horizontal="center" vertical="center"/>
      <protection hidden="1"/>
    </xf>
    <xf numFmtId="0" fontId="84" fillId="3" borderId="104" xfId="0" applyFont="1" applyFill="1" applyBorder="1" applyAlignment="1" applyProtection="1">
      <alignment horizontal="left" vertical="center" wrapText="1"/>
      <protection hidden="1"/>
    </xf>
    <xf numFmtId="9" fontId="85" fillId="2" borderId="7" xfId="2" applyFont="1" applyFill="1" applyBorder="1" applyAlignment="1" applyProtection="1">
      <alignment horizontal="center" vertical="center"/>
      <protection locked="0" hidden="1"/>
    </xf>
    <xf numFmtId="9" fontId="85" fillId="2" borderId="8" xfId="2" applyFont="1" applyFill="1" applyBorder="1" applyAlignment="1" applyProtection="1">
      <alignment horizontal="center" vertical="center"/>
      <protection locked="0" hidden="1"/>
    </xf>
    <xf numFmtId="0" fontId="84" fillId="3" borderId="87" xfId="0" applyFont="1" applyFill="1" applyBorder="1" applyAlignment="1" applyProtection="1">
      <alignment horizontal="center" vertical="center" wrapText="1"/>
      <protection hidden="1"/>
    </xf>
    <xf numFmtId="0" fontId="84" fillId="3" borderId="54" xfId="0" applyFont="1" applyFill="1" applyBorder="1" applyAlignment="1" applyProtection="1">
      <alignment horizontal="center" vertical="center" wrapText="1"/>
      <protection hidden="1"/>
    </xf>
    <xf numFmtId="0" fontId="84" fillId="3" borderId="88" xfId="0" applyFont="1" applyFill="1" applyBorder="1" applyAlignment="1" applyProtection="1">
      <alignment horizontal="center" vertical="center" wrapText="1"/>
      <protection hidden="1"/>
    </xf>
    <xf numFmtId="0" fontId="84" fillId="3" borderId="56" xfId="0" applyFont="1" applyFill="1" applyBorder="1" applyAlignment="1" applyProtection="1">
      <alignment horizontal="center" vertical="center" wrapText="1"/>
      <protection hidden="1"/>
    </xf>
    <xf numFmtId="0" fontId="84" fillId="3" borderId="10" xfId="0" applyFont="1" applyFill="1" applyBorder="1" applyAlignment="1" applyProtection="1">
      <alignment horizontal="center" vertical="center" wrapText="1"/>
      <protection hidden="1"/>
    </xf>
    <xf numFmtId="0" fontId="84" fillId="3" borderId="61" xfId="0" applyFont="1" applyFill="1" applyBorder="1" applyAlignment="1" applyProtection="1">
      <alignment horizontal="center" vertical="center" wrapText="1"/>
      <protection hidden="1"/>
    </xf>
    <xf numFmtId="9" fontId="85" fillId="2" borderId="10" xfId="2" applyFont="1" applyFill="1" applyBorder="1" applyAlignment="1" applyProtection="1">
      <alignment horizontal="center" vertical="center"/>
      <protection locked="0" hidden="1"/>
    </xf>
    <xf numFmtId="9" fontId="85" fillId="2" borderId="2" xfId="2" applyFont="1" applyFill="1" applyBorder="1" applyAlignment="1" applyProtection="1">
      <alignment horizontal="center" vertical="center"/>
      <protection locked="0" hidden="1"/>
    </xf>
    <xf numFmtId="0" fontId="57" fillId="3" borderId="49" xfId="0" applyFont="1" applyFill="1" applyBorder="1" applyAlignment="1" applyProtection="1">
      <alignment horizontal="center" vertical="center" wrapText="1"/>
      <protection hidden="1"/>
    </xf>
    <xf numFmtId="0" fontId="57" fillId="3" borderId="51" xfId="0" applyFont="1" applyFill="1" applyBorder="1" applyAlignment="1" applyProtection="1">
      <alignment horizontal="center" vertical="center" wrapText="1"/>
      <protection hidden="1"/>
    </xf>
    <xf numFmtId="164" fontId="83" fillId="20" borderId="49" xfId="0" applyNumberFormat="1" applyFont="1" applyFill="1" applyBorder="1" applyAlignment="1" applyProtection="1">
      <alignment horizontal="center" vertical="center"/>
      <protection locked="0" hidden="1"/>
    </xf>
    <xf numFmtId="164" fontId="83" fillId="20" borderId="51" xfId="0" applyNumberFormat="1" applyFont="1" applyFill="1" applyBorder="1" applyAlignment="1" applyProtection="1">
      <alignment horizontal="center" vertical="center"/>
      <protection locked="0" hidden="1"/>
    </xf>
    <xf numFmtId="3" fontId="98" fillId="20" borderId="104" xfId="0" applyNumberFormat="1" applyFont="1" applyFill="1" applyBorder="1" applyAlignment="1" applyProtection="1">
      <alignment horizontal="center" vertical="center"/>
      <protection locked="0" hidden="1"/>
    </xf>
    <xf numFmtId="0" fontId="94" fillId="17" borderId="0" xfId="0" applyFont="1" applyFill="1" applyAlignment="1" applyProtection="1">
      <alignment horizontal="center" vertical="center"/>
      <protection hidden="1"/>
    </xf>
    <xf numFmtId="0" fontId="97" fillId="19" borderId="0" xfId="0" applyFont="1" applyFill="1" applyAlignment="1" applyProtection="1">
      <alignment horizontal="left" vertical="center" indent="1"/>
      <protection hidden="1"/>
    </xf>
    <xf numFmtId="0" fontId="57" fillId="3" borderId="111" xfId="0" applyFont="1" applyFill="1" applyBorder="1" applyAlignment="1" applyProtection="1">
      <alignment horizontal="left" vertical="center" wrapText="1"/>
      <protection hidden="1"/>
    </xf>
    <xf numFmtId="0" fontId="57" fillId="3" borderId="112"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left" vertical="center" wrapText="1"/>
      <protection hidden="1"/>
    </xf>
    <xf numFmtId="0" fontId="84" fillId="3" borderId="104" xfId="0" applyFont="1" applyFill="1" applyBorder="1" applyAlignment="1" applyProtection="1">
      <alignment horizontal="center" vertical="center"/>
      <protection hidden="1"/>
    </xf>
    <xf numFmtId="0" fontId="84" fillId="3" borderId="5" xfId="0" applyFont="1" applyFill="1" applyBorder="1" applyAlignment="1" applyProtection="1">
      <alignment horizontal="center" vertical="center" wrapText="1"/>
      <protection hidden="1"/>
    </xf>
    <xf numFmtId="0" fontId="84" fillId="3" borderId="4" xfId="0" applyFont="1" applyFill="1" applyBorder="1" applyAlignment="1" applyProtection="1">
      <alignment horizontal="center" vertical="center" wrapText="1"/>
      <protection hidden="1"/>
    </xf>
    <xf numFmtId="0" fontId="84" fillId="3" borderId="52" xfId="0" applyFont="1" applyFill="1" applyBorder="1" applyAlignment="1" applyProtection="1">
      <alignment horizontal="center" vertical="center" wrapText="1"/>
      <protection hidden="1"/>
    </xf>
    <xf numFmtId="0" fontId="84" fillId="3" borderId="53" xfId="0" applyFont="1" applyFill="1" applyBorder="1" applyAlignment="1" applyProtection="1">
      <alignment horizontal="center" vertical="center" wrapText="1"/>
      <protection hidden="1"/>
    </xf>
    <xf numFmtId="0" fontId="84" fillId="3" borderId="55" xfId="0" applyFont="1" applyFill="1" applyBorder="1" applyAlignment="1" applyProtection="1">
      <alignment horizontal="center" vertical="center" wrapText="1"/>
      <protection hidden="1"/>
    </xf>
    <xf numFmtId="0" fontId="84" fillId="3" borderId="0" xfId="0" applyFont="1" applyFill="1" applyAlignment="1" applyProtection="1">
      <alignment horizontal="center" vertical="center" wrapText="1"/>
      <protection hidden="1"/>
    </xf>
    <xf numFmtId="0" fontId="84" fillId="3" borderId="57" xfId="0" applyFont="1" applyFill="1" applyBorder="1" applyAlignment="1" applyProtection="1">
      <alignment horizontal="center" vertical="center" wrapText="1"/>
      <protection hidden="1"/>
    </xf>
    <xf numFmtId="0" fontId="84" fillId="3" borderId="2" xfId="0" applyFont="1" applyFill="1" applyBorder="1" applyAlignment="1" applyProtection="1">
      <alignment horizontal="center" vertical="center" wrapText="1"/>
      <protection hidden="1"/>
    </xf>
    <xf numFmtId="0" fontId="136" fillId="28" borderId="2" xfId="0" applyFont="1" applyFill="1" applyBorder="1" applyAlignment="1" applyProtection="1">
      <alignment horizontal="center" vertical="center" wrapText="1"/>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84" fillId="3" borderId="53" xfId="0" applyFont="1" applyFill="1" applyBorder="1" applyAlignment="1" applyProtection="1">
      <alignment horizontal="left" vertical="center" wrapText="1"/>
      <protection hidden="1"/>
    </xf>
    <xf numFmtId="0" fontId="84" fillId="3" borderId="54" xfId="0" applyFont="1" applyFill="1" applyBorder="1" applyAlignment="1" applyProtection="1">
      <alignment horizontal="left" vertical="center" wrapText="1"/>
      <protection hidden="1"/>
    </xf>
    <xf numFmtId="0" fontId="101" fillId="3" borderId="3" xfId="0" applyFont="1" applyFill="1" applyBorder="1" applyAlignment="1" applyProtection="1">
      <alignment horizontal="left" vertical="center" wrapText="1"/>
      <protection hidden="1"/>
    </xf>
    <xf numFmtId="0" fontId="101" fillId="3" borderId="4" xfId="0" applyFont="1" applyFill="1" applyBorder="1" applyAlignment="1" applyProtection="1">
      <alignment horizontal="left" vertical="center" wrapText="1"/>
      <protection hidden="1"/>
    </xf>
    <xf numFmtId="0" fontId="57" fillId="0" borderId="104" xfId="0" applyFont="1" applyBorder="1" applyAlignment="1" applyProtection="1">
      <alignment horizontal="center" vertical="center" wrapText="1"/>
      <protection hidden="1"/>
    </xf>
    <xf numFmtId="9" fontId="98" fillId="20" borderId="104" xfId="2" applyFont="1" applyFill="1" applyBorder="1" applyAlignment="1" applyProtection="1">
      <alignment horizontal="center" vertical="center"/>
      <protection locked="0" hidden="1"/>
    </xf>
    <xf numFmtId="9" fontId="83" fillId="20" borderId="104" xfId="2" applyFont="1" applyFill="1" applyBorder="1" applyAlignment="1" applyProtection="1">
      <alignment horizontal="center" vertical="center"/>
      <protection locked="0" hidden="1"/>
    </xf>
    <xf numFmtId="0" fontId="57" fillId="3" borderId="0" xfId="0" applyFont="1" applyFill="1" applyAlignment="1" applyProtection="1">
      <alignment horizontal="left" vertical="center" indent="1"/>
      <protection hidden="1"/>
    </xf>
    <xf numFmtId="9" fontId="85" fillId="2" borderId="74" xfId="2" applyFont="1" applyFill="1" applyBorder="1" applyAlignment="1" applyProtection="1">
      <alignment horizontal="center" vertical="center"/>
      <protection locked="0" hidden="1"/>
    </xf>
    <xf numFmtId="9" fontId="85" fillId="2" borderId="78" xfId="2" applyFont="1" applyFill="1" applyBorder="1" applyAlignment="1" applyProtection="1">
      <alignment horizontal="center" vertical="center"/>
      <protection locked="0" hidden="1"/>
    </xf>
    <xf numFmtId="0" fontId="57" fillId="3" borderId="0" xfId="0" applyFont="1" applyFill="1" applyAlignment="1" applyProtection="1">
      <alignment horizontal="left" vertical="center"/>
      <protection hidden="1"/>
    </xf>
    <xf numFmtId="0" fontId="87" fillId="18" borderId="53" xfId="0" applyFont="1" applyFill="1" applyBorder="1" applyAlignment="1" applyProtection="1">
      <alignment horizontal="center" vertical="center" wrapText="1"/>
      <protection hidden="1"/>
    </xf>
    <xf numFmtId="0" fontId="87" fillId="18" borderId="0" xfId="0" applyFont="1" applyFill="1" applyAlignment="1" applyProtection="1">
      <alignment horizontal="center" vertical="center" wrapText="1"/>
      <protection hidden="1"/>
    </xf>
    <xf numFmtId="0" fontId="53" fillId="8" borderId="0" xfId="0" applyFont="1" applyFill="1" applyAlignment="1" applyProtection="1">
      <alignment horizontal="left" vertical="top" wrapText="1"/>
      <protection hidden="1"/>
    </xf>
    <xf numFmtId="0" fontId="53" fillId="9" borderId="52" xfId="0" applyFont="1" applyFill="1" applyBorder="1" applyAlignment="1" applyProtection="1">
      <alignment horizontal="left" vertical="top" wrapText="1"/>
      <protection hidden="1"/>
    </xf>
    <xf numFmtId="0" fontId="53" fillId="9" borderId="53" xfId="0" applyFont="1" applyFill="1" applyBorder="1" applyAlignment="1" applyProtection="1">
      <alignment horizontal="left" vertical="top" wrapText="1"/>
      <protection hidden="1"/>
    </xf>
    <xf numFmtId="0" fontId="53" fillId="9" borderId="54" xfId="0" applyFont="1" applyFill="1" applyBorder="1" applyAlignment="1" applyProtection="1">
      <alignment horizontal="left" vertical="top" wrapText="1"/>
      <protection hidden="1"/>
    </xf>
    <xf numFmtId="0" fontId="53" fillId="9" borderId="55" xfId="0" applyFont="1" applyFill="1" applyBorder="1" applyAlignment="1" applyProtection="1">
      <alignment horizontal="left" vertical="top" wrapText="1"/>
      <protection hidden="1"/>
    </xf>
    <xf numFmtId="0" fontId="53" fillId="9" borderId="0" xfId="0" applyFont="1" applyFill="1" applyAlignment="1" applyProtection="1">
      <alignment horizontal="left" vertical="top" wrapText="1"/>
      <protection hidden="1"/>
    </xf>
    <xf numFmtId="0" fontId="53" fillId="9" borderId="56" xfId="0" applyFont="1" applyFill="1" applyBorder="1" applyAlignment="1" applyProtection="1">
      <alignment horizontal="left" vertical="top" wrapText="1"/>
      <protection hidden="1"/>
    </xf>
    <xf numFmtId="0" fontId="53" fillId="9" borderId="57" xfId="0" applyFont="1" applyFill="1" applyBorder="1" applyAlignment="1" applyProtection="1">
      <alignment horizontal="left" vertical="top" wrapText="1"/>
      <protection hidden="1"/>
    </xf>
    <xf numFmtId="0" fontId="53" fillId="9" borderId="2" xfId="0" applyFont="1" applyFill="1" applyBorder="1" applyAlignment="1" applyProtection="1">
      <alignment horizontal="left" vertical="top" wrapText="1"/>
      <protection hidden="1"/>
    </xf>
    <xf numFmtId="0" fontId="53" fillId="9" borderId="61" xfId="0" applyFont="1" applyFill="1" applyBorder="1" applyAlignment="1" applyProtection="1">
      <alignment horizontal="left" vertical="top" wrapText="1"/>
      <protection hidden="1"/>
    </xf>
    <xf numFmtId="0" fontId="86" fillId="0" borderId="3" xfId="0" applyFont="1" applyBorder="1" applyAlignment="1" applyProtection="1">
      <alignment horizontal="center" vertical="center" wrapText="1"/>
      <protection hidden="1"/>
    </xf>
    <xf numFmtId="0" fontId="85" fillId="0" borderId="5" xfId="0" applyFont="1" applyBorder="1" applyAlignment="1" applyProtection="1">
      <alignment horizontal="center" vertical="center" wrapText="1"/>
      <protection hidden="1"/>
    </xf>
    <xf numFmtId="0" fontId="85" fillId="0" borderId="4" xfId="0" applyFont="1" applyBorder="1" applyAlignment="1" applyProtection="1">
      <alignment horizontal="center" vertical="center" wrapText="1"/>
      <protection hidden="1"/>
    </xf>
    <xf numFmtId="0" fontId="84" fillId="3" borderId="3" xfId="0" applyFont="1" applyFill="1" applyBorder="1" applyAlignment="1" applyProtection="1">
      <alignment horizontal="center" vertical="center" wrapText="1"/>
      <protection hidden="1"/>
    </xf>
    <xf numFmtId="0" fontId="92" fillId="3" borderId="104" xfId="0" applyFont="1" applyFill="1" applyBorder="1" applyAlignment="1" applyProtection="1">
      <alignment horizontal="center" vertical="center" wrapText="1"/>
      <protection hidden="1"/>
    </xf>
    <xf numFmtId="0" fontId="57" fillId="19" borderId="104" xfId="0" applyFont="1" applyFill="1" applyBorder="1" applyAlignment="1" applyProtection="1">
      <alignment horizontal="center" vertical="center"/>
      <protection hidden="1"/>
    </xf>
    <xf numFmtId="0" fontId="95" fillId="25" borderId="0" xfId="0" applyFont="1" applyFill="1" applyAlignment="1" applyProtection="1">
      <alignment horizontal="center" vertical="center" wrapText="1"/>
      <protection hidden="1"/>
    </xf>
    <xf numFmtId="0" fontId="70" fillId="25" borderId="0" xfId="0" applyFont="1" applyFill="1" applyAlignment="1" applyProtection="1">
      <alignment horizontal="center" vertical="center" wrapText="1"/>
      <protection hidden="1"/>
    </xf>
    <xf numFmtId="0" fontId="98" fillId="20" borderId="104" xfId="0" applyFont="1" applyFill="1" applyBorder="1" applyAlignment="1" applyProtection="1">
      <alignment horizontal="center" vertical="center"/>
      <protection locked="0" hidden="1"/>
    </xf>
    <xf numFmtId="0" fontId="84" fillId="3" borderId="104" xfId="0" applyFont="1" applyFill="1" applyBorder="1" applyAlignment="1" applyProtection="1">
      <alignment horizontal="center" vertical="center" wrapText="1"/>
      <protection hidden="1"/>
    </xf>
    <xf numFmtId="3" fontId="98" fillId="3" borderId="104" xfId="0" applyNumberFormat="1" applyFont="1" applyFill="1" applyBorder="1" applyAlignment="1" applyProtection="1">
      <alignment horizontal="center" vertical="center"/>
      <protection hidden="1"/>
    </xf>
    <xf numFmtId="0" fontId="106" fillId="0" borderId="0" xfId="0" applyFont="1" applyAlignment="1" applyProtection="1">
      <alignment horizontal="right" vertical="center"/>
      <protection hidden="1"/>
    </xf>
    <xf numFmtId="0" fontId="60" fillId="3" borderId="57" xfId="3" applyFont="1" applyFill="1" applyBorder="1" applyAlignment="1" applyProtection="1">
      <alignment horizontal="left" vertical="center" wrapText="1"/>
      <protection hidden="1"/>
    </xf>
    <xf numFmtId="0" fontId="60" fillId="3" borderId="61" xfId="3" applyFont="1" applyFill="1" applyBorder="1" applyAlignment="1" applyProtection="1">
      <alignment horizontal="left" vertical="center" wrapText="1"/>
      <protection hidden="1"/>
    </xf>
    <xf numFmtId="0" fontId="84" fillId="3" borderId="5" xfId="0" applyFont="1" applyFill="1" applyBorder="1" applyAlignment="1" applyProtection="1">
      <alignment horizontal="left" vertical="center" wrapText="1"/>
      <protection hidden="1"/>
    </xf>
    <xf numFmtId="0" fontId="84" fillId="3" borderId="4" xfId="0" applyFont="1" applyFill="1" applyBorder="1" applyAlignment="1" applyProtection="1">
      <alignment horizontal="left" vertical="center" wrapText="1"/>
      <protection hidden="1"/>
    </xf>
    <xf numFmtId="0" fontId="84" fillId="3" borderId="2" xfId="0" applyFont="1" applyFill="1" applyBorder="1" applyAlignment="1" applyProtection="1">
      <alignment horizontal="left" vertical="center" wrapText="1"/>
      <protection hidden="1"/>
    </xf>
    <xf numFmtId="0" fontId="84" fillId="3" borderId="61" xfId="0" applyFont="1" applyFill="1" applyBorder="1" applyAlignment="1" applyProtection="1">
      <alignment horizontal="left" vertical="center" wrapText="1"/>
      <protection hidden="1"/>
    </xf>
    <xf numFmtId="0" fontId="84" fillId="3" borderId="3" xfId="0" applyFont="1" applyFill="1" applyBorder="1" applyAlignment="1" applyProtection="1">
      <alignment horizontal="left" vertical="center" wrapText="1"/>
      <protection hidden="1"/>
    </xf>
    <xf numFmtId="0" fontId="57" fillId="3" borderId="53" xfId="0" applyFont="1" applyFill="1" applyBorder="1" applyAlignment="1" applyProtection="1">
      <alignment horizontal="left" vertical="center" wrapText="1"/>
      <protection hidden="1"/>
    </xf>
    <xf numFmtId="0" fontId="57" fillId="3" borderId="54" xfId="0" applyFont="1" applyFill="1" applyBorder="1" applyAlignment="1" applyProtection="1">
      <alignment horizontal="left" vertical="center" wrapText="1"/>
      <protection hidden="1"/>
    </xf>
    <xf numFmtId="0" fontId="84" fillId="3" borderId="113" xfId="0" applyFont="1" applyFill="1" applyBorder="1" applyAlignment="1" applyProtection="1">
      <alignment horizontal="left" vertical="center" wrapText="1"/>
      <protection hidden="1"/>
    </xf>
    <xf numFmtId="0" fontId="84" fillId="3" borderId="57" xfId="0" applyFont="1" applyFill="1" applyBorder="1" applyAlignment="1" applyProtection="1">
      <alignment horizontal="left" vertical="center" wrapText="1"/>
      <protection hidden="1"/>
    </xf>
    <xf numFmtId="0" fontId="84" fillId="3" borderId="52"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101" fillId="3" borderId="5" xfId="0" applyFont="1" applyFill="1" applyBorder="1" applyAlignment="1" applyProtection="1">
      <alignment horizontal="left" vertical="center" wrapText="1"/>
      <protection hidden="1"/>
    </xf>
    <xf numFmtId="0" fontId="53" fillId="18" borderId="0" xfId="0" applyFont="1" applyFill="1" applyAlignment="1" applyProtection="1">
      <alignment horizontal="center" vertical="center" wrapText="1"/>
      <protection hidden="1"/>
    </xf>
    <xf numFmtId="0" fontId="94" fillId="21" borderId="0" xfId="0" applyFont="1" applyFill="1" applyAlignment="1" applyProtection="1">
      <alignment horizontal="center" vertical="center" wrapText="1"/>
      <protection hidden="1"/>
    </xf>
    <xf numFmtId="0" fontId="106" fillId="0" borderId="0" xfId="0" applyFont="1" applyAlignment="1">
      <alignment horizontal="right"/>
    </xf>
    <xf numFmtId="0" fontId="53" fillId="22" borderId="0" xfId="0" applyFont="1" applyFill="1" applyAlignment="1">
      <alignment horizontal="center"/>
    </xf>
    <xf numFmtId="0" fontId="57" fillId="22" borderId="0" xfId="0" applyFont="1" applyFill="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22" borderId="0" xfId="0" applyFont="1" applyFill="1" applyAlignment="1" applyProtection="1">
      <alignment horizontal="left" wrapText="1"/>
      <protection hidden="1"/>
    </xf>
    <xf numFmtId="0" fontId="86" fillId="22" borderId="0" xfId="0" applyFont="1" applyFill="1" applyAlignment="1" applyProtection="1">
      <alignment horizontal="left" vertical="top" wrapText="1"/>
      <protection hidden="1"/>
    </xf>
    <xf numFmtId="0" fontId="86" fillId="22" borderId="0" xfId="0" applyFont="1" applyFill="1" applyAlignment="1">
      <alignment vertical="top"/>
    </xf>
    <xf numFmtId="0" fontId="86" fillId="22" borderId="0" xfId="0" applyFont="1" applyFill="1" applyAlignment="1" applyProtection="1">
      <alignment horizontal="left" wrapText="1"/>
      <protection hidden="1"/>
    </xf>
    <xf numFmtId="0" fontId="86" fillId="22" borderId="0" xfId="0" applyFont="1" applyFill="1"/>
    <xf numFmtId="0" fontId="52" fillId="3" borderId="3" xfId="0" applyFont="1" applyFill="1" applyBorder="1" applyAlignment="1" applyProtection="1">
      <alignment horizontal="center" vertical="center" wrapText="1"/>
      <protection hidden="1"/>
    </xf>
    <xf numFmtId="0" fontId="52" fillId="3" borderId="5"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wrapText="1"/>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12" fillId="0" borderId="1" xfId="0" applyFont="1" applyBorder="1" applyAlignment="1" applyProtection="1">
      <alignment horizontal="center" vertical="center" wrapText="1"/>
      <protection hidden="1"/>
    </xf>
    <xf numFmtId="0" fontId="92" fillId="0" borderId="1" xfId="0" applyFont="1" applyBorder="1" applyAlignment="1" applyProtection="1">
      <alignment horizontal="center" vertical="center" wrapText="1"/>
      <protection hidden="1"/>
    </xf>
    <xf numFmtId="0" fontId="129" fillId="0" borderId="1" xfId="0" applyFont="1" applyBorder="1" applyAlignment="1" applyProtection="1">
      <alignment horizontal="center" vertical="center" wrapText="1"/>
      <protection hidden="1"/>
    </xf>
    <xf numFmtId="0" fontId="132" fillId="26" borderId="1" xfId="0" applyFont="1" applyFill="1" applyBorder="1" applyAlignment="1" applyProtection="1">
      <alignment horizontal="center" vertical="center" wrapText="1"/>
      <protection hidden="1"/>
    </xf>
    <xf numFmtId="0" fontId="132" fillId="19" borderId="1" xfId="0" applyFont="1" applyFill="1" applyBorder="1" applyAlignment="1" applyProtection="1">
      <alignment horizontal="center" vertical="center" wrapText="1"/>
      <protection hidden="1"/>
    </xf>
    <xf numFmtId="0" fontId="132" fillId="27" borderId="1" xfId="0" applyFont="1" applyFill="1" applyBorder="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57" fillId="0" borderId="0" xfId="0" applyFont="1" applyAlignment="1" applyProtection="1">
      <alignment horizontal="center" vertical="center"/>
      <protection hidden="1"/>
    </xf>
    <xf numFmtId="0" fontId="57" fillId="0" borderId="0" xfId="0" applyFont="1" applyAlignment="1" applyProtection="1">
      <alignment horizontal="center" vertical="center" wrapText="1"/>
      <protection hidden="1"/>
    </xf>
    <xf numFmtId="0" fontId="93" fillId="26" borderId="0" xfId="0" applyFont="1" applyFill="1" applyAlignment="1" applyProtection="1">
      <alignment horizontal="center" vertical="center" wrapText="1"/>
      <protection hidden="1"/>
    </xf>
    <xf numFmtId="0" fontId="122" fillId="23" borderId="0" xfId="0" applyFont="1" applyFill="1" applyAlignment="1" applyProtection="1">
      <alignment horizontal="center" vertical="center"/>
      <protection hidden="1"/>
    </xf>
    <xf numFmtId="0" fontId="58" fillId="15" borderId="1" xfId="0" applyFont="1" applyFill="1" applyBorder="1" applyAlignment="1" applyProtection="1">
      <alignment horizontal="center" vertical="center" wrapText="1"/>
      <protection hidden="1"/>
    </xf>
    <xf numFmtId="0" fontId="112" fillId="15" borderId="1" xfId="0" applyFont="1" applyFill="1" applyBorder="1" applyAlignment="1" applyProtection="1">
      <alignment horizontal="center" vertical="center" wrapText="1"/>
      <protection hidden="1"/>
    </xf>
    <xf numFmtId="0" fontId="116" fillId="15" borderId="1" xfId="0" applyFont="1" applyFill="1" applyBorder="1" applyAlignment="1" applyProtection="1">
      <alignment horizontal="center" vertical="center" wrapText="1"/>
      <protection hidden="1"/>
    </xf>
    <xf numFmtId="0" fontId="106" fillId="3" borderId="0" xfId="0" applyFont="1" applyFill="1" applyAlignment="1" applyProtection="1">
      <alignment horizontal="left" wrapText="1"/>
      <protection hidden="1"/>
    </xf>
    <xf numFmtId="0" fontId="94" fillId="23"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wrapText="1"/>
      <protection hidden="1"/>
    </xf>
    <xf numFmtId="0" fontId="57" fillId="15" borderId="1" xfId="0" applyFont="1" applyFill="1" applyBorder="1" applyAlignment="1" applyProtection="1">
      <alignment horizontal="center" vertical="center"/>
      <protection hidden="1"/>
    </xf>
    <xf numFmtId="0" fontId="122" fillId="23" borderId="0" xfId="0" applyFont="1" applyFill="1" applyAlignment="1">
      <alignment horizontal="center" vertical="center"/>
    </xf>
    <xf numFmtId="0" fontId="107" fillId="0" borderId="0" xfId="0" applyFont="1" applyAlignment="1">
      <alignment horizontal="right"/>
    </xf>
    <xf numFmtId="0" fontId="26" fillId="4" borderId="58" xfId="0" applyFont="1" applyFill="1" applyBorder="1" applyAlignment="1">
      <alignment horizontal="center" vertical="center"/>
    </xf>
    <xf numFmtId="0" fontId="26" fillId="4" borderId="59" xfId="0" applyFont="1" applyFill="1" applyBorder="1" applyAlignment="1">
      <alignment horizontal="center" vertical="center"/>
    </xf>
    <xf numFmtId="0" fontId="26" fillId="4" borderId="60" xfId="0" applyFont="1" applyFill="1" applyBorder="1" applyAlignment="1">
      <alignment horizontal="center" vertical="center"/>
    </xf>
    <xf numFmtId="0" fontId="101" fillId="3" borderId="58" xfId="0" applyFont="1" applyFill="1" applyBorder="1" applyAlignment="1">
      <alignment horizontal="left" vertical="center" wrapText="1" indent="1"/>
    </xf>
    <xf numFmtId="0" fontId="101" fillId="3" borderId="59" xfId="0" applyFont="1" applyFill="1" applyBorder="1" applyAlignment="1">
      <alignment horizontal="left" vertical="center" wrapText="1" indent="1"/>
    </xf>
    <xf numFmtId="0" fontId="101" fillId="3" borderId="60" xfId="0" applyFont="1" applyFill="1" applyBorder="1" applyAlignment="1">
      <alignment horizontal="left" vertical="center" wrapText="1" indent="1"/>
    </xf>
    <xf numFmtId="0" fontId="53" fillId="0" borderId="0" xfId="0" applyFont="1" applyAlignment="1">
      <alignment horizontal="right"/>
    </xf>
    <xf numFmtId="0" fontId="120" fillId="19" borderId="0" xfId="0" applyFont="1" applyFill="1" applyAlignment="1">
      <alignment horizontal="left" vertical="center" wrapText="1"/>
    </xf>
    <xf numFmtId="0" fontId="122" fillId="17" borderId="0" xfId="0" applyFont="1" applyFill="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5" fillId="0" borderId="0" xfId="0" applyFont="1" applyAlignment="1">
      <alignment horizontal="left"/>
    </xf>
    <xf numFmtId="0" fontId="8" fillId="0" borderId="0" xfId="0" applyFont="1" applyAlignment="1">
      <alignment horizontal="left"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6" borderId="10" xfId="0" applyFont="1" applyFill="1" applyBorder="1" applyAlignment="1">
      <alignment horizontal="center" vertical="center"/>
    </xf>
    <xf numFmtId="0" fontId="8" fillId="6" borderId="2" xfId="0" applyFont="1" applyFill="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2" fontId="11" fillId="0" borderId="20" xfId="0" applyNumberFormat="1" applyFont="1" applyBorder="1" applyAlignment="1">
      <alignment horizontal="center" vertical="center"/>
    </xf>
    <xf numFmtId="2" fontId="11" fillId="0" borderId="21"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9"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4EBEC"/>
      <color rgb="FFE2E278"/>
      <color rgb="FF64B7C0"/>
      <color rgb="FFE8ECEB"/>
      <color rgb="FFD2F1DF"/>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Results!$E$108:$M$108</c:f>
              <c:numCache>
                <c:formatCode>"$"#,##0</c:formatCode>
                <c:ptCount val="3"/>
                <c:pt idx="0">
                  <c:v>210613.66974788893</c:v>
                </c:pt>
                <c:pt idx="1">
                  <c:v>189552.54277310005</c:v>
                </c:pt>
                <c:pt idx="2">
                  <c:v>0</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strRef>
              <c:f>Results!$E$9:$O$9</c:f>
              <c:strCache>
                <c:ptCount val="3"/>
                <c:pt idx="0">
                  <c:v>Abrysvo, Pfizer</c:v>
                </c:pt>
                <c:pt idx="1">
                  <c:v>Nirsevimab, AstraZeneca</c:v>
                </c:pt>
                <c:pt idx="2">
                  <c:v>Both, total</c:v>
                </c:pt>
              </c:strCache>
            </c:strRef>
          </c:cat>
          <c:val>
            <c:numRef>
              <c:f>Results!$E$108</c:f>
              <c:numCache>
                <c:formatCode>"$"#,##0</c:formatCode>
                <c:ptCount val="1"/>
                <c:pt idx="0">
                  <c:v>210613.66974788893</c:v>
                </c:pt>
              </c:numCache>
            </c:numRef>
          </c:val>
          <c:extLst>
            <c:ext xmlns:c16="http://schemas.microsoft.com/office/drawing/2014/chart" uri="{C3380CC4-5D6E-409C-BE32-E72D297353CC}">
              <c16:uniqueId val="{00000006-F6B7-417D-B92A-C66DECB24D31}"/>
            </c:ext>
          </c:extLst>
        </c:ser>
        <c:ser>
          <c:idx val="1"/>
          <c:order val="1"/>
          <c:tx>
            <c:strRef>
              <c:f>'Model Inputs'!$F$78</c:f>
              <c:strCache>
                <c:ptCount val="1"/>
                <c:pt idx="0">
                  <c:v>None</c:v>
                </c:pt>
              </c:strCache>
            </c:strRef>
          </c:tx>
          <c:spPr>
            <a:solidFill>
              <a:schemeClr val="accent2"/>
            </a:solidFill>
            <a:ln>
              <a:noFill/>
            </a:ln>
            <a:effectLst/>
          </c:spPr>
          <c:invertIfNegative val="0"/>
          <c:cat>
            <c:strRef>
              <c:f>Results!$E$9:$O$9</c:f>
              <c:strCache>
                <c:ptCount val="3"/>
                <c:pt idx="0">
                  <c:v>Abrysvo, Pfizer</c:v>
                </c:pt>
                <c:pt idx="1">
                  <c:v>Nirsevimab, AstraZeneca</c:v>
                </c:pt>
                <c:pt idx="2">
                  <c:v>Both, total</c:v>
                </c:pt>
              </c:strCache>
            </c:strRef>
          </c:cat>
          <c:val>
            <c:numRef>
              <c:f>Results!$F$108</c:f>
            </c:numRef>
          </c:val>
          <c:extLst>
            <c:ext xmlns:c16="http://schemas.microsoft.com/office/drawing/2014/chart" uri="{C3380CC4-5D6E-409C-BE32-E72D297353CC}">
              <c16:uniqueId val="{00000007-F6B7-417D-B92A-C66DECB24D31}"/>
            </c:ext>
          </c:extLst>
        </c:ser>
        <c:ser>
          <c:idx val="2"/>
          <c:order val="2"/>
          <c:tx>
            <c:strRef>
              <c:f>'Model Inputs'!$G$78</c:f>
              <c:strCache>
                <c:ptCount val="1"/>
                <c:pt idx="0">
                  <c:v>None</c:v>
                </c:pt>
              </c:strCache>
            </c:strRef>
          </c:tx>
          <c:spPr>
            <a:solidFill>
              <a:schemeClr val="accent3"/>
            </a:solidFill>
            <a:ln>
              <a:noFill/>
            </a:ln>
            <a:effectLst/>
          </c:spPr>
          <c:invertIfNegative val="0"/>
          <c:cat>
            <c:strRef>
              <c:f>Results!$E$9:$O$9</c:f>
              <c:strCache>
                <c:ptCount val="3"/>
                <c:pt idx="0">
                  <c:v>Abrysvo, Pfizer</c:v>
                </c:pt>
                <c:pt idx="1">
                  <c:v>Nirsevimab, AstraZeneca</c:v>
                </c:pt>
                <c:pt idx="2">
                  <c:v>Both, total</c:v>
                </c:pt>
              </c:strCache>
            </c:strRef>
          </c:cat>
          <c:val>
            <c:numRef>
              <c:f>Results!$G$108</c:f>
            </c:numRef>
          </c:val>
          <c:extLst>
            <c:ext xmlns:c16="http://schemas.microsoft.com/office/drawing/2014/chart" uri="{C3380CC4-5D6E-409C-BE32-E72D297353CC}">
              <c16:uniqueId val="{00000008-F6B7-417D-B92A-C66DECB24D31}"/>
            </c:ext>
          </c:extLst>
        </c:ser>
        <c:ser>
          <c:idx val="3"/>
          <c:order val="3"/>
          <c:tx>
            <c:strRef>
              <c:f>'Model Inputs'!$H$78</c:f>
              <c:strCache>
                <c:ptCount val="1"/>
                <c:pt idx="0">
                  <c:v>Nirsevimab, AstraZeneca</c:v>
                </c:pt>
              </c:strCache>
            </c:strRef>
          </c:tx>
          <c:spPr>
            <a:solidFill>
              <a:schemeClr val="accent4"/>
            </a:solidFill>
            <a:ln>
              <a:noFill/>
            </a:ln>
            <a:effectLst/>
          </c:spPr>
          <c:invertIfNegative val="0"/>
          <c:cat>
            <c:strRef>
              <c:f>Results!$E$9:$O$9</c:f>
              <c:strCache>
                <c:ptCount val="3"/>
                <c:pt idx="0">
                  <c:v>Abrysvo, Pfizer</c:v>
                </c:pt>
                <c:pt idx="1">
                  <c:v>Nirsevimab, AstraZeneca</c:v>
                </c:pt>
                <c:pt idx="2">
                  <c:v>Both, total</c:v>
                </c:pt>
              </c:strCache>
            </c:strRef>
          </c:cat>
          <c:val>
            <c:numRef>
              <c:f>Results!$I$108</c:f>
              <c:numCache>
                <c:formatCode>"$"#,##0</c:formatCode>
                <c:ptCount val="1"/>
                <c:pt idx="0">
                  <c:v>189552.54277310005</c:v>
                </c:pt>
              </c:numCache>
            </c:numRef>
          </c:val>
          <c:extLst>
            <c:ext xmlns:c16="http://schemas.microsoft.com/office/drawing/2014/chart" uri="{C3380CC4-5D6E-409C-BE32-E72D297353CC}">
              <c16:uniqueId val="{00000009-F6B7-417D-B92A-C66DECB24D31}"/>
            </c:ext>
          </c:extLst>
        </c:ser>
        <c:ser>
          <c:idx val="4"/>
          <c:order val="4"/>
          <c:tx>
            <c:strRef>
              <c:f>'Model Inputs'!$I$78</c:f>
              <c:strCache>
                <c:ptCount val="1"/>
                <c:pt idx="0">
                  <c:v>None</c:v>
                </c:pt>
              </c:strCache>
            </c:strRef>
          </c:tx>
          <c:spPr>
            <a:solidFill>
              <a:schemeClr val="accent5"/>
            </a:solidFill>
            <a:ln>
              <a:noFill/>
            </a:ln>
            <a:effectLst/>
          </c:spPr>
          <c:invertIfNegative val="0"/>
          <c:cat>
            <c:strRef>
              <c:f>Results!$E$9:$O$9</c:f>
              <c:strCache>
                <c:ptCount val="3"/>
                <c:pt idx="0">
                  <c:v>Abrysvo, Pfizer</c:v>
                </c:pt>
                <c:pt idx="1">
                  <c:v>Nirsevimab, AstraZeneca</c:v>
                </c:pt>
                <c:pt idx="2">
                  <c:v>Both, total</c:v>
                </c:pt>
              </c:strCache>
            </c:strRef>
          </c:cat>
          <c:val>
            <c:numRef>
              <c:f>Results!$J$108</c:f>
            </c:numRef>
          </c:val>
          <c:extLst>
            <c:ext xmlns:c16="http://schemas.microsoft.com/office/drawing/2014/chart" uri="{C3380CC4-5D6E-409C-BE32-E72D297353CC}">
              <c16:uniqueId val="{0000000A-F6B7-417D-B92A-C66DECB24D31}"/>
            </c:ext>
          </c:extLst>
        </c:ser>
        <c:ser>
          <c:idx val="5"/>
          <c:order val="5"/>
          <c:tx>
            <c:strRef>
              <c:f>'Model Inputs'!$J$78</c:f>
              <c:strCache>
                <c:ptCount val="1"/>
                <c:pt idx="0">
                  <c:v>None</c:v>
                </c:pt>
              </c:strCache>
            </c:strRef>
          </c:tx>
          <c:spPr>
            <a:solidFill>
              <a:schemeClr val="accent6"/>
            </a:solidFill>
            <a:ln>
              <a:noFill/>
            </a:ln>
            <a:effectLst/>
          </c:spPr>
          <c:invertIfNegative val="0"/>
          <c:cat>
            <c:strRef>
              <c:f>Results!$E$9:$O$9</c:f>
              <c:strCache>
                <c:ptCount val="3"/>
                <c:pt idx="0">
                  <c:v>Abrysvo, Pfizer</c:v>
                </c:pt>
                <c:pt idx="1">
                  <c:v>Nirsevimab, AstraZeneca</c:v>
                </c:pt>
                <c:pt idx="2">
                  <c:v>Both, total</c:v>
                </c:pt>
              </c:strCache>
            </c:strRef>
          </c:cat>
          <c:val>
            <c:numRef>
              <c:f>Results!$K$108</c:f>
            </c:numRef>
          </c:val>
          <c:extLst>
            <c:ext xmlns:c16="http://schemas.microsoft.com/office/drawing/2014/chart" uri="{C3380CC4-5D6E-409C-BE32-E72D297353CC}">
              <c16:uniqueId val="{0000000B-F6B7-417D-B92A-C66DECB24D31}"/>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Results!$N$108</c:f>
            </c:numRef>
          </c:val>
          <c:extLst>
            <c:ext xmlns:c16="http://schemas.microsoft.com/office/drawing/2014/chart" uri="{C3380CC4-5D6E-409C-BE32-E72D297353CC}">
              <c16:uniqueId val="{0000000C-F6B7-417D-B92A-C66DECB24D31}"/>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Results!$O$108</c:f>
            </c:numRef>
          </c:val>
          <c:extLst>
            <c:ext xmlns:c16="http://schemas.microsoft.com/office/drawing/2014/chart" uri="{C3380CC4-5D6E-409C-BE32-E72D297353CC}">
              <c16:uniqueId val="{0000000D-F6B7-417D-B92A-C66DECB24D31}"/>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Results!$M$108</c:f>
              <c:numCache>
                <c:formatCode>"$"#,##0</c:formatCode>
                <c:ptCount val="1"/>
                <c:pt idx="0">
                  <c:v>0</c:v>
                </c:pt>
              </c:numCache>
            </c:numRef>
          </c:val>
          <c:extLs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val>
            <c:numRef>
              <c:f>Results!$E$117</c:f>
              <c:numCache>
                <c:formatCode>"$"#,##0</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'Model Inputs'!$F$78</c:f>
              <c:strCache>
                <c:ptCount val="1"/>
                <c:pt idx="0">
                  <c:v>None</c:v>
                </c:pt>
              </c:strCache>
            </c:strRef>
          </c:tx>
          <c:spPr>
            <a:solidFill>
              <a:schemeClr val="accent2"/>
            </a:solidFill>
            <a:ln>
              <a:noFill/>
            </a:ln>
            <a:effectLst/>
          </c:spPr>
          <c:invertIfNegative val="0"/>
          <c:val>
            <c:numRef>
              <c:f>Results!$F$117</c:f>
            </c:numRef>
          </c:val>
          <c:extLst>
            <c:ext xmlns:c16="http://schemas.microsoft.com/office/drawing/2014/chart" uri="{C3380CC4-5D6E-409C-BE32-E72D297353CC}">
              <c16:uniqueId val="{00000009-28E9-45AC-9562-754FCAC6B41D}"/>
            </c:ext>
          </c:extLst>
        </c:ser>
        <c:ser>
          <c:idx val="2"/>
          <c:order val="2"/>
          <c:tx>
            <c:strRef>
              <c:f>'Model Inputs'!$G$78</c:f>
              <c:strCache>
                <c:ptCount val="1"/>
                <c:pt idx="0">
                  <c:v>None</c:v>
                </c:pt>
              </c:strCache>
            </c:strRef>
          </c:tx>
          <c:spPr>
            <a:solidFill>
              <a:schemeClr val="accent3"/>
            </a:solidFill>
            <a:ln>
              <a:noFill/>
            </a:ln>
            <a:effectLst/>
          </c:spPr>
          <c:invertIfNegative val="0"/>
          <c:val>
            <c:numRef>
              <c:f>Results!$G$117</c:f>
            </c:numRef>
          </c:val>
          <c:extLst>
            <c:ext xmlns:c16="http://schemas.microsoft.com/office/drawing/2014/chart" uri="{C3380CC4-5D6E-409C-BE32-E72D297353CC}">
              <c16:uniqueId val="{0000000A-28E9-45AC-9562-754FCAC6B41D}"/>
            </c:ext>
          </c:extLst>
        </c:ser>
        <c:ser>
          <c:idx val="3"/>
          <c:order val="3"/>
          <c:tx>
            <c:strRef>
              <c:f>'Model Inputs'!$H$78</c:f>
              <c:strCache>
                <c:ptCount val="1"/>
                <c:pt idx="0">
                  <c:v>Nirsevimab, AstraZeneca</c:v>
                </c:pt>
              </c:strCache>
            </c:strRef>
          </c:tx>
          <c:spPr>
            <a:solidFill>
              <a:schemeClr val="accent4"/>
            </a:solidFill>
            <a:ln>
              <a:noFill/>
            </a:ln>
            <a:effectLst/>
          </c:spPr>
          <c:invertIfNegative val="0"/>
          <c:val>
            <c:numRef>
              <c:f>Results!$I$117</c:f>
              <c:numCache>
                <c:formatCode>"$"#,##0</c:formatCode>
                <c:ptCount val="1"/>
                <c:pt idx="0">
                  <c:v>1064252.9164936999</c:v>
                </c:pt>
              </c:numCache>
            </c:numRef>
          </c:val>
          <c:extLst>
            <c:ext xmlns:c16="http://schemas.microsoft.com/office/drawing/2014/chart" uri="{C3380CC4-5D6E-409C-BE32-E72D297353CC}">
              <c16:uniqueId val="{0000000B-28E9-45AC-9562-754FCAC6B41D}"/>
            </c:ext>
          </c:extLst>
        </c:ser>
        <c:ser>
          <c:idx val="4"/>
          <c:order val="4"/>
          <c:tx>
            <c:strRef>
              <c:f>'Model Inputs'!$I$78</c:f>
              <c:strCache>
                <c:ptCount val="1"/>
                <c:pt idx="0">
                  <c:v>None</c:v>
                </c:pt>
              </c:strCache>
            </c:strRef>
          </c:tx>
          <c:spPr>
            <a:solidFill>
              <a:schemeClr val="accent5"/>
            </a:solidFill>
            <a:ln>
              <a:noFill/>
            </a:ln>
            <a:effectLst/>
          </c:spPr>
          <c:invertIfNegative val="0"/>
          <c:val>
            <c:numRef>
              <c:f>Results!$J$117</c:f>
            </c:numRef>
          </c:val>
          <c:extLst>
            <c:ext xmlns:c16="http://schemas.microsoft.com/office/drawing/2014/chart" uri="{C3380CC4-5D6E-409C-BE32-E72D297353CC}">
              <c16:uniqueId val="{0000000C-28E9-45AC-9562-754FCAC6B41D}"/>
            </c:ext>
          </c:extLst>
        </c:ser>
        <c:ser>
          <c:idx val="5"/>
          <c:order val="5"/>
          <c:tx>
            <c:strRef>
              <c:f>'Model Inputs'!$J$78</c:f>
              <c:strCache>
                <c:ptCount val="1"/>
                <c:pt idx="0">
                  <c:v>None</c:v>
                </c:pt>
              </c:strCache>
            </c:strRef>
          </c:tx>
          <c:spPr>
            <a:solidFill>
              <a:schemeClr val="accent6"/>
            </a:solidFill>
            <a:ln>
              <a:noFill/>
            </a:ln>
            <a:effectLst/>
          </c:spPr>
          <c:invertIfNegative val="0"/>
          <c:val>
            <c:numRef>
              <c:f>Results!$K$117</c:f>
            </c:numRef>
          </c:val>
          <c:extLst>
            <c:ext xmlns:c16="http://schemas.microsoft.com/office/drawing/2014/chart" uri="{C3380CC4-5D6E-409C-BE32-E72D297353CC}">
              <c16:uniqueId val="{0000000D-28E9-45AC-9562-754FCAC6B41D}"/>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val>
            <c:numRef>
              <c:f>Results!$N$117</c:f>
            </c:numRef>
          </c:val>
          <c:extLst>
            <c:ext xmlns:c16="http://schemas.microsoft.com/office/drawing/2014/chart" uri="{C3380CC4-5D6E-409C-BE32-E72D297353CC}">
              <c16:uniqueId val="{0000000E-28E9-45AC-9562-754FCAC6B41D}"/>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val>
            <c:numRef>
              <c:f>Results!$O$117</c:f>
            </c:numRef>
          </c:val>
          <c:extLst>
            <c:ext xmlns:c16="http://schemas.microsoft.com/office/drawing/2014/chart" uri="{C3380CC4-5D6E-409C-BE32-E72D297353CC}">
              <c16:uniqueId val="{0000000F-28E9-45AC-9562-754FCAC6B41D}"/>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val>
            <c:numRef>
              <c:f>Results!$M$117</c:f>
              <c:numCache>
                <c:formatCode>"$"#,##0</c:formatCode>
                <c:ptCount val="1"/>
                <c:pt idx="0">
                  <c:v>0</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'Model Inputs'!$F$78</c:f>
              <c:strCache>
                <c:ptCount val="1"/>
                <c:pt idx="0">
                  <c:v>None</c:v>
                </c:pt>
              </c:strCache>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Results!$F$118:$F$122</c:f>
            </c:numRef>
          </c:val>
          <c:extLst>
            <c:ext xmlns:c16="http://schemas.microsoft.com/office/drawing/2014/chart" uri="{C3380CC4-5D6E-409C-BE32-E72D297353CC}">
              <c16:uniqueId val="{00000001-C25E-4295-BEE6-9E8C87F770CB}"/>
            </c:ext>
          </c:extLst>
        </c:ser>
        <c:ser>
          <c:idx val="2"/>
          <c:order val="2"/>
          <c:tx>
            <c:strRef>
              <c:f>'Model Inputs'!$G$78</c:f>
              <c:strCache>
                <c:ptCount val="1"/>
                <c:pt idx="0">
                  <c:v>None</c:v>
                </c:pt>
              </c:strCache>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Results!$G$118:$G$122</c:f>
            </c:numRef>
          </c:val>
          <c:extLst>
            <c:ext xmlns:c16="http://schemas.microsoft.com/office/drawing/2014/chart" uri="{C3380CC4-5D6E-409C-BE32-E72D297353CC}">
              <c16:uniqueId val="{00000002-C25E-4295-BEE6-9E8C87F770CB}"/>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C25E-4295-BEE6-9E8C87F770CB}"/>
            </c:ext>
          </c:extLst>
        </c:ser>
        <c:ser>
          <c:idx val="4"/>
          <c:order val="4"/>
          <c:tx>
            <c:strRef>
              <c:f>'Model Inputs'!$I$78</c:f>
              <c:strCache>
                <c:ptCount val="1"/>
                <c:pt idx="0">
                  <c:v>None</c:v>
                </c:pt>
              </c:strCache>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Results!$J$118:$J$122</c:f>
            </c:numRef>
          </c:val>
          <c:extLst>
            <c:ext xmlns:c16="http://schemas.microsoft.com/office/drawing/2014/chart" uri="{C3380CC4-5D6E-409C-BE32-E72D297353CC}">
              <c16:uniqueId val="{00000004-C25E-4295-BEE6-9E8C87F770CB}"/>
            </c:ext>
          </c:extLst>
        </c:ser>
        <c:ser>
          <c:idx val="6"/>
          <c:order val="5"/>
          <c:tx>
            <c:strRef>
              <c:f>'Model Inputs'!$J$78</c:f>
              <c:strCache>
                <c:ptCount val="1"/>
                <c:pt idx="0">
                  <c:v>None</c:v>
                </c:pt>
              </c:strCache>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Results!$K$118:$K$122</c:f>
            </c:numRef>
          </c:val>
          <c:extLst>
            <c:ext xmlns:c16="http://schemas.microsoft.com/office/drawing/2014/chart" uri="{C3380CC4-5D6E-409C-BE32-E72D297353CC}">
              <c16:uniqueId val="{00000005-C25E-4295-BEE6-9E8C87F770CB}"/>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Results!$N$118:$N$122</c:f>
            </c:numRef>
          </c:val>
          <c:extLst>
            <c:ext xmlns:c16="http://schemas.microsoft.com/office/drawing/2014/chart" uri="{C3380CC4-5D6E-409C-BE32-E72D297353CC}">
              <c16:uniqueId val="{00000006-C25E-4295-BEE6-9E8C87F770CB}"/>
            </c:ext>
          </c:extLst>
        </c:ser>
        <c:ser>
          <c:idx val="5"/>
          <c:order val="7"/>
          <c:tx>
            <c:strRef>
              <c:f>'Model Inputs'!$L$78</c:f>
              <c:strCache>
                <c:ptCount val="1"/>
                <c:pt idx="0">
                  <c:v>None</c:v>
                </c:pt>
              </c:strCache>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Results!$O$118:$O$122</c:f>
            </c:numRef>
          </c:val>
          <c:extLst>
            <c:ext xmlns:c16="http://schemas.microsoft.com/office/drawing/2014/chart" uri="{C3380CC4-5D6E-409C-BE32-E72D297353CC}">
              <c16:uniqueId val="{00000007-C25E-4295-BEE6-9E8C87F770CB}"/>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strRef>
              <c:f>Results!$E$9:$O$9</c:f>
              <c:strCache>
                <c:ptCount val="3"/>
                <c:pt idx="0">
                  <c:v>Abrysvo, Pfizer</c:v>
                </c:pt>
                <c:pt idx="1">
                  <c:v>Nirsevimab, AstraZeneca</c:v>
                </c:pt>
                <c:pt idx="2">
                  <c:v>Both, total</c:v>
                </c:pt>
              </c:strCache>
            </c:strRef>
          </c:cat>
          <c:val>
            <c:numRef>
              <c:f>Results!$E$128</c:f>
              <c:numCache>
                <c:formatCode>"$"#,##0</c:formatCode>
                <c:ptCount val="1"/>
                <c:pt idx="0">
                  <c:v>3581419.6205880558</c:v>
                </c:pt>
              </c:numCache>
            </c:numRef>
          </c:val>
          <c:extLst>
            <c:ext xmlns:c16="http://schemas.microsoft.com/office/drawing/2014/chart" uri="{C3380CC4-5D6E-409C-BE32-E72D297353CC}">
              <c16:uniqueId val="{00000000-CBC3-437E-9F0A-0BEC43C0518F}"/>
            </c:ext>
          </c:extLst>
        </c:ser>
        <c:ser>
          <c:idx val="1"/>
          <c:order val="1"/>
          <c:tx>
            <c:strRef>
              <c:f>'Model Inputs'!$F$78</c:f>
              <c:strCache>
                <c:ptCount val="1"/>
                <c:pt idx="0">
                  <c:v>None</c:v>
                </c:pt>
              </c:strCache>
            </c:strRef>
          </c:tx>
          <c:spPr>
            <a:solidFill>
              <a:schemeClr val="accent2"/>
            </a:solidFill>
            <a:ln>
              <a:noFill/>
            </a:ln>
            <a:effectLst/>
          </c:spPr>
          <c:invertIfNegative val="0"/>
          <c:cat>
            <c:strRef>
              <c:f>Results!$E$9:$O$9</c:f>
              <c:strCache>
                <c:ptCount val="3"/>
                <c:pt idx="0">
                  <c:v>Abrysvo, Pfizer</c:v>
                </c:pt>
                <c:pt idx="1">
                  <c:v>Nirsevimab, AstraZeneca</c:v>
                </c:pt>
                <c:pt idx="2">
                  <c:v>Both, total</c:v>
                </c:pt>
              </c:strCache>
            </c:strRef>
          </c:cat>
          <c:val>
            <c:numRef>
              <c:f>Results!$F$128</c:f>
            </c:numRef>
          </c:val>
          <c:extLst>
            <c:ext xmlns:c16="http://schemas.microsoft.com/office/drawing/2014/chart" uri="{C3380CC4-5D6E-409C-BE32-E72D297353CC}">
              <c16:uniqueId val="{00000001-CBC3-437E-9F0A-0BEC43C0518F}"/>
            </c:ext>
          </c:extLst>
        </c:ser>
        <c:ser>
          <c:idx val="2"/>
          <c:order val="2"/>
          <c:tx>
            <c:strRef>
              <c:f>'Model Inputs'!$G$78</c:f>
              <c:strCache>
                <c:ptCount val="1"/>
                <c:pt idx="0">
                  <c:v>None</c:v>
                </c:pt>
              </c:strCache>
            </c:strRef>
          </c:tx>
          <c:spPr>
            <a:solidFill>
              <a:schemeClr val="accent3"/>
            </a:solidFill>
            <a:ln>
              <a:noFill/>
            </a:ln>
            <a:effectLst/>
          </c:spPr>
          <c:invertIfNegative val="0"/>
          <c:cat>
            <c:strRef>
              <c:f>Results!$E$9:$O$9</c:f>
              <c:strCache>
                <c:ptCount val="3"/>
                <c:pt idx="0">
                  <c:v>Abrysvo, Pfizer</c:v>
                </c:pt>
                <c:pt idx="1">
                  <c:v>Nirsevimab, AstraZeneca</c:v>
                </c:pt>
                <c:pt idx="2">
                  <c:v>Both, total</c:v>
                </c:pt>
              </c:strCache>
            </c:strRef>
          </c:cat>
          <c:val>
            <c:numRef>
              <c:f>Results!$G$128</c:f>
            </c:numRef>
          </c:val>
          <c:extLst>
            <c:ext xmlns:c16="http://schemas.microsoft.com/office/drawing/2014/chart" uri="{C3380CC4-5D6E-409C-BE32-E72D297353CC}">
              <c16:uniqueId val="{00000002-CBC3-437E-9F0A-0BEC43C0518F}"/>
            </c:ext>
          </c:extLst>
        </c:ser>
        <c:ser>
          <c:idx val="3"/>
          <c:order val="3"/>
          <c:tx>
            <c:strRef>
              <c:f>'Model Inputs'!$H$78</c:f>
              <c:strCache>
                <c:ptCount val="1"/>
                <c:pt idx="0">
                  <c:v>Nirsevimab, AstraZeneca</c:v>
                </c:pt>
              </c:strCache>
            </c:strRef>
          </c:tx>
          <c:spPr>
            <a:solidFill>
              <a:schemeClr val="accent4"/>
            </a:solidFill>
            <a:ln>
              <a:noFill/>
            </a:ln>
            <a:effectLst/>
          </c:spPr>
          <c:invertIfNegative val="0"/>
          <c:cat>
            <c:strRef>
              <c:f>Results!$E$9:$O$9</c:f>
              <c:strCache>
                <c:ptCount val="3"/>
                <c:pt idx="0">
                  <c:v>Abrysvo, Pfizer</c:v>
                </c:pt>
                <c:pt idx="1">
                  <c:v>Nirsevimab, AstraZeneca</c:v>
                </c:pt>
                <c:pt idx="2">
                  <c:v>Both, total</c:v>
                </c:pt>
              </c:strCache>
            </c:strRef>
          </c:cat>
          <c:val>
            <c:numRef>
              <c:f>Results!$I$128</c:f>
              <c:numCache>
                <c:formatCode>"$"#,##0</c:formatCode>
                <c:ptCount val="1"/>
                <c:pt idx="0">
                  <c:v>18391904.677310001</c:v>
                </c:pt>
              </c:numCache>
            </c:numRef>
          </c:val>
          <c:extLst>
            <c:ext xmlns:c16="http://schemas.microsoft.com/office/drawing/2014/chart" uri="{C3380CC4-5D6E-409C-BE32-E72D297353CC}">
              <c16:uniqueId val="{00000003-CBC3-437E-9F0A-0BEC43C0518F}"/>
            </c:ext>
          </c:extLst>
        </c:ser>
        <c:ser>
          <c:idx val="4"/>
          <c:order val="4"/>
          <c:tx>
            <c:strRef>
              <c:f>'Model Inputs'!$I$78</c:f>
              <c:strCache>
                <c:ptCount val="1"/>
                <c:pt idx="0">
                  <c:v>None</c:v>
                </c:pt>
              </c:strCache>
            </c:strRef>
          </c:tx>
          <c:spPr>
            <a:solidFill>
              <a:schemeClr val="accent5"/>
            </a:solidFill>
            <a:ln>
              <a:noFill/>
            </a:ln>
            <a:effectLst/>
          </c:spPr>
          <c:invertIfNegative val="0"/>
          <c:cat>
            <c:strRef>
              <c:f>Results!$E$9:$O$9</c:f>
              <c:strCache>
                <c:ptCount val="3"/>
                <c:pt idx="0">
                  <c:v>Abrysvo, Pfizer</c:v>
                </c:pt>
                <c:pt idx="1">
                  <c:v>Nirsevimab, AstraZeneca</c:v>
                </c:pt>
                <c:pt idx="2">
                  <c:v>Both, total</c:v>
                </c:pt>
              </c:strCache>
            </c:strRef>
          </c:cat>
          <c:val>
            <c:numRef>
              <c:f>Results!$J$128</c:f>
            </c:numRef>
          </c:val>
          <c:extLst>
            <c:ext xmlns:c16="http://schemas.microsoft.com/office/drawing/2014/chart" uri="{C3380CC4-5D6E-409C-BE32-E72D297353CC}">
              <c16:uniqueId val="{00000004-CBC3-437E-9F0A-0BEC43C0518F}"/>
            </c:ext>
          </c:extLst>
        </c:ser>
        <c:ser>
          <c:idx val="5"/>
          <c:order val="5"/>
          <c:tx>
            <c:strRef>
              <c:f>'Model Inputs'!$J$78</c:f>
              <c:strCache>
                <c:ptCount val="1"/>
                <c:pt idx="0">
                  <c:v>None</c:v>
                </c:pt>
              </c:strCache>
            </c:strRef>
          </c:tx>
          <c:spPr>
            <a:solidFill>
              <a:schemeClr val="accent6"/>
            </a:solidFill>
            <a:ln>
              <a:noFill/>
            </a:ln>
            <a:effectLst/>
          </c:spPr>
          <c:invertIfNegative val="0"/>
          <c:cat>
            <c:strRef>
              <c:f>Results!$E$9:$O$9</c:f>
              <c:strCache>
                <c:ptCount val="3"/>
                <c:pt idx="0">
                  <c:v>Abrysvo, Pfizer</c:v>
                </c:pt>
                <c:pt idx="1">
                  <c:v>Nirsevimab, AstraZeneca</c:v>
                </c:pt>
                <c:pt idx="2">
                  <c:v>Both, total</c:v>
                </c:pt>
              </c:strCache>
            </c:strRef>
          </c:cat>
          <c:val>
            <c:numRef>
              <c:f>Results!$K$128</c:f>
            </c:numRef>
          </c:val>
          <c:extLst>
            <c:ext xmlns:c16="http://schemas.microsoft.com/office/drawing/2014/chart" uri="{C3380CC4-5D6E-409C-BE32-E72D297353CC}">
              <c16:uniqueId val="{00000005-CBC3-437E-9F0A-0BEC43C0518F}"/>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Results!$N$128</c:f>
            </c:numRef>
          </c:val>
          <c:extLst>
            <c:ext xmlns:c16="http://schemas.microsoft.com/office/drawing/2014/chart" uri="{C3380CC4-5D6E-409C-BE32-E72D297353CC}">
              <c16:uniqueId val="{00000007-CBC3-437E-9F0A-0BEC43C0518F}"/>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Results!$O$128</c:f>
            </c:numRef>
          </c:val>
          <c:extLst>
            <c:ext xmlns:c16="http://schemas.microsoft.com/office/drawing/2014/chart" uri="{C3380CC4-5D6E-409C-BE32-E72D297353CC}">
              <c16:uniqueId val="{00000008-CBC3-437E-9F0A-0BEC43C0518F}"/>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Results!$M$128</c:f>
              <c:numCache>
                <c:formatCode>"$"#,##0</c:formatCode>
                <c:ptCount val="1"/>
                <c:pt idx="0">
                  <c:v>0</c:v>
                </c:pt>
              </c:numCache>
            </c:numRef>
          </c:val>
          <c:extLs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Results!$E$9</c:f>
              <c:strCache>
                <c:ptCount val="1"/>
                <c:pt idx="0">
                  <c:v>Abrysvo, Pfizer</c:v>
                </c:pt>
              </c:strCache>
            </c:strRef>
          </c:tx>
          <c:spPr>
            <a:solidFill>
              <a:schemeClr val="accent1"/>
            </a:solidFill>
            <a:ln>
              <a:noFill/>
            </a:ln>
            <a:effectLst/>
          </c:spPr>
          <c:invertIfNegative val="0"/>
          <c:val>
            <c:numRef>
              <c:f>Results!$E$137</c:f>
              <c:numCache>
                <c:formatCode>"$"#,##0</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Results!$F$9</c:f>
              <c:strCache>
                <c:ptCount val="1"/>
                <c:pt idx="0">
                  <c:v>None</c:v>
                </c:pt>
              </c:strCache>
            </c:strRef>
          </c:tx>
          <c:spPr>
            <a:solidFill>
              <a:schemeClr val="accent2"/>
            </a:solidFill>
            <a:ln>
              <a:noFill/>
            </a:ln>
            <a:effectLst/>
          </c:spPr>
          <c:invertIfNegative val="0"/>
          <c:val>
            <c:numRef>
              <c:f>Results!$F$137</c:f>
            </c:numRef>
          </c:val>
          <c:extLst>
            <c:ext xmlns:c16="http://schemas.microsoft.com/office/drawing/2014/chart" uri="{C3380CC4-5D6E-409C-BE32-E72D297353CC}">
              <c16:uniqueId val="{00000001-589C-4AFB-9E15-602B151868E1}"/>
            </c:ext>
          </c:extLst>
        </c:ser>
        <c:ser>
          <c:idx val="2"/>
          <c:order val="2"/>
          <c:tx>
            <c:strRef>
              <c:f>Results!$G$9</c:f>
              <c:strCache>
                <c:ptCount val="1"/>
                <c:pt idx="0">
                  <c:v>None</c:v>
                </c:pt>
              </c:strCache>
            </c:strRef>
          </c:tx>
          <c:spPr>
            <a:solidFill>
              <a:schemeClr val="accent3"/>
            </a:solidFill>
            <a:ln>
              <a:noFill/>
            </a:ln>
            <a:effectLst/>
          </c:spPr>
          <c:invertIfNegative val="0"/>
          <c:val>
            <c:numRef>
              <c:f>Results!$G$137</c:f>
            </c:numRef>
          </c:val>
          <c:extLst>
            <c:ext xmlns:c16="http://schemas.microsoft.com/office/drawing/2014/chart" uri="{C3380CC4-5D6E-409C-BE32-E72D297353CC}">
              <c16:uniqueId val="{00000002-589C-4AFB-9E15-602B151868E1}"/>
            </c:ext>
          </c:extLst>
        </c:ser>
        <c:ser>
          <c:idx val="3"/>
          <c:order val="3"/>
          <c:tx>
            <c:strRef>
              <c:f>Results!$I$9</c:f>
              <c:strCache>
                <c:ptCount val="1"/>
                <c:pt idx="0">
                  <c:v>Nirsevimab, AstraZeneca</c:v>
                </c:pt>
              </c:strCache>
            </c:strRef>
          </c:tx>
          <c:spPr>
            <a:solidFill>
              <a:schemeClr val="accent4"/>
            </a:solidFill>
            <a:ln>
              <a:noFill/>
            </a:ln>
            <a:effectLst/>
          </c:spPr>
          <c:invertIfNegative val="0"/>
          <c:val>
            <c:numRef>
              <c:f>Results!$I$137</c:f>
              <c:numCache>
                <c:formatCode>"$"#,##0</c:formatCode>
                <c:ptCount val="1"/>
                <c:pt idx="0">
                  <c:v>19415605.051030599</c:v>
                </c:pt>
              </c:numCache>
            </c:numRef>
          </c:val>
          <c:extLst>
            <c:ext xmlns:c16="http://schemas.microsoft.com/office/drawing/2014/chart" uri="{C3380CC4-5D6E-409C-BE32-E72D297353CC}">
              <c16:uniqueId val="{00000003-589C-4AFB-9E15-602B151868E1}"/>
            </c:ext>
          </c:extLst>
        </c:ser>
        <c:ser>
          <c:idx val="4"/>
          <c:order val="4"/>
          <c:tx>
            <c:strRef>
              <c:f>Results!$J$9</c:f>
              <c:strCache>
                <c:ptCount val="1"/>
                <c:pt idx="0">
                  <c:v>None</c:v>
                </c:pt>
              </c:strCache>
            </c:strRef>
          </c:tx>
          <c:spPr>
            <a:solidFill>
              <a:schemeClr val="accent5"/>
            </a:solidFill>
            <a:ln>
              <a:noFill/>
            </a:ln>
            <a:effectLst/>
          </c:spPr>
          <c:invertIfNegative val="0"/>
          <c:val>
            <c:numRef>
              <c:f>Results!$J$137</c:f>
            </c:numRef>
          </c:val>
          <c:extLst>
            <c:ext xmlns:c16="http://schemas.microsoft.com/office/drawing/2014/chart" uri="{C3380CC4-5D6E-409C-BE32-E72D297353CC}">
              <c16:uniqueId val="{00000004-589C-4AFB-9E15-602B151868E1}"/>
            </c:ext>
          </c:extLst>
        </c:ser>
        <c:ser>
          <c:idx val="5"/>
          <c:order val="5"/>
          <c:tx>
            <c:strRef>
              <c:f>Results!$K$9</c:f>
              <c:strCache>
                <c:ptCount val="1"/>
                <c:pt idx="0">
                  <c:v>None</c:v>
                </c:pt>
              </c:strCache>
            </c:strRef>
          </c:tx>
          <c:spPr>
            <a:solidFill>
              <a:schemeClr val="accent6"/>
            </a:solidFill>
            <a:ln>
              <a:noFill/>
            </a:ln>
            <a:effectLst/>
          </c:spPr>
          <c:invertIfNegative val="0"/>
          <c:val>
            <c:numRef>
              <c:f>Results!$K$137</c:f>
            </c:numRef>
          </c:val>
          <c:extLst>
            <c:ext xmlns:c16="http://schemas.microsoft.com/office/drawing/2014/chart" uri="{C3380CC4-5D6E-409C-BE32-E72D297353CC}">
              <c16:uniqueId val="{00000005-589C-4AFB-9E15-602B151868E1}"/>
            </c:ext>
          </c:extLst>
        </c:ser>
        <c:ser>
          <c:idx val="6"/>
          <c:order val="6"/>
          <c:tx>
            <c:strRef>
              <c:f>Results!$N$9</c:f>
              <c:strCache>
                <c:ptCount val="1"/>
                <c:pt idx="0">
                  <c:v>None</c:v>
                </c:pt>
              </c:strCache>
            </c:strRef>
          </c:tx>
          <c:spPr>
            <a:solidFill>
              <a:schemeClr val="accent1">
                <a:lumMod val="60000"/>
              </a:schemeClr>
            </a:solidFill>
            <a:ln>
              <a:noFill/>
            </a:ln>
            <a:effectLst/>
          </c:spPr>
          <c:invertIfNegative val="0"/>
          <c:val>
            <c:numRef>
              <c:f>Results!$N$137</c:f>
            </c:numRef>
          </c:val>
          <c:extLst>
            <c:ext xmlns:c16="http://schemas.microsoft.com/office/drawing/2014/chart" uri="{C3380CC4-5D6E-409C-BE32-E72D297353CC}">
              <c16:uniqueId val="{00000007-589C-4AFB-9E15-602B151868E1}"/>
            </c:ext>
          </c:extLst>
        </c:ser>
        <c:ser>
          <c:idx val="7"/>
          <c:order val="7"/>
          <c:tx>
            <c:strRef>
              <c:f>Results!$O$9</c:f>
              <c:strCache>
                <c:ptCount val="1"/>
                <c:pt idx="0">
                  <c:v>None</c:v>
                </c:pt>
              </c:strCache>
            </c:strRef>
          </c:tx>
          <c:spPr>
            <a:solidFill>
              <a:schemeClr val="accent2">
                <a:lumMod val="60000"/>
              </a:schemeClr>
            </a:solidFill>
            <a:ln>
              <a:noFill/>
            </a:ln>
            <a:effectLst/>
          </c:spPr>
          <c:invertIfNegative val="0"/>
          <c:val>
            <c:numRef>
              <c:f>Results!$O$137</c:f>
            </c:numRef>
          </c:val>
          <c:extLst>
            <c:ext xmlns:c16="http://schemas.microsoft.com/office/drawing/2014/chart" uri="{C3380CC4-5D6E-409C-BE32-E72D297353CC}">
              <c16:uniqueId val="{00000008-589C-4AFB-9E15-602B151868E1}"/>
            </c:ext>
          </c:extLst>
        </c:ser>
        <c:ser>
          <c:idx val="8"/>
          <c:order val="8"/>
          <c:tx>
            <c:strRef>
              <c:f>Results!$M$9</c:f>
              <c:strCache>
                <c:ptCount val="1"/>
                <c:pt idx="0">
                  <c:v>Both, total</c:v>
                </c:pt>
              </c:strCache>
            </c:strRef>
          </c:tx>
          <c:spPr>
            <a:solidFill>
              <a:schemeClr val="accent3">
                <a:lumMod val="60000"/>
              </a:schemeClr>
            </a:solidFill>
            <a:ln>
              <a:noFill/>
            </a:ln>
            <a:effectLst/>
          </c:spPr>
          <c:invertIfNegative val="0"/>
          <c:val>
            <c:numRef>
              <c:f>Results!$M$137</c:f>
              <c:numCache>
                <c:formatCode>"$"#,##0</c:formatCode>
                <c:ptCount val="1"/>
                <c:pt idx="0">
                  <c:v>0</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'Model Inputs'!$F$78</c:f>
              <c:strCache>
                <c:ptCount val="1"/>
                <c:pt idx="0">
                  <c:v>None</c:v>
                </c:pt>
              </c:strCache>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Results!$F$129:$F$133</c:f>
            </c:numRef>
          </c:val>
          <c:extLst>
            <c:ext xmlns:c16="http://schemas.microsoft.com/office/drawing/2014/chart" uri="{C3380CC4-5D6E-409C-BE32-E72D297353CC}">
              <c16:uniqueId val="{00000001-3331-45B7-89A8-EF22E0FC9BA8}"/>
            </c:ext>
          </c:extLst>
        </c:ser>
        <c:ser>
          <c:idx val="2"/>
          <c:order val="2"/>
          <c:tx>
            <c:strRef>
              <c:f>'Model Inputs'!$G$78</c:f>
              <c:strCache>
                <c:ptCount val="1"/>
                <c:pt idx="0">
                  <c:v>None</c:v>
                </c:pt>
              </c:strCache>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Results!$G$129:$G$133</c:f>
            </c:numRef>
          </c:val>
          <c:extLst>
            <c:ext xmlns:c16="http://schemas.microsoft.com/office/drawing/2014/chart" uri="{C3380CC4-5D6E-409C-BE32-E72D297353CC}">
              <c16:uniqueId val="{00000002-3331-45B7-89A8-EF22E0FC9BA8}"/>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3331-45B7-89A8-EF22E0FC9BA8}"/>
            </c:ext>
          </c:extLst>
        </c:ser>
        <c:ser>
          <c:idx val="4"/>
          <c:order val="4"/>
          <c:tx>
            <c:strRef>
              <c:f>'Model Inputs'!$I$78</c:f>
              <c:strCache>
                <c:ptCount val="1"/>
                <c:pt idx="0">
                  <c:v>None</c:v>
                </c:pt>
              </c:strCache>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Results!$J$129:$J$133</c:f>
            </c:numRef>
          </c:val>
          <c:extLst>
            <c:ext xmlns:c16="http://schemas.microsoft.com/office/drawing/2014/chart" uri="{C3380CC4-5D6E-409C-BE32-E72D297353CC}">
              <c16:uniqueId val="{00000004-3331-45B7-89A8-EF22E0FC9BA8}"/>
            </c:ext>
          </c:extLst>
        </c:ser>
        <c:ser>
          <c:idx val="6"/>
          <c:order val="5"/>
          <c:tx>
            <c:strRef>
              <c:f>'Model Inputs'!$J$78</c:f>
              <c:strCache>
                <c:ptCount val="1"/>
                <c:pt idx="0">
                  <c:v>None</c:v>
                </c:pt>
              </c:strCache>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Results!$K$129:$K$133</c:f>
            </c:numRef>
          </c:val>
          <c:extLst>
            <c:ext xmlns:c16="http://schemas.microsoft.com/office/drawing/2014/chart" uri="{C3380CC4-5D6E-409C-BE32-E72D297353CC}">
              <c16:uniqueId val="{00000005-3331-45B7-89A8-EF22E0FC9BA8}"/>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Results!$N$129:$N$133</c:f>
            </c:numRef>
          </c:val>
          <c:extLst>
            <c:ext xmlns:c16="http://schemas.microsoft.com/office/drawing/2014/chart" uri="{C3380CC4-5D6E-409C-BE32-E72D297353CC}">
              <c16:uniqueId val="{00000006-3331-45B7-89A8-EF22E0FC9BA8}"/>
            </c:ext>
          </c:extLst>
        </c:ser>
        <c:ser>
          <c:idx val="5"/>
          <c:order val="7"/>
          <c:tx>
            <c:strRef>
              <c:f>'Model Inputs'!$L$78</c:f>
              <c:strCache>
                <c:ptCount val="1"/>
                <c:pt idx="0">
                  <c:v>None</c:v>
                </c:pt>
              </c:strCache>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Results!$O$129:$O$133</c:f>
            </c:numRef>
          </c:val>
          <c:extLst>
            <c:ext xmlns:c16="http://schemas.microsoft.com/office/drawing/2014/chart" uri="{C3380CC4-5D6E-409C-BE32-E72D297353CC}">
              <c16:uniqueId val="{00000007-3331-45B7-89A8-EF22E0FC9BA8}"/>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'Model Inputs'!$F$78</c:f>
              <c:strCache>
                <c:ptCount val="1"/>
                <c:pt idx="0">
                  <c:v>None</c:v>
                </c:pt>
              </c:strCache>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Results!$F$138:$F$142</c:f>
            </c:numRef>
          </c:val>
          <c:extLst>
            <c:ext xmlns:c16="http://schemas.microsoft.com/office/drawing/2014/chart" uri="{C3380CC4-5D6E-409C-BE32-E72D297353CC}">
              <c16:uniqueId val="{00000001-5844-4519-B2E8-B6CFA217A6DD}"/>
            </c:ext>
          </c:extLst>
        </c:ser>
        <c:ser>
          <c:idx val="2"/>
          <c:order val="2"/>
          <c:tx>
            <c:strRef>
              <c:f>'Model Inputs'!$G$78</c:f>
              <c:strCache>
                <c:ptCount val="1"/>
                <c:pt idx="0">
                  <c:v>None</c:v>
                </c:pt>
              </c:strCache>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Results!$G$138:$G$142</c:f>
            </c:numRef>
          </c:val>
          <c:extLst>
            <c:ext xmlns:c16="http://schemas.microsoft.com/office/drawing/2014/chart" uri="{C3380CC4-5D6E-409C-BE32-E72D297353CC}">
              <c16:uniqueId val="{00000002-5844-4519-B2E8-B6CFA217A6DD}"/>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5844-4519-B2E8-B6CFA217A6DD}"/>
            </c:ext>
          </c:extLst>
        </c:ser>
        <c:ser>
          <c:idx val="4"/>
          <c:order val="4"/>
          <c:tx>
            <c:strRef>
              <c:f>'Model Inputs'!$I$78</c:f>
              <c:strCache>
                <c:ptCount val="1"/>
                <c:pt idx="0">
                  <c:v>None</c:v>
                </c:pt>
              </c:strCache>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Results!$J$138:$J$142</c:f>
            </c:numRef>
          </c:val>
          <c:extLst>
            <c:ext xmlns:c16="http://schemas.microsoft.com/office/drawing/2014/chart" uri="{C3380CC4-5D6E-409C-BE32-E72D297353CC}">
              <c16:uniqueId val="{00000004-5844-4519-B2E8-B6CFA217A6DD}"/>
            </c:ext>
          </c:extLst>
        </c:ser>
        <c:ser>
          <c:idx val="6"/>
          <c:order val="5"/>
          <c:tx>
            <c:strRef>
              <c:f>'Model Inputs'!$J$78</c:f>
              <c:strCache>
                <c:ptCount val="1"/>
                <c:pt idx="0">
                  <c:v>None</c:v>
                </c:pt>
              </c:strCache>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Results!$K$138:$K$142</c:f>
            </c:numRef>
          </c:val>
          <c:extLst>
            <c:ext xmlns:c16="http://schemas.microsoft.com/office/drawing/2014/chart" uri="{C3380CC4-5D6E-409C-BE32-E72D297353CC}">
              <c16:uniqueId val="{00000005-5844-4519-B2E8-B6CFA217A6DD}"/>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Results!$N$138:$N$142</c:f>
            </c:numRef>
          </c:val>
          <c:extLst>
            <c:ext xmlns:c16="http://schemas.microsoft.com/office/drawing/2014/chart" uri="{C3380CC4-5D6E-409C-BE32-E72D297353CC}">
              <c16:uniqueId val="{00000006-5844-4519-B2E8-B6CFA217A6DD}"/>
            </c:ext>
          </c:extLst>
        </c:ser>
        <c:ser>
          <c:idx val="5"/>
          <c:order val="7"/>
          <c:tx>
            <c:strRef>
              <c:f>'Model Inputs'!$L$78</c:f>
              <c:strCache>
                <c:ptCount val="1"/>
                <c:pt idx="0">
                  <c:v>None</c:v>
                </c:pt>
              </c:strCache>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Results!$O$138:$O$142</c:f>
            </c:numRef>
          </c:val>
          <c:extLst>
            <c:ext xmlns:c16="http://schemas.microsoft.com/office/drawing/2014/chart" uri="{C3380CC4-5D6E-409C-BE32-E72D297353CC}">
              <c16:uniqueId val="{00000007-5844-4519-B2E8-B6CFA217A6DD}"/>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'Model Inputs'!$F$78</c:f>
              <c:strCache>
                <c:ptCount val="1"/>
                <c:pt idx="0">
                  <c:v>None</c:v>
                </c:pt>
              </c:strCache>
              <c:extLst xmlns:c15="http://schemas.microsoft.com/office/drawing/2012/chart"/>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9D83-4CAC-968B-BE431D151CFA}"/>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'Model Inputs'!$J$78</c:f>
              <c:strCache>
                <c:ptCount val="1"/>
                <c:pt idx="0">
                  <c:v>None</c:v>
                </c:pt>
              </c:strCache>
              <c:extLst xmlns:c15="http://schemas.microsoft.com/office/drawing/2012/chart"/>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strRef>
              <c:f>Results!$E$9:$O$9</c:f>
              <c:strCache>
                <c:ptCount val="3"/>
                <c:pt idx="0">
                  <c:v>Abrysvo, Pfizer</c:v>
                </c:pt>
                <c:pt idx="1">
                  <c:v>Nirsevimab, AstraZeneca</c:v>
                </c:pt>
                <c:pt idx="2">
                  <c:v>Both, total</c:v>
                </c:pt>
              </c:strCache>
            </c:strRef>
          </c:cat>
          <c:val>
            <c:numRef>
              <c:f>Results!$E$108</c:f>
              <c:numCache>
                <c:formatCode>"$"#,##0</c:formatCode>
                <c:ptCount val="1"/>
                <c:pt idx="0">
                  <c:v>210613.66974788893</c:v>
                </c:pt>
              </c:numCache>
            </c:numRef>
          </c:val>
          <c:extLst>
            <c:ext xmlns:c16="http://schemas.microsoft.com/office/drawing/2014/chart" uri="{C3380CC4-5D6E-409C-BE32-E72D297353CC}">
              <c16:uniqueId val="{00000000-CF8C-463A-9D4F-EF0BEA2123DE}"/>
            </c:ext>
          </c:extLst>
        </c:ser>
        <c:ser>
          <c:idx val="1"/>
          <c:order val="1"/>
          <c:tx>
            <c:strRef>
              <c:f>'Model Inputs'!$F$78</c:f>
              <c:strCache>
                <c:ptCount val="1"/>
                <c:pt idx="0">
                  <c:v>None</c:v>
                </c:pt>
              </c:strCache>
              <c:extLst xmlns:c15="http://schemas.microsoft.com/office/drawing/2012/chart"/>
            </c:strRef>
          </c:tx>
          <c:spPr>
            <a:solidFill>
              <a:schemeClr val="accent2"/>
            </a:solidFill>
            <a:ln>
              <a:noFill/>
            </a:ln>
            <a:effectLst/>
          </c:spPr>
          <c:invertIfNegative val="0"/>
          <c:cat>
            <c:strRef>
              <c:f>Results!$E$9:$O$9</c:f>
              <c:strCache>
                <c:ptCount val="3"/>
                <c:pt idx="0">
                  <c:v>Abrysvo, Pfizer</c:v>
                </c:pt>
                <c:pt idx="1">
                  <c:v>Nirsevimab, AstraZeneca</c:v>
                </c:pt>
                <c:pt idx="2">
                  <c:v>Both, total</c:v>
                </c:pt>
              </c:strCache>
            </c:strRef>
          </c:cat>
          <c:val>
            <c:numRef>
              <c:f>Results!$F$108</c:f>
              <c:extLst xmlns:c15="http://schemas.microsoft.com/office/drawing/2012/chart"/>
            </c:numRef>
          </c:val>
          <c:extLst xmlns:c15="http://schemas.microsoft.com/office/drawing/2012/chart">
            <c:ext xmlns:c16="http://schemas.microsoft.com/office/drawing/2014/chart" uri="{C3380CC4-5D6E-409C-BE32-E72D297353CC}">
              <c16:uniqueId val="{00000001-CF8C-463A-9D4F-EF0BEA2123DE}"/>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strRef>
              <c:f>Results!$E$9:$O$9</c:f>
              <c:strCache>
                <c:ptCount val="3"/>
                <c:pt idx="0">
                  <c:v>Abrysvo, Pfizer</c:v>
                </c:pt>
                <c:pt idx="1">
                  <c:v>Nirsevimab, AstraZeneca</c:v>
                </c:pt>
                <c:pt idx="2">
                  <c:v>Both, total</c:v>
                </c:pt>
              </c:strCache>
            </c:strRef>
          </c:cat>
          <c:val>
            <c:numRef>
              <c:f>Results!$G$108</c:f>
              <c:extLst xmlns:c15="http://schemas.microsoft.com/office/drawing/2012/chart"/>
            </c:numRef>
          </c:val>
          <c:extLst xmlns:c15="http://schemas.microsoft.com/office/drawing/2012/chart">
            <c:ext xmlns:c16="http://schemas.microsoft.com/office/drawing/2014/chart" uri="{C3380CC4-5D6E-409C-BE32-E72D297353CC}">
              <c16:uniqueId val="{00000002-CF8C-463A-9D4F-EF0BEA2123DE}"/>
            </c:ext>
          </c:extLst>
        </c:ser>
        <c:ser>
          <c:idx val="3"/>
          <c:order val="3"/>
          <c:tx>
            <c:strRef>
              <c:f>'Model Inputs'!$H$78</c:f>
              <c:strCache>
                <c:ptCount val="1"/>
                <c:pt idx="0">
                  <c:v>Nirsevimab, AstraZeneca</c:v>
                </c:pt>
              </c:strCache>
            </c:strRef>
          </c:tx>
          <c:spPr>
            <a:solidFill>
              <a:schemeClr val="accent4"/>
            </a:solidFill>
            <a:ln>
              <a:noFill/>
            </a:ln>
            <a:effectLst/>
          </c:spPr>
          <c:invertIfNegative val="0"/>
          <c:cat>
            <c:strRef>
              <c:f>Results!$E$9:$O$9</c:f>
              <c:strCache>
                <c:ptCount val="3"/>
                <c:pt idx="0">
                  <c:v>Abrysvo, Pfizer</c:v>
                </c:pt>
                <c:pt idx="1">
                  <c:v>Nirsevimab, AstraZeneca</c:v>
                </c:pt>
                <c:pt idx="2">
                  <c:v>Both, total</c:v>
                </c:pt>
              </c:strCache>
            </c:strRef>
          </c:cat>
          <c:val>
            <c:numRef>
              <c:f>Results!$I$108</c:f>
              <c:numCache>
                <c:formatCode>"$"#,##0</c:formatCode>
                <c:ptCount val="1"/>
                <c:pt idx="0">
                  <c:v>189552.54277310005</c:v>
                </c:pt>
              </c:numCache>
            </c:numRef>
          </c:val>
          <c:extLst>
            <c:ext xmlns:c16="http://schemas.microsoft.com/office/drawing/2014/chart" uri="{C3380CC4-5D6E-409C-BE32-E72D297353CC}">
              <c16:uniqueId val="{00000003-CF8C-463A-9D4F-EF0BEA2123DE}"/>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strRef>
              <c:f>Results!$E$9:$O$9</c:f>
              <c:strCache>
                <c:ptCount val="3"/>
                <c:pt idx="0">
                  <c:v>Abrysvo, Pfizer</c:v>
                </c:pt>
                <c:pt idx="1">
                  <c:v>Nirsevimab, AstraZeneca</c:v>
                </c:pt>
                <c:pt idx="2">
                  <c:v>Both, total</c:v>
                </c:pt>
              </c:strCache>
            </c:strRef>
          </c:cat>
          <c:val>
            <c:numRef>
              <c:f>Results!$J$108</c:f>
              <c:extLst xmlns:c15="http://schemas.microsoft.com/office/drawing/2012/chart"/>
            </c:numRef>
          </c:val>
          <c:extLst xmlns:c15="http://schemas.microsoft.com/office/drawing/2012/chart">
            <c:ext xmlns:c16="http://schemas.microsoft.com/office/drawing/2014/chart" uri="{C3380CC4-5D6E-409C-BE32-E72D297353CC}">
              <c16:uniqueId val="{00000004-CF8C-463A-9D4F-EF0BEA2123DE}"/>
            </c:ext>
          </c:extLst>
        </c:ser>
        <c:ser>
          <c:idx val="5"/>
          <c:order val="5"/>
          <c:tx>
            <c:strRef>
              <c:f>'Model Inputs'!$J$78</c:f>
              <c:strCache>
                <c:ptCount val="1"/>
                <c:pt idx="0">
                  <c:v>None</c:v>
                </c:pt>
              </c:strCache>
              <c:extLst xmlns:c15="http://schemas.microsoft.com/office/drawing/2012/chart"/>
            </c:strRef>
          </c:tx>
          <c:spPr>
            <a:solidFill>
              <a:schemeClr val="accent6"/>
            </a:solidFill>
            <a:ln>
              <a:noFill/>
            </a:ln>
            <a:effectLst/>
          </c:spPr>
          <c:invertIfNegative val="0"/>
          <c:cat>
            <c:strRef>
              <c:f>Results!$E$9:$O$9</c:f>
              <c:strCache>
                <c:ptCount val="3"/>
                <c:pt idx="0">
                  <c:v>Abrysvo, Pfizer</c:v>
                </c:pt>
                <c:pt idx="1">
                  <c:v>Nirsevimab, AstraZeneca</c:v>
                </c:pt>
                <c:pt idx="2">
                  <c:v>Both, total</c:v>
                </c:pt>
              </c:strCache>
            </c:strRef>
          </c:cat>
          <c:val>
            <c:numRef>
              <c:f>Results!$K$108</c:f>
              <c:extLst xmlns:c15="http://schemas.microsoft.com/office/drawing/2012/chart"/>
            </c:numRef>
          </c:val>
          <c:extLst xmlns:c15="http://schemas.microsoft.com/office/drawing/2012/chart">
            <c:ext xmlns:c16="http://schemas.microsoft.com/office/drawing/2014/chart" uri="{C3380CC4-5D6E-409C-BE32-E72D297353CC}">
              <c16:uniqueId val="{00000005-CF8C-463A-9D4F-EF0BEA2123DE}"/>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Results!$N$108</c:f>
              <c:extLst xmlns:c15="http://schemas.microsoft.com/office/drawing/2012/chart"/>
            </c:numRef>
          </c:val>
          <c:extLst xmlns:c15="http://schemas.microsoft.com/office/drawing/2012/chart">
            <c:ext xmlns:c16="http://schemas.microsoft.com/office/drawing/2014/chart" uri="{C3380CC4-5D6E-409C-BE32-E72D297353CC}">
              <c16:uniqueId val="{00000006-CF8C-463A-9D4F-EF0BEA2123DE}"/>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Results!$O$108</c:f>
              <c:extLst xmlns:c15="http://schemas.microsoft.com/office/drawing/2012/chart"/>
            </c:numRef>
          </c:val>
          <c:extLst xmlns:c15="http://schemas.microsoft.com/office/drawing/2012/chart">
            <c:ext xmlns:c16="http://schemas.microsoft.com/office/drawing/2014/chart" uri="{C3380CC4-5D6E-409C-BE32-E72D297353CC}">
              <c16:uniqueId val="{00000007-CF8C-463A-9D4F-EF0BEA2123DE}"/>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Results!$M$108</c:f>
              <c:numCache>
                <c:formatCode>"$"#,##0</c:formatCode>
                <c:ptCount val="1"/>
                <c:pt idx="0">
                  <c:v>0</c:v>
                </c:pt>
              </c:numCache>
            </c:numRef>
          </c:val>
          <c:extLs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val>
            <c:numRef>
              <c:f>Results!$E$117</c:f>
              <c:numCache>
                <c:formatCode>"$"#,##0</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'Model Inputs'!$F$78</c:f>
              <c:strCache>
                <c:ptCount val="1"/>
                <c:pt idx="0">
                  <c:v>None</c:v>
                </c:pt>
              </c:strCache>
              <c:extLst xmlns:c15="http://schemas.microsoft.com/office/drawing/2012/chart"/>
            </c:strRef>
          </c:tx>
          <c:spPr>
            <a:solidFill>
              <a:schemeClr val="accent2"/>
            </a:solidFill>
            <a:ln>
              <a:noFill/>
            </a:ln>
            <a:effectLst/>
          </c:spPr>
          <c:invertIfNegative val="0"/>
          <c:val>
            <c:numRef>
              <c:f>Results!$F$117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val>
            <c:numRef>
              <c:f>Results!$G$117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'Model Inputs'!$H$78</c:f>
              <c:strCache>
                <c:ptCount val="1"/>
                <c:pt idx="0">
                  <c:v>Nirsevimab, AstraZeneca</c:v>
                </c:pt>
              </c:strCache>
            </c:strRef>
          </c:tx>
          <c:spPr>
            <a:solidFill>
              <a:schemeClr val="accent4"/>
            </a:solidFill>
            <a:ln>
              <a:noFill/>
            </a:ln>
            <a:effectLst/>
          </c:spPr>
          <c:invertIfNegative val="0"/>
          <c:val>
            <c:numRef>
              <c:f>Results!$I$117</c:f>
              <c:numCache>
                <c:formatCode>"$"#,##0</c:formatCode>
                <c:ptCount val="1"/>
                <c:pt idx="0">
                  <c:v>1064252.9164936999</c:v>
                </c:pt>
              </c:numCache>
            </c:numRef>
          </c:val>
          <c:extLst>
            <c:ext xmlns:c16="http://schemas.microsoft.com/office/drawing/2014/chart" uri="{C3380CC4-5D6E-409C-BE32-E72D297353CC}">
              <c16:uniqueId val="{00000003-F176-4778-9C5F-59B94DA89B41}"/>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val>
            <c:numRef>
              <c:f>Results!$J$117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'Model Inputs'!$J$78</c:f>
              <c:strCache>
                <c:ptCount val="1"/>
                <c:pt idx="0">
                  <c:v>None</c:v>
                </c:pt>
              </c:strCache>
              <c:extLst xmlns:c15="http://schemas.microsoft.com/office/drawing/2012/chart"/>
            </c:strRef>
          </c:tx>
          <c:spPr>
            <a:solidFill>
              <a:schemeClr val="accent6"/>
            </a:solidFill>
            <a:ln>
              <a:noFill/>
            </a:ln>
            <a:effectLst/>
          </c:spPr>
          <c:invertIfNegative val="0"/>
          <c:val>
            <c:numRef>
              <c:f>Results!$K$117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val>
            <c:numRef>
              <c:f>Results!$N$117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val>
            <c:numRef>
              <c:f>Results!$O$117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val>
            <c:numRef>
              <c:f>Results!$M$117</c:f>
              <c:numCache>
                <c:formatCode>"$"#,##0</c:formatCode>
                <c:ptCount val="1"/>
                <c:pt idx="0">
                  <c:v>0</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Results!$E$117:$M$117</c:f>
              <c:numCache>
                <c:formatCode>"$"#,##0</c:formatCode>
                <c:ptCount val="3"/>
                <c:pt idx="0">
                  <c:v>1253616.8254038889</c:v>
                </c:pt>
                <c:pt idx="1">
                  <c:v>1064252.9164936999</c:v>
                </c:pt>
                <c:pt idx="2">
                  <c:v>0</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'Model Inputs'!$F$78</c:f>
              <c:strCache>
                <c:ptCount val="1"/>
                <c:pt idx="0">
                  <c:v>None</c:v>
                </c:pt>
              </c:strCache>
              <c:extLst xmlns:c15="http://schemas.microsoft.com/office/drawing/2012/chart"/>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A8B9-4523-8E34-E26D02F1C9C2}"/>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'Model Inputs'!$J$78</c:f>
              <c:strCache>
                <c:ptCount val="1"/>
                <c:pt idx="0">
                  <c:v>None</c:v>
                </c:pt>
              </c:strCache>
              <c:extLst xmlns:c15="http://schemas.microsoft.com/office/drawing/2012/chart"/>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strRef>
              <c:f>Results!$E$9:$O$9</c:f>
              <c:strCache>
                <c:ptCount val="3"/>
                <c:pt idx="0">
                  <c:v>Abrysvo, Pfizer</c:v>
                </c:pt>
                <c:pt idx="1">
                  <c:v>Nirsevimab, AstraZeneca</c:v>
                </c:pt>
                <c:pt idx="2">
                  <c:v>Both, total</c:v>
                </c:pt>
              </c:strCache>
            </c:strRef>
          </c:cat>
          <c:val>
            <c:numRef>
              <c:f>Results!$E$128</c:f>
              <c:numCache>
                <c:formatCode>"$"#,##0</c:formatCode>
                <c:ptCount val="1"/>
                <c:pt idx="0">
                  <c:v>3581419.6205880558</c:v>
                </c:pt>
              </c:numCache>
            </c:numRef>
          </c:val>
          <c:extLst>
            <c:ext xmlns:c16="http://schemas.microsoft.com/office/drawing/2014/chart" uri="{C3380CC4-5D6E-409C-BE32-E72D297353CC}">
              <c16:uniqueId val="{00000000-A471-42FA-B100-DA757465F34E}"/>
            </c:ext>
          </c:extLst>
        </c:ser>
        <c:ser>
          <c:idx val="1"/>
          <c:order val="1"/>
          <c:tx>
            <c:strRef>
              <c:f>'Model Inputs'!$F$78</c:f>
              <c:strCache>
                <c:ptCount val="1"/>
                <c:pt idx="0">
                  <c:v>None</c:v>
                </c:pt>
              </c:strCache>
              <c:extLst xmlns:c15="http://schemas.microsoft.com/office/drawing/2012/chart"/>
            </c:strRef>
          </c:tx>
          <c:spPr>
            <a:solidFill>
              <a:schemeClr val="accent2"/>
            </a:solidFill>
            <a:ln>
              <a:noFill/>
            </a:ln>
            <a:effectLst/>
          </c:spPr>
          <c:invertIfNegative val="0"/>
          <c:cat>
            <c:strRef>
              <c:f>Results!$E$9:$O$9</c:f>
              <c:strCache>
                <c:ptCount val="3"/>
                <c:pt idx="0">
                  <c:v>Abrysvo, Pfizer</c:v>
                </c:pt>
                <c:pt idx="1">
                  <c:v>Nirsevimab, AstraZeneca</c:v>
                </c:pt>
                <c:pt idx="2">
                  <c:v>Both, total</c:v>
                </c:pt>
              </c:strCache>
            </c:strRef>
          </c:cat>
          <c:val>
            <c:numRef>
              <c:f>Results!$F$128</c:f>
              <c:extLst xmlns:c15="http://schemas.microsoft.com/office/drawing/2012/chart"/>
            </c:numRef>
          </c:val>
          <c:extLst xmlns:c15="http://schemas.microsoft.com/office/drawing/2012/chart">
            <c:ext xmlns:c16="http://schemas.microsoft.com/office/drawing/2014/chart" uri="{C3380CC4-5D6E-409C-BE32-E72D297353CC}">
              <c16:uniqueId val="{00000001-A471-42FA-B100-DA757465F34E}"/>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strRef>
              <c:f>Results!$E$9:$O$9</c:f>
              <c:strCache>
                <c:ptCount val="3"/>
                <c:pt idx="0">
                  <c:v>Abrysvo, Pfizer</c:v>
                </c:pt>
                <c:pt idx="1">
                  <c:v>Nirsevimab, AstraZeneca</c:v>
                </c:pt>
                <c:pt idx="2">
                  <c:v>Both, total</c:v>
                </c:pt>
              </c:strCache>
            </c:strRef>
          </c:cat>
          <c:val>
            <c:numRef>
              <c:f>Results!$G$128</c:f>
              <c:extLst xmlns:c15="http://schemas.microsoft.com/office/drawing/2012/chart"/>
            </c:numRef>
          </c:val>
          <c:extLst xmlns:c15="http://schemas.microsoft.com/office/drawing/2012/chart">
            <c:ext xmlns:c16="http://schemas.microsoft.com/office/drawing/2014/chart" uri="{C3380CC4-5D6E-409C-BE32-E72D297353CC}">
              <c16:uniqueId val="{00000002-A471-42FA-B100-DA757465F34E}"/>
            </c:ext>
          </c:extLst>
        </c:ser>
        <c:ser>
          <c:idx val="3"/>
          <c:order val="3"/>
          <c:tx>
            <c:strRef>
              <c:f>'Model Inputs'!$H$78</c:f>
              <c:strCache>
                <c:ptCount val="1"/>
                <c:pt idx="0">
                  <c:v>Nirsevimab, AstraZeneca</c:v>
                </c:pt>
              </c:strCache>
            </c:strRef>
          </c:tx>
          <c:spPr>
            <a:solidFill>
              <a:schemeClr val="accent4"/>
            </a:solidFill>
            <a:ln>
              <a:noFill/>
            </a:ln>
            <a:effectLst/>
          </c:spPr>
          <c:invertIfNegative val="0"/>
          <c:cat>
            <c:strRef>
              <c:f>Results!$E$9:$O$9</c:f>
              <c:strCache>
                <c:ptCount val="3"/>
                <c:pt idx="0">
                  <c:v>Abrysvo, Pfizer</c:v>
                </c:pt>
                <c:pt idx="1">
                  <c:v>Nirsevimab, AstraZeneca</c:v>
                </c:pt>
                <c:pt idx="2">
                  <c:v>Both, total</c:v>
                </c:pt>
              </c:strCache>
            </c:strRef>
          </c:cat>
          <c:val>
            <c:numRef>
              <c:f>Results!$I$128</c:f>
              <c:numCache>
                <c:formatCode>"$"#,##0</c:formatCode>
                <c:ptCount val="1"/>
                <c:pt idx="0">
                  <c:v>18391904.677310001</c:v>
                </c:pt>
              </c:numCache>
            </c:numRef>
          </c:val>
          <c:extLst>
            <c:ext xmlns:c16="http://schemas.microsoft.com/office/drawing/2014/chart" uri="{C3380CC4-5D6E-409C-BE32-E72D297353CC}">
              <c16:uniqueId val="{00000003-A471-42FA-B100-DA757465F34E}"/>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strRef>
              <c:f>Results!$E$9:$O$9</c:f>
              <c:strCache>
                <c:ptCount val="3"/>
                <c:pt idx="0">
                  <c:v>Abrysvo, Pfizer</c:v>
                </c:pt>
                <c:pt idx="1">
                  <c:v>Nirsevimab, AstraZeneca</c:v>
                </c:pt>
                <c:pt idx="2">
                  <c:v>Both, total</c:v>
                </c:pt>
              </c:strCache>
            </c:strRef>
          </c:cat>
          <c:val>
            <c:numRef>
              <c:f>Results!$J$128</c:f>
              <c:extLst xmlns:c15="http://schemas.microsoft.com/office/drawing/2012/chart"/>
            </c:numRef>
          </c:val>
          <c:extLst xmlns:c15="http://schemas.microsoft.com/office/drawing/2012/chart">
            <c:ext xmlns:c16="http://schemas.microsoft.com/office/drawing/2014/chart" uri="{C3380CC4-5D6E-409C-BE32-E72D297353CC}">
              <c16:uniqueId val="{00000004-A471-42FA-B100-DA757465F34E}"/>
            </c:ext>
          </c:extLst>
        </c:ser>
        <c:ser>
          <c:idx val="5"/>
          <c:order val="5"/>
          <c:tx>
            <c:strRef>
              <c:f>'Model Inputs'!$J$78</c:f>
              <c:strCache>
                <c:ptCount val="1"/>
                <c:pt idx="0">
                  <c:v>None</c:v>
                </c:pt>
              </c:strCache>
              <c:extLst xmlns:c15="http://schemas.microsoft.com/office/drawing/2012/chart"/>
            </c:strRef>
          </c:tx>
          <c:spPr>
            <a:solidFill>
              <a:schemeClr val="accent6"/>
            </a:solidFill>
            <a:ln>
              <a:noFill/>
            </a:ln>
            <a:effectLst/>
          </c:spPr>
          <c:invertIfNegative val="0"/>
          <c:cat>
            <c:strRef>
              <c:f>Results!$E$9:$O$9</c:f>
              <c:strCache>
                <c:ptCount val="3"/>
                <c:pt idx="0">
                  <c:v>Abrysvo, Pfizer</c:v>
                </c:pt>
                <c:pt idx="1">
                  <c:v>Nirsevimab, AstraZeneca</c:v>
                </c:pt>
                <c:pt idx="2">
                  <c:v>Both, total</c:v>
                </c:pt>
              </c:strCache>
            </c:strRef>
          </c:cat>
          <c:val>
            <c:numRef>
              <c:f>Results!$K$128</c:f>
              <c:extLst xmlns:c15="http://schemas.microsoft.com/office/drawing/2012/chart"/>
            </c:numRef>
          </c:val>
          <c:extLst xmlns:c15="http://schemas.microsoft.com/office/drawing/2012/chart">
            <c:ext xmlns:c16="http://schemas.microsoft.com/office/drawing/2014/chart" uri="{C3380CC4-5D6E-409C-BE32-E72D297353CC}">
              <c16:uniqueId val="{00000005-A471-42FA-B100-DA757465F34E}"/>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Results!$N$128</c:f>
              <c:extLst xmlns:c15="http://schemas.microsoft.com/office/drawing/2012/chart"/>
            </c:numRef>
          </c:val>
          <c:extLst xmlns:c15="http://schemas.microsoft.com/office/drawing/2012/chart">
            <c:ext xmlns:c16="http://schemas.microsoft.com/office/drawing/2014/chart" uri="{C3380CC4-5D6E-409C-BE32-E72D297353CC}">
              <c16:uniqueId val="{00000006-A471-42FA-B100-DA757465F34E}"/>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Results!$O$128</c:f>
              <c:extLst xmlns:c15="http://schemas.microsoft.com/office/drawing/2012/chart"/>
            </c:numRef>
          </c:val>
          <c:extLst xmlns:c15="http://schemas.microsoft.com/office/drawing/2012/chart">
            <c:ext xmlns:c16="http://schemas.microsoft.com/office/drawing/2014/chart" uri="{C3380CC4-5D6E-409C-BE32-E72D297353CC}">
              <c16:uniqueId val="{00000007-A471-42FA-B100-DA757465F34E}"/>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strRef>
              <c:f>Results!$E$9:$O$9</c:f>
              <c:strCache>
                <c:ptCount val="3"/>
                <c:pt idx="0">
                  <c:v>Abrysvo, Pfizer</c:v>
                </c:pt>
                <c:pt idx="1">
                  <c:v>Nirsevimab, AstraZeneca</c:v>
                </c:pt>
                <c:pt idx="2">
                  <c:v>Both, total</c:v>
                </c:pt>
              </c:strCache>
            </c:strRef>
          </c:cat>
          <c:val>
            <c:numRef>
              <c:f>Results!$M$128</c:f>
              <c:numCache>
                <c:formatCode>"$"#,##0</c:formatCode>
                <c:ptCount val="1"/>
                <c:pt idx="0">
                  <c:v>0</c:v>
                </c:pt>
              </c:numCache>
            </c:numRef>
          </c:val>
          <c:extLs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'Model Inputs'!$F$78</c:f>
              <c:strCache>
                <c:ptCount val="1"/>
                <c:pt idx="0">
                  <c:v>None</c:v>
                </c:pt>
              </c:strCache>
              <c:extLst xmlns:c15="http://schemas.microsoft.com/office/drawing/2012/chart"/>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0802-4B3D-B649-827C3F025B3B}"/>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'Model Inputs'!$J$78</c:f>
              <c:strCache>
                <c:ptCount val="1"/>
                <c:pt idx="0">
                  <c:v>None</c:v>
                </c:pt>
              </c:strCache>
              <c:extLst xmlns:c15="http://schemas.microsoft.com/office/drawing/2012/chart"/>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'Model Inputs'!$F$78</c:f>
              <c:strCache>
                <c:ptCount val="1"/>
                <c:pt idx="0">
                  <c:v>None</c:v>
                </c:pt>
              </c:strCache>
              <c:extLst xmlns:c15="http://schemas.microsoft.com/office/drawing/2012/chart"/>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1A90-4573-A3B3-B32365DD1AE3}"/>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'Model Inputs'!$J$78</c:f>
              <c:strCache>
                <c:ptCount val="1"/>
                <c:pt idx="0">
                  <c:v>None</c:v>
                </c:pt>
              </c:strCache>
              <c:extLst xmlns:c15="http://schemas.microsoft.com/office/drawing/2012/chart"/>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Results!$E$137</c:f>
              <c:numCache>
                <c:formatCode>"$"#,##0</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'Model Inputs'!$F$78</c:f>
              <c:strCache>
                <c:ptCount val="1"/>
                <c:pt idx="0">
                  <c:v>None</c:v>
                </c:pt>
              </c:strCache>
              <c:extLst xmlns:c15="http://schemas.microsoft.com/office/drawing/2012/chart"/>
            </c:strRef>
          </c:tx>
          <c:spPr>
            <a:solidFill>
              <a:schemeClr val="accent2"/>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'Model Inputs'!$G$78</c:f>
              <c:strCache>
                <c:ptCount val="1"/>
                <c:pt idx="0">
                  <c:v>None</c:v>
                </c:pt>
              </c:strCache>
              <c:extLst xmlns:c15="http://schemas.microsoft.com/office/drawing/2012/chart"/>
            </c:strRef>
          </c:tx>
          <c:spPr>
            <a:solidFill>
              <a:schemeClr val="accent3"/>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'Model Inputs'!$H$78</c:f>
              <c:strCache>
                <c:ptCount val="1"/>
                <c:pt idx="0">
                  <c:v>Nirsevimab, AstraZeneca</c:v>
                </c:pt>
              </c:strCache>
            </c:strRef>
          </c:tx>
          <c:spPr>
            <a:solidFill>
              <a:schemeClr val="accent4"/>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Results!$I$137</c:f>
              <c:numCache>
                <c:formatCode>"$"#,##0</c:formatCode>
                <c:ptCount val="1"/>
                <c:pt idx="0">
                  <c:v>19415605.051030599</c:v>
                </c:pt>
              </c:numCache>
            </c:numRef>
          </c:val>
          <c:extLst>
            <c:ext xmlns:c16="http://schemas.microsoft.com/office/drawing/2014/chart" uri="{C3380CC4-5D6E-409C-BE32-E72D297353CC}">
              <c16:uniqueId val="{00000003-5572-4F1A-80A1-46046BEEB9C6}"/>
            </c:ext>
          </c:extLst>
        </c:ser>
        <c:ser>
          <c:idx val="4"/>
          <c:order val="4"/>
          <c:tx>
            <c:strRef>
              <c:f>'Model Inputs'!$I$78</c:f>
              <c:strCache>
                <c:ptCount val="1"/>
                <c:pt idx="0">
                  <c:v>None</c:v>
                </c:pt>
              </c:strCache>
              <c:extLst xmlns:c15="http://schemas.microsoft.com/office/drawing/2012/chart"/>
            </c:strRef>
          </c:tx>
          <c:spPr>
            <a:solidFill>
              <a:schemeClr val="accent5"/>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'Model Inputs'!$J$78</c:f>
              <c:strCache>
                <c:ptCount val="1"/>
                <c:pt idx="0">
                  <c:v>None</c:v>
                </c:pt>
              </c:strCache>
              <c:extLst xmlns:c15="http://schemas.microsoft.com/office/drawing/2012/chart"/>
            </c:strRef>
          </c:tx>
          <c:spPr>
            <a:solidFill>
              <a:schemeClr val="accent6"/>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multiLvlStrRef>
              <c:f>Results!$E$138:$M$142</c:f>
              <c:multiLvlStrCache>
                <c:ptCount val="2"/>
                <c:lvl>
                  <c:pt idx="0">
                    <c:v>$1,162,398</c:v>
                  </c:pt>
                  <c:pt idx="1">
                    <c:v>$4,820,132</c:v>
                  </c:pt>
                </c:lvl>
                <c:lvl>
                  <c:pt idx="0">
                    <c:v>$1,005,418</c:v>
                  </c:pt>
                  <c:pt idx="1">
                    <c:v>$4,171,438</c:v>
                  </c:pt>
                </c:lvl>
                <c:lvl>
                  <c:pt idx="0">
                    <c:v>$836,768</c:v>
                  </c:pt>
                  <c:pt idx="1">
                    <c:v>$3,454,474</c:v>
                  </c:pt>
                </c:lvl>
                <c:lvl>
                  <c:pt idx="0">
                    <c:v>$831,646</c:v>
                  </c:pt>
                  <c:pt idx="1">
                    <c:v>$3,452,858</c:v>
                  </c:pt>
                </c:lvl>
                <c:lvl>
                  <c:pt idx="0">
                    <c:v>$953,193</c:v>
                  </c:pt>
                  <c:pt idx="1">
                    <c:v>$3,516,704</c:v>
                  </c:pt>
                </c:lvl>
              </c:multiLvlStrCache>
            </c:multiLvlStrRef>
          </c:cat>
          <c:val>
            <c:numRef>
              <c:f>Results!$M$137</c:f>
              <c:numCache>
                <c:formatCode>"$"#,##0</c:formatCode>
                <c:ptCount val="1"/>
                <c:pt idx="0">
                  <c:v>0</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Cache>
                <c:ptCount val="2"/>
                <c:pt idx="0">
                  <c:v>Scenario A: Maternal vaccine</c:v>
                </c:pt>
                <c:pt idx="1">
                  <c:v>Abrysvo, Pfizer</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Results!$F$10:$F$11</c:f>
              <c:strCache>
                <c:ptCount val="2"/>
                <c:pt idx="0">
                  <c:v>Scenario A: Maternal vaccine</c:v>
                </c:pt>
                <c:pt idx="1">
                  <c:v>None</c:v>
                </c:pt>
              </c:strCache>
            </c:strRef>
          </c:tx>
          <c:spPr>
            <a:solidFill>
              <a:schemeClr val="accent2"/>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Results!$F$109:$F$113</c:f>
            </c:numRef>
          </c:val>
          <c:extLst>
            <c:ext xmlns:c16="http://schemas.microsoft.com/office/drawing/2014/chart" uri="{C3380CC4-5D6E-409C-BE32-E72D297353CC}">
              <c16:uniqueId val="{00000001-1E23-46A8-AB60-3960902D2401}"/>
            </c:ext>
          </c:extLst>
        </c:ser>
        <c:ser>
          <c:idx val="2"/>
          <c:order val="2"/>
          <c:tx>
            <c:strRef>
              <c:f>Results!$G$10:$G$11</c:f>
              <c:strCache>
                <c:ptCount val="2"/>
                <c:pt idx="0">
                  <c:v>Scenario A: Maternal vaccine</c:v>
                </c:pt>
                <c:pt idx="1">
                  <c:v>None</c:v>
                </c:pt>
              </c:strCache>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Results!$G$109:$G$113</c:f>
            </c:numRef>
          </c:val>
          <c:extLst>
            <c:ext xmlns:c16="http://schemas.microsoft.com/office/drawing/2014/chart" uri="{C3380CC4-5D6E-409C-BE32-E72D297353CC}">
              <c16:uniqueId val="{00000002-1E23-46A8-AB60-3960902D2401}"/>
            </c:ext>
          </c:extLst>
        </c:ser>
        <c:ser>
          <c:idx val="3"/>
          <c:order val="3"/>
          <c:tx>
            <c:strRef>
              <c:f>Results!$I$10:$I$11</c:f>
              <c:strCache>
                <c:ptCount val="2"/>
                <c:pt idx="0">
                  <c:v>Scenario B: mAb</c:v>
                </c:pt>
                <c:pt idx="1">
                  <c:v>Nirsevimab, AstraZeneca</c:v>
                </c:pt>
              </c:strCache>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1E23-46A8-AB60-3960902D2401}"/>
            </c:ext>
          </c:extLst>
        </c:ser>
        <c:ser>
          <c:idx val="4"/>
          <c:order val="4"/>
          <c:tx>
            <c:strRef>
              <c:f>Results!$J$10:$J$11</c:f>
              <c:strCache>
                <c:ptCount val="2"/>
                <c:pt idx="0">
                  <c:v>Scenario B: mAb</c:v>
                </c:pt>
                <c:pt idx="1">
                  <c:v>None</c:v>
                </c:pt>
              </c:strCache>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Results!$J$109:$J$113</c:f>
            </c:numRef>
          </c:val>
          <c:extLst>
            <c:ext xmlns:c16="http://schemas.microsoft.com/office/drawing/2014/chart" uri="{C3380CC4-5D6E-409C-BE32-E72D297353CC}">
              <c16:uniqueId val="{00000004-1E23-46A8-AB60-3960902D2401}"/>
            </c:ext>
          </c:extLst>
        </c:ser>
        <c:ser>
          <c:idx val="5"/>
          <c:order val="5"/>
          <c:tx>
            <c:strRef>
              <c:f>Results!$K$10:$K$11</c:f>
              <c:strCache>
                <c:ptCount val="2"/>
                <c:pt idx="0">
                  <c:v>Scenario B: mAb</c:v>
                </c:pt>
                <c:pt idx="1">
                  <c:v>None</c:v>
                </c:pt>
              </c:strCache>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Results!$K$109:$K$113</c:f>
            </c:numRef>
          </c:val>
          <c:extLst>
            <c:ext xmlns:c16="http://schemas.microsoft.com/office/drawing/2014/chart" uri="{C3380CC4-5D6E-409C-BE32-E72D297353CC}">
              <c16:uniqueId val="{00000005-1E23-46A8-AB60-3960902D2401}"/>
            </c:ext>
          </c:extLst>
        </c:ser>
        <c:ser>
          <c:idx val="6"/>
          <c:order val="6"/>
          <c:tx>
            <c:strRef>
              <c:f>Results!$M$10:$M$11</c:f>
              <c:strCache>
                <c:ptCount val="2"/>
                <c:pt idx="0">
                  <c:v>Scenario C: Both maternal vaccine and mAb</c:v>
                </c:pt>
                <c:pt idx="1">
                  <c:v>Both, total</c:v>
                </c:pt>
              </c:strCache>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3728"/>
        <c:crosses val="autoZero"/>
        <c:auto val="1"/>
        <c:lblAlgn val="ctr"/>
        <c:lblOffset val="100"/>
        <c:noMultiLvlLbl val="0"/>
      </c:catAx>
      <c:valAx>
        <c:axId val="749293728"/>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612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CH" sz="1100" b="1"/>
              <a:t>Immunization Program Cost</a:t>
            </a:r>
          </a:p>
          <a:p>
            <a:pPr>
              <a:defRPr sz="1100" b="1"/>
            </a:pPr>
            <a:r>
              <a:rPr lang="fr-CH"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Cache>
                <c:ptCount val="2"/>
                <c:pt idx="0">
                  <c:v>Scenario A: Maternal vaccine</c:v>
                </c:pt>
                <c:pt idx="1">
                  <c:v>Abrysvo, Pfizer</c:v>
                </c:pt>
              </c:strCache>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Results!$F$10:$F$11</c:f>
              <c:strCache>
                <c:ptCount val="2"/>
                <c:pt idx="0">
                  <c:v>Scenario A: Maternal vaccine</c:v>
                </c:pt>
                <c:pt idx="1">
                  <c:v>None</c:v>
                </c:pt>
              </c:strCache>
            </c:strRef>
          </c:tx>
          <c:spPr>
            <a:solidFill>
              <a:schemeClr val="accent2"/>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Results!$F$118:$F$122</c:f>
            </c:numRef>
          </c:val>
          <c:extLst>
            <c:ext xmlns:c16="http://schemas.microsoft.com/office/drawing/2014/chart" uri="{C3380CC4-5D6E-409C-BE32-E72D297353CC}">
              <c16:uniqueId val="{00000001-59FB-4361-8807-8BFD14F4DB86}"/>
            </c:ext>
          </c:extLst>
        </c:ser>
        <c:ser>
          <c:idx val="2"/>
          <c:order val="2"/>
          <c:tx>
            <c:strRef>
              <c:f>Results!$G$10:$G$11</c:f>
              <c:strCache>
                <c:ptCount val="2"/>
                <c:pt idx="0">
                  <c:v>Scenario A: Maternal vaccine</c:v>
                </c:pt>
                <c:pt idx="1">
                  <c:v>None</c:v>
                </c:pt>
              </c:strCache>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Results!$G$118:$G$122</c:f>
            </c:numRef>
          </c:val>
          <c:extLst>
            <c:ext xmlns:c16="http://schemas.microsoft.com/office/drawing/2014/chart" uri="{C3380CC4-5D6E-409C-BE32-E72D297353CC}">
              <c16:uniqueId val="{00000002-59FB-4361-8807-8BFD14F4DB86}"/>
            </c:ext>
          </c:extLst>
        </c:ser>
        <c:ser>
          <c:idx val="3"/>
          <c:order val="3"/>
          <c:tx>
            <c:strRef>
              <c:f>Results!$I$10:$I$11</c:f>
              <c:strCache>
                <c:ptCount val="2"/>
                <c:pt idx="0">
                  <c:v>Scenario B: mAb</c:v>
                </c:pt>
                <c:pt idx="1">
                  <c:v>Nirsevimab, AstraZeneca</c:v>
                </c:pt>
              </c:strCache>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59FB-4361-8807-8BFD14F4DB86}"/>
            </c:ext>
          </c:extLst>
        </c:ser>
        <c:ser>
          <c:idx val="4"/>
          <c:order val="4"/>
          <c:tx>
            <c:strRef>
              <c:f>Results!$J$10:$J$11</c:f>
              <c:strCache>
                <c:ptCount val="2"/>
                <c:pt idx="0">
                  <c:v>Scenario B: mAb</c:v>
                </c:pt>
                <c:pt idx="1">
                  <c:v>None</c:v>
                </c:pt>
              </c:strCache>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Results!$J$118:$J$122</c:f>
            </c:numRef>
          </c:val>
          <c:extLst>
            <c:ext xmlns:c16="http://schemas.microsoft.com/office/drawing/2014/chart" uri="{C3380CC4-5D6E-409C-BE32-E72D297353CC}">
              <c16:uniqueId val="{00000004-59FB-4361-8807-8BFD14F4DB86}"/>
            </c:ext>
          </c:extLst>
        </c:ser>
        <c:ser>
          <c:idx val="5"/>
          <c:order val="5"/>
          <c:tx>
            <c:strRef>
              <c:f>Results!$K$10:$K$11</c:f>
              <c:strCache>
                <c:ptCount val="2"/>
                <c:pt idx="0">
                  <c:v>Scenario B: mAb</c:v>
                </c:pt>
                <c:pt idx="1">
                  <c:v>None</c:v>
                </c:pt>
              </c:strCache>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Results!$K$118:$K$122</c:f>
            </c:numRef>
          </c:val>
          <c:extLst>
            <c:ext xmlns:c16="http://schemas.microsoft.com/office/drawing/2014/chart" uri="{C3380CC4-5D6E-409C-BE32-E72D297353CC}">
              <c16:uniqueId val="{00000005-59FB-4361-8807-8BFD14F4DB86}"/>
            </c:ext>
          </c:extLst>
        </c:ser>
        <c:ser>
          <c:idx val="6"/>
          <c:order val="6"/>
          <c:tx>
            <c:strRef>
              <c:f>Results!$M$10:$M$11</c:f>
              <c:strCache>
                <c:ptCount val="2"/>
                <c:pt idx="0">
                  <c:v>Scenario C: Both maternal vaccine and mAb</c:v>
                </c:pt>
                <c:pt idx="1">
                  <c:v>Both, total</c:v>
                </c:pt>
              </c:strCache>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34960"/>
        <c:crosses val="autoZero"/>
        <c:auto val="1"/>
        <c:lblAlgn val="ctr"/>
        <c:lblOffset val="100"/>
        <c:noMultiLvlLbl val="0"/>
      </c:catAx>
      <c:valAx>
        <c:axId val="1110734960"/>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2440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Results!$E$128:$M$128</c:f>
              <c:numCache>
                <c:formatCode>"$"#,##0</c:formatCode>
                <c:ptCount val="3"/>
                <c:pt idx="0">
                  <c:v>3581419.6205880558</c:v>
                </c:pt>
                <c:pt idx="1">
                  <c:v>18391904.677310001</c:v>
                </c:pt>
                <c:pt idx="2">
                  <c:v>0</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Results!$E$137:$M$137</c:f>
              <c:numCache>
                <c:formatCode>"$"#,##0</c:formatCode>
                <c:ptCount val="3"/>
                <c:pt idx="0">
                  <c:v>4789422.7762440555</c:v>
                </c:pt>
                <c:pt idx="1">
                  <c:v>19415605.051030599</c:v>
                </c:pt>
                <c:pt idx="2">
                  <c:v>0</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rtl="0">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Cache>
                <c:ptCount val="2"/>
                <c:pt idx="0">
                  <c:v>Scenario A: Maternal vaccine</c:v>
                </c:pt>
                <c:pt idx="1">
                  <c:v>Abrysvo, Pfizer</c:v>
                </c:pt>
              </c:strCache>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Results!$F$10:$F$11</c:f>
              <c:strCache>
                <c:ptCount val="2"/>
                <c:pt idx="0">
                  <c:v>Scenario A: Maternal vaccine</c:v>
                </c:pt>
                <c:pt idx="1">
                  <c:v>None</c:v>
                </c:pt>
              </c:strCache>
            </c:strRef>
          </c:tx>
          <c:spPr>
            <a:solidFill>
              <a:schemeClr val="accent2"/>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Results!$F$129:$F$133</c:f>
            </c:numRef>
          </c:val>
          <c:extLst>
            <c:ext xmlns:c16="http://schemas.microsoft.com/office/drawing/2014/chart" uri="{C3380CC4-5D6E-409C-BE32-E72D297353CC}">
              <c16:uniqueId val="{00000001-B9B2-40EE-9B93-E5C1E15CC92B}"/>
            </c:ext>
          </c:extLst>
        </c:ser>
        <c:ser>
          <c:idx val="2"/>
          <c:order val="2"/>
          <c:tx>
            <c:strRef>
              <c:f>Results!$G$10:$G$11</c:f>
              <c:strCache>
                <c:ptCount val="2"/>
                <c:pt idx="0">
                  <c:v>Scenario A: Maternal vaccine</c:v>
                </c:pt>
                <c:pt idx="1">
                  <c:v>None</c:v>
                </c:pt>
              </c:strCache>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Results!$G$129:$G$133</c:f>
            </c:numRef>
          </c:val>
          <c:extLst>
            <c:ext xmlns:c16="http://schemas.microsoft.com/office/drawing/2014/chart" uri="{C3380CC4-5D6E-409C-BE32-E72D297353CC}">
              <c16:uniqueId val="{00000002-B9B2-40EE-9B93-E5C1E15CC92B}"/>
            </c:ext>
          </c:extLst>
        </c:ser>
        <c:ser>
          <c:idx val="3"/>
          <c:order val="3"/>
          <c:tx>
            <c:strRef>
              <c:f>Results!$I$10:$I$11</c:f>
              <c:strCache>
                <c:ptCount val="2"/>
                <c:pt idx="0">
                  <c:v>Scenario B: mAb</c:v>
                </c:pt>
                <c:pt idx="1">
                  <c:v>Nirsevimab, AstraZeneca</c:v>
                </c:pt>
              </c:strCache>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B9B2-40EE-9B93-E5C1E15CC92B}"/>
            </c:ext>
          </c:extLst>
        </c:ser>
        <c:ser>
          <c:idx val="4"/>
          <c:order val="4"/>
          <c:tx>
            <c:strRef>
              <c:f>Results!$J$10:$J$11</c:f>
              <c:strCache>
                <c:ptCount val="2"/>
                <c:pt idx="0">
                  <c:v>Scenario B: mAb</c:v>
                </c:pt>
                <c:pt idx="1">
                  <c:v>None</c:v>
                </c:pt>
              </c:strCache>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Results!$J$129:$J$133</c:f>
            </c:numRef>
          </c:val>
          <c:extLst>
            <c:ext xmlns:c16="http://schemas.microsoft.com/office/drawing/2014/chart" uri="{C3380CC4-5D6E-409C-BE32-E72D297353CC}">
              <c16:uniqueId val="{00000004-B9B2-40EE-9B93-E5C1E15CC92B}"/>
            </c:ext>
          </c:extLst>
        </c:ser>
        <c:ser>
          <c:idx val="5"/>
          <c:order val="5"/>
          <c:tx>
            <c:strRef>
              <c:f>Results!$K$10:$K$11</c:f>
              <c:strCache>
                <c:ptCount val="2"/>
                <c:pt idx="0">
                  <c:v>Scenario B: mAb</c:v>
                </c:pt>
                <c:pt idx="1">
                  <c:v>None</c:v>
                </c:pt>
              </c:strCache>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Results!$K$129:$K$133</c:f>
            </c:numRef>
          </c:val>
          <c:extLst>
            <c:ext xmlns:c16="http://schemas.microsoft.com/office/drawing/2014/chart" uri="{C3380CC4-5D6E-409C-BE32-E72D297353CC}">
              <c16:uniqueId val="{00000005-B9B2-40EE-9B93-E5C1E15CC92B}"/>
            </c:ext>
          </c:extLst>
        </c:ser>
        <c:ser>
          <c:idx val="6"/>
          <c:order val="6"/>
          <c:tx>
            <c:strRef>
              <c:f>Results!$M$10:$M$11</c:f>
              <c:strCache>
                <c:ptCount val="2"/>
                <c:pt idx="0">
                  <c:v>Scenario C: Both maternal vaccine and mAb</c:v>
                </c:pt>
                <c:pt idx="1">
                  <c:v>Both, total</c:v>
                </c:pt>
              </c:strCache>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77632"/>
        <c:crosses val="autoZero"/>
        <c:auto val="1"/>
        <c:lblAlgn val="ctr"/>
        <c:lblOffset val="100"/>
        <c:noMultiLvlLbl val="0"/>
      </c:catAx>
      <c:valAx>
        <c:axId val="1147677632"/>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57952"/>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Cache>
                <c:ptCount val="2"/>
                <c:pt idx="0">
                  <c:v>Scenario A: Maternal vaccine</c:v>
                </c:pt>
                <c:pt idx="1">
                  <c:v>Abrysvo, Pfizer</c:v>
                </c:pt>
              </c:strCache>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Results!$F$10:$F$11</c:f>
              <c:strCache>
                <c:ptCount val="2"/>
                <c:pt idx="0">
                  <c:v>Scenario A: Maternal vaccine</c:v>
                </c:pt>
                <c:pt idx="1">
                  <c:v>None</c:v>
                </c:pt>
              </c:strCache>
            </c:strRef>
          </c:tx>
          <c:spPr>
            <a:solidFill>
              <a:schemeClr val="accent2"/>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Results!$F$138:$F$142</c:f>
            </c:numRef>
          </c:val>
          <c:extLst>
            <c:ext xmlns:c16="http://schemas.microsoft.com/office/drawing/2014/chart" uri="{C3380CC4-5D6E-409C-BE32-E72D297353CC}">
              <c16:uniqueId val="{00000001-6EFB-438D-A460-188DB5238737}"/>
            </c:ext>
          </c:extLst>
        </c:ser>
        <c:ser>
          <c:idx val="2"/>
          <c:order val="2"/>
          <c:tx>
            <c:strRef>
              <c:f>Results!$G$10:$G$11</c:f>
              <c:strCache>
                <c:ptCount val="2"/>
                <c:pt idx="0">
                  <c:v>Scenario A: Maternal vaccine</c:v>
                </c:pt>
                <c:pt idx="1">
                  <c:v>None</c:v>
                </c:pt>
              </c:strCache>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Results!$G$138:$G$142</c:f>
            </c:numRef>
          </c:val>
          <c:extLst>
            <c:ext xmlns:c16="http://schemas.microsoft.com/office/drawing/2014/chart" uri="{C3380CC4-5D6E-409C-BE32-E72D297353CC}">
              <c16:uniqueId val="{00000002-6EFB-438D-A460-188DB5238737}"/>
            </c:ext>
          </c:extLst>
        </c:ser>
        <c:ser>
          <c:idx val="3"/>
          <c:order val="3"/>
          <c:tx>
            <c:strRef>
              <c:f>Results!$I$10:$I$11</c:f>
              <c:strCache>
                <c:ptCount val="2"/>
                <c:pt idx="0">
                  <c:v>Scenario B: mAb</c:v>
                </c:pt>
                <c:pt idx="1">
                  <c:v>Nirsevimab, AstraZeneca</c:v>
                </c:pt>
              </c:strCache>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6EFB-438D-A460-188DB5238737}"/>
            </c:ext>
          </c:extLst>
        </c:ser>
        <c:ser>
          <c:idx val="4"/>
          <c:order val="4"/>
          <c:tx>
            <c:strRef>
              <c:f>Results!$J$10:$J$11</c:f>
              <c:strCache>
                <c:ptCount val="2"/>
                <c:pt idx="0">
                  <c:v>Scenario B: mAb</c:v>
                </c:pt>
                <c:pt idx="1">
                  <c:v>None</c:v>
                </c:pt>
              </c:strCache>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Results!$J$138:$J$142</c:f>
            </c:numRef>
          </c:val>
          <c:extLst>
            <c:ext xmlns:c16="http://schemas.microsoft.com/office/drawing/2014/chart" uri="{C3380CC4-5D6E-409C-BE32-E72D297353CC}">
              <c16:uniqueId val="{00000004-6EFB-438D-A460-188DB5238737}"/>
            </c:ext>
          </c:extLst>
        </c:ser>
        <c:ser>
          <c:idx val="5"/>
          <c:order val="5"/>
          <c:tx>
            <c:strRef>
              <c:f>Results!$K$10:$K$11</c:f>
              <c:strCache>
                <c:ptCount val="2"/>
                <c:pt idx="0">
                  <c:v>Scenario B: mAb</c:v>
                </c:pt>
                <c:pt idx="1">
                  <c:v>None</c:v>
                </c:pt>
              </c:strCache>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Results!$K$138:$K$142</c:f>
            </c:numRef>
          </c:val>
          <c:extLst>
            <c:ext xmlns:c16="http://schemas.microsoft.com/office/drawing/2014/chart" uri="{C3380CC4-5D6E-409C-BE32-E72D297353CC}">
              <c16:uniqueId val="{00000005-6EFB-438D-A460-188DB5238737}"/>
            </c:ext>
          </c:extLst>
        </c:ser>
        <c:ser>
          <c:idx val="6"/>
          <c:order val="6"/>
          <c:tx>
            <c:strRef>
              <c:f>Results!$M$10:$M$11</c:f>
              <c:strCache>
                <c:ptCount val="2"/>
                <c:pt idx="0">
                  <c:v>Scenario C: Both maternal vaccine and mAb</c:v>
                </c:pt>
                <c:pt idx="1">
                  <c:v>Both, total</c:v>
                </c:pt>
              </c:strCache>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81664"/>
        <c:crosses val="autoZero"/>
        <c:auto val="1"/>
        <c:lblAlgn val="ctr"/>
        <c:lblOffset val="100"/>
        <c:noMultiLvlLbl val="0"/>
      </c:catAx>
      <c:valAx>
        <c:axId val="1328081664"/>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67744"/>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'Model Inputs'!$F$78</c:f>
              <c:strCache>
                <c:ptCount val="1"/>
                <c:pt idx="0">
                  <c:v>None</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Results!$F$109:$F$113</c:f>
            </c:numRef>
          </c:val>
          <c:extLst>
            <c:ext xmlns:c16="http://schemas.microsoft.com/office/drawing/2014/chart" uri="{C3380CC4-5D6E-409C-BE32-E72D297353CC}">
              <c16:uniqueId val="{00000001-B014-4E57-8B2B-36EC42D0FCB2}"/>
            </c:ext>
          </c:extLst>
        </c:ser>
        <c:ser>
          <c:idx val="2"/>
          <c:order val="2"/>
          <c:tx>
            <c:strRef>
              <c:f>'Model Inputs'!$G$78</c:f>
              <c:strCache>
                <c:ptCount val="1"/>
                <c:pt idx="0">
                  <c:v>None</c:v>
                </c:pt>
              </c:strCache>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Results!$G$109:$G$113</c:f>
            </c:numRef>
          </c:val>
          <c:extLst>
            <c:ext xmlns:c16="http://schemas.microsoft.com/office/drawing/2014/chart" uri="{C3380CC4-5D6E-409C-BE32-E72D297353CC}">
              <c16:uniqueId val="{00000002-B014-4E57-8B2B-36EC42D0FCB2}"/>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B014-4E57-8B2B-36EC42D0FCB2}"/>
            </c:ext>
          </c:extLst>
        </c:ser>
        <c:ser>
          <c:idx val="4"/>
          <c:order val="4"/>
          <c:tx>
            <c:strRef>
              <c:f>'Model Inputs'!$I$78</c:f>
              <c:strCache>
                <c:ptCount val="1"/>
                <c:pt idx="0">
                  <c:v>None</c:v>
                </c:pt>
              </c:strCache>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Results!$J$109:$J$113</c:f>
            </c:numRef>
          </c:val>
          <c:extLst>
            <c:ext xmlns:c16="http://schemas.microsoft.com/office/drawing/2014/chart" uri="{C3380CC4-5D6E-409C-BE32-E72D297353CC}">
              <c16:uniqueId val="{00000004-B014-4E57-8B2B-36EC42D0FCB2}"/>
            </c:ext>
          </c:extLst>
        </c:ser>
        <c:ser>
          <c:idx val="6"/>
          <c:order val="5"/>
          <c:tx>
            <c:strRef>
              <c:f>'Model Inputs'!$J$78</c:f>
              <c:strCache>
                <c:ptCount val="1"/>
                <c:pt idx="0">
                  <c:v>None</c:v>
                </c:pt>
              </c:strCache>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Results!$K$109:$K$113</c:f>
            </c:numRef>
          </c:val>
          <c:extLst>
            <c:ext xmlns:c16="http://schemas.microsoft.com/office/drawing/2014/chart" uri="{C3380CC4-5D6E-409C-BE32-E72D297353CC}">
              <c16:uniqueId val="{00000007-B014-4E57-8B2B-36EC42D0FCB2}"/>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Results!$N$109:$N$113</c:f>
            </c:numRef>
          </c:val>
          <c:extLst>
            <c:ext xmlns:c16="http://schemas.microsoft.com/office/drawing/2014/chart" uri="{C3380CC4-5D6E-409C-BE32-E72D297353CC}">
              <c16:uniqueId val="{00000008-B014-4E57-8B2B-36EC42D0FCB2}"/>
            </c:ext>
          </c:extLst>
        </c:ser>
        <c:ser>
          <c:idx val="5"/>
          <c:order val="7"/>
          <c:tx>
            <c:strRef>
              <c:f>'Model Inputs'!$L$78</c:f>
              <c:strCache>
                <c:ptCount val="1"/>
                <c:pt idx="0">
                  <c:v>None</c:v>
                </c:pt>
              </c:strCache>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Results!$O$109:$O$113</c:f>
            </c:numRef>
          </c:val>
          <c:extLst>
            <c:ext xmlns:c16="http://schemas.microsoft.com/office/drawing/2014/chart" uri="{C3380CC4-5D6E-409C-BE32-E72D297353CC}">
              <c16:uniqueId val="{00000005-B014-4E57-8B2B-36EC42D0FCB2}"/>
            </c:ext>
          </c:extLst>
        </c:ser>
        <c:ser>
          <c:idx val="8"/>
          <c:order val="8"/>
          <c:tx>
            <c:strRef>
              <c:f>'Model Inputs'!$K$76:$L$76</c:f>
              <c:strCache>
                <c:ptCount val="1"/>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algn="ctr"/>
          <a:endParaRPr lang="en-US" sz="1600" b="1">
            <a:solidFill>
              <a:schemeClr val="tx1"/>
            </a:solidFill>
            <a:latin typeface="Arial" panose="020B0604020202020204" pitchFamily="34" charset="0"/>
            <a:cs typeface="Arial" panose="020B0604020202020204" pitchFamily="34" charset="0"/>
          </a:endParaRPr>
        </a:p>
        <a:p>
          <a:pPr algn="ctr"/>
          <a:r>
            <a:rPr lang="en-US" sz="1600" b="1">
              <a:solidFill>
                <a:schemeClr val="tx1"/>
              </a:solidFill>
              <a:latin typeface="Arial" panose="020B0604020202020204" pitchFamily="34" charset="0"/>
              <a:cs typeface="Arial" panose="020B0604020202020204" pitchFamily="34" charset="0"/>
            </a:rPr>
            <a:t>RSV</a:t>
          </a:r>
          <a:endParaRPr lang="en-US" sz="2000" b="1">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245926</xdr:colOff>
      <xdr:row>7</xdr:row>
      <xdr:rowOff>713979</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91117" y="2641600"/>
          <a:ext cx="1534583" cy="292100"/>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Lower volume or cost</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Higher volume or cost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273804</xdr:colOff>
      <xdr:row>7</xdr:row>
      <xdr:rowOff>101600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Lower volume or cost</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Arial" panose="020B0604020202020204" pitchFamily="34" charset="0"/>
              <a:ea typeface="+mn-ea"/>
              <a:cs typeface="Arial" panose="020B0604020202020204" pitchFamily="34" charset="0"/>
            </a:rPr>
            <a:t>Higher volume or cost</a:t>
          </a:r>
          <a:endParaRPr lang="en-US" sz="900">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444805</xdr:colOff>
      <xdr:row>28</xdr:row>
      <xdr:rowOff>120898</xdr:rowOff>
    </xdr:to>
    <xdr:pic>
      <xdr:nvPicPr>
        <xdr:cNvPr id="2" name="Picture 1">
          <a:extLst>
            <a:ext uri="{FF2B5EF4-FFF2-40B4-BE49-F238E27FC236}">
              <a16:creationId xmlns:a16="http://schemas.microsoft.com/office/drawing/2014/main" id="{CFFD615D-4148-92B8-61C6-88029C73BA3D}"/>
            </a:ext>
          </a:extLst>
        </xdr:cNvPr>
        <xdr:cNvPicPr>
          <a:picLocks noChangeAspect="1"/>
        </xdr:cNvPicPr>
      </xdr:nvPicPr>
      <xdr:blipFill>
        <a:blip xmlns:r="http://schemas.openxmlformats.org/officeDocument/2006/relationships" r:embed="rId1"/>
        <a:stretch>
          <a:fillRect/>
        </a:stretch>
      </xdr:blipFill>
      <xdr:spPr>
        <a:xfrm>
          <a:off x="609600" y="361950"/>
          <a:ext cx="5931205" cy="4826248"/>
        </a:xfrm>
        <a:prstGeom prst="rect">
          <a:avLst/>
        </a:prstGeom>
      </xdr:spPr>
    </xdr:pic>
    <xdr:clientData/>
  </xdr:twoCellAnchor>
  <xdr:twoCellAnchor editAs="oneCell">
    <xdr:from>
      <xdr:col>1</xdr:col>
      <xdr:colOff>57150</xdr:colOff>
      <xdr:row>28</xdr:row>
      <xdr:rowOff>152400</xdr:rowOff>
    </xdr:from>
    <xdr:to>
      <xdr:col>10</xdr:col>
      <xdr:colOff>352722</xdr:colOff>
      <xdr:row>38</xdr:row>
      <xdr:rowOff>54063</xdr:rowOff>
    </xdr:to>
    <xdr:pic>
      <xdr:nvPicPr>
        <xdr:cNvPr id="3" name="Picture 2">
          <a:extLst>
            <a:ext uri="{FF2B5EF4-FFF2-40B4-BE49-F238E27FC236}">
              <a16:creationId xmlns:a16="http://schemas.microsoft.com/office/drawing/2014/main" id="{C02C4D2F-3CDA-AAC3-153B-D02AD29CE63A}"/>
            </a:ext>
          </a:extLst>
        </xdr:cNvPr>
        <xdr:cNvPicPr>
          <a:picLocks noChangeAspect="1"/>
        </xdr:cNvPicPr>
      </xdr:nvPicPr>
      <xdr:blipFill>
        <a:blip xmlns:r="http://schemas.openxmlformats.org/officeDocument/2006/relationships" r:embed="rId2"/>
        <a:stretch>
          <a:fillRect/>
        </a:stretch>
      </xdr:blipFill>
      <xdr:spPr>
        <a:xfrm>
          <a:off x="666750" y="5219700"/>
          <a:ext cx="5781972" cy="1711413"/>
        </a:xfrm>
        <a:prstGeom prst="rect">
          <a:avLst/>
        </a:prstGeom>
      </xdr:spPr>
    </xdr:pic>
    <xdr:clientData/>
  </xdr:twoCellAnchor>
  <xdr:twoCellAnchor editAs="oneCell">
    <xdr:from>
      <xdr:col>1</xdr:col>
      <xdr:colOff>0</xdr:colOff>
      <xdr:row>38</xdr:row>
      <xdr:rowOff>75136</xdr:rowOff>
    </xdr:from>
    <xdr:to>
      <xdr:col>10</xdr:col>
      <xdr:colOff>225425</xdr:colOff>
      <xdr:row>63</xdr:row>
      <xdr:rowOff>152631</xdr:rowOff>
    </xdr:to>
    <xdr:pic>
      <xdr:nvPicPr>
        <xdr:cNvPr id="4" name="Picture 3">
          <a:extLst>
            <a:ext uri="{FF2B5EF4-FFF2-40B4-BE49-F238E27FC236}">
              <a16:creationId xmlns:a16="http://schemas.microsoft.com/office/drawing/2014/main" id="{BBBD21A9-6DEA-A858-A09A-45FC1F082653}"/>
            </a:ext>
          </a:extLst>
        </xdr:cNvPr>
        <xdr:cNvPicPr>
          <a:picLocks noChangeAspect="1"/>
        </xdr:cNvPicPr>
      </xdr:nvPicPr>
      <xdr:blipFill>
        <a:blip xmlns:r="http://schemas.openxmlformats.org/officeDocument/2006/relationships" r:embed="rId3"/>
        <a:stretch>
          <a:fillRect/>
        </a:stretch>
      </xdr:blipFill>
      <xdr:spPr>
        <a:xfrm>
          <a:off x="609600" y="6952186"/>
          <a:ext cx="5711825" cy="4601870"/>
        </a:xfrm>
        <a:prstGeom prst="rect">
          <a:avLst/>
        </a:prstGeom>
      </xdr:spPr>
    </xdr:pic>
    <xdr:clientData/>
  </xdr:twoCellAnchor>
  <xdr:twoCellAnchor editAs="oneCell">
    <xdr:from>
      <xdr:col>1</xdr:col>
      <xdr:colOff>0</xdr:colOff>
      <xdr:row>64</xdr:row>
      <xdr:rowOff>0</xdr:rowOff>
    </xdr:from>
    <xdr:to>
      <xdr:col>10</xdr:col>
      <xdr:colOff>324149</xdr:colOff>
      <xdr:row>85</xdr:row>
      <xdr:rowOff>149428</xdr:rowOff>
    </xdr:to>
    <xdr:pic>
      <xdr:nvPicPr>
        <xdr:cNvPr id="5" name="Picture 4">
          <a:extLst>
            <a:ext uri="{FF2B5EF4-FFF2-40B4-BE49-F238E27FC236}">
              <a16:creationId xmlns:a16="http://schemas.microsoft.com/office/drawing/2014/main" id="{854F62FF-7B88-036A-5E79-081437FDAD79}"/>
            </a:ext>
          </a:extLst>
        </xdr:cNvPr>
        <xdr:cNvPicPr>
          <a:picLocks noChangeAspect="1"/>
        </xdr:cNvPicPr>
      </xdr:nvPicPr>
      <xdr:blipFill>
        <a:blip xmlns:r="http://schemas.openxmlformats.org/officeDocument/2006/relationships" r:embed="rId4"/>
        <a:stretch>
          <a:fillRect/>
        </a:stretch>
      </xdr:blipFill>
      <xdr:spPr>
        <a:xfrm>
          <a:off x="609600" y="11582400"/>
          <a:ext cx="5810549" cy="3949903"/>
        </a:xfrm>
        <a:prstGeom prst="rect">
          <a:avLst/>
        </a:prstGeom>
      </xdr:spPr>
    </xdr:pic>
    <xdr:clientData/>
  </xdr:twoCellAnchor>
  <xdr:twoCellAnchor editAs="oneCell">
    <xdr:from>
      <xdr:col>1</xdr:col>
      <xdr:colOff>0</xdr:colOff>
      <xdr:row>87</xdr:row>
      <xdr:rowOff>0</xdr:rowOff>
    </xdr:from>
    <xdr:to>
      <xdr:col>10</xdr:col>
      <xdr:colOff>482907</xdr:colOff>
      <xdr:row>117</xdr:row>
      <xdr:rowOff>76483</xdr:rowOff>
    </xdr:to>
    <xdr:pic>
      <xdr:nvPicPr>
        <xdr:cNvPr id="6" name="Picture 5">
          <a:extLst>
            <a:ext uri="{FF2B5EF4-FFF2-40B4-BE49-F238E27FC236}">
              <a16:creationId xmlns:a16="http://schemas.microsoft.com/office/drawing/2014/main" id="{129FF6CA-8572-8FCC-3814-AB3388A657D0}"/>
            </a:ext>
          </a:extLst>
        </xdr:cNvPr>
        <xdr:cNvPicPr>
          <a:picLocks noChangeAspect="1"/>
        </xdr:cNvPicPr>
      </xdr:nvPicPr>
      <xdr:blipFill>
        <a:blip xmlns:r="http://schemas.openxmlformats.org/officeDocument/2006/relationships" r:embed="rId5"/>
        <a:stretch>
          <a:fillRect/>
        </a:stretch>
      </xdr:blipFill>
      <xdr:spPr>
        <a:xfrm>
          <a:off x="609600" y="15744825"/>
          <a:ext cx="5969307" cy="55057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2.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1640625" defaultRowHeight="14.5" outlineLevelRow="1" outlineLevelCol="1"/>
  <cols>
    <col min="1" max="1" width="1.453125" style="85" customWidth="1"/>
    <col min="2" max="2" width="2.1796875" style="85" customWidth="1"/>
    <col min="3" max="3" width="40.81640625" style="86" customWidth="1"/>
    <col min="4" max="4" width="18.453125" style="86" customWidth="1"/>
    <col min="5" max="6" width="18.453125" style="86" hidden="1" customWidth="1" outlineLevel="1"/>
    <col min="7" max="7" width="18.453125" style="86" customWidth="1" collapsed="1"/>
    <col min="8" max="9" width="18.453125" style="86" hidden="1" customWidth="1" outlineLevel="1"/>
    <col min="10" max="10" width="18.453125" style="86" customWidth="1" collapsed="1"/>
    <col min="11" max="11" width="18.1796875" style="86" customWidth="1"/>
    <col min="12" max="12" width="18.453125" style="86" customWidth="1"/>
    <col min="13" max="13" width="27.453125" style="86" customWidth="1"/>
    <col min="14" max="14" width="18.453125" style="86" customWidth="1"/>
    <col min="15" max="15" width="21.81640625" style="113" customWidth="1"/>
    <col min="16" max="16" width="46.81640625" style="113" customWidth="1"/>
    <col min="17" max="17" width="25.453125" style="113" customWidth="1"/>
    <col min="18" max="18" width="4.81640625" style="113" customWidth="1"/>
    <col min="19" max="19" width="17.453125" style="86" customWidth="1"/>
    <col min="20" max="20" width="1.1796875" style="86" customWidth="1"/>
    <col min="21" max="21" width="17.453125" style="86" customWidth="1"/>
    <col min="22" max="22" width="59.1796875" style="86" customWidth="1"/>
    <col min="23" max="23" width="5.1796875" style="86" customWidth="1"/>
    <col min="24" max="24" width="25.453125" style="86" customWidth="1"/>
    <col min="25" max="25" width="19.1796875" style="86" customWidth="1"/>
    <col min="26" max="26" width="24.81640625" style="86" customWidth="1"/>
    <col min="27" max="27" width="19.1796875" style="86" customWidth="1"/>
    <col min="28" max="28" width="25" style="86" customWidth="1"/>
    <col min="29" max="29" width="19.453125" style="86" customWidth="1"/>
    <col min="30" max="30" width="15.81640625" style="86" customWidth="1"/>
    <col min="31" max="31" width="37" style="86" customWidth="1"/>
    <col min="32" max="32" width="8.81640625" style="86" customWidth="1"/>
    <col min="33" max="33" width="22.81640625" style="86" customWidth="1"/>
    <col min="34" max="34" width="15.81640625" style="86" customWidth="1"/>
    <col min="35" max="35" width="37" style="86" customWidth="1"/>
    <col min="36" max="36" width="2.81640625" style="86" customWidth="1"/>
    <col min="37" max="16384" width="8.81640625" style="86"/>
  </cols>
  <sheetData>
    <row r="1" spans="3:20" ht="12" customHeight="1">
      <c r="C1" s="121"/>
      <c r="D1" s="121"/>
      <c r="E1" s="85"/>
      <c r="F1" s="121"/>
      <c r="G1" s="121"/>
      <c r="H1" s="85"/>
      <c r="I1" s="85"/>
      <c r="J1" s="121"/>
      <c r="K1" s="85"/>
      <c r="L1" s="85"/>
      <c r="M1" s="85"/>
      <c r="P1" s="200"/>
      <c r="R1" s="201"/>
      <c r="T1" s="152"/>
    </row>
    <row r="2" spans="3:20" ht="33" customHeight="1">
      <c r="C2" s="913" t="s">
        <v>0</v>
      </c>
      <c r="D2" s="913"/>
      <c r="E2" s="913"/>
      <c r="F2" s="913"/>
      <c r="G2" s="913"/>
      <c r="H2" s="913"/>
      <c r="I2" s="913"/>
      <c r="J2" s="913"/>
      <c r="K2" s="85"/>
      <c r="L2" s="85"/>
      <c r="M2" s="85"/>
      <c r="P2" s="200"/>
      <c r="R2" s="201"/>
      <c r="T2" s="152"/>
    </row>
    <row r="3" spans="3:20" ht="39.75" customHeight="1">
      <c r="C3" s="227" t="s">
        <v>1</v>
      </c>
      <c r="D3" s="228"/>
      <c r="E3" s="228"/>
      <c r="F3" s="228"/>
      <c r="G3" s="229"/>
      <c r="H3" s="229"/>
      <c r="I3" s="229"/>
      <c r="J3" s="230"/>
      <c r="K3" s="229"/>
      <c r="L3" s="229"/>
      <c r="M3" s="194"/>
      <c r="Q3" s="202"/>
      <c r="R3" s="202"/>
      <c r="S3" s="151"/>
    </row>
    <row r="4" spans="3:20" ht="26.25" hidden="1" customHeight="1">
      <c r="C4" s="85"/>
      <c r="D4" s="85"/>
      <c r="E4" s="85"/>
      <c r="F4" s="85"/>
      <c r="G4" s="85"/>
      <c r="H4" s="85"/>
      <c r="I4" s="85"/>
      <c r="J4" s="914"/>
      <c r="K4" s="914"/>
      <c r="L4" s="85"/>
      <c r="M4" s="85"/>
      <c r="Q4" s="202"/>
      <c r="R4" s="202"/>
      <c r="S4" s="151"/>
    </row>
    <row r="5" spans="3:20" ht="14.25" hidden="1" customHeight="1">
      <c r="C5" s="85"/>
      <c r="D5" s="85"/>
      <c r="E5" s="85"/>
      <c r="F5" s="85"/>
      <c r="G5" s="85"/>
      <c r="H5" s="85"/>
      <c r="I5" s="85"/>
      <c r="J5" s="914"/>
      <c r="K5" s="914"/>
      <c r="L5" s="85"/>
      <c r="M5" s="85"/>
      <c r="Q5" s="202"/>
      <c r="R5" s="202"/>
      <c r="S5" s="151"/>
    </row>
    <row r="6" spans="3:20" ht="14.25" hidden="1" customHeight="1">
      <c r="C6" s="85"/>
      <c r="D6" s="85"/>
      <c r="E6" s="85"/>
      <c r="F6" s="85"/>
      <c r="G6" s="85"/>
      <c r="H6" s="85"/>
      <c r="I6" s="85"/>
      <c r="J6" s="85"/>
      <c r="K6" s="85"/>
      <c r="L6" s="108"/>
      <c r="M6" s="85"/>
      <c r="P6" s="203"/>
      <c r="Q6" s="202"/>
      <c r="R6" s="202"/>
      <c r="S6" s="151"/>
    </row>
    <row r="7" spans="3:20" ht="20.25" hidden="1" customHeight="1">
      <c r="C7" s="915" t="s">
        <v>2</v>
      </c>
      <c r="D7" s="916"/>
      <c r="E7" s="916"/>
      <c r="F7" s="916"/>
      <c r="G7" s="916"/>
      <c r="H7" s="916"/>
      <c r="I7" s="916"/>
      <c r="J7" s="916"/>
      <c r="K7" s="916"/>
      <c r="L7" s="916"/>
      <c r="M7" s="917"/>
      <c r="O7" s="188"/>
      <c r="P7" s="188"/>
      <c r="Q7" s="188"/>
      <c r="R7" s="188"/>
      <c r="S7" s="151"/>
    </row>
    <row r="8" spans="3:20" ht="20.25" hidden="1" customHeight="1">
      <c r="C8" s="918"/>
      <c r="D8" s="919"/>
      <c r="E8" s="919"/>
      <c r="F8" s="919"/>
      <c r="G8" s="919"/>
      <c r="H8" s="919"/>
      <c r="I8" s="919"/>
      <c r="J8" s="919"/>
      <c r="K8" s="919"/>
      <c r="L8" s="919"/>
      <c r="M8" s="920"/>
      <c r="O8" s="188"/>
      <c r="P8" s="188"/>
      <c r="Q8" s="188"/>
      <c r="R8" s="188"/>
      <c r="S8" s="151"/>
    </row>
    <row r="9" spans="3:20" ht="20.25" hidden="1" customHeight="1">
      <c r="C9" s="918"/>
      <c r="D9" s="919"/>
      <c r="E9" s="919"/>
      <c r="F9" s="919"/>
      <c r="G9" s="919"/>
      <c r="H9" s="919"/>
      <c r="I9" s="919"/>
      <c r="J9" s="919"/>
      <c r="K9" s="919"/>
      <c r="L9" s="919"/>
      <c r="M9" s="920"/>
      <c r="O9" s="188"/>
      <c r="P9" s="188"/>
      <c r="Q9" s="188"/>
      <c r="R9" s="188"/>
      <c r="S9" s="151"/>
    </row>
    <row r="10" spans="3:20" ht="27.25" hidden="1" customHeight="1">
      <c r="C10" s="921"/>
      <c r="D10" s="922"/>
      <c r="E10" s="922"/>
      <c r="F10" s="922"/>
      <c r="G10" s="922"/>
      <c r="H10" s="922"/>
      <c r="I10" s="922"/>
      <c r="J10" s="922"/>
      <c r="K10" s="922"/>
      <c r="L10" s="922"/>
      <c r="M10" s="923"/>
      <c r="O10" s="188"/>
      <c r="P10" s="188"/>
      <c r="Q10" s="188"/>
      <c r="R10" s="188"/>
      <c r="S10" s="151"/>
    </row>
    <row r="11" spans="3:20" ht="12" customHeight="1">
      <c r="C11" s="85"/>
      <c r="D11" s="85"/>
      <c r="E11" s="85"/>
      <c r="F11" s="85"/>
      <c r="G11" s="85"/>
      <c r="H11" s="85"/>
      <c r="I11" s="85"/>
      <c r="J11" s="121"/>
      <c r="K11" s="85"/>
      <c r="L11" s="85"/>
      <c r="M11" s="85"/>
      <c r="P11" s="200"/>
      <c r="R11" s="201"/>
      <c r="T11" s="152"/>
    </row>
    <row r="12" spans="3:20" ht="26.25" customHeight="1">
      <c r="C12" s="924" t="s">
        <v>3</v>
      </c>
      <c r="D12" s="925"/>
      <c r="E12" s="85"/>
      <c r="F12" s="85"/>
      <c r="G12" s="85"/>
      <c r="H12" s="85"/>
      <c r="I12" s="85"/>
      <c r="J12" s="85"/>
      <c r="K12" s="85"/>
      <c r="L12" s="108"/>
      <c r="M12" s="85"/>
      <c r="P12" s="200"/>
      <c r="Q12" s="202"/>
      <c r="R12" s="202"/>
      <c r="S12" s="151"/>
    </row>
    <row r="13" spans="3:20" ht="12" customHeight="1">
      <c r="E13" s="85"/>
      <c r="F13" s="85"/>
      <c r="G13" s="85"/>
      <c r="H13" s="85"/>
      <c r="I13" s="85"/>
      <c r="J13" s="121"/>
      <c r="K13" s="85"/>
      <c r="L13" s="85"/>
      <c r="M13" s="85"/>
      <c r="P13" s="200"/>
      <c r="R13" s="201"/>
      <c r="T13" s="152"/>
    </row>
    <row r="14" spans="3:20" ht="25.5" customHeight="1">
      <c r="C14" s="154" t="s">
        <v>4</v>
      </c>
      <c r="D14" s="154"/>
      <c r="E14" s="85"/>
      <c r="F14" s="85"/>
      <c r="G14" s="85"/>
      <c r="H14" s="85"/>
      <c r="I14" s="85"/>
      <c r="J14" s="85"/>
      <c r="K14" s="85"/>
      <c r="L14" s="85"/>
      <c r="M14" s="85"/>
      <c r="P14" s="200"/>
      <c r="R14" s="201"/>
      <c r="T14" s="152"/>
    </row>
    <row r="15" spans="3:20" ht="12" customHeight="1">
      <c r="E15" s="85"/>
      <c r="F15" s="85"/>
      <c r="G15" s="85"/>
      <c r="H15" s="85"/>
      <c r="I15" s="85"/>
      <c r="J15" s="85"/>
      <c r="K15" s="85"/>
      <c r="L15" s="85"/>
      <c r="M15" s="85"/>
      <c r="P15" s="200"/>
      <c r="R15" s="201"/>
      <c r="T15" s="152"/>
    </row>
    <row r="16" spans="3:20" ht="42.75" customHeight="1">
      <c r="C16" s="180" t="s">
        <v>5</v>
      </c>
      <c r="D16" s="697" t="s">
        <v>6</v>
      </c>
      <c r="E16" s="85"/>
      <c r="F16" s="85"/>
      <c r="G16" s="85"/>
      <c r="H16" s="85"/>
      <c r="I16" s="85"/>
      <c r="J16" s="85"/>
      <c r="K16" s="85"/>
      <c r="L16" s="85"/>
      <c r="M16" s="85"/>
      <c r="P16" s="200"/>
      <c r="R16" s="201"/>
      <c r="T16" s="152"/>
    </row>
    <row r="17" spans="3:20" ht="33" customHeight="1">
      <c r="C17" s="158" t="s">
        <v>7</v>
      </c>
      <c r="D17" s="155" t="s">
        <v>8</v>
      </c>
      <c r="E17" s="85"/>
      <c r="F17" s="85"/>
      <c r="G17" s="85"/>
      <c r="H17" s="85"/>
      <c r="I17" s="85"/>
      <c r="J17" s="121"/>
      <c r="K17" s="85"/>
      <c r="L17" s="85"/>
      <c r="M17" s="85"/>
      <c r="P17" s="200"/>
      <c r="R17" s="201"/>
      <c r="T17" s="152"/>
    </row>
    <row r="18" spans="3:20" ht="7.5" customHeight="1">
      <c r="C18" s="158"/>
      <c r="D18" s="157"/>
      <c r="E18" s="121"/>
      <c r="F18" s="85"/>
      <c r="G18" s="85"/>
      <c r="H18" s="85"/>
      <c r="I18" s="85"/>
      <c r="J18" s="121"/>
      <c r="K18" s="85"/>
      <c r="L18" s="85"/>
      <c r="M18" s="85"/>
      <c r="P18" s="200"/>
      <c r="R18" s="201"/>
      <c r="T18" s="152"/>
    </row>
    <row r="19" spans="3:20" ht="33" customHeight="1">
      <c r="C19" s="158" t="s">
        <v>9</v>
      </c>
      <c r="D19" s="155" t="s">
        <v>8</v>
      </c>
      <c r="E19" s="85"/>
      <c r="F19" s="85"/>
      <c r="G19" s="85"/>
      <c r="H19" s="85"/>
      <c r="I19" s="85"/>
      <c r="J19" s="121"/>
      <c r="K19" s="85"/>
      <c r="L19" s="85"/>
      <c r="M19" s="85"/>
      <c r="P19" s="200"/>
      <c r="R19" s="201"/>
      <c r="T19" s="152"/>
    </row>
    <row r="20" spans="3:20" ht="7.5" customHeight="1">
      <c r="C20" s="158"/>
      <c r="D20" s="157"/>
      <c r="E20" s="121"/>
      <c r="F20" s="85"/>
      <c r="G20" s="85"/>
      <c r="H20" s="85"/>
      <c r="I20" s="85"/>
      <c r="J20" s="121"/>
      <c r="K20" s="85"/>
      <c r="L20" s="85"/>
      <c r="M20" s="85"/>
      <c r="P20" s="200"/>
      <c r="R20" s="201"/>
      <c r="T20" s="152"/>
    </row>
    <row r="21" spans="3:20" ht="33" customHeight="1">
      <c r="C21" s="179" t="s">
        <v>10</v>
      </c>
      <c r="D21" s="156" t="s">
        <v>8</v>
      </c>
      <c r="E21" s="85"/>
      <c r="F21" s="85"/>
      <c r="G21" s="85"/>
      <c r="H21" s="85"/>
      <c r="I21" s="85"/>
      <c r="J21" s="121"/>
      <c r="K21" s="85"/>
      <c r="L21" s="85"/>
      <c r="M21" s="85"/>
      <c r="P21" s="200"/>
      <c r="R21" s="201"/>
      <c r="T21" s="152"/>
    </row>
    <row r="22" spans="3:20" ht="12" customHeight="1">
      <c r="C22" s="85"/>
      <c r="D22" s="85"/>
      <c r="E22" s="85"/>
      <c r="F22" s="85"/>
      <c r="G22" s="85"/>
      <c r="H22" s="85"/>
      <c r="I22" s="85"/>
      <c r="J22" s="121"/>
      <c r="K22" s="85"/>
      <c r="L22" s="85"/>
      <c r="M22" s="85"/>
      <c r="P22" s="200"/>
      <c r="R22" s="201"/>
      <c r="T22" s="152"/>
    </row>
    <row r="23" spans="3:20" ht="25.5" customHeight="1">
      <c r="C23" s="880" t="s">
        <v>11</v>
      </c>
      <c r="D23" s="881"/>
      <c r="E23" s="881"/>
      <c r="F23" s="881"/>
      <c r="G23" s="881"/>
      <c r="H23" s="881"/>
      <c r="I23" s="881"/>
      <c r="J23" s="881"/>
      <c r="K23" s="881"/>
      <c r="L23" s="881"/>
      <c r="M23" s="882"/>
      <c r="N23" s="693"/>
      <c r="O23" s="204"/>
      <c r="R23" s="205"/>
      <c r="S23" s="146"/>
      <c r="T23" s="147"/>
    </row>
    <row r="24" spans="3:20" ht="12" customHeight="1" thickBot="1">
      <c r="C24" s="85"/>
      <c r="D24" s="85"/>
      <c r="E24" s="85"/>
      <c r="F24" s="85"/>
      <c r="G24" s="85"/>
      <c r="H24" s="85"/>
      <c r="I24" s="85"/>
      <c r="J24" s="121"/>
      <c r="K24" s="85"/>
      <c r="L24" s="85"/>
      <c r="M24" s="85"/>
      <c r="P24" s="200"/>
      <c r="R24" s="201"/>
      <c r="T24" s="152"/>
    </row>
    <row r="25" spans="3:20" ht="119.5" customHeight="1" thickBot="1">
      <c r="C25" s="265" t="s">
        <v>12</v>
      </c>
      <c r="D25" s="908" t="s">
        <v>13</v>
      </c>
      <c r="E25" s="909"/>
      <c r="F25" s="910"/>
      <c r="G25" s="908" t="s">
        <v>14</v>
      </c>
      <c r="H25" s="909"/>
      <c r="I25" s="910"/>
      <c r="J25" s="908" t="s">
        <v>15</v>
      </c>
      <c r="K25" s="909"/>
      <c r="L25" s="911" t="s">
        <v>16</v>
      </c>
      <c r="M25" s="912"/>
      <c r="N25" s="694"/>
      <c r="O25" s="182"/>
      <c r="P25" s="206"/>
      <c r="R25" s="205"/>
      <c r="S25" s="146"/>
    </row>
    <row r="26" spans="3:20" ht="12" customHeight="1" thickBot="1">
      <c r="C26" s="85"/>
      <c r="D26" s="85"/>
      <c r="E26" s="85"/>
      <c r="F26" s="85"/>
      <c r="G26" s="85"/>
      <c r="H26" s="85"/>
      <c r="I26" s="85"/>
      <c r="J26" s="121"/>
      <c r="K26" s="85"/>
      <c r="L26" s="85"/>
      <c r="M26" s="85"/>
      <c r="P26" s="200"/>
      <c r="R26" s="201"/>
      <c r="T26" s="152"/>
    </row>
    <row r="27" spans="3:20" ht="25.5" customHeight="1" thickBot="1">
      <c r="C27" s="238" t="s">
        <v>17</v>
      </c>
      <c r="D27" s="896">
        <v>2026</v>
      </c>
      <c r="E27" s="897"/>
      <c r="F27" s="897"/>
      <c r="G27" s="897"/>
      <c r="H27" s="897"/>
      <c r="I27" s="897"/>
      <c r="J27" s="897"/>
      <c r="K27" s="898"/>
      <c r="L27" s="839" t="s">
        <v>18</v>
      </c>
      <c r="M27" s="833"/>
      <c r="N27" s="703"/>
      <c r="O27" s="207"/>
      <c r="R27" s="181"/>
      <c r="T27" s="137"/>
    </row>
    <row r="28" spans="3:20" ht="12" customHeight="1" thickBot="1">
      <c r="C28" s="85"/>
      <c r="D28" s="85"/>
      <c r="E28" s="85"/>
      <c r="F28" s="85"/>
      <c r="G28" s="85"/>
      <c r="H28" s="85"/>
      <c r="I28" s="85"/>
      <c r="J28" s="121"/>
      <c r="K28" s="85"/>
      <c r="L28" s="85"/>
      <c r="M28" s="85"/>
      <c r="P28" s="200"/>
      <c r="R28" s="201"/>
      <c r="T28" s="152"/>
    </row>
    <row r="29" spans="3:20" ht="12" hidden="1" customHeight="1" thickBot="1">
      <c r="C29" s="85"/>
      <c r="D29" s="85"/>
      <c r="E29" s="85"/>
      <c r="F29" s="85"/>
      <c r="G29" s="85"/>
      <c r="H29" s="85"/>
      <c r="I29" s="85"/>
      <c r="J29" s="121"/>
      <c r="K29" s="85"/>
      <c r="L29" s="85"/>
      <c r="M29" s="85"/>
      <c r="P29" s="200"/>
      <c r="R29" s="201"/>
      <c r="T29" s="152"/>
    </row>
    <row r="30" spans="3:20" ht="20.5" customHeight="1" thickBot="1">
      <c r="C30" s="899" t="s">
        <v>5</v>
      </c>
      <c r="D30" s="901" t="s">
        <v>7</v>
      </c>
      <c r="E30" s="902"/>
      <c r="F30" s="903"/>
      <c r="G30" s="901" t="s">
        <v>19</v>
      </c>
      <c r="H30" s="902"/>
      <c r="I30" s="903"/>
      <c r="J30" s="260" t="s">
        <v>7</v>
      </c>
      <c r="K30" s="261" t="s">
        <v>19</v>
      </c>
      <c r="L30" s="889" t="s">
        <v>20</v>
      </c>
      <c r="M30" s="871"/>
      <c r="N30" s="703"/>
      <c r="O30" s="207"/>
      <c r="R30" s="208"/>
      <c r="T30" s="148"/>
    </row>
    <row r="31" spans="3:20" ht="24.75" customHeight="1" thickBot="1">
      <c r="C31" s="900"/>
      <c r="D31" s="905">
        <v>150000</v>
      </c>
      <c r="E31" s="906"/>
      <c r="F31" s="907"/>
      <c r="G31" s="905">
        <v>140000</v>
      </c>
      <c r="H31" s="906"/>
      <c r="I31" s="907"/>
      <c r="J31" s="258">
        <f>IF($D$21="Yes",D$31,IF($D$21="No",0))</f>
        <v>150000</v>
      </c>
      <c r="K31" s="259">
        <f>J31-(J31*J38)</f>
        <v>75000</v>
      </c>
      <c r="L31" s="904"/>
      <c r="M31" s="875"/>
      <c r="N31" s="703"/>
      <c r="O31" s="207"/>
      <c r="R31" s="208"/>
      <c r="T31" s="148"/>
    </row>
    <row r="32" spans="3:20" ht="30" hidden="1" customHeight="1">
      <c r="C32" s="251" t="s">
        <v>21</v>
      </c>
      <c r="D32" s="253">
        <v>12</v>
      </c>
      <c r="E32" s="249"/>
      <c r="F32" s="254"/>
      <c r="G32" s="253">
        <v>6</v>
      </c>
      <c r="H32" s="249"/>
      <c r="I32" s="254"/>
      <c r="J32" s="233">
        <f>D32</f>
        <v>12</v>
      </c>
      <c r="K32" s="236">
        <f>G32</f>
        <v>6</v>
      </c>
      <c r="L32" s="889" t="s">
        <v>22</v>
      </c>
      <c r="M32" s="871"/>
      <c r="N32" s="703"/>
      <c r="O32" s="207"/>
      <c r="R32" s="208"/>
      <c r="T32" s="148"/>
    </row>
    <row r="33" spans="3:20" ht="32.25" hidden="1" customHeight="1" thickBot="1">
      <c r="C33" s="252" t="s">
        <v>23</v>
      </c>
      <c r="D33" s="255">
        <v>0.7</v>
      </c>
      <c r="E33" s="250"/>
      <c r="F33" s="256"/>
      <c r="G33" s="255">
        <v>1</v>
      </c>
      <c r="H33" s="250"/>
      <c r="I33" s="256"/>
      <c r="J33" s="257">
        <f>D33</f>
        <v>0.7</v>
      </c>
      <c r="K33" s="235">
        <f>G33</f>
        <v>1</v>
      </c>
      <c r="L33" s="889" t="s">
        <v>24</v>
      </c>
      <c r="M33" s="871"/>
      <c r="N33" s="703"/>
      <c r="O33" s="207"/>
      <c r="R33" s="208"/>
      <c r="T33" s="148"/>
    </row>
    <row r="34" spans="3:20" ht="25.5" hidden="1" customHeight="1" thickBot="1">
      <c r="C34" s="247" t="s">
        <v>25</v>
      </c>
      <c r="D34" s="890">
        <f>D31*(D32/12)*D33</f>
        <v>105000</v>
      </c>
      <c r="E34" s="891"/>
      <c r="F34" s="892"/>
      <c r="G34" s="890">
        <f t="shared" ref="G34" si="0">G31*(G32/12)*G33</f>
        <v>70000</v>
      </c>
      <c r="H34" s="891"/>
      <c r="I34" s="892"/>
      <c r="J34" s="248">
        <f>J31*(J32/12)*J33</f>
        <v>105000</v>
      </c>
      <c r="K34" s="248">
        <f>K31*(K32/12)*K33</f>
        <v>37500</v>
      </c>
      <c r="L34" s="246"/>
      <c r="M34" s="245"/>
      <c r="N34" s="703"/>
      <c r="O34" s="207"/>
      <c r="R34" s="209"/>
      <c r="T34" s="149"/>
    </row>
    <row r="35" spans="3:20" ht="25.5" customHeight="1" thickBot="1">
      <c r="C35" s="240" t="s">
        <v>26</v>
      </c>
      <c r="D35" s="893">
        <v>0.02</v>
      </c>
      <c r="E35" s="894"/>
      <c r="F35" s="894"/>
      <c r="G35" s="893">
        <v>0.02</v>
      </c>
      <c r="H35" s="894"/>
      <c r="I35" s="895"/>
      <c r="J35" s="239">
        <v>0.02</v>
      </c>
      <c r="K35" s="239">
        <v>0.02</v>
      </c>
      <c r="L35" s="839" t="s">
        <v>27</v>
      </c>
      <c r="M35" s="833"/>
      <c r="N35" s="703"/>
      <c r="O35" s="207"/>
      <c r="R35" s="209"/>
      <c r="T35" s="149"/>
    </row>
    <row r="36" spans="3:20" ht="12" customHeight="1" thickBot="1">
      <c r="C36" s="85"/>
      <c r="D36" s="85"/>
      <c r="E36" s="85"/>
      <c r="F36" s="85"/>
      <c r="G36" s="85"/>
      <c r="H36" s="85"/>
      <c r="I36" s="85"/>
      <c r="J36" s="121"/>
      <c r="K36" s="85"/>
      <c r="L36" s="85"/>
      <c r="M36" s="85"/>
      <c r="P36" s="200"/>
      <c r="R36" s="201"/>
      <c r="T36" s="152"/>
    </row>
    <row r="37" spans="3:20" ht="25.5" customHeight="1" thickBot="1">
      <c r="C37" s="262" t="s">
        <v>28</v>
      </c>
      <c r="D37" s="242"/>
      <c r="E37" s="242"/>
      <c r="F37" s="242"/>
      <c r="G37" s="242"/>
      <c r="H37" s="242"/>
      <c r="I37" s="242"/>
      <c r="J37" s="242"/>
      <c r="K37" s="243"/>
      <c r="L37" s="839" t="s">
        <v>29</v>
      </c>
      <c r="M37" s="833"/>
      <c r="N37" s="703"/>
      <c r="O37" s="207"/>
      <c r="R37" s="209"/>
      <c r="T37" s="149"/>
    </row>
    <row r="38" spans="3:20" ht="24.75" customHeight="1">
      <c r="C38" s="237">
        <v>2026</v>
      </c>
      <c r="D38" s="868">
        <v>0.5</v>
      </c>
      <c r="E38" s="869"/>
      <c r="F38" s="869"/>
      <c r="G38" s="868">
        <v>0.5</v>
      </c>
      <c r="H38" s="869"/>
      <c r="I38" s="869"/>
      <c r="J38" s="241">
        <v>0.5</v>
      </c>
      <c r="K38" s="234">
        <v>0.5</v>
      </c>
      <c r="L38" s="870" t="s">
        <v>30</v>
      </c>
      <c r="M38" s="871"/>
      <c r="N38" s="178"/>
      <c r="O38" s="232"/>
      <c r="R38" s="209"/>
      <c r="T38" s="149"/>
    </row>
    <row r="39" spans="3:20" ht="25.5" customHeight="1">
      <c r="C39" s="165">
        <v>2027</v>
      </c>
      <c r="D39" s="876">
        <v>0.55000000000000004</v>
      </c>
      <c r="E39" s="877"/>
      <c r="F39" s="877"/>
      <c r="G39" s="876">
        <v>0.55000000000000004</v>
      </c>
      <c r="H39" s="877"/>
      <c r="I39" s="877"/>
      <c r="J39" s="163">
        <v>0.55000000000000004</v>
      </c>
      <c r="K39" s="162">
        <v>0.55000000000000004</v>
      </c>
      <c r="L39" s="872"/>
      <c r="M39" s="873"/>
      <c r="N39" s="178"/>
      <c r="O39" s="244"/>
      <c r="R39" s="209"/>
      <c r="T39" s="149"/>
    </row>
    <row r="40" spans="3:20" ht="24" customHeight="1">
      <c r="C40" s="165">
        <v>2028</v>
      </c>
      <c r="D40" s="876">
        <v>0.78</v>
      </c>
      <c r="E40" s="877"/>
      <c r="F40" s="877"/>
      <c r="G40" s="876">
        <v>0.78</v>
      </c>
      <c r="H40" s="877"/>
      <c r="I40" s="877"/>
      <c r="J40" s="163">
        <v>0.78</v>
      </c>
      <c r="K40" s="162">
        <v>0.78</v>
      </c>
      <c r="L40" s="872"/>
      <c r="M40" s="873"/>
      <c r="N40" s="178"/>
      <c r="O40" s="210"/>
      <c r="R40" s="209"/>
      <c r="T40" s="149"/>
    </row>
    <row r="41" spans="3:20" ht="24" customHeight="1">
      <c r="C41" s="165">
        <v>2029</v>
      </c>
      <c r="D41" s="876">
        <v>0.85</v>
      </c>
      <c r="E41" s="877"/>
      <c r="F41" s="877"/>
      <c r="G41" s="876">
        <v>0.85</v>
      </c>
      <c r="H41" s="877"/>
      <c r="I41" s="877"/>
      <c r="J41" s="163">
        <v>0.85</v>
      </c>
      <c r="K41" s="162">
        <v>0.85</v>
      </c>
      <c r="L41" s="872"/>
      <c r="M41" s="873"/>
      <c r="N41" s="178"/>
      <c r="O41" s="210"/>
      <c r="R41" s="209"/>
      <c r="T41" s="149"/>
    </row>
    <row r="42" spans="3:20" ht="24" customHeight="1" thickBot="1">
      <c r="C42" s="166">
        <v>2030</v>
      </c>
      <c r="D42" s="878">
        <v>0.9</v>
      </c>
      <c r="E42" s="879"/>
      <c r="F42" s="879"/>
      <c r="G42" s="878">
        <v>0.9</v>
      </c>
      <c r="H42" s="879"/>
      <c r="I42" s="879"/>
      <c r="J42" s="164">
        <v>0.9</v>
      </c>
      <c r="K42" s="167">
        <v>0.9</v>
      </c>
      <c r="L42" s="874"/>
      <c r="M42" s="875"/>
      <c r="N42" s="178"/>
      <c r="O42" s="210"/>
      <c r="R42" s="209"/>
      <c r="T42" s="149"/>
    </row>
    <row r="43" spans="3:20" ht="12" customHeight="1">
      <c r="C43" s="85"/>
      <c r="D43" s="85"/>
      <c r="E43" s="85"/>
      <c r="F43" s="85"/>
      <c r="G43" s="85"/>
      <c r="H43" s="85"/>
      <c r="I43" s="85"/>
      <c r="J43" s="121"/>
      <c r="K43" s="85"/>
      <c r="L43" s="85"/>
      <c r="M43" s="85"/>
      <c r="P43" s="200"/>
      <c r="R43" s="201"/>
      <c r="T43" s="152"/>
    </row>
    <row r="44" spans="3:20" ht="25.5" customHeight="1">
      <c r="C44" s="880" t="s">
        <v>31</v>
      </c>
      <c r="D44" s="881"/>
      <c r="E44" s="881"/>
      <c r="F44" s="881"/>
      <c r="G44" s="881"/>
      <c r="H44" s="881"/>
      <c r="I44" s="881"/>
      <c r="J44" s="881"/>
      <c r="K44" s="881"/>
      <c r="L44" s="881"/>
      <c r="M44" s="882"/>
      <c r="N44" s="693"/>
      <c r="O44" s="204"/>
      <c r="P44" s="200"/>
      <c r="R44" s="201"/>
      <c r="T44" s="152"/>
    </row>
    <row r="45" spans="3:20" ht="12" customHeight="1">
      <c r="C45" s="85"/>
      <c r="D45" s="85"/>
      <c r="E45" s="85"/>
      <c r="F45" s="85"/>
      <c r="G45" s="85"/>
      <c r="H45" s="85"/>
      <c r="I45" s="85"/>
      <c r="J45" s="121"/>
      <c r="K45" s="85"/>
      <c r="L45" s="85"/>
      <c r="M45" s="85"/>
      <c r="P45" s="200"/>
      <c r="R45" s="201"/>
      <c r="T45" s="152"/>
    </row>
    <row r="46" spans="3:20" ht="32.25" customHeight="1">
      <c r="C46" s="184" t="s">
        <v>32</v>
      </c>
      <c r="D46" s="168" t="s">
        <v>8</v>
      </c>
      <c r="E46" s="883" t="s">
        <v>33</v>
      </c>
      <c r="F46" s="884"/>
      <c r="G46" s="884"/>
      <c r="H46" s="884"/>
      <c r="I46" s="884"/>
      <c r="J46" s="884"/>
      <c r="K46" s="884"/>
      <c r="L46" s="884"/>
      <c r="M46" s="885"/>
      <c r="N46" s="225"/>
      <c r="O46" s="211"/>
      <c r="P46" s="200"/>
      <c r="R46" s="201"/>
      <c r="T46" s="152"/>
    </row>
    <row r="47" spans="3:20" ht="12" customHeight="1">
      <c r="C47" s="85"/>
      <c r="D47" s="85"/>
      <c r="E47" s="85"/>
      <c r="F47" s="85"/>
      <c r="G47" s="85"/>
      <c r="H47" s="85"/>
      <c r="I47" s="85"/>
      <c r="J47" s="121"/>
      <c r="K47" s="85"/>
      <c r="L47" s="85"/>
      <c r="M47" s="85"/>
      <c r="P47" s="200"/>
      <c r="R47" s="201"/>
      <c r="T47" s="152"/>
    </row>
    <row r="48" spans="3:20" ht="57" customHeight="1">
      <c r="C48" s="170" t="s">
        <v>34</v>
      </c>
      <c r="D48" s="169" t="s">
        <v>35</v>
      </c>
      <c r="E48" s="886" t="s">
        <v>36</v>
      </c>
      <c r="F48" s="887"/>
      <c r="G48" s="887"/>
      <c r="H48" s="887"/>
      <c r="I48" s="887"/>
      <c r="J48" s="887"/>
      <c r="K48" s="887"/>
      <c r="L48" s="887"/>
      <c r="M48" s="888"/>
      <c r="N48" s="692"/>
      <c r="O48" s="212"/>
      <c r="P48" s="200"/>
      <c r="R48" s="201"/>
      <c r="T48" s="152"/>
    </row>
    <row r="49" spans="1:35" ht="25.5" customHeight="1">
      <c r="C49" s="180" t="s">
        <v>37</v>
      </c>
      <c r="D49" s="696"/>
      <c r="E49" s="701"/>
      <c r="F49" s="701"/>
      <c r="G49" s="701"/>
      <c r="H49" s="701"/>
      <c r="I49" s="701"/>
      <c r="J49" s="701"/>
      <c r="K49" s="701"/>
      <c r="L49" s="701"/>
      <c r="M49" s="701"/>
      <c r="P49" s="200"/>
      <c r="R49" s="201"/>
      <c r="T49" s="152"/>
    </row>
    <row r="50" spans="1:35" ht="25.5" customHeight="1">
      <c r="C50" s="171">
        <f>D27</f>
        <v>2026</v>
      </c>
      <c r="D50" s="189">
        <v>0.2</v>
      </c>
      <c r="E50" s="859" t="s">
        <v>38</v>
      </c>
      <c r="F50" s="860"/>
      <c r="G50" s="860"/>
      <c r="H50" s="860"/>
      <c r="I50" s="860"/>
      <c r="J50" s="860"/>
      <c r="K50" s="860"/>
      <c r="L50" s="860"/>
      <c r="M50" s="861"/>
      <c r="N50" s="692"/>
      <c r="O50" s="212"/>
      <c r="P50" s="200"/>
      <c r="R50" s="201"/>
      <c r="T50" s="152"/>
    </row>
    <row r="51" spans="1:35" ht="25.5" customHeight="1">
      <c r="C51" s="150">
        <f>$D$27+1</f>
        <v>2027</v>
      </c>
      <c r="D51" s="189">
        <v>0.25</v>
      </c>
      <c r="E51" s="862"/>
      <c r="F51" s="863"/>
      <c r="G51" s="863"/>
      <c r="H51" s="863"/>
      <c r="I51" s="863"/>
      <c r="J51" s="863"/>
      <c r="K51" s="863"/>
      <c r="L51" s="863"/>
      <c r="M51" s="864"/>
      <c r="N51" s="692"/>
      <c r="O51" s="212"/>
      <c r="P51" s="200"/>
      <c r="R51" s="201"/>
      <c r="T51" s="152"/>
    </row>
    <row r="52" spans="1:35" ht="25.5" customHeight="1">
      <c r="C52" s="150">
        <f>$D$27+2</f>
        <v>2028</v>
      </c>
      <c r="D52" s="189">
        <v>0.3</v>
      </c>
      <c r="E52" s="862"/>
      <c r="F52" s="863"/>
      <c r="G52" s="863"/>
      <c r="H52" s="863"/>
      <c r="I52" s="863"/>
      <c r="J52" s="863"/>
      <c r="K52" s="863"/>
      <c r="L52" s="863"/>
      <c r="M52" s="864"/>
      <c r="N52" s="692"/>
      <c r="O52" s="212"/>
      <c r="P52" s="200"/>
      <c r="R52" s="201"/>
      <c r="T52" s="152"/>
    </row>
    <row r="53" spans="1:35" ht="25.5" customHeight="1">
      <c r="C53" s="150">
        <f>$D$27+3</f>
        <v>2029</v>
      </c>
      <c r="D53" s="189">
        <v>0.35</v>
      </c>
      <c r="E53" s="862"/>
      <c r="F53" s="863"/>
      <c r="G53" s="863"/>
      <c r="H53" s="863"/>
      <c r="I53" s="863"/>
      <c r="J53" s="863"/>
      <c r="K53" s="863"/>
      <c r="L53" s="863"/>
      <c r="M53" s="864"/>
      <c r="N53" s="692"/>
      <c r="O53" s="212"/>
      <c r="P53" s="200"/>
      <c r="R53" s="201"/>
      <c r="T53" s="152"/>
    </row>
    <row r="54" spans="1:35" ht="25.5" customHeight="1">
      <c r="C54" s="150">
        <f>$D$27+4</f>
        <v>2030</v>
      </c>
      <c r="D54" s="189">
        <v>0.45</v>
      </c>
      <c r="E54" s="865"/>
      <c r="F54" s="866"/>
      <c r="G54" s="866"/>
      <c r="H54" s="866"/>
      <c r="I54" s="866"/>
      <c r="J54" s="866"/>
      <c r="K54" s="866"/>
      <c r="L54" s="866"/>
      <c r="M54" s="867"/>
      <c r="N54" s="692"/>
      <c r="O54" s="212"/>
      <c r="P54" s="200"/>
      <c r="R54" s="201"/>
      <c r="T54" s="152"/>
    </row>
    <row r="55" spans="1:35" ht="46.5" customHeight="1">
      <c r="C55" s="846" t="s">
        <v>39</v>
      </c>
      <c r="D55" s="846"/>
      <c r="E55" s="847"/>
      <c r="F55" s="847"/>
      <c r="G55" s="847"/>
      <c r="H55" s="847"/>
      <c r="I55" s="847"/>
      <c r="J55" s="847"/>
      <c r="K55" s="847"/>
      <c r="L55" s="85"/>
      <c r="M55" s="85"/>
      <c r="O55" s="231"/>
      <c r="P55" s="200"/>
      <c r="R55" s="201"/>
      <c r="T55" s="152"/>
    </row>
    <row r="56" spans="1:35" ht="12" customHeight="1">
      <c r="C56" s="85"/>
      <c r="D56" s="85"/>
      <c r="E56" s="85"/>
      <c r="F56" s="85"/>
      <c r="G56" s="85"/>
      <c r="H56" s="85"/>
      <c r="I56" s="85"/>
      <c r="J56" s="121"/>
      <c r="K56" s="85"/>
      <c r="L56" s="85"/>
      <c r="M56" s="85"/>
      <c r="P56" s="200"/>
      <c r="R56" s="201"/>
      <c r="T56" s="152"/>
    </row>
    <row r="57" spans="1:35" ht="25.5" customHeight="1">
      <c r="C57" s="190" t="s">
        <v>40</v>
      </c>
      <c r="D57" s="159"/>
      <c r="E57" s="159"/>
      <c r="F57" s="159"/>
      <c r="G57" s="159"/>
      <c r="H57" s="159"/>
      <c r="I57" s="159"/>
      <c r="J57" s="159"/>
      <c r="K57" s="159"/>
      <c r="L57" s="159"/>
      <c r="M57" s="160"/>
      <c r="N57" s="147"/>
      <c r="O57" s="213"/>
      <c r="P57" s="213"/>
      <c r="Q57" s="213"/>
      <c r="R57" s="213"/>
      <c r="S57" s="146"/>
      <c r="T57" s="146"/>
      <c r="U57" s="146"/>
      <c r="V57" s="146"/>
      <c r="W57" s="146"/>
      <c r="Y57" s="848"/>
      <c r="Z57" s="848"/>
      <c r="AA57" s="848"/>
      <c r="AB57" s="848"/>
      <c r="AC57" s="848"/>
      <c r="AD57" s="848"/>
      <c r="AE57" s="848"/>
      <c r="AF57" s="848"/>
      <c r="AG57" s="848"/>
      <c r="AH57" s="848"/>
      <c r="AI57" s="848"/>
    </row>
    <row r="58" spans="1:35">
      <c r="C58" s="106" t="s">
        <v>41</v>
      </c>
      <c r="D58" s="85"/>
      <c r="E58" s="85"/>
      <c r="F58" s="85"/>
      <c r="G58" s="107" t="s">
        <v>42</v>
      </c>
      <c r="H58" s="107"/>
      <c r="I58" s="107"/>
      <c r="J58" s="85"/>
      <c r="K58" s="85"/>
      <c r="L58" s="85"/>
      <c r="M58" s="85"/>
      <c r="N58" s="161" t="s">
        <v>43</v>
      </c>
    </row>
    <row r="59" spans="1:35">
      <c r="C59" s="106"/>
      <c r="D59" s="85"/>
      <c r="E59" s="85"/>
      <c r="F59" s="85"/>
      <c r="G59" s="85"/>
      <c r="H59" s="85"/>
      <c r="I59" s="85"/>
      <c r="J59" s="85"/>
      <c r="K59" s="85"/>
      <c r="L59" s="85"/>
      <c r="M59" s="85"/>
    </row>
    <row r="60" spans="1:35" ht="25.5" customHeight="1">
      <c r="C60" s="185" t="s">
        <v>44</v>
      </c>
      <c r="D60" s="186"/>
      <c r="E60" s="186"/>
      <c r="F60" s="186"/>
      <c r="G60" s="186"/>
      <c r="H60" s="186"/>
      <c r="I60" s="186"/>
      <c r="J60" s="186"/>
      <c r="K60" s="186"/>
      <c r="L60" s="186"/>
      <c r="M60" s="187"/>
      <c r="N60" s="191"/>
      <c r="O60" s="176"/>
      <c r="P60" s="176"/>
      <c r="Q60" s="176"/>
      <c r="R60" s="182"/>
      <c r="S60" s="694"/>
      <c r="T60" s="694"/>
      <c r="U60" s="694"/>
      <c r="V60" s="694"/>
      <c r="W60" s="694"/>
      <c r="Y60" s="836"/>
      <c r="Z60" s="836"/>
      <c r="AA60" s="836"/>
      <c r="AB60" s="836"/>
      <c r="AC60" s="836"/>
      <c r="AD60" s="836"/>
      <c r="AE60" s="836"/>
      <c r="AF60" s="836"/>
      <c r="AG60" s="836"/>
      <c r="AH60" s="836"/>
      <c r="AI60" s="836"/>
    </row>
    <row r="61" spans="1:35" ht="7.5" customHeight="1">
      <c r="C61" s="106"/>
      <c r="D61" s="85"/>
      <c r="E61" s="85"/>
      <c r="F61" s="85"/>
      <c r="G61" s="85"/>
      <c r="H61" s="85"/>
      <c r="I61" s="85"/>
      <c r="J61" s="85"/>
      <c r="K61" s="85"/>
      <c r="L61" s="85"/>
      <c r="M61" s="85"/>
    </row>
    <row r="62" spans="1:35" s="113" customFormat="1" ht="75.75" customHeight="1">
      <c r="A62" s="85"/>
      <c r="B62" s="85"/>
      <c r="C62" s="174" t="s">
        <v>45</v>
      </c>
      <c r="D62" s="849" t="s">
        <v>46</v>
      </c>
      <c r="E62" s="850"/>
      <c r="F62" s="850"/>
      <c r="G62" s="849" t="s">
        <v>47</v>
      </c>
      <c r="H62" s="850"/>
      <c r="I62" s="851"/>
      <c r="J62" s="852" t="s">
        <v>48</v>
      </c>
      <c r="K62" s="852"/>
      <c r="L62" s="853" t="s">
        <v>16</v>
      </c>
      <c r="M62" s="854"/>
      <c r="N62" s="86"/>
      <c r="R62" s="175"/>
      <c r="S62" s="182"/>
      <c r="T62" s="175"/>
      <c r="U62" s="182"/>
      <c r="W62" s="182"/>
      <c r="X62" s="175"/>
      <c r="Y62" s="175"/>
      <c r="Z62" s="182"/>
      <c r="AA62" s="182"/>
      <c r="AC62" s="176"/>
    </row>
    <row r="63" spans="1:35" s="113" customFormat="1" ht="56.25" hidden="1" customHeight="1">
      <c r="A63" s="85"/>
      <c r="B63" s="85"/>
      <c r="C63" s="174"/>
      <c r="D63" s="695" t="s">
        <v>49</v>
      </c>
      <c r="E63" s="695" t="s">
        <v>50</v>
      </c>
      <c r="F63" s="695" t="s">
        <v>51</v>
      </c>
      <c r="G63" s="100"/>
      <c r="H63" s="695"/>
      <c r="I63" s="695"/>
      <c r="J63" s="695"/>
      <c r="K63" s="695"/>
      <c r="L63" s="855"/>
      <c r="M63" s="856"/>
      <c r="N63" s="86"/>
      <c r="R63" s="175"/>
      <c r="S63" s="182"/>
      <c r="T63" s="175"/>
      <c r="U63" s="182"/>
      <c r="W63" s="182"/>
      <c r="X63" s="175"/>
      <c r="Y63" s="175"/>
      <c r="Z63" s="182"/>
      <c r="AA63" s="182"/>
      <c r="AC63" s="176"/>
    </row>
    <row r="64" spans="1:35" ht="36.75" customHeight="1">
      <c r="C64" s="180" t="s">
        <v>52</v>
      </c>
      <c r="D64" s="169" t="s">
        <v>53</v>
      </c>
      <c r="E64" s="169" t="s">
        <v>54</v>
      </c>
      <c r="F64" s="169" t="s">
        <v>55</v>
      </c>
      <c r="G64" s="169" t="s">
        <v>56</v>
      </c>
      <c r="H64" s="169" t="s">
        <v>57</v>
      </c>
      <c r="I64" s="169" t="s">
        <v>58</v>
      </c>
      <c r="J64" s="169" t="s">
        <v>53</v>
      </c>
      <c r="K64" s="169" t="s">
        <v>56</v>
      </c>
      <c r="L64" s="857"/>
      <c r="M64" s="858"/>
      <c r="R64" s="214"/>
      <c r="S64" s="136"/>
      <c r="T64" s="137"/>
      <c r="U64" s="137"/>
      <c r="W64" s="694"/>
      <c r="X64" s="701"/>
      <c r="Z64" s="701"/>
      <c r="AB64" s="701"/>
    </row>
    <row r="65" spans="1:351" ht="48.75" customHeight="1">
      <c r="C65" s="88"/>
      <c r="D65" s="120" t="str">
        <f>IF(D64=Data!$A$13, "! This product is not available for Gavi countries !"," ")</f>
        <v xml:space="preserve"> </v>
      </c>
      <c r="E65" s="120" t="str">
        <f>IF(E64=Data!$A$13, "! This product is not available for Gavi countries !"," ")</f>
        <v>! This product is not available for Gavi countries !</v>
      </c>
      <c r="F65" s="120" t="str">
        <f>IF(F64=Data!$A$13, "! This product is not available for Gavi countries !"," ")</f>
        <v xml:space="preserve"> </v>
      </c>
      <c r="G65" s="120" t="str">
        <f>IF(G64=Data!$A$13, "! This product is not available for Gavi countries !"," ")</f>
        <v xml:space="preserve"> </v>
      </c>
      <c r="H65" s="120" t="str">
        <f>IF(H64=Data!$A$13, "! This product is not available for Gavi countries !"," ")</f>
        <v xml:space="preserve"> </v>
      </c>
      <c r="I65" s="120" t="str">
        <f>IF(I64=Data!$A$13, "! This product is not available for Gavi countries !"," ")</f>
        <v xml:space="preserve"> </v>
      </c>
      <c r="J65" s="120"/>
      <c r="K65" s="120"/>
      <c r="L65" s="85"/>
      <c r="M65" s="85"/>
      <c r="N65" s="161"/>
      <c r="R65" s="177"/>
      <c r="S65" s="130"/>
      <c r="T65" s="138"/>
      <c r="U65" s="136"/>
      <c r="X65" s="701"/>
      <c r="Z65" s="701"/>
      <c r="AB65" s="701"/>
    </row>
    <row r="66" spans="1:351" ht="20.25" customHeight="1">
      <c r="C66" s="699" t="s">
        <v>59</v>
      </c>
      <c r="D66" s="269">
        <v>3</v>
      </c>
      <c r="E66" s="97" t="s">
        <v>60</v>
      </c>
      <c r="F66" s="270"/>
      <c r="G66" s="268">
        <v>3</v>
      </c>
      <c r="H66" s="97"/>
      <c r="I66" s="270"/>
      <c r="J66" s="97">
        <v>3</v>
      </c>
      <c r="K66" s="270">
        <v>3</v>
      </c>
      <c r="L66" s="839"/>
      <c r="M66" s="833"/>
      <c r="N66" s="161" t="s">
        <v>61</v>
      </c>
      <c r="R66" s="215"/>
      <c r="S66" s="131"/>
      <c r="T66" s="130"/>
      <c r="U66" s="130"/>
      <c r="W66" s="703"/>
      <c r="X66" s="701"/>
      <c r="Z66" s="701"/>
      <c r="AB66" s="701"/>
    </row>
    <row r="67" spans="1:351" ht="20.25" customHeight="1">
      <c r="C67" s="275" t="s">
        <v>62</v>
      </c>
      <c r="D67" s="272">
        <f>IFERROR(INDEX(Data!$A$2:$E$9,MATCH(D64,Data!$A$2:$A$9,0),2),"-")</f>
        <v>3.5</v>
      </c>
      <c r="E67" s="276">
        <f>IFERROR(INDEX(Data!$A$2:$E$9,MATCH(E64,Data!$A$2:$A$9,0),2),"-")</f>
        <v>3</v>
      </c>
      <c r="F67" s="273">
        <f>IFERROR(INDEX(Data!$A$2:$E$9,MATCH(F64,Data!$A$2:$A$9,0),2),"-")</f>
        <v>3</v>
      </c>
      <c r="G67" s="271">
        <f>IFERROR(INDEX(Data!$A$2:$E$9,MATCH(G64,Data!$A$2:$A$9,0),2),"-")</f>
        <v>20</v>
      </c>
      <c r="H67" s="276" t="str">
        <f>IFERROR(INDEX(Data!$A$2:$E$9,MATCH(H64,Data!$A$2:$A$9,0),2),"-")</f>
        <v>-</v>
      </c>
      <c r="I67" s="273">
        <f>IFERROR(INDEX(Data!$A$2:$E$9,MATCH(I64,Data!$A$2:$A$9,0),2),"-")</f>
        <v>50</v>
      </c>
      <c r="J67" s="276">
        <f>IFERROR(INDEX(Data!$A$2:$E$9,MATCH(J64,Data!$A$2:$A$9,0),2),"-")</f>
        <v>3.5</v>
      </c>
      <c r="K67" s="273">
        <f>IFERROR(INDEX(Data!$A$2:$E$9,MATCH(K64,Data!$A$2:$A$9,0),2),"-")</f>
        <v>20</v>
      </c>
      <c r="L67" s="839"/>
      <c r="M67" s="833"/>
      <c r="N67" s="161"/>
      <c r="R67" s="215"/>
      <c r="S67" s="131"/>
      <c r="T67" s="130"/>
      <c r="U67" s="130"/>
      <c r="W67" s="703"/>
      <c r="X67" s="701"/>
      <c r="Z67" s="701"/>
      <c r="AB67" s="701"/>
    </row>
    <row r="68" spans="1:351" ht="15.75" customHeight="1" outlineLevel="1">
      <c r="C68" s="274" t="s">
        <v>63</v>
      </c>
      <c r="D68" s="267"/>
      <c r="E68" s="267"/>
      <c r="F68" s="267"/>
      <c r="G68" s="267"/>
      <c r="H68" s="267"/>
      <c r="I68" s="267"/>
      <c r="J68" s="267"/>
      <c r="K68" s="267"/>
      <c r="L68" s="840"/>
      <c r="M68" s="841"/>
      <c r="N68" s="263" t="s">
        <v>64</v>
      </c>
      <c r="R68" s="215"/>
      <c r="S68" s="132"/>
      <c r="T68" s="130"/>
      <c r="U68" s="131"/>
      <c r="W68" s="103"/>
      <c r="X68" s="103"/>
      <c r="Z68" s="103"/>
      <c r="AB68" s="103"/>
    </row>
    <row r="69" spans="1:351" ht="15.5" outlineLevel="1">
      <c r="C69" s="192">
        <f>$D$27</f>
        <v>2026</v>
      </c>
      <c r="D69" s="193">
        <f t="shared" ref="D69:K73" si="1">IFERROR(IF($D$46="No",D$66,IF($D$48="Other transition phase",$D50*D$66,IF(AND(D$74 =3,$D$48 = "Initial self-financing phase"),0.13,0.2))),"-")</f>
        <v>0.60000000000000009</v>
      </c>
      <c r="E69" s="193" t="str">
        <f t="shared" si="1"/>
        <v>-</v>
      </c>
      <c r="F69" s="193">
        <f t="shared" si="1"/>
        <v>0</v>
      </c>
      <c r="G69" s="193">
        <f t="shared" si="1"/>
        <v>0.60000000000000009</v>
      </c>
      <c r="H69" s="193">
        <f t="shared" si="1"/>
        <v>0</v>
      </c>
      <c r="I69" s="193">
        <f t="shared" si="1"/>
        <v>0</v>
      </c>
      <c r="J69" s="193">
        <f t="shared" si="1"/>
        <v>0.60000000000000009</v>
      </c>
      <c r="K69" s="193">
        <f t="shared" si="1"/>
        <v>0.60000000000000009</v>
      </c>
      <c r="L69" s="828"/>
      <c r="M69" s="829"/>
      <c r="R69" s="216"/>
      <c r="S69" s="132"/>
      <c r="T69" s="132"/>
      <c r="U69" s="132"/>
      <c r="W69" s="703"/>
      <c r="X69" s="104"/>
      <c r="Z69" s="104"/>
      <c r="AB69" s="104"/>
    </row>
    <row r="70" spans="1:351" ht="15.5" outlineLevel="1">
      <c r="C70" s="87">
        <f>$D$27+1</f>
        <v>2027</v>
      </c>
      <c r="D70" s="122">
        <f t="shared" si="1"/>
        <v>0.75</v>
      </c>
      <c r="E70" s="122" t="str">
        <f t="shared" si="1"/>
        <v>-</v>
      </c>
      <c r="F70" s="122">
        <f t="shared" si="1"/>
        <v>0</v>
      </c>
      <c r="G70" s="122">
        <f t="shared" si="1"/>
        <v>0.75</v>
      </c>
      <c r="H70" s="122">
        <f t="shared" si="1"/>
        <v>0</v>
      </c>
      <c r="I70" s="122">
        <f t="shared" si="1"/>
        <v>0</v>
      </c>
      <c r="J70" s="122">
        <f t="shared" si="1"/>
        <v>0.75</v>
      </c>
      <c r="K70" s="122">
        <f t="shared" si="1"/>
        <v>0.75</v>
      </c>
      <c r="L70" s="842"/>
      <c r="M70" s="843"/>
      <c r="R70" s="216"/>
      <c r="S70" s="132"/>
      <c r="T70" s="132"/>
      <c r="U70" s="132"/>
      <c r="W70" s="703"/>
      <c r="X70" s="104"/>
      <c r="Z70" s="104"/>
      <c r="AB70" s="104"/>
    </row>
    <row r="71" spans="1:351" ht="15.5" outlineLevel="1">
      <c r="C71" s="87">
        <f>$D$27+2</f>
        <v>2028</v>
      </c>
      <c r="D71" s="122">
        <f t="shared" si="1"/>
        <v>0.89999999999999991</v>
      </c>
      <c r="E71" s="122" t="str">
        <f t="shared" si="1"/>
        <v>-</v>
      </c>
      <c r="F71" s="122">
        <f t="shared" si="1"/>
        <v>0</v>
      </c>
      <c r="G71" s="122">
        <f t="shared" si="1"/>
        <v>0.89999999999999991</v>
      </c>
      <c r="H71" s="122">
        <f t="shared" si="1"/>
        <v>0</v>
      </c>
      <c r="I71" s="122">
        <f t="shared" si="1"/>
        <v>0</v>
      </c>
      <c r="J71" s="122">
        <f t="shared" si="1"/>
        <v>0.89999999999999991</v>
      </c>
      <c r="K71" s="122">
        <f t="shared" si="1"/>
        <v>0.89999999999999991</v>
      </c>
      <c r="L71" s="842"/>
      <c r="M71" s="843"/>
      <c r="R71" s="216"/>
      <c r="S71" s="132"/>
      <c r="T71" s="132"/>
      <c r="U71" s="132"/>
      <c r="W71" s="703"/>
      <c r="X71" s="104"/>
      <c r="Z71" s="104"/>
      <c r="AB71" s="104"/>
    </row>
    <row r="72" spans="1:351" ht="15.5" outlineLevel="1">
      <c r="C72" s="87">
        <f>$D$27+3</f>
        <v>2029</v>
      </c>
      <c r="D72" s="122">
        <f t="shared" si="1"/>
        <v>1.0499999999999998</v>
      </c>
      <c r="E72" s="122" t="str">
        <f t="shared" si="1"/>
        <v>-</v>
      </c>
      <c r="F72" s="122">
        <f t="shared" si="1"/>
        <v>0</v>
      </c>
      <c r="G72" s="122">
        <f t="shared" si="1"/>
        <v>1.0499999999999998</v>
      </c>
      <c r="H72" s="122">
        <f t="shared" si="1"/>
        <v>0</v>
      </c>
      <c r="I72" s="122">
        <f t="shared" si="1"/>
        <v>0</v>
      </c>
      <c r="J72" s="122">
        <f t="shared" si="1"/>
        <v>1.0499999999999998</v>
      </c>
      <c r="K72" s="122">
        <f t="shared" si="1"/>
        <v>1.0499999999999998</v>
      </c>
      <c r="L72" s="842"/>
      <c r="M72" s="843"/>
      <c r="R72" s="216"/>
      <c r="S72" s="132"/>
      <c r="T72" s="132"/>
      <c r="U72" s="132"/>
      <c r="W72" s="703"/>
      <c r="X72" s="104"/>
      <c r="Z72" s="104"/>
      <c r="AB72" s="104"/>
    </row>
    <row r="73" spans="1:351" ht="15.5" outlineLevel="1">
      <c r="C73" s="87">
        <f>$D$27+4</f>
        <v>2030</v>
      </c>
      <c r="D73" s="122">
        <f t="shared" si="1"/>
        <v>1.35</v>
      </c>
      <c r="E73" s="122" t="str">
        <f t="shared" si="1"/>
        <v>-</v>
      </c>
      <c r="F73" s="122">
        <f t="shared" si="1"/>
        <v>0</v>
      </c>
      <c r="G73" s="122">
        <f t="shared" si="1"/>
        <v>1.35</v>
      </c>
      <c r="H73" s="122">
        <f t="shared" si="1"/>
        <v>0</v>
      </c>
      <c r="I73" s="122">
        <f t="shared" si="1"/>
        <v>0</v>
      </c>
      <c r="J73" s="122">
        <f t="shared" si="1"/>
        <v>1.35</v>
      </c>
      <c r="K73" s="122">
        <f t="shared" si="1"/>
        <v>1.35</v>
      </c>
      <c r="L73" s="842"/>
      <c r="M73" s="843"/>
      <c r="R73" s="216"/>
      <c r="S73" s="133"/>
      <c r="T73" s="132"/>
      <c r="U73" s="132"/>
      <c r="W73" s="703"/>
      <c r="X73" s="104"/>
      <c r="Z73" s="104"/>
      <c r="AB73" s="104"/>
    </row>
    <row r="74" spans="1:351" ht="15.5">
      <c r="C74" s="100" t="s">
        <v>65</v>
      </c>
      <c r="D74" s="183">
        <v>1</v>
      </c>
      <c r="E74" s="183">
        <v>1</v>
      </c>
      <c r="F74" s="183">
        <v>1</v>
      </c>
      <c r="G74" s="183">
        <v>1</v>
      </c>
      <c r="H74" s="183">
        <v>1</v>
      </c>
      <c r="I74" s="183">
        <v>1</v>
      </c>
      <c r="J74" s="183">
        <v>1</v>
      </c>
      <c r="K74" s="195">
        <v>1</v>
      </c>
      <c r="L74" s="698"/>
      <c r="M74" s="196"/>
      <c r="R74" s="217"/>
      <c r="S74" s="134"/>
      <c r="T74" s="133"/>
      <c r="U74" s="133"/>
      <c r="W74" s="703"/>
      <c r="X74" s="701"/>
      <c r="Z74" s="701"/>
      <c r="AB74" s="701"/>
    </row>
    <row r="75" spans="1:351" ht="34.5" customHeight="1">
      <c r="C75" s="100" t="s">
        <v>66</v>
      </c>
      <c r="D75" s="123">
        <f>IFERROR(INDEX(Data!$A$2:$E$9,MATCH(D64,Data!$A$2:$A$9,0),5),"-")</f>
        <v>6.06</v>
      </c>
      <c r="E75" s="98">
        <f>IFERROR(INDEX(Data!$A$2:$E$9,MATCH(E64,Data!$A$2:$A$9,0),5),"-")</f>
        <v>17.12</v>
      </c>
      <c r="F75" s="98">
        <f>IFERROR(INDEX(Data!$A$2:$E$9,MATCH(F64,Data!$A$2:$A$9,0),5),"-")</f>
        <v>17.12</v>
      </c>
      <c r="G75" s="98">
        <f>IFERROR(INDEX(Data!$A$2:$E$9,MATCH(G64,Data!$A$2:$A$9,0),5),"-")</f>
        <v>17.12</v>
      </c>
      <c r="H75" s="98" t="str">
        <f>IFERROR(INDEX(Data!$A$2:$E$9,MATCH(H64,Data!$A$2:$A$9,0),5),"-")</f>
        <v>-</v>
      </c>
      <c r="I75" s="98">
        <f>IFERROR(INDEX(Data!$A$2:$E$9,MATCH(I64,Data!$A$2:$A$9,0),5),"-")</f>
        <v>17.12</v>
      </c>
      <c r="J75" s="98">
        <f>IFERROR(INDEX(Data!$A$2:$E$9,MATCH(J64,Data!$A$2:$A$9,0),5),"-")</f>
        <v>6.06</v>
      </c>
      <c r="K75" s="123">
        <f>IFERROR(INDEX(Data!$A$2:$E$9,MATCH(K64,Data!$A$2:$A$9,0),5),"-")</f>
        <v>17.12</v>
      </c>
      <c r="L75" s="698"/>
      <c r="M75" s="196"/>
      <c r="R75" s="218"/>
      <c r="S75" s="118"/>
      <c r="T75" s="134"/>
      <c r="U75" s="134"/>
      <c r="W75" s="703"/>
      <c r="X75" s="701"/>
      <c r="Z75" s="701"/>
      <c r="AB75" s="701"/>
    </row>
    <row r="76" spans="1:351" ht="28.5" customHeight="1">
      <c r="C76" s="844" t="s">
        <v>67</v>
      </c>
      <c r="D76" s="124">
        <v>0.1</v>
      </c>
      <c r="E76" s="99">
        <v>0.1</v>
      </c>
      <c r="F76" s="99">
        <v>0.1</v>
      </c>
      <c r="G76" s="99">
        <v>0.1</v>
      </c>
      <c r="H76" s="99">
        <v>0.1</v>
      </c>
      <c r="I76" s="124">
        <v>0.1</v>
      </c>
      <c r="J76" s="124">
        <v>0.1</v>
      </c>
      <c r="K76" s="124">
        <v>0.1</v>
      </c>
      <c r="L76" s="832"/>
      <c r="M76" s="833"/>
      <c r="N76" s="161" t="s">
        <v>68</v>
      </c>
      <c r="R76" s="219"/>
      <c r="S76" s="139"/>
      <c r="T76" s="116"/>
      <c r="U76" s="118"/>
      <c r="W76" s="119"/>
      <c r="X76" s="838"/>
      <c r="Z76" s="838"/>
      <c r="AB76" s="838"/>
    </row>
    <row r="77" spans="1:351" s="112" customFormat="1" ht="20.25" customHeight="1">
      <c r="A77" s="85"/>
      <c r="B77" s="85"/>
      <c r="C77" s="845"/>
      <c r="D77" s="172">
        <f>IFERROR(INDEX(Data!$A$2:$E$9,MATCH(D64,Data!$A$2:$A$9,0),4),"-")</f>
        <v>0.1</v>
      </c>
      <c r="E77" s="173">
        <f>IFERROR(INDEX(Data!$A$2:$E$9,MATCH(E64,Data!$A$2:$A$9,0),4),"-")</f>
        <v>0.1</v>
      </c>
      <c r="F77" s="173">
        <f>IFERROR(INDEX(Data!$A$2:$E$9,MATCH(F64,Data!$A$2:$A$9,0),4),"-")</f>
        <v>0.1</v>
      </c>
      <c r="G77" s="173">
        <f>IFERROR(INDEX(Data!$A$2:$E$9,MATCH(G64,Data!$A$2:$A$9,0),4),"-")</f>
        <v>0.1</v>
      </c>
      <c r="H77" s="173" t="str">
        <f>IFERROR(INDEX(Data!$A$2:$E$9,MATCH(H64,Data!$A$2:$A$9,0),4),"-")</f>
        <v>-</v>
      </c>
      <c r="I77" s="172">
        <f>IFERROR(INDEX(Data!$A$2:$E$9,MATCH(I64,Data!$A$2:$A$9,0),4),"-")</f>
        <v>0.1</v>
      </c>
      <c r="J77" s="172">
        <f>IFERROR(INDEX(Data!$A$2:$E$9,MATCH(J64,Data!$A$2:$A$9,0),4),"-")</f>
        <v>0.1</v>
      </c>
      <c r="K77" s="172">
        <f>IFERROR(INDEX(Data!$A$2:$E$9,MATCH(K64,Data!$A$2:$A$9,0),4),"-")</f>
        <v>0.1</v>
      </c>
      <c r="L77" s="197" t="s">
        <v>69</v>
      </c>
      <c r="M77" s="198"/>
      <c r="N77" s="86"/>
      <c r="O77" s="113"/>
      <c r="P77" s="113"/>
      <c r="Q77" s="206"/>
      <c r="R77" s="220"/>
      <c r="S77" s="135"/>
      <c r="T77" s="139"/>
      <c r="U77" s="139"/>
      <c r="V77" s="86"/>
      <c r="W77" s="140"/>
      <c r="X77" s="838"/>
      <c r="Y77" s="86"/>
      <c r="Z77" s="838"/>
      <c r="AA77" s="86"/>
      <c r="AB77" s="838"/>
      <c r="AC77" s="86"/>
      <c r="AD77" s="86"/>
      <c r="AE77" s="86"/>
      <c r="AF77" s="86"/>
      <c r="AG77" s="86"/>
      <c r="AH77" s="86"/>
      <c r="AI77" s="86"/>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c r="ES77" s="113"/>
      <c r="ET77" s="113"/>
      <c r="EU77" s="113"/>
      <c r="EV77" s="113"/>
      <c r="EW77" s="113"/>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c r="IV77" s="113"/>
      <c r="IW77" s="113"/>
      <c r="IX77" s="113"/>
      <c r="IY77" s="113"/>
      <c r="IZ77" s="113"/>
      <c r="JA77" s="113"/>
      <c r="JB77" s="113"/>
      <c r="JC77" s="113"/>
      <c r="JD77" s="113"/>
      <c r="JE77" s="113"/>
      <c r="JF77" s="113"/>
      <c r="JG77" s="113"/>
      <c r="JH77" s="113"/>
      <c r="JI77" s="113"/>
      <c r="JJ77" s="113"/>
      <c r="JK77" s="113"/>
      <c r="JL77" s="113"/>
      <c r="JM77" s="113"/>
      <c r="JN77" s="113"/>
      <c r="JO77" s="113"/>
      <c r="JP77" s="113"/>
      <c r="JQ77" s="113"/>
      <c r="JR77" s="113"/>
      <c r="JS77" s="113"/>
      <c r="JT77" s="113"/>
      <c r="JU77" s="113"/>
      <c r="JV77" s="113"/>
      <c r="JW77" s="113"/>
      <c r="JX77" s="113"/>
      <c r="JY77" s="113"/>
      <c r="JZ77" s="113"/>
      <c r="KA77" s="113"/>
      <c r="KB77" s="113"/>
      <c r="KC77" s="113"/>
      <c r="KD77" s="113"/>
      <c r="KE77" s="113"/>
      <c r="KF77" s="113"/>
      <c r="KG77" s="113"/>
      <c r="KH77" s="113"/>
      <c r="KI77" s="113"/>
      <c r="KJ77" s="113"/>
      <c r="KK77" s="113"/>
      <c r="KL77" s="113"/>
      <c r="KM77" s="113"/>
      <c r="KN77" s="113"/>
      <c r="KO77" s="113"/>
      <c r="KP77" s="113"/>
      <c r="KQ77" s="113"/>
      <c r="KR77" s="113"/>
      <c r="KS77" s="113"/>
      <c r="KT77" s="113"/>
      <c r="KU77" s="113"/>
      <c r="KV77" s="113"/>
      <c r="KW77" s="113"/>
      <c r="KX77" s="113"/>
      <c r="KY77" s="113"/>
      <c r="KZ77" s="113"/>
      <c r="LA77" s="113"/>
      <c r="LB77" s="113"/>
      <c r="LC77" s="113"/>
      <c r="LD77" s="113"/>
      <c r="LE77" s="113"/>
      <c r="LF77" s="113"/>
      <c r="LG77" s="113"/>
      <c r="LH77" s="113"/>
      <c r="LI77" s="113"/>
      <c r="LJ77" s="113"/>
      <c r="LK77" s="113"/>
      <c r="LL77" s="113"/>
      <c r="LM77" s="113"/>
      <c r="LN77" s="113"/>
      <c r="LO77" s="113"/>
      <c r="LP77" s="113"/>
      <c r="LQ77" s="113"/>
      <c r="LR77" s="113"/>
      <c r="LS77" s="113"/>
      <c r="LT77" s="113"/>
      <c r="LU77" s="113"/>
      <c r="LV77" s="113"/>
      <c r="LW77" s="113"/>
      <c r="LX77" s="113"/>
      <c r="LY77" s="113"/>
      <c r="LZ77" s="113"/>
      <c r="MA77" s="113"/>
      <c r="MB77" s="113"/>
      <c r="MC77" s="113"/>
      <c r="MD77" s="113"/>
      <c r="ME77" s="113"/>
      <c r="MF77" s="113"/>
      <c r="MG77" s="113"/>
      <c r="MH77" s="113"/>
      <c r="MI77" s="113"/>
      <c r="MJ77" s="113"/>
      <c r="MK77" s="113"/>
      <c r="ML77" s="113"/>
      <c r="MM77" s="113"/>
    </row>
    <row r="78" spans="1:351" ht="20.25" customHeight="1">
      <c r="C78" s="100" t="s">
        <v>70</v>
      </c>
      <c r="D78" s="125">
        <f t="shared" ref="D78:K78" si="2">(1/(1-D76))</f>
        <v>1.1111111111111112</v>
      </c>
      <c r="E78" s="125">
        <f t="shared" si="2"/>
        <v>1.1111111111111112</v>
      </c>
      <c r="F78" s="111">
        <f t="shared" si="2"/>
        <v>1.1111111111111112</v>
      </c>
      <c r="G78" s="111">
        <f t="shared" si="2"/>
        <v>1.1111111111111112</v>
      </c>
      <c r="H78" s="111">
        <f t="shared" si="2"/>
        <v>1.1111111111111112</v>
      </c>
      <c r="I78" s="125">
        <f t="shared" si="2"/>
        <v>1.1111111111111112</v>
      </c>
      <c r="J78" s="125">
        <f t="shared" si="2"/>
        <v>1.1111111111111112</v>
      </c>
      <c r="K78" s="125">
        <f t="shared" si="2"/>
        <v>1.1111111111111112</v>
      </c>
      <c r="L78" s="828" t="s">
        <v>71</v>
      </c>
      <c r="M78" s="829"/>
      <c r="Q78" s="206"/>
      <c r="R78" s="221"/>
      <c r="S78" s="117"/>
      <c r="T78" s="135"/>
      <c r="U78" s="135"/>
      <c r="W78" s="703"/>
      <c r="X78" s="701"/>
      <c r="Z78" s="701"/>
      <c r="AB78" s="701"/>
    </row>
    <row r="79" spans="1:351" ht="20.25" customHeight="1">
      <c r="C79" s="100" t="s">
        <v>72</v>
      </c>
      <c r="D79" s="124">
        <v>0.25</v>
      </c>
      <c r="E79" s="124">
        <v>0.25</v>
      </c>
      <c r="F79" s="124">
        <v>0.25</v>
      </c>
      <c r="G79" s="124">
        <v>0.25</v>
      </c>
      <c r="H79" s="124">
        <v>0.25</v>
      </c>
      <c r="I79" s="124">
        <v>0.25</v>
      </c>
      <c r="J79" s="124">
        <v>0.25</v>
      </c>
      <c r="K79" s="124">
        <v>0.25</v>
      </c>
      <c r="L79" s="832" t="s">
        <v>73</v>
      </c>
      <c r="M79" s="833"/>
      <c r="Q79" s="206"/>
      <c r="R79" s="221"/>
      <c r="S79" s="117"/>
      <c r="T79" s="135"/>
      <c r="U79" s="135"/>
      <c r="W79" s="703"/>
      <c r="X79" s="701"/>
      <c r="Z79" s="701"/>
      <c r="AB79" s="701"/>
    </row>
    <row r="80" spans="1:351" ht="20.25" customHeight="1">
      <c r="C80" s="100" t="s">
        <v>74</v>
      </c>
      <c r="D80" s="126">
        <v>0.03</v>
      </c>
      <c r="E80" s="126">
        <v>0.03</v>
      </c>
      <c r="F80" s="126">
        <v>0.03</v>
      </c>
      <c r="G80" s="93">
        <v>0.03</v>
      </c>
      <c r="H80" s="126">
        <v>0.03</v>
      </c>
      <c r="I80" s="126">
        <v>0.03</v>
      </c>
      <c r="J80" s="93">
        <v>0.03</v>
      </c>
      <c r="K80" s="93">
        <v>0.03</v>
      </c>
      <c r="L80" s="832" t="s">
        <v>75</v>
      </c>
      <c r="M80" s="833"/>
      <c r="Q80" s="206"/>
      <c r="R80" s="222"/>
      <c r="S80" s="116"/>
      <c r="T80" s="117"/>
      <c r="U80" s="117"/>
      <c r="W80" s="703"/>
      <c r="X80" s="701"/>
      <c r="Z80" s="701"/>
      <c r="AB80" s="701"/>
    </row>
    <row r="81" spans="3:35" ht="19.75" customHeight="1">
      <c r="C81" s="100" t="s">
        <v>76</v>
      </c>
      <c r="D81" s="127">
        <v>7.0000000000000007E-2</v>
      </c>
      <c r="E81" s="127">
        <v>7.0000000000000007E-2</v>
      </c>
      <c r="F81" s="127">
        <v>7.0000000000000007E-2</v>
      </c>
      <c r="G81" s="92">
        <v>7.0000000000000007E-2</v>
      </c>
      <c r="H81" s="127">
        <v>7.0000000000000007E-2</v>
      </c>
      <c r="I81" s="127">
        <v>7.0000000000000007E-2</v>
      </c>
      <c r="J81" s="92">
        <v>7.0000000000000007E-2</v>
      </c>
      <c r="K81" s="92">
        <v>7.0000000000000007E-2</v>
      </c>
      <c r="L81" s="832" t="s">
        <v>75</v>
      </c>
      <c r="M81" s="833"/>
      <c r="Q81" s="206"/>
      <c r="R81" s="219"/>
      <c r="S81" s="141"/>
      <c r="T81" s="116"/>
      <c r="U81" s="116"/>
      <c r="W81" s="703"/>
      <c r="X81" s="701"/>
      <c r="Z81" s="701"/>
      <c r="AB81" s="701"/>
    </row>
    <row r="82" spans="3:35" ht="20.25" customHeight="1">
      <c r="C82" s="100" t="s">
        <v>77</v>
      </c>
      <c r="D82" s="128">
        <v>0.8</v>
      </c>
      <c r="E82" s="128">
        <v>0.8</v>
      </c>
      <c r="F82" s="128">
        <v>0.8</v>
      </c>
      <c r="G82" s="94">
        <v>0.8</v>
      </c>
      <c r="H82" s="128">
        <v>0.8</v>
      </c>
      <c r="I82" s="128">
        <v>0.8</v>
      </c>
      <c r="J82" s="94">
        <v>0.8</v>
      </c>
      <c r="K82" s="94">
        <v>0.8</v>
      </c>
      <c r="L82" s="832" t="s">
        <v>78</v>
      </c>
      <c r="M82" s="833"/>
      <c r="Q82" s="206"/>
      <c r="R82" s="223"/>
      <c r="S82" s="142"/>
      <c r="T82" s="141"/>
      <c r="U82" s="141"/>
      <c r="W82" s="703"/>
      <c r="X82" s="701"/>
      <c r="Z82" s="701"/>
      <c r="AB82" s="701"/>
    </row>
    <row r="83" spans="3:35" ht="20.25" customHeight="1">
      <c r="C83" s="100" t="s">
        <v>79</v>
      </c>
      <c r="D83" s="129">
        <v>100</v>
      </c>
      <c r="E83" s="129">
        <v>100</v>
      </c>
      <c r="F83" s="129">
        <v>100</v>
      </c>
      <c r="G83" s="95">
        <v>100</v>
      </c>
      <c r="H83" s="129">
        <v>100</v>
      </c>
      <c r="I83" s="129">
        <v>100</v>
      </c>
      <c r="J83" s="95">
        <v>100</v>
      </c>
      <c r="K83" s="95">
        <v>100</v>
      </c>
      <c r="L83" s="834" t="s">
        <v>80</v>
      </c>
      <c r="M83" s="835"/>
      <c r="Q83" s="206"/>
      <c r="R83" s="224"/>
      <c r="S83" s="109"/>
      <c r="T83" s="142"/>
      <c r="U83" s="142"/>
      <c r="W83" s="703"/>
      <c r="X83" s="701"/>
      <c r="Z83" s="701"/>
      <c r="AB83" s="701"/>
    </row>
    <row r="84" spans="3:35" ht="15" customHeight="1">
      <c r="C84" s="89"/>
      <c r="D84" s="85"/>
      <c r="E84" s="85"/>
      <c r="F84" s="85"/>
      <c r="G84" s="85"/>
      <c r="H84" s="89"/>
      <c r="I84" s="85"/>
      <c r="J84" s="85"/>
      <c r="K84" s="85"/>
      <c r="L84" s="199"/>
      <c r="M84" s="199"/>
      <c r="S84" s="694"/>
      <c r="W84" s="703"/>
      <c r="Y84" s="109"/>
      <c r="AC84" s="109"/>
      <c r="AG84" s="109"/>
    </row>
    <row r="85" spans="3:35" ht="25.5" customHeight="1">
      <c r="C85" s="185" t="s">
        <v>81</v>
      </c>
      <c r="D85" s="186"/>
      <c r="E85" s="186"/>
      <c r="F85" s="186"/>
      <c r="G85" s="186"/>
      <c r="H85" s="186"/>
      <c r="I85" s="186"/>
      <c r="J85" s="186"/>
      <c r="K85" s="186"/>
      <c r="L85" s="186"/>
      <c r="M85" s="194"/>
      <c r="R85" s="182"/>
      <c r="S85" s="694"/>
      <c r="T85" s="694"/>
      <c r="U85" s="694"/>
      <c r="W85" s="694"/>
      <c r="Y85" s="836"/>
      <c r="Z85" s="836"/>
      <c r="AA85" s="836"/>
      <c r="AB85" s="836"/>
      <c r="AC85" s="836"/>
      <c r="AD85" s="836"/>
      <c r="AE85" s="836"/>
      <c r="AF85" s="836"/>
      <c r="AG85" s="836"/>
      <c r="AH85" s="836"/>
      <c r="AI85" s="836"/>
    </row>
    <row r="86" spans="3:35" ht="5.5" customHeight="1">
      <c r="C86" s="90"/>
      <c r="D86" s="90"/>
      <c r="E86" s="90"/>
      <c r="F86" s="90"/>
      <c r="G86" s="85"/>
      <c r="H86" s="90"/>
      <c r="I86" s="90"/>
      <c r="J86" s="90"/>
      <c r="K86" s="90"/>
      <c r="L86" s="199"/>
      <c r="M86" s="199"/>
      <c r="R86" s="182"/>
      <c r="S86" s="143"/>
      <c r="T86" s="694"/>
      <c r="U86" s="694"/>
      <c r="W86" s="703"/>
      <c r="Y86" s="694"/>
      <c r="Z86" s="694"/>
      <c r="AA86" s="694"/>
      <c r="AC86" s="694"/>
      <c r="AD86" s="694"/>
      <c r="AE86" s="694"/>
      <c r="AG86" s="694"/>
      <c r="AH86" s="694"/>
      <c r="AI86" s="694"/>
    </row>
    <row r="87" spans="3:35" ht="40.5" customHeight="1">
      <c r="C87" s="266" t="s">
        <v>82</v>
      </c>
      <c r="D87" s="101">
        <v>0</v>
      </c>
      <c r="E87" s="96">
        <v>0</v>
      </c>
      <c r="F87" s="101">
        <v>0</v>
      </c>
      <c r="G87" s="96">
        <v>0</v>
      </c>
      <c r="H87" s="96">
        <v>0</v>
      </c>
      <c r="I87" s="101">
        <v>0</v>
      </c>
      <c r="J87" s="101">
        <v>0</v>
      </c>
      <c r="K87" s="101">
        <v>0</v>
      </c>
      <c r="L87" s="832" t="s">
        <v>83</v>
      </c>
      <c r="M87" s="833"/>
      <c r="R87" s="114"/>
      <c r="S87" s="144"/>
      <c r="T87" s="143"/>
      <c r="U87" s="143"/>
      <c r="W87" s="703"/>
      <c r="X87" s="703"/>
      <c r="Y87" s="837"/>
      <c r="Z87" s="837"/>
      <c r="AA87" s="837"/>
      <c r="AB87" s="837"/>
      <c r="AC87" s="837"/>
      <c r="AD87" s="837"/>
      <c r="AE87" s="837"/>
      <c r="AF87" s="837"/>
      <c r="AG87" s="837"/>
      <c r="AH87" s="837"/>
      <c r="AI87" s="837"/>
    </row>
    <row r="88" spans="3:35" ht="49.5" customHeight="1">
      <c r="C88" s="699" t="s">
        <v>84</v>
      </c>
      <c r="D88" s="97">
        <v>1.32</v>
      </c>
      <c r="E88" s="97">
        <v>1.32</v>
      </c>
      <c r="F88" s="97">
        <v>1.32</v>
      </c>
      <c r="G88" s="97">
        <v>1.23</v>
      </c>
      <c r="H88" s="97">
        <v>1.23</v>
      </c>
      <c r="I88" s="97">
        <v>1.23</v>
      </c>
      <c r="J88" s="97">
        <v>1.32</v>
      </c>
      <c r="K88" s="97">
        <v>1.23</v>
      </c>
      <c r="L88" s="828" t="s">
        <v>85</v>
      </c>
      <c r="M88" s="829"/>
      <c r="N88" s="226"/>
      <c r="R88" s="115"/>
      <c r="S88" s="145"/>
      <c r="T88" s="144"/>
      <c r="U88" s="144"/>
      <c r="W88" s="703"/>
      <c r="X88" s="703"/>
      <c r="Y88" s="110"/>
      <c r="Z88" s="110"/>
      <c r="AA88" s="110"/>
      <c r="AB88" s="110"/>
      <c r="AC88" s="110"/>
      <c r="AD88" s="110"/>
      <c r="AE88" s="110"/>
      <c r="AF88" s="110"/>
      <c r="AG88" s="110"/>
      <c r="AH88" s="110"/>
      <c r="AI88" s="110"/>
    </row>
    <row r="89" spans="3:35" ht="20.25" customHeight="1">
      <c r="C89" s="700"/>
      <c r="D89" s="102"/>
      <c r="E89" s="91"/>
      <c r="F89" s="102"/>
      <c r="G89" s="91"/>
      <c r="H89" s="91"/>
      <c r="I89" s="91"/>
      <c r="J89" s="91"/>
      <c r="K89" s="91"/>
      <c r="L89" s="830" t="s">
        <v>86</v>
      </c>
      <c r="M89" s="831"/>
      <c r="R89" s="115"/>
      <c r="T89" s="144"/>
      <c r="U89" s="145"/>
      <c r="W89" s="105"/>
      <c r="X89" s="105"/>
      <c r="AA89" s="703"/>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D25:F25"/>
    <mergeCell ref="G25:I25"/>
    <mergeCell ref="J25:K25"/>
    <mergeCell ref="L25:M25"/>
    <mergeCell ref="C2:J2"/>
    <mergeCell ref="J4:K5"/>
    <mergeCell ref="C7:M10"/>
    <mergeCell ref="C12:D12"/>
    <mergeCell ref="C23:M23"/>
    <mergeCell ref="D27:K27"/>
    <mergeCell ref="L27:M27"/>
    <mergeCell ref="C30:C31"/>
    <mergeCell ref="D30:F30"/>
    <mergeCell ref="G30:I30"/>
    <mergeCell ref="L30:M31"/>
    <mergeCell ref="D31:F31"/>
    <mergeCell ref="G31:I31"/>
    <mergeCell ref="L32:M32"/>
    <mergeCell ref="L33:M33"/>
    <mergeCell ref="D34:F34"/>
    <mergeCell ref="G34:I34"/>
    <mergeCell ref="D35:F35"/>
    <mergeCell ref="G35:I35"/>
    <mergeCell ref="L35:M35"/>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C55:K55"/>
    <mergeCell ref="Y57:AI57"/>
    <mergeCell ref="Y60:AI60"/>
    <mergeCell ref="D62:F62"/>
    <mergeCell ref="G62:I62"/>
    <mergeCell ref="J62:K62"/>
    <mergeCell ref="L62:M64"/>
    <mergeCell ref="L66:M66"/>
    <mergeCell ref="L67:M67"/>
    <mergeCell ref="L68:M68"/>
    <mergeCell ref="L69:M73"/>
    <mergeCell ref="C76:C77"/>
    <mergeCell ref="L76:M76"/>
    <mergeCell ref="Y85:AI85"/>
    <mergeCell ref="L87:M87"/>
    <mergeCell ref="Y87:AI87"/>
    <mergeCell ref="X76:X77"/>
    <mergeCell ref="Z76:Z77"/>
    <mergeCell ref="AB76:AB77"/>
    <mergeCell ref="L78:M78"/>
    <mergeCell ref="L79:M79"/>
    <mergeCell ref="L80:M80"/>
    <mergeCell ref="L88:M88"/>
    <mergeCell ref="L89:M89"/>
    <mergeCell ref="L81:M81"/>
    <mergeCell ref="L82:M82"/>
    <mergeCell ref="L83:M8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Data!$A$2:$A$9</xm:f>
          </x14:formula1>
          <xm:sqref>X64</xm:sqref>
        </x14:dataValidation>
        <x14:dataValidation type="list" allowBlank="1" showInputMessage="1" showErrorMessage="1" xr:uid="{2869E24E-D6E0-4FAB-AF5C-5D6F534FC01F}">
          <x14:formula1>
            <xm:f>Data!$A$2:$A$9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F40"/>
  <sheetViews>
    <sheetView zoomScale="120" zoomScaleNormal="120" workbookViewId="0">
      <selection activeCell="D7" sqref="D7"/>
    </sheetView>
  </sheetViews>
  <sheetFormatPr defaultColWidth="8.81640625" defaultRowHeight="14.5"/>
  <cols>
    <col min="1" max="1" width="52" customWidth="1"/>
    <col min="2" max="4" width="20.81640625" customWidth="1"/>
    <col min="5" max="5" width="33" customWidth="1"/>
    <col min="6" max="6" width="29" customWidth="1"/>
    <col min="7" max="28" width="20.81640625" customWidth="1"/>
  </cols>
  <sheetData>
    <row r="1" spans="1:6">
      <c r="A1" s="4" t="s">
        <v>253</v>
      </c>
      <c r="B1" s="4" t="s">
        <v>254</v>
      </c>
      <c r="C1" s="4" t="s">
        <v>255</v>
      </c>
      <c r="D1" s="4" t="s">
        <v>256</v>
      </c>
      <c r="E1" s="4" t="s">
        <v>257</v>
      </c>
      <c r="F1" s="4" t="s">
        <v>258</v>
      </c>
    </row>
    <row r="2" spans="1:6">
      <c r="A2" t="s">
        <v>53</v>
      </c>
      <c r="B2" s="2">
        <v>3.5</v>
      </c>
      <c r="C2" s="5">
        <v>1</v>
      </c>
      <c r="D2" s="3">
        <v>0.1</v>
      </c>
      <c r="E2" s="1">
        <v>6.06</v>
      </c>
      <c r="F2" t="s">
        <v>480</v>
      </c>
    </row>
    <row r="3" spans="1:6">
      <c r="A3" t="s">
        <v>54</v>
      </c>
      <c r="B3" s="2">
        <v>3</v>
      </c>
      <c r="C3" s="5">
        <v>2</v>
      </c>
      <c r="D3" s="3">
        <v>0.1</v>
      </c>
      <c r="E3" s="1">
        <v>17.12</v>
      </c>
      <c r="F3" t="s">
        <v>480</v>
      </c>
    </row>
    <row r="4" spans="1:6">
      <c r="A4" t="s">
        <v>55</v>
      </c>
      <c r="B4" s="2">
        <v>3</v>
      </c>
      <c r="C4" s="5">
        <v>1</v>
      </c>
      <c r="D4" s="3">
        <v>0.1</v>
      </c>
      <c r="E4" s="1">
        <v>17.12</v>
      </c>
      <c r="F4" t="s">
        <v>480</v>
      </c>
    </row>
    <row r="5" spans="1:6">
      <c r="A5" t="s">
        <v>175</v>
      </c>
      <c r="B5" s="2" t="s">
        <v>60</v>
      </c>
      <c r="C5" s="5" t="s">
        <v>60</v>
      </c>
      <c r="D5" s="3">
        <v>0.1</v>
      </c>
      <c r="E5" s="1">
        <v>17.12</v>
      </c>
      <c r="F5" t="s">
        <v>480</v>
      </c>
    </row>
    <row r="6" spans="1:6">
      <c r="A6" t="s">
        <v>56</v>
      </c>
      <c r="B6" s="2">
        <v>20</v>
      </c>
      <c r="C6" s="5">
        <v>1</v>
      </c>
      <c r="D6" s="3">
        <v>0.1</v>
      </c>
      <c r="E6" s="1">
        <v>17.12</v>
      </c>
      <c r="F6" t="s">
        <v>480</v>
      </c>
    </row>
    <row r="7" spans="1:6">
      <c r="A7" t="s">
        <v>259</v>
      </c>
      <c r="B7" s="2">
        <v>20</v>
      </c>
      <c r="C7" s="5">
        <v>2</v>
      </c>
      <c r="D7" s="3">
        <v>0.1</v>
      </c>
      <c r="E7" s="1">
        <v>17.12</v>
      </c>
      <c r="F7" t="s">
        <v>480</v>
      </c>
    </row>
    <row r="8" spans="1:6">
      <c r="A8" t="s">
        <v>58</v>
      </c>
      <c r="B8" s="2">
        <v>50</v>
      </c>
      <c r="C8" s="5">
        <v>3</v>
      </c>
      <c r="D8" s="3">
        <v>0.1</v>
      </c>
      <c r="E8" s="1">
        <v>17.12</v>
      </c>
      <c r="F8" t="s">
        <v>480</v>
      </c>
    </row>
    <row r="9" spans="1:6">
      <c r="A9" t="s">
        <v>175</v>
      </c>
      <c r="B9" s="2" t="s">
        <v>60</v>
      </c>
      <c r="C9" s="5" t="s">
        <v>60</v>
      </c>
      <c r="D9" s="3">
        <v>0.1</v>
      </c>
      <c r="E9" s="1">
        <v>17.12</v>
      </c>
      <c r="F9" t="s">
        <v>480</v>
      </c>
    </row>
    <row r="10" spans="1:6" ht="15" thickBot="1"/>
    <row r="11" spans="1:6">
      <c r="A11" s="153" t="s">
        <v>260</v>
      </c>
      <c r="C11" s="681" t="s">
        <v>261</v>
      </c>
      <c r="D11" s="682"/>
      <c r="E11" s="682"/>
      <c r="F11" s="683"/>
    </row>
    <row r="12" spans="1:6">
      <c r="A12" t="s">
        <v>53</v>
      </c>
      <c r="C12" s="684" t="s">
        <v>262</v>
      </c>
      <c r="F12" s="685" t="s">
        <v>263</v>
      </c>
    </row>
    <row r="13" spans="1:6" ht="15" thickBot="1">
      <c r="A13" t="s">
        <v>54</v>
      </c>
      <c r="C13" s="686" t="s">
        <v>264</v>
      </c>
      <c r="D13" s="687" t="s">
        <v>265</v>
      </c>
      <c r="E13" s="687"/>
      <c r="F13" s="688" t="s">
        <v>266</v>
      </c>
    </row>
    <row r="14" spans="1:6">
      <c r="A14" t="s">
        <v>55</v>
      </c>
      <c r="F14">
        <f>(86*86*41)/1000</f>
        <v>303.23599999999999</v>
      </c>
    </row>
    <row r="15" spans="1:6">
      <c r="A15" t="s">
        <v>175</v>
      </c>
      <c r="F15">
        <f>F14/50</f>
        <v>6.0647199999999994</v>
      </c>
    </row>
    <row r="16" spans="1:6">
      <c r="A16" t="s">
        <v>56</v>
      </c>
    </row>
    <row r="17" spans="1:6">
      <c r="A17" t="s">
        <v>57</v>
      </c>
    </row>
    <row r="18" spans="1:6">
      <c r="A18" t="s">
        <v>58</v>
      </c>
    </row>
    <row r="19" spans="1:6">
      <c r="A19" t="s">
        <v>175</v>
      </c>
    </row>
    <row r="21" spans="1:6">
      <c r="A21" s="4" t="s">
        <v>267</v>
      </c>
    </row>
    <row r="22" spans="1:6" ht="15" thickBot="1">
      <c r="A22" t="s">
        <v>268</v>
      </c>
      <c r="E22" s="680" t="s">
        <v>269</v>
      </c>
    </row>
    <row r="23" spans="1:6">
      <c r="A23" s="666" t="s">
        <v>162</v>
      </c>
      <c r="C23" t="s">
        <v>270</v>
      </c>
      <c r="E23" s="678" t="s">
        <v>271</v>
      </c>
      <c r="F23" s="679" t="s">
        <v>272</v>
      </c>
    </row>
    <row r="24" spans="1:6">
      <c r="A24" t="s">
        <v>270</v>
      </c>
      <c r="B24">
        <v>1</v>
      </c>
      <c r="C24" s="669">
        <f>'Model Inputs'!E64</f>
        <v>0.15</v>
      </c>
      <c r="E24" s="673">
        <v>1</v>
      </c>
      <c r="F24" s="674" t="s">
        <v>273</v>
      </c>
    </row>
    <row r="25" spans="1:6">
      <c r="A25" t="s">
        <v>60</v>
      </c>
      <c r="B25">
        <v>2</v>
      </c>
      <c r="C25" s="669">
        <v>0.4</v>
      </c>
      <c r="E25" s="673">
        <v>2</v>
      </c>
      <c r="F25" s="675">
        <v>0.4</v>
      </c>
    </row>
    <row r="26" spans="1:6">
      <c r="A26" s="4" t="s">
        <v>274</v>
      </c>
      <c r="B26">
        <v>3</v>
      </c>
      <c r="C26" s="669">
        <v>0.5</v>
      </c>
      <c r="E26" s="673">
        <v>3</v>
      </c>
      <c r="F26" s="675">
        <v>0.5</v>
      </c>
    </row>
    <row r="27" spans="1:6">
      <c r="A27" t="s">
        <v>164</v>
      </c>
      <c r="B27">
        <v>4</v>
      </c>
      <c r="C27" s="669">
        <v>0.6</v>
      </c>
      <c r="E27" s="673">
        <v>4</v>
      </c>
      <c r="F27" s="675">
        <v>0.6</v>
      </c>
    </row>
    <row r="28" spans="1:6">
      <c r="A28" t="s">
        <v>275</v>
      </c>
      <c r="B28">
        <v>5</v>
      </c>
      <c r="C28" s="669">
        <v>0.7</v>
      </c>
      <c r="E28" s="673">
        <v>5</v>
      </c>
      <c r="F28" s="675">
        <v>0.7</v>
      </c>
    </row>
    <row r="29" spans="1:6">
      <c r="B29">
        <v>6</v>
      </c>
      <c r="C29" s="669">
        <v>0.8</v>
      </c>
      <c r="E29" s="673">
        <v>6</v>
      </c>
      <c r="F29" s="675">
        <v>0.8</v>
      </c>
    </row>
    <row r="30" spans="1:6">
      <c r="B30">
        <v>7</v>
      </c>
      <c r="C30" s="669">
        <v>0.9</v>
      </c>
      <c r="E30" s="673" t="s">
        <v>276</v>
      </c>
      <c r="F30" s="675">
        <v>0.9</v>
      </c>
    </row>
    <row r="31" spans="1:6" ht="15" thickBot="1">
      <c r="B31">
        <v>8</v>
      </c>
      <c r="C31" s="669">
        <v>0.9</v>
      </c>
      <c r="E31" s="676" t="s">
        <v>277</v>
      </c>
      <c r="F31" s="677">
        <v>1</v>
      </c>
    </row>
    <row r="32" spans="1:6">
      <c r="B32">
        <f>'Model Inputs'!D65</f>
        <v>2025</v>
      </c>
      <c r="C32" s="670" cm="1">
        <f t="array" ref="C32">IF('Model Inputs'!$E$60=A27,INDEX($C$24:$C$31,MATCH('Model Inputs'!$E$61,$B$24:$B$31),0),'Model Inputs'!E64)</f>
        <v>0.5</v>
      </c>
      <c r="D32" t="s">
        <v>278</v>
      </c>
    </row>
    <row r="33" spans="2:4">
      <c r="B33">
        <f>'Model Inputs'!D66</f>
        <v>2026</v>
      </c>
      <c r="C33" s="670">
        <f>MIN(1,C32+(1-$C$32)/(9-'Model Inputs'!$E$61))</f>
        <v>0.58333333333333337</v>
      </c>
      <c r="D33" s="670" t="s">
        <v>279</v>
      </c>
    </row>
    <row r="34" spans="2:4">
      <c r="B34">
        <f>'Model Inputs'!D67</f>
        <v>2027</v>
      </c>
      <c r="C34" s="670">
        <f>MIN(1,C33+(1-$C$32)/(9-'Model Inputs'!$E$61))</f>
        <v>0.66666666666666674</v>
      </c>
      <c r="D34" t="s">
        <v>280</v>
      </c>
    </row>
    <row r="35" spans="2:4">
      <c r="B35">
        <f>'Model Inputs'!D68</f>
        <v>2028</v>
      </c>
      <c r="C35" s="670">
        <f>MIN(1,C34+(1-$C$32)/(9-'Model Inputs'!$E$61))</f>
        <v>0.75000000000000011</v>
      </c>
      <c r="D35" s="670" t="s">
        <v>281</v>
      </c>
    </row>
    <row r="36" spans="2:4">
      <c r="B36">
        <f>'Model Inputs'!D69</f>
        <v>2029</v>
      </c>
      <c r="C36" s="670">
        <f>MIN(1,C35+(1-$C$32)/(9-'Model Inputs'!$E$61))</f>
        <v>0.83333333333333348</v>
      </c>
      <c r="D36" t="s">
        <v>282</v>
      </c>
    </row>
    <row r="37" spans="2:4">
      <c r="C37" s="670">
        <f>MIN(1,C36+(1-$C$32)/(9-'Model Inputs'!$E$61))</f>
        <v>0.91666666666666685</v>
      </c>
      <c r="D37" s="670" t="s">
        <v>283</v>
      </c>
    </row>
    <row r="38" spans="2:4">
      <c r="C38" s="670">
        <f>MIN(1,C37+(1-$C$32)/(9-'Model Inputs'!$E$61))</f>
        <v>1</v>
      </c>
      <c r="D38" t="s">
        <v>284</v>
      </c>
    </row>
    <row r="39" spans="2:4">
      <c r="C39" s="670">
        <f>MIN(1,C38+(1-$C$32)/(9-'Model Inputs'!$E$61))</f>
        <v>1</v>
      </c>
      <c r="D39" s="670" t="s">
        <v>285</v>
      </c>
    </row>
    <row r="40" spans="2:4">
      <c r="C40" s="670">
        <f>MIN(1,C39+(1-$C$32)/(9-'Model Inputs'!$E$61))</f>
        <v>1</v>
      </c>
      <c r="D40" t="s">
        <v>286</v>
      </c>
    </row>
  </sheetData>
  <sheetProtection algorithmName="SHA-512" hashValue="lHVMhIfNT3e10ilVww8ZFeVJbSGP0K9uBlDQTqPd6C6i7j7g3+yP39bGBg2NGPONmVVripUaP/IWtLJTK9WoCQ==" saltValue="r/FK+enhqhR1By2uPqDeBA==" spinCount="100000" sheet="1" objects="1" scenarios="1"/>
  <phoneticPr fontId="41" type="noConversion"/>
  <pageMargins left="0.7" right="0.7" top="0.75" bottom="0.75" header="0.3" footer="0.3"/>
  <pageSetup paperSize="9" orientation="portrait" r:id="rId1"/>
  <headerFooter>
    <oddHeader>&amp;L&amp;"Calibri"&amp;10&amp;K000000Classified as Internal&amp;1#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CAA5-66F1-4B1C-8B79-84019186BC37}">
  <sheetPr codeName="Sheet13"/>
  <dimension ref="M4:S13"/>
  <sheetViews>
    <sheetView workbookViewId="0">
      <selection activeCell="L30" sqref="L30"/>
    </sheetView>
  </sheetViews>
  <sheetFormatPr defaultRowHeight="14.5"/>
  <cols>
    <col min="13" max="13" width="18.453125" customWidth="1"/>
    <col min="14" max="14" width="25" customWidth="1"/>
  </cols>
  <sheetData>
    <row r="4" spans="13:19">
      <c r="M4" t="s">
        <v>287</v>
      </c>
      <c r="N4" t="s">
        <v>288</v>
      </c>
    </row>
    <row r="5" spans="13:19">
      <c r="N5" t="s">
        <v>289</v>
      </c>
    </row>
    <row r="6" spans="13:19">
      <c r="N6" t="s">
        <v>290</v>
      </c>
    </row>
    <row r="7" spans="13:19">
      <c r="M7" t="s">
        <v>291</v>
      </c>
      <c r="N7" t="s">
        <v>292</v>
      </c>
    </row>
    <row r="8" spans="13:19">
      <c r="N8" t="s">
        <v>293</v>
      </c>
      <c r="O8" t="s">
        <v>294</v>
      </c>
      <c r="P8" t="s">
        <v>295</v>
      </c>
      <c r="Q8" t="s">
        <v>296</v>
      </c>
      <c r="R8" t="s">
        <v>297</v>
      </c>
    </row>
    <row r="9" spans="13:19">
      <c r="N9" t="s">
        <v>298</v>
      </c>
      <c r="O9" t="s">
        <v>299</v>
      </c>
      <c r="P9" t="s">
        <v>300</v>
      </c>
      <c r="Q9" t="s">
        <v>301</v>
      </c>
      <c r="R9" t="s">
        <v>302</v>
      </c>
      <c r="S9" t="s">
        <v>303</v>
      </c>
    </row>
    <row r="10" spans="13:19">
      <c r="N10" t="s">
        <v>304</v>
      </c>
    </row>
    <row r="11" spans="13:19">
      <c r="M11" t="s">
        <v>305</v>
      </c>
      <c r="N11" t="s">
        <v>306</v>
      </c>
    </row>
    <row r="12" spans="13:19">
      <c r="N12" t="s">
        <v>293</v>
      </c>
      <c r="O12" t="s">
        <v>294</v>
      </c>
      <c r="P12" t="s">
        <v>295</v>
      </c>
      <c r="Q12" t="s">
        <v>296</v>
      </c>
      <c r="R12" t="s">
        <v>297</v>
      </c>
    </row>
    <row r="13" spans="13:19">
      <c r="N13" t="s">
        <v>307</v>
      </c>
    </row>
  </sheetData>
  <phoneticPr fontId="4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1640625" defaultRowHeight="14.5"/>
  <cols>
    <col min="1" max="1" width="4.1796875" style="82" customWidth="1"/>
    <col min="2" max="16384" width="8.81640625" style="82"/>
  </cols>
  <sheetData>
    <row r="1" spans="2:21" ht="15" thickBot="1"/>
    <row r="2" spans="2:21" ht="24" thickBot="1">
      <c r="B2" s="81"/>
      <c r="D2" s="1074" t="s">
        <v>225</v>
      </c>
      <c r="E2" s="1075"/>
      <c r="F2" s="1075"/>
      <c r="G2" s="1075"/>
      <c r="H2" s="1075"/>
      <c r="I2" s="1075"/>
      <c r="J2" s="1075"/>
      <c r="K2" s="1075"/>
      <c r="L2" s="1075"/>
      <c r="M2" s="1075"/>
      <c r="N2" s="1075"/>
      <c r="O2" s="1075"/>
      <c r="P2" s="1075"/>
      <c r="Q2" s="1075"/>
      <c r="R2" s="1075"/>
      <c r="S2" s="1075"/>
      <c r="T2" s="1075"/>
      <c r="U2" s="1076"/>
    </row>
    <row r="3" spans="2:21" ht="18.5">
      <c r="B3" s="84" t="s">
        <v>230</v>
      </c>
    </row>
    <row r="4" spans="2:21">
      <c r="B4" s="264" t="s">
        <v>231</v>
      </c>
    </row>
    <row r="23" spans="2:2" ht="18.5">
      <c r="B23" s="84" t="s">
        <v>232</v>
      </c>
    </row>
    <row r="24" spans="2:2">
      <c r="B24" s="264" t="s">
        <v>231</v>
      </c>
    </row>
    <row r="47" spans="4:21" ht="15" thickBot="1"/>
    <row r="48" spans="4:21" ht="19" thickBot="1">
      <c r="D48" s="1074" t="s">
        <v>308</v>
      </c>
      <c r="E48" s="1075"/>
      <c r="F48" s="1075"/>
      <c r="G48" s="1075"/>
      <c r="H48" s="1075"/>
      <c r="I48" s="1075"/>
      <c r="J48" s="1075"/>
      <c r="K48" s="1075"/>
      <c r="L48" s="1075"/>
      <c r="M48" s="1075"/>
      <c r="N48" s="1075"/>
      <c r="O48" s="1075"/>
      <c r="P48" s="1075"/>
      <c r="Q48" s="1075"/>
      <c r="R48" s="1075"/>
      <c r="S48" s="1075"/>
      <c r="T48" s="1075"/>
      <c r="U48" s="1076"/>
    </row>
    <row r="49" spans="2:2" ht="18.5">
      <c r="B49" s="84" t="s">
        <v>230</v>
      </c>
    </row>
    <row r="50" spans="2:2">
      <c r="B50" s="264" t="s">
        <v>231</v>
      </c>
    </row>
    <row r="51" spans="2:2" ht="10.5" customHeight="1"/>
    <row r="70" spans="2:14" ht="18.5">
      <c r="B70" s="84" t="s">
        <v>232</v>
      </c>
    </row>
    <row r="71" spans="2:14">
      <c r="B71" s="264" t="s">
        <v>231</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1640625" defaultRowHeight="14.5"/>
  <cols>
    <col min="1" max="1" width="8.81640625" style="10"/>
    <col min="2" max="2" width="78.1796875" style="10" customWidth="1"/>
    <col min="3" max="3" width="55.453125" style="9" customWidth="1"/>
    <col min="4" max="4" width="50.81640625" style="9" customWidth="1"/>
    <col min="5" max="8" width="46.453125" style="10" customWidth="1"/>
    <col min="9" max="9" width="54.453125" style="10" customWidth="1"/>
    <col min="10" max="10" width="60.1796875" style="10" customWidth="1"/>
    <col min="11" max="11" width="59.453125" style="10" customWidth="1"/>
    <col min="12" max="12" width="41.81640625" style="10" customWidth="1"/>
    <col min="13" max="13" width="8.81640625" style="80"/>
    <col min="14" max="14" width="9.453125" style="10" customWidth="1"/>
    <col min="15" max="15" width="76.1796875" style="10" customWidth="1"/>
    <col min="16" max="16" width="62.1796875" style="10" customWidth="1"/>
    <col min="17" max="17" width="71.1796875" style="9" bestFit="1" customWidth="1"/>
    <col min="18" max="21" width="8.81640625" style="9"/>
    <col min="22" max="16384" width="8.81640625" style="10"/>
  </cols>
  <sheetData>
    <row r="2" spans="2:17" ht="47.25" customHeight="1">
      <c r="B2" s="1089" t="s">
        <v>309</v>
      </c>
      <c r="C2" s="1089"/>
      <c r="D2" s="1089"/>
      <c r="E2" s="728"/>
      <c r="F2" s="728"/>
      <c r="G2" s="728"/>
      <c r="H2" s="728"/>
      <c r="I2" s="728"/>
      <c r="J2" s="728"/>
      <c r="K2" s="728"/>
      <c r="L2" s="6"/>
      <c r="M2" s="7"/>
      <c r="N2" s="6"/>
      <c r="O2" s="8" t="s">
        <v>310</v>
      </c>
      <c r="P2" s="8"/>
    </row>
    <row r="3" spans="2:17" ht="15" customHeight="1">
      <c r="B3" s="11"/>
      <c r="C3" s="12"/>
      <c r="D3" s="12"/>
      <c r="E3" s="11"/>
      <c r="F3" s="11"/>
      <c r="G3" s="11"/>
      <c r="H3" s="11"/>
      <c r="I3" s="11"/>
      <c r="J3" s="11"/>
      <c r="K3" s="11"/>
      <c r="L3" s="11"/>
      <c r="M3" s="13"/>
      <c r="N3" s="11"/>
      <c r="O3" s="1090" t="s">
        <v>311</v>
      </c>
      <c r="P3" s="1090"/>
    </row>
    <row r="4" spans="2:17" ht="31.5" customHeight="1">
      <c r="B4" s="1090" t="s">
        <v>312</v>
      </c>
      <c r="C4" s="14"/>
      <c r="D4" s="12"/>
      <c r="E4" s="11"/>
      <c r="F4" s="11"/>
      <c r="G4" s="11"/>
      <c r="H4" s="11"/>
      <c r="I4" s="11"/>
      <c r="J4" s="11"/>
      <c r="K4" s="11"/>
      <c r="L4" s="11"/>
      <c r="M4" s="13"/>
      <c r="N4" s="11"/>
      <c r="O4" s="1090"/>
      <c r="P4" s="1090"/>
    </row>
    <row r="5" spans="2:17" ht="18.5">
      <c r="B5" s="1090"/>
      <c r="C5" s="14"/>
      <c r="D5" s="15"/>
      <c r="E5" s="16"/>
      <c r="F5" s="16"/>
      <c r="G5" s="16"/>
      <c r="H5" s="16"/>
      <c r="I5" s="16"/>
      <c r="J5" s="16"/>
      <c r="K5" s="16"/>
      <c r="L5" s="11"/>
      <c r="M5" s="13"/>
      <c r="N5" s="11"/>
      <c r="O5" s="1090"/>
      <c r="P5" s="1090"/>
    </row>
    <row r="6" spans="2:17" ht="19" thickBot="1">
      <c r="B6" s="11"/>
      <c r="C6" s="15"/>
      <c r="D6" s="15"/>
      <c r="E6" s="16"/>
      <c r="F6" s="16"/>
      <c r="G6" s="16"/>
      <c r="H6" s="16"/>
      <c r="I6" s="16"/>
      <c r="J6" s="16"/>
      <c r="K6" s="16"/>
      <c r="L6" s="11"/>
      <c r="M6" s="13"/>
      <c r="N6" s="11"/>
      <c r="O6" s="11"/>
      <c r="P6" s="11"/>
    </row>
    <row r="7" spans="2:17" ht="21">
      <c r="B7" s="17" t="s">
        <v>313</v>
      </c>
      <c r="C7" s="1091" t="s">
        <v>314</v>
      </c>
      <c r="D7" s="1092"/>
      <c r="E7" s="1092"/>
      <c r="F7" s="1092"/>
      <c r="G7" s="1092"/>
      <c r="H7" s="1092"/>
      <c r="I7" s="1092"/>
      <c r="J7" s="1092"/>
      <c r="K7" s="1093"/>
      <c r="L7" s="11"/>
      <c r="M7" s="13"/>
      <c r="N7" s="11"/>
      <c r="O7" s="18" t="s">
        <v>313</v>
      </c>
      <c r="P7" s="1094" t="s">
        <v>314</v>
      </c>
      <c r="Q7" s="1095"/>
    </row>
    <row r="8" spans="2:17" ht="46.5" customHeight="1">
      <c r="B8" s="19" t="s">
        <v>315</v>
      </c>
      <c r="C8" s="1083" t="s">
        <v>316</v>
      </c>
      <c r="D8" s="1084"/>
      <c r="E8" s="1083" t="s">
        <v>316</v>
      </c>
      <c r="F8" s="1085"/>
      <c r="G8" s="1085"/>
      <c r="H8" s="1085"/>
      <c r="I8" s="1086" t="s">
        <v>317</v>
      </c>
      <c r="J8" s="1087"/>
      <c r="K8" s="1088"/>
      <c r="L8" s="11"/>
      <c r="M8" s="13"/>
      <c r="N8" s="11"/>
      <c r="O8" s="20" t="s">
        <v>315</v>
      </c>
      <c r="P8" s="21" t="s">
        <v>316</v>
      </c>
      <c r="Q8" s="22" t="s">
        <v>318</v>
      </c>
    </row>
    <row r="9" spans="2:17" ht="21">
      <c r="B9" s="19" t="s">
        <v>319</v>
      </c>
      <c r="C9" s="1096" t="s">
        <v>320</v>
      </c>
      <c r="D9" s="1097"/>
      <c r="E9" s="1096" t="s">
        <v>321</v>
      </c>
      <c r="F9" s="1098"/>
      <c r="G9" s="1098"/>
      <c r="H9" s="1098"/>
      <c r="I9" s="1099" t="s">
        <v>322</v>
      </c>
      <c r="J9" s="1100"/>
      <c r="K9" s="1101"/>
      <c r="L9" s="11"/>
      <c r="M9" s="13"/>
      <c r="N9" s="11"/>
      <c r="O9" s="20" t="s">
        <v>319</v>
      </c>
      <c r="P9" s="23" t="s">
        <v>320</v>
      </c>
      <c r="Q9" s="23" t="s">
        <v>323</v>
      </c>
    </row>
    <row r="10" spans="2:17" ht="50.25" customHeight="1">
      <c r="B10" s="24" t="s">
        <v>324</v>
      </c>
      <c r="C10" s="1102" t="s">
        <v>325</v>
      </c>
      <c r="D10" s="1103"/>
      <c r="E10" s="1104" t="s">
        <v>326</v>
      </c>
      <c r="F10" s="1105"/>
      <c r="G10" s="1105"/>
      <c r="H10" s="1105"/>
      <c r="I10" s="1106" t="s">
        <v>326</v>
      </c>
      <c r="J10" s="1107"/>
      <c r="K10" s="1108"/>
      <c r="L10" s="11"/>
      <c r="M10" s="13"/>
      <c r="N10" s="11"/>
      <c r="O10" s="25" t="s">
        <v>324</v>
      </c>
      <c r="P10" s="26" t="s">
        <v>325</v>
      </c>
      <c r="Q10" s="26" t="s">
        <v>326</v>
      </c>
    </row>
    <row r="11" spans="2:17" ht="21">
      <c r="B11" s="27" t="s">
        <v>327</v>
      </c>
      <c r="C11" s="1109" t="s">
        <v>328</v>
      </c>
      <c r="D11" s="1110"/>
      <c r="E11" s="1111" t="s">
        <v>329</v>
      </c>
      <c r="F11" s="1112"/>
      <c r="G11" s="1112"/>
      <c r="H11" s="1112"/>
      <c r="I11" s="1113" t="s">
        <v>330</v>
      </c>
      <c r="J11" s="1114"/>
      <c r="K11" s="1115"/>
      <c r="L11" s="11"/>
      <c r="M11" s="13"/>
      <c r="N11" s="11"/>
      <c r="O11" s="28" t="s">
        <v>327</v>
      </c>
      <c r="P11" s="29" t="s">
        <v>328</v>
      </c>
      <c r="Q11" s="29" t="s">
        <v>331</v>
      </c>
    </row>
    <row r="12" spans="2:17" ht="21" customHeight="1">
      <c r="B12" s="27" t="s">
        <v>332</v>
      </c>
      <c r="C12" s="1116" t="s">
        <v>333</v>
      </c>
      <c r="D12" s="1117"/>
      <c r="E12" s="1118" t="s">
        <v>334</v>
      </c>
      <c r="F12" s="1118"/>
      <c r="G12" s="1118" t="s">
        <v>335</v>
      </c>
      <c r="H12" s="1118"/>
      <c r="I12" s="1113" t="s">
        <v>336</v>
      </c>
      <c r="J12" s="1114"/>
      <c r="K12" s="1115"/>
      <c r="L12" s="11"/>
      <c r="M12" s="13"/>
      <c r="N12" s="11"/>
      <c r="O12" s="28" t="s">
        <v>332</v>
      </c>
      <c r="P12" s="30" t="s">
        <v>337</v>
      </c>
      <c r="Q12" s="30" t="s">
        <v>338</v>
      </c>
    </row>
    <row r="13" spans="2:17" ht="21">
      <c r="B13" s="19" t="s">
        <v>339</v>
      </c>
      <c r="C13" s="1096" t="s">
        <v>340</v>
      </c>
      <c r="D13" s="1097"/>
      <c r="E13" s="1121" t="s">
        <v>341</v>
      </c>
      <c r="F13" s="1121"/>
      <c r="G13" s="1121" t="s">
        <v>341</v>
      </c>
      <c r="H13" s="1121"/>
      <c r="I13" s="1099" t="s">
        <v>341</v>
      </c>
      <c r="J13" s="1100"/>
      <c r="K13" s="1101"/>
      <c r="L13" s="11"/>
      <c r="M13" s="13"/>
      <c r="N13" s="11"/>
      <c r="O13" s="20" t="s">
        <v>339</v>
      </c>
      <c r="P13" s="23" t="s">
        <v>340</v>
      </c>
      <c r="Q13" s="23" t="s">
        <v>342</v>
      </c>
    </row>
    <row r="14" spans="2:17" ht="21">
      <c r="B14" s="19" t="s">
        <v>343</v>
      </c>
      <c r="C14" s="1122" t="s">
        <v>344</v>
      </c>
      <c r="D14" s="1123"/>
      <c r="E14" s="1124" t="s">
        <v>345</v>
      </c>
      <c r="F14" s="1125"/>
      <c r="G14" s="1124" t="s">
        <v>345</v>
      </c>
      <c r="H14" s="1125"/>
      <c r="I14" s="1124" t="s">
        <v>346</v>
      </c>
      <c r="J14" s="1126"/>
      <c r="K14" s="1125"/>
      <c r="L14" s="11"/>
      <c r="M14" s="13"/>
      <c r="N14" s="11"/>
      <c r="O14" s="20" t="s">
        <v>343</v>
      </c>
      <c r="P14" s="23" t="s">
        <v>344</v>
      </c>
      <c r="Q14" s="23" t="s">
        <v>347</v>
      </c>
    </row>
    <row r="15" spans="2:17" ht="55.5">
      <c r="B15" s="31" t="s">
        <v>348</v>
      </c>
      <c r="C15" s="32" t="s">
        <v>349</v>
      </c>
      <c r="D15" s="33" t="s">
        <v>350</v>
      </c>
      <c r="E15" s="33" t="s">
        <v>351</v>
      </c>
      <c r="F15" s="33" t="s">
        <v>352</v>
      </c>
      <c r="G15" s="33" t="s">
        <v>353</v>
      </c>
      <c r="H15" s="33" t="s">
        <v>354</v>
      </c>
      <c r="I15" s="33" t="s">
        <v>355</v>
      </c>
      <c r="J15" s="33" t="s">
        <v>356</v>
      </c>
      <c r="K15" s="33" t="s">
        <v>357</v>
      </c>
      <c r="L15" s="11"/>
      <c r="M15" s="13"/>
      <c r="N15" s="11"/>
      <c r="O15" s="34" t="s">
        <v>348</v>
      </c>
      <c r="P15" s="35" t="s">
        <v>358</v>
      </c>
      <c r="Q15" s="35" t="s">
        <v>359</v>
      </c>
    </row>
    <row r="16" spans="2:17" ht="21">
      <c r="B16" s="24" t="s">
        <v>360</v>
      </c>
      <c r="C16" s="36" t="s">
        <v>361</v>
      </c>
      <c r="D16" s="37" t="s">
        <v>362</v>
      </c>
      <c r="E16" s="727" t="s">
        <v>361</v>
      </c>
      <c r="F16" s="727" t="s">
        <v>361</v>
      </c>
      <c r="G16" s="727" t="s">
        <v>363</v>
      </c>
      <c r="H16" s="727" t="s">
        <v>363</v>
      </c>
      <c r="I16" s="727" t="s">
        <v>361</v>
      </c>
      <c r="J16" s="38" t="s">
        <v>361</v>
      </c>
      <c r="K16" s="38" t="s">
        <v>363</v>
      </c>
      <c r="L16" s="11"/>
      <c r="M16" s="13"/>
      <c r="N16" s="11"/>
      <c r="O16" s="25" t="s">
        <v>360</v>
      </c>
      <c r="P16" s="23" t="s">
        <v>364</v>
      </c>
      <c r="Q16" s="23" t="s">
        <v>364</v>
      </c>
    </row>
    <row r="17" spans="2:17" ht="18.5">
      <c r="B17" s="39" t="s">
        <v>365</v>
      </c>
      <c r="C17" s="726" t="s">
        <v>366</v>
      </c>
      <c r="D17" s="726" t="s">
        <v>366</v>
      </c>
      <c r="E17" s="726" t="s">
        <v>366</v>
      </c>
      <c r="F17" s="726" t="s">
        <v>366</v>
      </c>
      <c r="G17" s="726" t="s">
        <v>366</v>
      </c>
      <c r="H17" s="726" t="s">
        <v>366</v>
      </c>
      <c r="I17" s="726" t="s">
        <v>366</v>
      </c>
      <c r="J17" s="40" t="s">
        <v>366</v>
      </c>
      <c r="K17" s="40" t="s">
        <v>366</v>
      </c>
      <c r="L17" s="11"/>
      <c r="M17" s="13"/>
      <c r="N17" s="11"/>
      <c r="O17" s="41" t="s">
        <v>365</v>
      </c>
      <c r="P17" s="23" t="s">
        <v>364</v>
      </c>
      <c r="Q17" s="23" t="s">
        <v>364</v>
      </c>
    </row>
    <row r="18" spans="2:17" ht="21">
      <c r="B18" s="42" t="s">
        <v>367</v>
      </c>
      <c r="C18" s="43">
        <f>1.88*1.218</f>
        <v>2.2898399999999999</v>
      </c>
      <c r="D18" s="43">
        <f>1.88*1.218</f>
        <v>2.2898399999999999</v>
      </c>
      <c r="E18" s="44">
        <v>0.85</v>
      </c>
      <c r="F18" s="44">
        <v>0.85</v>
      </c>
      <c r="G18" s="45">
        <v>1.58</v>
      </c>
      <c r="H18" s="45">
        <v>1.1399999999999999</v>
      </c>
      <c r="I18" s="44">
        <v>1.55</v>
      </c>
      <c r="J18" s="44">
        <v>0.95</v>
      </c>
      <c r="K18" s="44">
        <v>1.55</v>
      </c>
      <c r="L18" s="11"/>
      <c r="M18" s="13"/>
      <c r="N18" s="11"/>
      <c r="O18" s="46" t="s">
        <v>368</v>
      </c>
      <c r="P18" s="47" t="s">
        <v>364</v>
      </c>
      <c r="Q18" s="47" t="s">
        <v>364</v>
      </c>
    </row>
    <row r="19" spans="2:17" ht="18.5">
      <c r="B19" s="42" t="s">
        <v>369</v>
      </c>
      <c r="C19" s="48">
        <v>2</v>
      </c>
      <c r="D19" s="48">
        <v>2</v>
      </c>
      <c r="E19" s="40">
        <v>3</v>
      </c>
      <c r="F19" s="40">
        <v>3</v>
      </c>
      <c r="G19" s="40">
        <v>3</v>
      </c>
      <c r="H19" s="40">
        <v>3</v>
      </c>
      <c r="I19" s="40">
        <v>3</v>
      </c>
      <c r="J19" s="40">
        <v>3</v>
      </c>
      <c r="K19" s="40">
        <v>3</v>
      </c>
      <c r="L19" s="11"/>
      <c r="M19" s="13"/>
      <c r="N19" s="11"/>
      <c r="O19" s="46" t="s">
        <v>369</v>
      </c>
      <c r="P19" s="49">
        <v>2</v>
      </c>
      <c r="Q19" s="49">
        <v>3</v>
      </c>
    </row>
    <row r="20" spans="2:17" ht="21">
      <c r="B20" s="50" t="s">
        <v>370</v>
      </c>
      <c r="C20" s="43">
        <f>C18*2</f>
        <v>4.5796799999999998</v>
      </c>
      <c r="D20" s="43">
        <f>D18*2</f>
        <v>4.5796799999999998</v>
      </c>
      <c r="E20" s="44">
        <f t="shared" ref="E20:K20" si="0">E18*E19</f>
        <v>2.5499999999999998</v>
      </c>
      <c r="F20" s="44">
        <f t="shared" si="0"/>
        <v>2.5499999999999998</v>
      </c>
      <c r="G20" s="44">
        <f t="shared" si="0"/>
        <v>4.74</v>
      </c>
      <c r="H20" s="44">
        <f t="shared" si="0"/>
        <v>3.42</v>
      </c>
      <c r="I20" s="44">
        <f t="shared" si="0"/>
        <v>4.6500000000000004</v>
      </c>
      <c r="J20" s="44">
        <f t="shared" si="0"/>
        <v>2.8499999999999996</v>
      </c>
      <c r="K20" s="44">
        <f t="shared" si="0"/>
        <v>4.6500000000000004</v>
      </c>
      <c r="L20" s="11"/>
      <c r="M20" s="13"/>
      <c r="N20" s="11"/>
      <c r="O20" s="51" t="s">
        <v>370</v>
      </c>
      <c r="P20" s="47" t="s">
        <v>364</v>
      </c>
      <c r="Q20" s="47" t="s">
        <v>364</v>
      </c>
    </row>
    <row r="21" spans="2:17" ht="21.5" thickBot="1">
      <c r="B21" s="50" t="s">
        <v>371</v>
      </c>
      <c r="C21" s="52">
        <v>0.04</v>
      </c>
      <c r="D21" s="52">
        <v>0.04</v>
      </c>
      <c r="E21" s="53">
        <v>0.23</v>
      </c>
      <c r="F21" s="53">
        <v>0.41</v>
      </c>
      <c r="G21" s="53">
        <v>0.04</v>
      </c>
      <c r="H21" s="53">
        <v>0.1</v>
      </c>
      <c r="I21" s="53">
        <v>0.04</v>
      </c>
      <c r="J21" s="53">
        <v>0.1</v>
      </c>
      <c r="K21" s="53">
        <v>0.04</v>
      </c>
      <c r="L21" s="11"/>
      <c r="M21" s="13"/>
      <c r="N21" s="11"/>
      <c r="O21" s="51" t="s">
        <v>371</v>
      </c>
      <c r="P21" s="47" t="s">
        <v>364</v>
      </c>
      <c r="Q21" s="47" t="s">
        <v>364</v>
      </c>
    </row>
    <row r="22" spans="2:17" ht="21.5" thickBot="1">
      <c r="B22" s="50" t="s">
        <v>372</v>
      </c>
      <c r="C22" s="54">
        <v>0.04</v>
      </c>
      <c r="D22" s="54">
        <v>0.04</v>
      </c>
      <c r="E22" s="55">
        <v>0.23</v>
      </c>
      <c r="F22" s="55">
        <v>0.41</v>
      </c>
      <c r="G22" s="55">
        <v>0.04</v>
      </c>
      <c r="H22" s="55">
        <v>0.1</v>
      </c>
      <c r="I22" s="55">
        <v>0.04</v>
      </c>
      <c r="J22" s="55">
        <v>0.1</v>
      </c>
      <c r="K22" s="55">
        <v>0.04</v>
      </c>
      <c r="L22" s="11"/>
      <c r="M22" s="13"/>
      <c r="N22" s="11"/>
      <c r="O22" s="51" t="s">
        <v>372</v>
      </c>
      <c r="P22" s="56" t="s">
        <v>364</v>
      </c>
      <c r="Q22" s="56" t="s">
        <v>364</v>
      </c>
    </row>
    <row r="23" spans="2:17" ht="21">
      <c r="B23" s="50" t="s">
        <v>373</v>
      </c>
      <c r="C23" s="57">
        <f>C20/(1-C22)</f>
        <v>4.7705000000000002</v>
      </c>
      <c r="D23" s="57">
        <f>D20/(1-D22)</f>
        <v>4.7705000000000002</v>
      </c>
      <c r="E23" s="44">
        <f t="shared" ref="E23:K23" si="1">E20/(1-E22)</f>
        <v>3.3116883116883113</v>
      </c>
      <c r="F23" s="44">
        <f t="shared" si="1"/>
        <v>4.3220338983050839</v>
      </c>
      <c r="G23" s="44">
        <f t="shared" si="1"/>
        <v>4.9375</v>
      </c>
      <c r="H23" s="44">
        <f t="shared" si="1"/>
        <v>3.8</v>
      </c>
      <c r="I23" s="44">
        <f t="shared" si="1"/>
        <v>4.8437500000000009</v>
      </c>
      <c r="J23" s="44">
        <f t="shared" si="1"/>
        <v>3.1666666666666661</v>
      </c>
      <c r="K23" s="44">
        <f t="shared" si="1"/>
        <v>4.8437500000000009</v>
      </c>
      <c r="L23" s="11"/>
      <c r="M23" s="13"/>
      <c r="N23" s="11"/>
      <c r="O23" s="51" t="s">
        <v>374</v>
      </c>
      <c r="P23" s="58" t="s">
        <v>364</v>
      </c>
      <c r="Q23" s="58" t="s">
        <v>364</v>
      </c>
    </row>
    <row r="24" spans="2:17" ht="21">
      <c r="B24" s="19" t="s">
        <v>375</v>
      </c>
      <c r="C24" s="59">
        <v>39884</v>
      </c>
      <c r="D24" s="60">
        <v>43510</v>
      </c>
      <c r="E24" s="61">
        <v>43105</v>
      </c>
      <c r="F24" s="61">
        <v>43105</v>
      </c>
      <c r="G24" s="61" t="s">
        <v>376</v>
      </c>
      <c r="H24" s="61" t="s">
        <v>376</v>
      </c>
      <c r="I24" s="61">
        <v>43364</v>
      </c>
      <c r="J24" s="62">
        <v>43364</v>
      </c>
      <c r="K24" s="62" t="s">
        <v>377</v>
      </c>
      <c r="L24" s="11"/>
      <c r="M24" s="13"/>
      <c r="N24" s="11"/>
      <c r="O24" s="20" t="s">
        <v>375</v>
      </c>
      <c r="P24" s="63">
        <v>39884</v>
      </c>
      <c r="Q24" s="63">
        <v>39728</v>
      </c>
    </row>
    <row r="25" spans="2:17" ht="21">
      <c r="B25" s="19" t="s">
        <v>378</v>
      </c>
      <c r="C25" s="64" t="s">
        <v>379</v>
      </c>
      <c r="D25" s="64" t="s">
        <v>379</v>
      </c>
      <c r="E25" s="40" t="s">
        <v>379</v>
      </c>
      <c r="F25" s="40" t="s">
        <v>379</v>
      </c>
      <c r="G25" s="40" t="s">
        <v>379</v>
      </c>
      <c r="H25" s="40" t="s">
        <v>379</v>
      </c>
      <c r="I25" s="40" t="s">
        <v>379</v>
      </c>
      <c r="J25" s="40" t="s">
        <v>379</v>
      </c>
      <c r="K25" s="40" t="s">
        <v>379</v>
      </c>
      <c r="L25" s="11"/>
      <c r="M25" s="13"/>
      <c r="N25" s="11"/>
      <c r="O25" s="20" t="s">
        <v>378</v>
      </c>
      <c r="P25" s="23" t="s">
        <v>380</v>
      </c>
      <c r="Q25" s="23" t="s">
        <v>379</v>
      </c>
    </row>
    <row r="26" spans="2:17" ht="42" customHeight="1">
      <c r="B26" s="19" t="s">
        <v>381</v>
      </c>
      <c r="C26" s="64" t="s">
        <v>382</v>
      </c>
      <c r="D26" s="65" t="s">
        <v>383</v>
      </c>
      <c r="E26" s="40" t="s">
        <v>384</v>
      </c>
      <c r="F26" s="40" t="s">
        <v>385</v>
      </c>
      <c r="G26" s="40" t="s">
        <v>386</v>
      </c>
      <c r="H26" s="40" t="s">
        <v>384</v>
      </c>
      <c r="I26" s="38" t="s">
        <v>387</v>
      </c>
      <c r="J26" s="38" t="s">
        <v>388</v>
      </c>
      <c r="K26" s="38" t="s">
        <v>389</v>
      </c>
      <c r="L26" s="11"/>
      <c r="M26" s="13"/>
      <c r="N26" s="11"/>
      <c r="O26" s="20" t="s">
        <v>381</v>
      </c>
      <c r="P26" s="23" t="s">
        <v>390</v>
      </c>
      <c r="Q26" s="23" t="s">
        <v>391</v>
      </c>
    </row>
    <row r="27" spans="2:17" ht="64.5" customHeight="1">
      <c r="B27" s="19" t="s">
        <v>392</v>
      </c>
      <c r="C27" s="726" t="s">
        <v>393</v>
      </c>
      <c r="D27" s="726" t="s">
        <v>393</v>
      </c>
      <c r="E27" s="38" t="s">
        <v>394</v>
      </c>
      <c r="F27" s="38" t="s">
        <v>394</v>
      </c>
      <c r="G27" s="40" t="s">
        <v>395</v>
      </c>
      <c r="H27" s="40" t="s">
        <v>395</v>
      </c>
      <c r="I27" s="38" t="s">
        <v>396</v>
      </c>
      <c r="J27" s="38" t="s">
        <v>396</v>
      </c>
      <c r="K27" s="38" t="s">
        <v>397</v>
      </c>
      <c r="L27" s="11"/>
      <c r="M27" s="13"/>
      <c r="N27" s="11"/>
      <c r="O27" s="20" t="s">
        <v>392</v>
      </c>
      <c r="P27" s="23" t="s">
        <v>398</v>
      </c>
      <c r="Q27" s="23" t="s">
        <v>393</v>
      </c>
    </row>
    <row r="28" spans="2:17" ht="99.25" customHeight="1">
      <c r="B28" s="19" t="s">
        <v>399</v>
      </c>
      <c r="C28" s="727" t="s">
        <v>400</v>
      </c>
      <c r="D28" s="38" t="s">
        <v>401</v>
      </c>
      <c r="E28" s="38" t="s">
        <v>402</v>
      </c>
      <c r="F28" s="38" t="s">
        <v>403</v>
      </c>
      <c r="G28" s="38" t="s">
        <v>404</v>
      </c>
      <c r="H28" s="38" t="s">
        <v>402</v>
      </c>
      <c r="I28" s="38" t="s">
        <v>405</v>
      </c>
      <c r="J28" s="38" t="s">
        <v>406</v>
      </c>
      <c r="K28" s="38" t="s">
        <v>407</v>
      </c>
      <c r="L28" s="11"/>
      <c r="M28" s="13"/>
      <c r="N28" s="11"/>
      <c r="O28" s="20" t="s">
        <v>399</v>
      </c>
      <c r="P28" s="66" t="s">
        <v>408</v>
      </c>
      <c r="Q28" s="66" t="s">
        <v>409</v>
      </c>
    </row>
    <row r="29" spans="2:17" ht="99.25" customHeight="1">
      <c r="B29" s="19" t="s">
        <v>410</v>
      </c>
      <c r="C29" s="727" t="s">
        <v>411</v>
      </c>
      <c r="D29" s="38" t="s">
        <v>412</v>
      </c>
      <c r="E29" s="38" t="s">
        <v>413</v>
      </c>
      <c r="F29" s="38" t="s">
        <v>414</v>
      </c>
      <c r="G29" s="38" t="s">
        <v>415</v>
      </c>
      <c r="H29" s="38" t="s">
        <v>413</v>
      </c>
      <c r="I29" s="38" t="s">
        <v>416</v>
      </c>
      <c r="J29" s="38" t="s">
        <v>417</v>
      </c>
      <c r="K29" s="38" t="s">
        <v>418</v>
      </c>
      <c r="L29" s="11"/>
      <c r="M29" s="13"/>
      <c r="N29" s="11"/>
      <c r="O29" s="20" t="s">
        <v>419</v>
      </c>
      <c r="P29" s="66" t="s">
        <v>420</v>
      </c>
      <c r="Q29" s="66" t="s">
        <v>421</v>
      </c>
    </row>
    <row r="30" spans="2:17" ht="99.25" customHeight="1">
      <c r="B30" s="24" t="s">
        <v>422</v>
      </c>
      <c r="C30" s="727" t="s">
        <v>423</v>
      </c>
      <c r="D30" s="38" t="s">
        <v>424</v>
      </c>
      <c r="E30" s="38" t="s">
        <v>425</v>
      </c>
      <c r="F30" s="38" t="s">
        <v>426</v>
      </c>
      <c r="G30" s="38" t="s">
        <v>427</v>
      </c>
      <c r="H30" s="67" t="s">
        <v>428</v>
      </c>
      <c r="I30" s="38" t="s">
        <v>429</v>
      </c>
      <c r="J30" s="38" t="s">
        <v>430</v>
      </c>
      <c r="K30" s="38" t="s">
        <v>431</v>
      </c>
      <c r="L30" s="11"/>
      <c r="M30" s="13"/>
      <c r="N30" s="11"/>
      <c r="O30" s="20" t="s">
        <v>432</v>
      </c>
      <c r="P30" s="66" t="s">
        <v>364</v>
      </c>
      <c r="Q30" s="66" t="s">
        <v>433</v>
      </c>
    </row>
    <row r="31" spans="2:17" ht="93" customHeight="1">
      <c r="B31" s="19" t="s">
        <v>434</v>
      </c>
      <c r="C31" s="726" t="s">
        <v>435</v>
      </c>
      <c r="D31" s="726" t="s">
        <v>435</v>
      </c>
      <c r="E31" s="40" t="s">
        <v>436</v>
      </c>
      <c r="F31" s="40" t="s">
        <v>436</v>
      </c>
      <c r="G31" s="40" t="s">
        <v>435</v>
      </c>
      <c r="H31" s="40" t="s">
        <v>435</v>
      </c>
      <c r="I31" s="40" t="s">
        <v>437</v>
      </c>
      <c r="J31" s="40" t="s">
        <v>437</v>
      </c>
      <c r="K31" s="40" t="s">
        <v>435</v>
      </c>
      <c r="L31" s="11"/>
      <c r="M31" s="13"/>
      <c r="N31" s="11"/>
      <c r="O31" s="20" t="s">
        <v>434</v>
      </c>
      <c r="P31" s="23" t="s">
        <v>438</v>
      </c>
      <c r="Q31" s="23" t="s">
        <v>439</v>
      </c>
    </row>
    <row r="32" spans="2:17" ht="92.5">
      <c r="B32" s="19" t="s">
        <v>440</v>
      </c>
      <c r="C32" s="727" t="s">
        <v>364</v>
      </c>
      <c r="D32" s="727" t="s">
        <v>364</v>
      </c>
      <c r="E32" s="38" t="s">
        <v>441</v>
      </c>
      <c r="F32" s="38" t="s">
        <v>442</v>
      </c>
      <c r="G32" s="40" t="s">
        <v>364</v>
      </c>
      <c r="H32" s="38" t="s">
        <v>443</v>
      </c>
      <c r="I32" s="38" t="s">
        <v>364</v>
      </c>
      <c r="J32" s="38" t="s">
        <v>442</v>
      </c>
      <c r="K32" s="38" t="s">
        <v>364</v>
      </c>
      <c r="L32" s="11"/>
      <c r="M32" s="13"/>
      <c r="N32" s="11"/>
      <c r="O32" s="20" t="s">
        <v>440</v>
      </c>
      <c r="P32" s="66" t="s">
        <v>364</v>
      </c>
      <c r="Q32" s="66" t="s">
        <v>364</v>
      </c>
    </row>
    <row r="33" spans="2:17" ht="48.75" customHeight="1">
      <c r="B33" s="19" t="s">
        <v>444</v>
      </c>
      <c r="C33" s="727" t="s">
        <v>364</v>
      </c>
      <c r="D33" s="727" t="s">
        <v>364</v>
      </c>
      <c r="E33" s="38" t="s">
        <v>364</v>
      </c>
      <c r="F33" s="38" t="s">
        <v>364</v>
      </c>
      <c r="G33" s="40" t="s">
        <v>363</v>
      </c>
      <c r="H33" s="40" t="s">
        <v>363</v>
      </c>
      <c r="I33" s="38" t="s">
        <v>364</v>
      </c>
      <c r="J33" s="38" t="s">
        <v>364</v>
      </c>
      <c r="K33" s="38" t="s">
        <v>364</v>
      </c>
      <c r="L33" s="11"/>
      <c r="M33" s="13"/>
      <c r="N33" s="11"/>
      <c r="O33" s="20" t="s">
        <v>444</v>
      </c>
      <c r="P33" s="66" t="s">
        <v>364</v>
      </c>
      <c r="Q33" s="66" t="s">
        <v>364</v>
      </c>
    </row>
    <row r="34" spans="2:17" ht="30" customHeight="1">
      <c r="B34" s="24" t="s">
        <v>445</v>
      </c>
      <c r="C34" s="68" t="s">
        <v>446</v>
      </c>
      <c r="D34" s="69" t="s">
        <v>447</v>
      </c>
      <c r="E34" s="69" t="s">
        <v>448</v>
      </c>
      <c r="F34" s="69" t="s">
        <v>449</v>
      </c>
      <c r="G34" s="40" t="s">
        <v>363</v>
      </c>
      <c r="H34" s="40" t="s">
        <v>363</v>
      </c>
      <c r="I34" s="69" t="s">
        <v>450</v>
      </c>
      <c r="J34" s="69" t="s">
        <v>451</v>
      </c>
      <c r="K34" s="38" t="s">
        <v>363</v>
      </c>
      <c r="L34" s="11"/>
      <c r="M34" s="13"/>
      <c r="N34" s="11"/>
      <c r="O34" s="25" t="s">
        <v>445</v>
      </c>
      <c r="P34" s="70" t="s">
        <v>452</v>
      </c>
      <c r="Q34" s="70" t="s">
        <v>453</v>
      </c>
    </row>
    <row r="35" spans="2:17" ht="111">
      <c r="B35" s="24" t="s">
        <v>454</v>
      </c>
      <c r="C35" s="727" t="s">
        <v>364</v>
      </c>
      <c r="D35" s="727" t="s">
        <v>364</v>
      </c>
      <c r="E35" s="38" t="s">
        <v>455</v>
      </c>
      <c r="F35" s="38" t="s">
        <v>456</v>
      </c>
      <c r="G35" s="40" t="s">
        <v>363</v>
      </c>
      <c r="H35" s="40" t="s">
        <v>363</v>
      </c>
      <c r="I35" s="38" t="s">
        <v>364</v>
      </c>
      <c r="J35" s="38" t="s">
        <v>364</v>
      </c>
      <c r="K35" s="38" t="s">
        <v>363</v>
      </c>
      <c r="L35" s="11"/>
      <c r="M35" s="13"/>
      <c r="N35" s="11"/>
      <c r="O35" s="25" t="s">
        <v>454</v>
      </c>
      <c r="P35" s="66" t="s">
        <v>364</v>
      </c>
      <c r="Q35" s="66" t="s">
        <v>364</v>
      </c>
    </row>
    <row r="36" spans="2:17" ht="165.75" customHeight="1" thickBot="1">
      <c r="B36" s="71" t="s">
        <v>457</v>
      </c>
      <c r="C36" s="72" t="s">
        <v>364</v>
      </c>
      <c r="D36" s="72" t="s">
        <v>364</v>
      </c>
      <c r="E36" s="73" t="s">
        <v>458</v>
      </c>
      <c r="F36" s="73" t="s">
        <v>458</v>
      </c>
      <c r="G36" s="73" t="s">
        <v>363</v>
      </c>
      <c r="H36" s="73" t="s">
        <v>363</v>
      </c>
      <c r="I36" s="73" t="s">
        <v>459</v>
      </c>
      <c r="J36" s="73" t="s">
        <v>460</v>
      </c>
      <c r="K36" s="73" t="s">
        <v>363</v>
      </c>
      <c r="L36" s="11"/>
      <c r="M36" s="13"/>
      <c r="N36" s="11"/>
      <c r="O36" s="74" t="s">
        <v>457</v>
      </c>
      <c r="P36" s="75" t="s">
        <v>364</v>
      </c>
      <c r="Q36" s="75" t="s">
        <v>364</v>
      </c>
    </row>
    <row r="37" spans="2:17" ht="26.25" customHeight="1">
      <c r="B37" s="11" t="s">
        <v>461</v>
      </c>
      <c r="C37" s="12"/>
      <c r="D37" s="12"/>
      <c r="E37" s="11"/>
      <c r="F37" s="11"/>
      <c r="G37" s="11"/>
      <c r="H37" s="11"/>
      <c r="I37" s="11"/>
      <c r="J37" s="11"/>
      <c r="K37" s="11"/>
      <c r="L37" s="11"/>
      <c r="M37" s="13"/>
      <c r="N37" s="11"/>
      <c r="O37" s="76"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11"/>
    </row>
    <row r="38" spans="2:17" ht="18.5">
      <c r="B38" s="11" t="s">
        <v>462</v>
      </c>
      <c r="C38" s="12"/>
      <c r="D38" s="12"/>
      <c r="E38" s="11"/>
      <c r="F38" s="11"/>
      <c r="G38" s="11"/>
      <c r="H38" s="11"/>
      <c r="I38" s="11"/>
      <c r="J38" s="11"/>
      <c r="K38" s="11"/>
      <c r="L38" s="11"/>
      <c r="M38" s="13"/>
      <c r="N38" s="11"/>
      <c r="O38" s="11" t="str">
        <f>B38</f>
        <v>2 Source: UNICEF PRODUCT MENU FOR VACCINES SUPPLIED BY UNICEF FOR GAVI, THE VACCINE ALLIANCE (https://www.unicef.org/supply/files/Product_Menu_08_January_2018.pdf)</v>
      </c>
      <c r="P38" s="11"/>
    </row>
    <row r="39" spans="2:17" ht="18.5">
      <c r="B39" s="77" t="s">
        <v>463</v>
      </c>
      <c r="C39" s="12"/>
      <c r="D39" s="12"/>
      <c r="E39" s="11"/>
      <c r="F39" s="11"/>
      <c r="G39" s="11"/>
      <c r="H39" s="11"/>
      <c r="I39" s="11"/>
      <c r="J39" s="11"/>
      <c r="K39" s="11"/>
      <c r="L39" s="11"/>
      <c r="M39" s="13"/>
      <c r="N39" s="11"/>
      <c r="O39" s="1119" t="str">
        <f>B39</f>
        <v>3 Source: WHO position paper: http://www.who.int/immunization/documents/positionpapers/en/</v>
      </c>
      <c r="P39" s="1120"/>
    </row>
    <row r="40" spans="2:17" ht="18.5">
      <c r="B40" s="11" t="s">
        <v>464</v>
      </c>
      <c r="C40" s="12"/>
      <c r="D40" s="12"/>
      <c r="E40" s="11"/>
      <c r="F40" s="11"/>
      <c r="G40" s="11"/>
      <c r="H40" s="11"/>
      <c r="I40" s="11"/>
      <c r="J40" s="11"/>
      <c r="K40" s="11"/>
      <c r="L40" s="11"/>
      <c r="M40" s="13"/>
      <c r="N40" s="11"/>
      <c r="O40" s="11" t="str">
        <f>B40</f>
        <v xml:space="preserve">4 Source: Gavi Secretariat, see definitions tab for details </v>
      </c>
      <c r="P40" s="11"/>
    </row>
    <row r="41" spans="2:17" ht="18.5">
      <c r="B41" s="11" t="s">
        <v>465</v>
      </c>
      <c r="C41" s="12"/>
      <c r="D41" s="12"/>
      <c r="E41" s="11"/>
      <c r="F41" s="11"/>
      <c r="G41" s="11"/>
      <c r="H41" s="11"/>
      <c r="I41" s="11"/>
      <c r="J41" s="11"/>
      <c r="K41" s="11"/>
      <c r="L41" s="11"/>
      <c r="M41" s="13"/>
      <c r="N41" s="11"/>
      <c r="O41" s="11" t="str">
        <f>B41</f>
        <v>5 Source: Review of WHO indicative vaccine wastage rate assumptions, 2017</v>
      </c>
      <c r="P41" s="11"/>
    </row>
    <row r="42" spans="2:17" ht="18.5">
      <c r="B42" s="11" t="s">
        <v>466</v>
      </c>
      <c r="C42" s="12"/>
      <c r="D42" s="12"/>
      <c r="E42" s="11"/>
      <c r="F42" s="11"/>
      <c r="G42" s="11"/>
      <c r="H42" s="11"/>
      <c r="I42" s="11"/>
      <c r="J42" s="11"/>
      <c r="K42" s="11"/>
      <c r="L42" s="11"/>
      <c r="M42" s="13"/>
      <c r="N42" s="11"/>
      <c r="O42" s="11"/>
      <c r="P42" s="11"/>
    </row>
    <row r="43" spans="2:17" ht="18.5">
      <c r="B43" s="78" t="s">
        <v>467</v>
      </c>
      <c r="E43" s="725"/>
      <c r="F43" s="725"/>
      <c r="G43" s="725"/>
      <c r="H43" s="725"/>
      <c r="I43" s="725"/>
      <c r="J43" s="725"/>
      <c r="K43" s="725"/>
      <c r="L43" s="11"/>
      <c r="M43" s="13"/>
      <c r="N43" s="11"/>
      <c r="O43" s="11"/>
      <c r="P43" s="11"/>
    </row>
    <row r="44" spans="2:17" ht="18.5">
      <c r="B44" s="725" t="s">
        <v>468</v>
      </c>
      <c r="E44" s="725"/>
      <c r="F44" s="725"/>
      <c r="G44" s="725"/>
      <c r="H44" s="725"/>
      <c r="I44" s="725"/>
      <c r="J44" s="725"/>
      <c r="K44" s="725"/>
      <c r="L44" s="11"/>
      <c r="M44" s="13"/>
      <c r="N44" s="11"/>
      <c r="O44" s="11"/>
      <c r="P44" s="11"/>
    </row>
    <row r="45" spans="2:17" ht="18.5">
      <c r="B45" s="725" t="s">
        <v>469</v>
      </c>
      <c r="E45" s="725"/>
      <c r="F45" s="725"/>
      <c r="G45" s="725"/>
      <c r="H45" s="725"/>
      <c r="I45" s="725"/>
      <c r="J45" s="725"/>
      <c r="K45" s="725"/>
      <c r="L45" s="11"/>
      <c r="M45" s="13"/>
      <c r="N45" s="11"/>
      <c r="O45" s="11"/>
      <c r="P45" s="11"/>
    </row>
    <row r="46" spans="2:17" ht="18.5">
      <c r="B46" s="1120" t="s">
        <v>470</v>
      </c>
      <c r="C46" s="1120"/>
      <c r="D46" s="1120"/>
      <c r="E46" s="11"/>
      <c r="F46" s="11"/>
      <c r="G46" s="11"/>
      <c r="H46" s="11"/>
      <c r="I46" s="11"/>
      <c r="J46" s="11"/>
      <c r="K46" s="11"/>
      <c r="L46" s="11"/>
      <c r="M46" s="13"/>
      <c r="N46" s="11"/>
      <c r="O46" s="11"/>
      <c r="P46" s="11"/>
    </row>
    <row r="47" spans="2:17" ht="18.5">
      <c r="B47" s="11"/>
      <c r="C47" s="12"/>
      <c r="D47" s="12"/>
      <c r="E47" s="11"/>
      <c r="F47" s="11"/>
      <c r="G47" s="11"/>
      <c r="H47" s="11"/>
      <c r="I47" s="11"/>
      <c r="J47" s="11"/>
      <c r="K47" s="11"/>
      <c r="L47" s="11"/>
      <c r="M47" s="13"/>
      <c r="N47" s="11"/>
      <c r="O47" s="11"/>
      <c r="P47" s="11"/>
    </row>
    <row r="48" spans="2:17" ht="18.5">
      <c r="B48" s="11"/>
      <c r="C48" s="12"/>
      <c r="D48" s="12"/>
      <c r="E48" s="11"/>
      <c r="F48" s="11"/>
      <c r="G48" s="11"/>
      <c r="H48" s="11"/>
      <c r="I48" s="11"/>
      <c r="J48" s="11"/>
      <c r="K48" s="11"/>
      <c r="L48" s="11"/>
      <c r="M48" s="13"/>
      <c r="N48" s="11"/>
      <c r="O48" s="11"/>
      <c r="P48" s="11"/>
    </row>
    <row r="49" spans="2:16" ht="18.5">
      <c r="B49" s="11"/>
      <c r="C49" s="12"/>
      <c r="D49" s="12"/>
      <c r="E49" s="11"/>
      <c r="F49" s="11"/>
      <c r="G49" s="11"/>
      <c r="H49" s="11"/>
      <c r="I49" s="11"/>
      <c r="J49" s="11"/>
      <c r="K49" s="11"/>
      <c r="L49" s="11"/>
      <c r="M49" s="13"/>
      <c r="N49" s="11"/>
      <c r="O49" s="11"/>
      <c r="P49" s="11"/>
    </row>
    <row r="50" spans="2:16" ht="18.5">
      <c r="B50" s="11"/>
      <c r="C50" s="12"/>
      <c r="D50" s="12"/>
      <c r="E50" s="11"/>
      <c r="F50" s="11"/>
      <c r="G50" s="11"/>
      <c r="H50" s="11"/>
      <c r="I50" s="11"/>
      <c r="J50" s="11"/>
      <c r="K50" s="11"/>
      <c r="L50" s="11"/>
      <c r="M50" s="13"/>
      <c r="N50" s="11"/>
      <c r="O50" s="11"/>
      <c r="P50" s="11"/>
    </row>
    <row r="51" spans="2:16" ht="18.5">
      <c r="B51" s="11"/>
      <c r="C51" s="12"/>
      <c r="D51" s="12"/>
      <c r="E51" s="11"/>
      <c r="F51" s="11"/>
      <c r="G51" s="11"/>
      <c r="H51" s="11"/>
      <c r="I51" s="11"/>
      <c r="J51" s="11"/>
      <c r="K51" s="11"/>
      <c r="L51" s="11"/>
      <c r="M51" s="13"/>
      <c r="N51" s="11"/>
      <c r="O51" s="11"/>
      <c r="P51" s="11"/>
    </row>
    <row r="57" spans="2:16">
      <c r="C57" s="79"/>
    </row>
  </sheetData>
  <mergeCells count="31">
    <mergeCell ref="O39:P39"/>
    <mergeCell ref="B46:D46"/>
    <mergeCell ref="C13:D13"/>
    <mergeCell ref="E13:F13"/>
    <mergeCell ref="G13:H13"/>
    <mergeCell ref="I13:K13"/>
    <mergeCell ref="C14:D14"/>
    <mergeCell ref="E14:F14"/>
    <mergeCell ref="G14:H14"/>
    <mergeCell ref="I14:K14"/>
    <mergeCell ref="C11:D11"/>
    <mergeCell ref="E11:H11"/>
    <mergeCell ref="I11:K11"/>
    <mergeCell ref="C12:D12"/>
    <mergeCell ref="E12:F12"/>
    <mergeCell ref="G12:H12"/>
    <mergeCell ref="I12:K12"/>
    <mergeCell ref="C9:D9"/>
    <mergeCell ref="E9:H9"/>
    <mergeCell ref="I9:K9"/>
    <mergeCell ref="C10:D10"/>
    <mergeCell ref="E10:H10"/>
    <mergeCell ref="I10:K10"/>
    <mergeCell ref="C8:D8"/>
    <mergeCell ref="E8:H8"/>
    <mergeCell ref="I8:K8"/>
    <mergeCell ref="B2:D2"/>
    <mergeCell ref="O3:P5"/>
    <mergeCell ref="B4:B5"/>
    <mergeCell ref="C7:K7"/>
    <mergeCell ref="P7:Q7"/>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1640625" defaultRowHeight="14.5" outlineLevelRow="1" outlineLevelCol="1"/>
  <cols>
    <col min="1" max="1" width="1.453125" style="85" customWidth="1"/>
    <col min="2" max="2" width="2.1796875" style="85" customWidth="1"/>
    <col min="3" max="3" width="37.453125" style="86" customWidth="1"/>
    <col min="4" max="4" width="18.453125" style="86" customWidth="1"/>
    <col min="5" max="6" width="18.453125" style="86" hidden="1" customWidth="1" outlineLevel="1"/>
    <col min="7" max="7" width="18.453125" style="86" customWidth="1" collapsed="1"/>
    <col min="8" max="9" width="18.453125" style="86" hidden="1" customWidth="1" outlineLevel="1"/>
    <col min="10" max="10" width="18.453125" style="86" customWidth="1" collapsed="1"/>
    <col min="11" max="11" width="18.1796875" style="86" customWidth="1"/>
    <col min="12" max="12" width="18.453125" style="86" customWidth="1"/>
    <col min="13" max="13" width="27.1796875" style="86" customWidth="1"/>
    <col min="14" max="14" width="18.453125" style="86" customWidth="1"/>
    <col min="15" max="15" width="21.81640625" style="113" customWidth="1"/>
    <col min="16" max="16" width="46.81640625" style="113" customWidth="1"/>
    <col min="17" max="17" width="25.453125" style="113" customWidth="1"/>
    <col min="18" max="18" width="4.81640625" style="113" customWidth="1"/>
    <col min="19" max="19" width="17.453125" style="86" customWidth="1"/>
    <col min="20" max="20" width="1.1796875" style="86" customWidth="1"/>
    <col min="21" max="21" width="17.453125" style="86" customWidth="1"/>
    <col min="22" max="22" width="59.1796875" style="86" customWidth="1"/>
    <col min="23" max="23" width="5.1796875" style="86" customWidth="1"/>
    <col min="24" max="24" width="25.453125" style="86" customWidth="1"/>
    <col min="25" max="25" width="19.1796875" style="86" customWidth="1"/>
    <col min="26" max="26" width="24.81640625" style="86" customWidth="1"/>
    <col min="27" max="27" width="19.1796875" style="86" customWidth="1"/>
    <col min="28" max="28" width="25" style="86" customWidth="1"/>
    <col min="29" max="29" width="19.453125" style="86" customWidth="1"/>
    <col min="30" max="30" width="15.81640625" style="86" customWidth="1"/>
    <col min="31" max="31" width="37" style="86" customWidth="1"/>
    <col min="32" max="32" width="8.81640625" style="86" customWidth="1"/>
    <col min="33" max="33" width="22.81640625" style="86" customWidth="1"/>
    <col min="34" max="34" width="15.81640625" style="86" customWidth="1"/>
    <col min="35" max="35" width="37" style="86" customWidth="1"/>
    <col min="36" max="36" width="2.81640625" style="86" customWidth="1"/>
    <col min="37" max="16384" width="8.81640625" style="86"/>
  </cols>
  <sheetData>
    <row r="1" spans="3:20" ht="12" customHeight="1">
      <c r="C1" s="121"/>
      <c r="D1" s="121"/>
      <c r="E1" s="85"/>
      <c r="F1" s="121"/>
      <c r="G1" s="121"/>
      <c r="H1" s="85"/>
      <c r="I1" s="85"/>
      <c r="J1" s="121"/>
      <c r="K1" s="85"/>
      <c r="L1" s="85"/>
      <c r="M1" s="85"/>
      <c r="P1" s="200"/>
      <c r="R1" s="201"/>
      <c r="T1" s="152"/>
    </row>
    <row r="2" spans="3:20" ht="39.75" customHeight="1">
      <c r="C2" s="227" t="s">
        <v>87</v>
      </c>
      <c r="D2" s="228"/>
      <c r="E2" s="228"/>
      <c r="F2" s="228"/>
      <c r="G2" s="229"/>
      <c r="H2" s="229"/>
      <c r="I2" s="229"/>
      <c r="J2" s="230"/>
      <c r="K2" s="229"/>
      <c r="L2" s="229"/>
      <c r="M2" s="194"/>
      <c r="Q2" s="202"/>
      <c r="R2" s="202"/>
      <c r="S2" s="151"/>
    </row>
    <row r="3" spans="3:20" ht="26.25" hidden="1" customHeight="1">
      <c r="C3" s="85"/>
      <c r="D3" s="85"/>
      <c r="E3" s="85"/>
      <c r="F3" s="85"/>
      <c r="G3" s="85"/>
      <c r="H3" s="85"/>
      <c r="I3" s="85"/>
      <c r="J3" s="914"/>
      <c r="K3" s="914"/>
      <c r="L3" s="85"/>
      <c r="M3" s="85"/>
      <c r="Q3" s="202"/>
      <c r="R3" s="202"/>
      <c r="S3" s="151"/>
    </row>
    <row r="4" spans="3:20" ht="14.25" hidden="1" customHeight="1">
      <c r="C4" s="85"/>
      <c r="D4" s="85"/>
      <c r="E4" s="85"/>
      <c r="F4" s="85"/>
      <c r="G4" s="85"/>
      <c r="H4" s="85"/>
      <c r="I4" s="85"/>
      <c r="J4" s="914"/>
      <c r="K4" s="914"/>
      <c r="L4" s="85"/>
      <c r="M4" s="85"/>
      <c r="Q4" s="202"/>
      <c r="R4" s="202"/>
      <c r="S4" s="151"/>
    </row>
    <row r="5" spans="3:20" ht="14.25" hidden="1" customHeight="1">
      <c r="C5" s="85"/>
      <c r="D5" s="85"/>
      <c r="E5" s="85"/>
      <c r="F5" s="85"/>
      <c r="G5" s="85"/>
      <c r="H5" s="85"/>
      <c r="I5" s="85"/>
      <c r="J5" s="85"/>
      <c r="K5" s="85"/>
      <c r="L5" s="108"/>
      <c r="M5" s="85"/>
      <c r="P5" s="203"/>
      <c r="Q5" s="202"/>
      <c r="R5" s="202"/>
      <c r="S5" s="151"/>
    </row>
    <row r="6" spans="3:20" ht="20.25" hidden="1" customHeight="1">
      <c r="C6" s="915" t="s">
        <v>2</v>
      </c>
      <c r="D6" s="916"/>
      <c r="E6" s="916"/>
      <c r="F6" s="916"/>
      <c r="G6" s="916"/>
      <c r="H6" s="916"/>
      <c r="I6" s="916"/>
      <c r="J6" s="916"/>
      <c r="K6" s="916"/>
      <c r="L6" s="916"/>
      <c r="M6" s="917"/>
      <c r="O6" s="188"/>
      <c r="P6" s="188"/>
      <c r="Q6" s="188"/>
      <c r="R6" s="188"/>
      <c r="S6" s="151"/>
    </row>
    <row r="7" spans="3:20" ht="20.25" hidden="1" customHeight="1">
      <c r="C7" s="918"/>
      <c r="D7" s="919"/>
      <c r="E7" s="919"/>
      <c r="F7" s="919"/>
      <c r="G7" s="919"/>
      <c r="H7" s="919"/>
      <c r="I7" s="919"/>
      <c r="J7" s="919"/>
      <c r="K7" s="919"/>
      <c r="L7" s="919"/>
      <c r="M7" s="920"/>
      <c r="O7" s="188"/>
      <c r="P7" s="188"/>
      <c r="Q7" s="188"/>
      <c r="R7" s="188"/>
      <c r="S7" s="151"/>
    </row>
    <row r="8" spans="3:20" ht="20.25" hidden="1" customHeight="1">
      <c r="C8" s="918"/>
      <c r="D8" s="919"/>
      <c r="E8" s="919"/>
      <c r="F8" s="919"/>
      <c r="G8" s="919"/>
      <c r="H8" s="919"/>
      <c r="I8" s="919"/>
      <c r="J8" s="919"/>
      <c r="K8" s="919"/>
      <c r="L8" s="919"/>
      <c r="M8" s="920"/>
      <c r="O8" s="188"/>
      <c r="P8" s="188"/>
      <c r="Q8" s="188"/>
      <c r="R8" s="188"/>
      <c r="S8" s="151"/>
    </row>
    <row r="9" spans="3:20" ht="27.25" hidden="1" customHeight="1">
      <c r="C9" s="921"/>
      <c r="D9" s="922"/>
      <c r="E9" s="922"/>
      <c r="F9" s="922"/>
      <c r="G9" s="922"/>
      <c r="H9" s="922"/>
      <c r="I9" s="922"/>
      <c r="J9" s="922"/>
      <c r="K9" s="922"/>
      <c r="L9" s="922"/>
      <c r="M9" s="923"/>
      <c r="O9" s="188"/>
      <c r="P9" s="188"/>
      <c r="Q9" s="188"/>
      <c r="R9" s="188"/>
      <c r="S9" s="151"/>
    </row>
    <row r="10" spans="3:20" ht="12" customHeight="1">
      <c r="C10" s="85"/>
      <c r="D10" s="85"/>
      <c r="E10" s="85"/>
      <c r="F10" s="85"/>
      <c r="G10" s="85"/>
      <c r="H10" s="85"/>
      <c r="I10" s="85"/>
      <c r="J10" s="121"/>
      <c r="K10" s="85"/>
      <c r="L10" s="85"/>
      <c r="M10" s="85"/>
      <c r="P10" s="200"/>
      <c r="R10" s="201"/>
      <c r="T10" s="152"/>
    </row>
    <row r="11" spans="3:20" ht="26.25" customHeight="1">
      <c r="C11" s="924" t="s">
        <v>3</v>
      </c>
      <c r="D11" s="925"/>
      <c r="E11" s="85"/>
      <c r="F11" s="85"/>
      <c r="G11" s="85"/>
      <c r="H11" s="85"/>
      <c r="I11" s="85"/>
      <c r="J11" s="85"/>
      <c r="K11" s="85"/>
      <c r="L11" s="108"/>
      <c r="M11" s="85"/>
      <c r="P11" s="200"/>
      <c r="Q11" s="202"/>
      <c r="R11" s="202"/>
      <c r="S11" s="151"/>
    </row>
    <row r="12" spans="3:20" ht="12" customHeight="1">
      <c r="E12" s="85"/>
      <c r="F12" s="85"/>
      <c r="G12" s="85"/>
      <c r="H12" s="85"/>
      <c r="I12" s="85"/>
      <c r="J12" s="121"/>
      <c r="K12" s="85"/>
      <c r="L12" s="85"/>
      <c r="M12" s="85"/>
      <c r="P12" s="200"/>
      <c r="R12" s="201"/>
      <c r="T12" s="152"/>
    </row>
    <row r="13" spans="3:20" ht="25.5" customHeight="1">
      <c r="C13" s="154" t="s">
        <v>4</v>
      </c>
      <c r="D13" s="154"/>
      <c r="E13" s="85"/>
      <c r="F13" s="85"/>
      <c r="G13" s="85"/>
      <c r="H13" s="85"/>
      <c r="I13" s="85"/>
      <c r="J13" s="85"/>
      <c r="K13" s="85"/>
      <c r="L13" s="85"/>
      <c r="M13" s="85"/>
      <c r="P13" s="200"/>
      <c r="R13" s="201"/>
      <c r="T13" s="152"/>
    </row>
    <row r="14" spans="3:20" ht="12" customHeight="1" thickBot="1">
      <c r="E14" s="85"/>
      <c r="F14" s="85"/>
      <c r="G14" s="85"/>
      <c r="H14" s="85"/>
      <c r="I14" s="85"/>
      <c r="J14" s="85"/>
      <c r="K14" s="85"/>
      <c r="L14" s="85"/>
      <c r="M14" s="85"/>
      <c r="P14" s="200"/>
      <c r="R14" s="201"/>
      <c r="T14" s="152"/>
    </row>
    <row r="15" spans="3:20" ht="42.75" customHeight="1">
      <c r="C15" s="280" t="s">
        <v>5</v>
      </c>
      <c r="D15" s="281" t="s">
        <v>6</v>
      </c>
      <c r="E15" s="85"/>
      <c r="F15" s="85"/>
      <c r="G15" s="85"/>
      <c r="H15" s="85"/>
      <c r="I15" s="85"/>
      <c r="J15" s="85"/>
      <c r="K15" s="85"/>
      <c r="L15" s="85"/>
      <c r="M15" s="85"/>
      <c r="P15" s="200"/>
      <c r="R15" s="201"/>
      <c r="T15" s="152"/>
    </row>
    <row r="16" spans="3:20" ht="33" customHeight="1">
      <c r="C16" s="278" t="s">
        <v>7</v>
      </c>
      <c r="D16" s="282" t="s">
        <v>8</v>
      </c>
      <c r="E16" s="85"/>
      <c r="F16" s="85"/>
      <c r="G16" s="85"/>
      <c r="H16" s="85"/>
      <c r="I16" s="85"/>
      <c r="J16" s="121"/>
      <c r="K16" s="85"/>
      <c r="L16" s="85"/>
      <c r="M16" s="85"/>
      <c r="P16" s="200"/>
      <c r="R16" s="201"/>
      <c r="T16" s="152"/>
    </row>
    <row r="17" spans="3:20" ht="7.5" customHeight="1">
      <c r="C17" s="278"/>
      <c r="D17" s="283"/>
      <c r="E17" s="121"/>
      <c r="F17" s="85"/>
      <c r="G17" s="85"/>
      <c r="H17" s="85"/>
      <c r="I17" s="85"/>
      <c r="J17" s="121"/>
      <c r="K17" s="85"/>
      <c r="L17" s="85"/>
      <c r="M17" s="85"/>
      <c r="P17" s="200"/>
      <c r="R17" s="201"/>
      <c r="T17" s="152"/>
    </row>
    <row r="18" spans="3:20" ht="33" customHeight="1">
      <c r="C18" s="278" t="s">
        <v>19</v>
      </c>
      <c r="D18" s="282" t="s">
        <v>8</v>
      </c>
      <c r="E18" s="85"/>
      <c r="F18" s="85"/>
      <c r="G18" s="85"/>
      <c r="H18" s="85"/>
      <c r="I18" s="85"/>
      <c r="J18" s="121"/>
      <c r="K18" s="85"/>
      <c r="L18" s="85"/>
      <c r="M18" s="85"/>
      <c r="P18" s="200"/>
      <c r="R18" s="201"/>
      <c r="T18" s="152"/>
    </row>
    <row r="19" spans="3:20" ht="7.5" customHeight="1">
      <c r="C19" s="278"/>
      <c r="D19" s="283"/>
      <c r="E19" s="121"/>
      <c r="F19" s="85"/>
      <c r="G19" s="85"/>
      <c r="H19" s="85"/>
      <c r="I19" s="85"/>
      <c r="J19" s="121"/>
      <c r="K19" s="85"/>
      <c r="L19" s="85"/>
      <c r="M19" s="85"/>
      <c r="P19" s="200"/>
      <c r="R19" s="201"/>
      <c r="T19" s="152"/>
    </row>
    <row r="20" spans="3:20" ht="33" customHeight="1" thickBot="1">
      <c r="C20" s="284" t="s">
        <v>88</v>
      </c>
      <c r="D20" s="285" t="s">
        <v>8</v>
      </c>
      <c r="E20" s="85"/>
      <c r="F20" s="85"/>
      <c r="G20" s="85"/>
      <c r="H20" s="85"/>
      <c r="I20" s="85"/>
      <c r="J20" s="121"/>
      <c r="K20" s="85"/>
      <c r="L20" s="85"/>
      <c r="M20" s="85"/>
      <c r="P20" s="200"/>
      <c r="R20" s="201"/>
      <c r="T20" s="152"/>
    </row>
    <row r="21" spans="3:20" ht="12" customHeight="1">
      <c r="C21" s="85"/>
      <c r="D21" s="85"/>
      <c r="E21" s="85"/>
      <c r="F21" s="85"/>
      <c r="G21" s="85"/>
      <c r="H21" s="85"/>
      <c r="I21" s="85"/>
      <c r="J21" s="121"/>
      <c r="K21" s="85"/>
      <c r="L21" s="85"/>
      <c r="M21" s="85"/>
      <c r="P21" s="200"/>
      <c r="R21" s="201"/>
      <c r="T21" s="152"/>
    </row>
    <row r="22" spans="3:20" ht="25.5" customHeight="1">
      <c r="C22" s="880" t="s">
        <v>11</v>
      </c>
      <c r="D22" s="881"/>
      <c r="E22" s="881"/>
      <c r="F22" s="881"/>
      <c r="G22" s="881"/>
      <c r="H22" s="881"/>
      <c r="I22" s="881"/>
      <c r="J22" s="881"/>
      <c r="K22" s="881"/>
      <c r="L22" s="881"/>
      <c r="M22" s="882"/>
      <c r="N22" s="693"/>
      <c r="O22" s="204"/>
      <c r="R22" s="205"/>
      <c r="S22" s="146"/>
      <c r="T22" s="147"/>
    </row>
    <row r="23" spans="3:20" ht="12" customHeight="1" thickBot="1">
      <c r="C23" s="85"/>
      <c r="D23" s="85"/>
      <c r="E23" s="85"/>
      <c r="F23" s="85"/>
      <c r="G23" s="85"/>
      <c r="H23" s="85"/>
      <c r="I23" s="85"/>
      <c r="J23" s="121"/>
      <c r="K23" s="85"/>
      <c r="L23" s="85"/>
      <c r="M23" s="85"/>
      <c r="P23" s="200"/>
      <c r="R23" s="201"/>
      <c r="T23" s="152"/>
    </row>
    <row r="24" spans="3:20" ht="119.5" customHeight="1" thickBot="1">
      <c r="C24" s="265" t="s">
        <v>12</v>
      </c>
      <c r="D24" s="908" t="s">
        <v>13</v>
      </c>
      <c r="E24" s="909"/>
      <c r="F24" s="910"/>
      <c r="G24" s="908" t="s">
        <v>14</v>
      </c>
      <c r="H24" s="909"/>
      <c r="I24" s="910"/>
      <c r="J24" s="908" t="s">
        <v>15</v>
      </c>
      <c r="K24" s="909"/>
      <c r="L24" s="911" t="s">
        <v>16</v>
      </c>
      <c r="M24" s="912"/>
      <c r="N24" s="694"/>
      <c r="O24" s="182"/>
      <c r="P24" s="206"/>
      <c r="R24" s="205"/>
      <c r="S24" s="146"/>
    </row>
    <row r="25" spans="3:20" ht="12" customHeight="1" thickBot="1">
      <c r="C25" s="85"/>
      <c r="D25" s="85"/>
      <c r="E25" s="85"/>
      <c r="F25" s="85"/>
      <c r="G25" s="85"/>
      <c r="H25" s="85"/>
      <c r="I25" s="85"/>
      <c r="J25" s="121"/>
      <c r="K25" s="85"/>
      <c r="L25" s="85"/>
      <c r="M25" s="85"/>
      <c r="P25" s="200"/>
      <c r="R25" s="201"/>
      <c r="T25" s="152"/>
    </row>
    <row r="26" spans="3:20" ht="25.5" customHeight="1" thickBot="1">
      <c r="C26" s="238" t="s">
        <v>17</v>
      </c>
      <c r="D26" s="896">
        <v>2026</v>
      </c>
      <c r="E26" s="897"/>
      <c r="F26" s="897"/>
      <c r="G26" s="897"/>
      <c r="H26" s="897"/>
      <c r="I26" s="897"/>
      <c r="J26" s="897"/>
      <c r="K26" s="898"/>
      <c r="L26" s="839" t="s">
        <v>18</v>
      </c>
      <c r="M26" s="833"/>
      <c r="N26" s="703"/>
      <c r="O26" s="207"/>
      <c r="R26" s="181"/>
      <c r="T26" s="137"/>
    </row>
    <row r="27" spans="3:20" ht="12" customHeight="1" thickBot="1">
      <c r="C27" s="85"/>
      <c r="D27" s="85"/>
      <c r="E27" s="85"/>
      <c r="F27" s="85"/>
      <c r="G27" s="85"/>
      <c r="H27" s="85"/>
      <c r="I27" s="85"/>
      <c r="J27" s="121"/>
      <c r="K27" s="85"/>
      <c r="L27" s="85"/>
      <c r="M27" s="85"/>
      <c r="P27" s="200"/>
      <c r="R27" s="201"/>
      <c r="T27" s="152"/>
    </row>
    <row r="28" spans="3:20" ht="12" hidden="1" customHeight="1" thickBot="1">
      <c r="C28" s="85"/>
      <c r="D28" s="85"/>
      <c r="E28" s="85"/>
      <c r="F28" s="85"/>
      <c r="G28" s="85"/>
      <c r="H28" s="85"/>
      <c r="I28" s="85"/>
      <c r="J28" s="121"/>
      <c r="K28" s="85"/>
      <c r="L28" s="85"/>
      <c r="M28" s="85"/>
      <c r="P28" s="200"/>
      <c r="R28" s="201"/>
      <c r="T28" s="152"/>
    </row>
    <row r="29" spans="3:20" ht="27.75" customHeight="1" thickBot="1">
      <c r="C29" s="899" t="s">
        <v>5</v>
      </c>
      <c r="D29" s="901" t="s">
        <v>7</v>
      </c>
      <c r="E29" s="902"/>
      <c r="F29" s="903"/>
      <c r="G29" s="901" t="s">
        <v>19</v>
      </c>
      <c r="H29" s="902"/>
      <c r="I29" s="903"/>
      <c r="J29" s="260" t="s">
        <v>7</v>
      </c>
      <c r="K29" s="261" t="s">
        <v>19</v>
      </c>
      <c r="L29" s="889" t="s">
        <v>89</v>
      </c>
      <c r="M29" s="871"/>
      <c r="N29" s="703"/>
      <c r="O29" s="207"/>
      <c r="R29" s="208"/>
      <c r="T29" s="148"/>
    </row>
    <row r="30" spans="3:20" ht="24.75" customHeight="1" thickBot="1">
      <c r="C30" s="900"/>
      <c r="D30" s="905">
        <v>150000</v>
      </c>
      <c r="E30" s="906"/>
      <c r="F30" s="907"/>
      <c r="G30" s="905">
        <v>140000</v>
      </c>
      <c r="H30" s="906"/>
      <c r="I30" s="907"/>
      <c r="J30" s="258">
        <f>IF($D$20="Yes",D$30,IF($D$20="No",0))</f>
        <v>150000</v>
      </c>
      <c r="K30" s="259">
        <f>J30-(J30*J37)</f>
        <v>75000</v>
      </c>
      <c r="L30" s="904"/>
      <c r="M30" s="875"/>
      <c r="N30" s="703"/>
      <c r="O30" s="207"/>
      <c r="R30" s="208"/>
      <c r="T30" s="148"/>
    </row>
    <row r="31" spans="3:20" ht="30" hidden="1" customHeight="1">
      <c r="C31" s="251" t="s">
        <v>21</v>
      </c>
      <c r="D31" s="253">
        <v>12</v>
      </c>
      <c r="E31" s="249"/>
      <c r="F31" s="254"/>
      <c r="G31" s="253">
        <v>6</v>
      </c>
      <c r="H31" s="249"/>
      <c r="I31" s="254"/>
      <c r="J31" s="233">
        <f>D31</f>
        <v>12</v>
      </c>
      <c r="K31" s="236">
        <f>G31</f>
        <v>6</v>
      </c>
      <c r="L31" s="889" t="s">
        <v>22</v>
      </c>
      <c r="M31" s="871"/>
      <c r="N31" s="703"/>
      <c r="O31" s="207"/>
      <c r="R31" s="208"/>
      <c r="T31" s="148"/>
    </row>
    <row r="32" spans="3:20" ht="32.25" hidden="1" customHeight="1" thickBot="1">
      <c r="C32" s="252" t="s">
        <v>23</v>
      </c>
      <c r="D32" s="255">
        <v>0.7</v>
      </c>
      <c r="E32" s="250"/>
      <c r="F32" s="256"/>
      <c r="G32" s="255">
        <v>1</v>
      </c>
      <c r="H32" s="250"/>
      <c r="I32" s="256"/>
      <c r="J32" s="257">
        <f>D32</f>
        <v>0.7</v>
      </c>
      <c r="K32" s="235">
        <f>G32</f>
        <v>1</v>
      </c>
      <c r="L32" s="889" t="s">
        <v>24</v>
      </c>
      <c r="M32" s="871"/>
      <c r="N32" s="703"/>
      <c r="O32" s="207"/>
      <c r="R32" s="208"/>
      <c r="T32" s="148"/>
    </row>
    <row r="33" spans="3:20" ht="25.5" hidden="1" customHeight="1" thickBot="1">
      <c r="C33" s="247" t="s">
        <v>25</v>
      </c>
      <c r="D33" s="890">
        <f>D30*(D31/12)*D32</f>
        <v>105000</v>
      </c>
      <c r="E33" s="891"/>
      <c r="F33" s="892"/>
      <c r="G33" s="890">
        <f t="shared" ref="G33" si="0">G30*(G31/12)*G32</f>
        <v>70000</v>
      </c>
      <c r="H33" s="891"/>
      <c r="I33" s="892"/>
      <c r="J33" s="248">
        <f>J30*(J31/12)*J32</f>
        <v>105000</v>
      </c>
      <c r="K33" s="248">
        <f>K30*(K31/12)*K32</f>
        <v>37500</v>
      </c>
      <c r="L33" s="246"/>
      <c r="M33" s="245"/>
      <c r="N33" s="703"/>
      <c r="O33" s="207"/>
      <c r="R33" s="209"/>
      <c r="T33" s="149"/>
    </row>
    <row r="34" spans="3:20" ht="25.5" customHeight="1" thickBot="1">
      <c r="C34" s="240" t="s">
        <v>26</v>
      </c>
      <c r="D34" s="893">
        <v>0.02</v>
      </c>
      <c r="E34" s="894"/>
      <c r="F34" s="894"/>
      <c r="G34" s="893">
        <v>0.02</v>
      </c>
      <c r="H34" s="894"/>
      <c r="I34" s="895"/>
      <c r="J34" s="239">
        <v>0.02</v>
      </c>
      <c r="K34" s="239">
        <v>0.02</v>
      </c>
      <c r="L34" s="839" t="s">
        <v>27</v>
      </c>
      <c r="M34" s="833"/>
      <c r="N34" s="703"/>
      <c r="O34" s="207"/>
      <c r="R34" s="209"/>
      <c r="T34" s="149"/>
    </row>
    <row r="35" spans="3:20" ht="12" customHeight="1" thickBot="1">
      <c r="C35" s="85"/>
      <c r="D35" s="85"/>
      <c r="E35" s="85"/>
      <c r="F35" s="85"/>
      <c r="G35" s="85"/>
      <c r="H35" s="85"/>
      <c r="I35" s="85"/>
      <c r="J35" s="121"/>
      <c r="K35" s="85"/>
      <c r="L35" s="85"/>
      <c r="M35" s="85"/>
      <c r="P35" s="200"/>
      <c r="R35" s="201"/>
      <c r="T35" s="152"/>
    </row>
    <row r="36" spans="3:20" ht="25.5" customHeight="1" thickBot="1">
      <c r="C36" s="262" t="s">
        <v>28</v>
      </c>
      <c r="D36" s="242"/>
      <c r="E36" s="242"/>
      <c r="F36" s="242"/>
      <c r="G36" s="242"/>
      <c r="H36" s="242"/>
      <c r="I36" s="242"/>
      <c r="J36" s="242"/>
      <c r="K36" s="243"/>
      <c r="L36" s="839" t="s">
        <v>29</v>
      </c>
      <c r="M36" s="833"/>
      <c r="N36" s="703"/>
      <c r="O36" s="207"/>
      <c r="R36" s="209"/>
      <c r="T36" s="149"/>
    </row>
    <row r="37" spans="3:20" ht="24.75" customHeight="1">
      <c r="C37" s="237">
        <v>2026</v>
      </c>
      <c r="D37" s="868">
        <v>0.5</v>
      </c>
      <c r="E37" s="869"/>
      <c r="F37" s="869"/>
      <c r="G37" s="868">
        <v>0.5</v>
      </c>
      <c r="H37" s="869"/>
      <c r="I37" s="869"/>
      <c r="J37" s="241">
        <v>0.5</v>
      </c>
      <c r="K37" s="234">
        <v>0.5</v>
      </c>
      <c r="L37" s="870" t="s">
        <v>30</v>
      </c>
      <c r="M37" s="871"/>
      <c r="N37" s="178"/>
      <c r="O37" s="232"/>
      <c r="R37" s="209"/>
      <c r="T37" s="149"/>
    </row>
    <row r="38" spans="3:20" ht="25.5" customHeight="1">
      <c r="C38" s="165">
        <v>2027</v>
      </c>
      <c r="D38" s="876">
        <v>0.55000000000000004</v>
      </c>
      <c r="E38" s="877"/>
      <c r="F38" s="877"/>
      <c r="G38" s="876">
        <v>0.55000000000000004</v>
      </c>
      <c r="H38" s="877"/>
      <c r="I38" s="877"/>
      <c r="J38" s="163">
        <v>0.55000000000000004</v>
      </c>
      <c r="K38" s="162">
        <v>0.55000000000000004</v>
      </c>
      <c r="L38" s="872"/>
      <c r="M38" s="873"/>
      <c r="N38" s="178"/>
      <c r="O38" s="244"/>
      <c r="R38" s="209"/>
      <c r="T38" s="149"/>
    </row>
    <row r="39" spans="3:20" ht="24" customHeight="1">
      <c r="C39" s="165">
        <v>2028</v>
      </c>
      <c r="D39" s="876">
        <v>0.78</v>
      </c>
      <c r="E39" s="877"/>
      <c r="F39" s="877"/>
      <c r="G39" s="876">
        <v>0.78</v>
      </c>
      <c r="H39" s="877"/>
      <c r="I39" s="877"/>
      <c r="J39" s="163">
        <v>0.78</v>
      </c>
      <c r="K39" s="162">
        <v>0.78</v>
      </c>
      <c r="L39" s="872"/>
      <c r="M39" s="873"/>
      <c r="N39" s="178"/>
      <c r="O39" s="210"/>
      <c r="R39" s="209"/>
      <c r="T39" s="149"/>
    </row>
    <row r="40" spans="3:20" ht="24" customHeight="1">
      <c r="C40" s="165">
        <v>2029</v>
      </c>
      <c r="D40" s="876">
        <v>0.85</v>
      </c>
      <c r="E40" s="877"/>
      <c r="F40" s="877"/>
      <c r="G40" s="876">
        <v>0.85</v>
      </c>
      <c r="H40" s="877"/>
      <c r="I40" s="877"/>
      <c r="J40" s="163">
        <v>0.85</v>
      </c>
      <c r="K40" s="162">
        <v>0.85</v>
      </c>
      <c r="L40" s="872"/>
      <c r="M40" s="873"/>
      <c r="N40" s="178"/>
      <c r="O40" s="210"/>
      <c r="R40" s="209"/>
      <c r="T40" s="149"/>
    </row>
    <row r="41" spans="3:20" ht="24" customHeight="1" thickBot="1">
      <c r="C41" s="166">
        <v>2030</v>
      </c>
      <c r="D41" s="878">
        <v>0.9</v>
      </c>
      <c r="E41" s="879"/>
      <c r="F41" s="879"/>
      <c r="G41" s="878">
        <v>0.9</v>
      </c>
      <c r="H41" s="879"/>
      <c r="I41" s="879"/>
      <c r="J41" s="164">
        <v>0.9</v>
      </c>
      <c r="K41" s="167">
        <v>0.9</v>
      </c>
      <c r="L41" s="874"/>
      <c r="M41" s="875"/>
      <c r="N41" s="178"/>
      <c r="O41" s="210"/>
      <c r="R41" s="209"/>
      <c r="T41" s="149"/>
    </row>
    <row r="42" spans="3:20" ht="12" customHeight="1">
      <c r="C42" s="85"/>
      <c r="D42" s="85"/>
      <c r="E42" s="85"/>
      <c r="F42" s="85"/>
      <c r="G42" s="85"/>
      <c r="H42" s="85"/>
      <c r="I42" s="85"/>
      <c r="J42" s="121"/>
      <c r="K42" s="85"/>
      <c r="L42" s="85"/>
      <c r="M42" s="85"/>
      <c r="P42" s="200"/>
      <c r="R42" s="201"/>
      <c r="T42" s="152"/>
    </row>
    <row r="43" spans="3:20" ht="25.5" customHeight="1">
      <c r="C43" s="880" t="s">
        <v>31</v>
      </c>
      <c r="D43" s="881"/>
      <c r="E43" s="881"/>
      <c r="F43" s="881"/>
      <c r="G43" s="881"/>
      <c r="H43" s="881"/>
      <c r="I43" s="881"/>
      <c r="J43" s="881"/>
      <c r="K43" s="881"/>
      <c r="L43" s="881"/>
      <c r="M43" s="882"/>
      <c r="N43" s="693"/>
      <c r="O43" s="204"/>
      <c r="P43" s="200"/>
      <c r="R43" s="201"/>
      <c r="T43" s="152"/>
    </row>
    <row r="44" spans="3:20" ht="12" customHeight="1" thickBot="1">
      <c r="C44" s="85"/>
      <c r="D44" s="85"/>
      <c r="E44" s="85"/>
      <c r="F44" s="85"/>
      <c r="G44" s="85"/>
      <c r="H44" s="85"/>
      <c r="I44" s="85"/>
      <c r="J44" s="121"/>
      <c r="K44" s="85"/>
      <c r="L44" s="85"/>
      <c r="M44" s="85"/>
      <c r="P44" s="200"/>
      <c r="R44" s="201"/>
      <c r="T44" s="152"/>
    </row>
    <row r="45" spans="3:20" ht="32.25" customHeight="1">
      <c r="C45" s="286" t="s">
        <v>32</v>
      </c>
      <c r="D45" s="287" t="s">
        <v>8</v>
      </c>
      <c r="E45" s="945" t="s">
        <v>33</v>
      </c>
      <c r="F45" s="946"/>
      <c r="G45" s="946"/>
      <c r="H45" s="946"/>
      <c r="I45" s="946"/>
      <c r="J45" s="946"/>
      <c r="K45" s="946"/>
      <c r="L45" s="946"/>
      <c r="M45" s="947"/>
      <c r="N45" s="225"/>
      <c r="O45" s="211"/>
      <c r="P45" s="200"/>
      <c r="R45" s="201"/>
      <c r="T45" s="152"/>
    </row>
    <row r="46" spans="3:20" ht="12" customHeight="1">
      <c r="C46" s="288"/>
      <c r="D46" s="85"/>
      <c r="E46" s="85"/>
      <c r="F46" s="85"/>
      <c r="G46" s="85"/>
      <c r="H46" s="85"/>
      <c r="I46" s="85"/>
      <c r="J46" s="121"/>
      <c r="K46" s="85"/>
      <c r="L46" s="85"/>
      <c r="M46" s="289"/>
      <c r="P46" s="200"/>
      <c r="R46" s="201"/>
      <c r="T46" s="152"/>
    </row>
    <row r="47" spans="3:20" ht="57" customHeight="1">
      <c r="C47" s="290" t="s">
        <v>34</v>
      </c>
      <c r="D47" s="169" t="s">
        <v>35</v>
      </c>
      <c r="E47" s="948" t="s">
        <v>36</v>
      </c>
      <c r="F47" s="949"/>
      <c r="G47" s="949"/>
      <c r="H47" s="949"/>
      <c r="I47" s="949"/>
      <c r="J47" s="949"/>
      <c r="K47" s="949"/>
      <c r="L47" s="949"/>
      <c r="M47" s="950"/>
      <c r="N47" s="692"/>
      <c r="O47" s="212"/>
      <c r="P47" s="200"/>
      <c r="R47" s="201"/>
      <c r="T47" s="152"/>
    </row>
    <row r="48" spans="3:20" ht="25.5" customHeight="1">
      <c r="C48" s="291" t="s">
        <v>37</v>
      </c>
      <c r="D48" s="696"/>
      <c r="E48" s="696"/>
      <c r="F48" s="696"/>
      <c r="G48" s="696"/>
      <c r="H48" s="696"/>
      <c r="I48" s="696"/>
      <c r="J48" s="696"/>
      <c r="K48" s="696"/>
      <c r="L48" s="696"/>
      <c r="M48" s="292"/>
      <c r="P48" s="200"/>
      <c r="R48" s="201"/>
      <c r="T48" s="152"/>
    </row>
    <row r="49" spans="1:35" ht="25.5" customHeight="1">
      <c r="C49" s="293">
        <f>D26</f>
        <v>2026</v>
      </c>
      <c r="D49" s="189">
        <v>0.2</v>
      </c>
      <c r="E49" s="859" t="s">
        <v>38</v>
      </c>
      <c r="F49" s="860"/>
      <c r="G49" s="860"/>
      <c r="H49" s="860"/>
      <c r="I49" s="860"/>
      <c r="J49" s="860"/>
      <c r="K49" s="860"/>
      <c r="L49" s="860"/>
      <c r="M49" s="942"/>
      <c r="N49" s="692"/>
      <c r="O49" s="212"/>
      <c r="P49" s="200"/>
      <c r="R49" s="201"/>
      <c r="T49" s="152"/>
    </row>
    <row r="50" spans="1:35" ht="25.5" customHeight="1">
      <c r="C50" s="251">
        <f>$D$26+1</f>
        <v>2027</v>
      </c>
      <c r="D50" s="189">
        <v>0.25</v>
      </c>
      <c r="E50" s="862"/>
      <c r="F50" s="863"/>
      <c r="G50" s="863"/>
      <c r="H50" s="863"/>
      <c r="I50" s="863"/>
      <c r="J50" s="863"/>
      <c r="K50" s="863"/>
      <c r="L50" s="863"/>
      <c r="M50" s="943"/>
      <c r="N50" s="692"/>
      <c r="O50" s="212"/>
      <c r="P50" s="200"/>
      <c r="R50" s="201"/>
      <c r="T50" s="152"/>
    </row>
    <row r="51" spans="1:35" ht="25.5" customHeight="1">
      <c r="C51" s="251">
        <f>$D$26+2</f>
        <v>2028</v>
      </c>
      <c r="D51" s="189">
        <v>0.3</v>
      </c>
      <c r="E51" s="862"/>
      <c r="F51" s="863"/>
      <c r="G51" s="863"/>
      <c r="H51" s="863"/>
      <c r="I51" s="863"/>
      <c r="J51" s="863"/>
      <c r="K51" s="863"/>
      <c r="L51" s="863"/>
      <c r="M51" s="943"/>
      <c r="N51" s="692"/>
      <c r="O51" s="212"/>
      <c r="P51" s="200"/>
      <c r="R51" s="201"/>
      <c r="T51" s="152"/>
    </row>
    <row r="52" spans="1:35" ht="25.5" customHeight="1">
      <c r="C52" s="251">
        <f>$D$26+3</f>
        <v>2029</v>
      </c>
      <c r="D52" s="189">
        <v>0.35</v>
      </c>
      <c r="E52" s="862"/>
      <c r="F52" s="863"/>
      <c r="G52" s="863"/>
      <c r="H52" s="863"/>
      <c r="I52" s="863"/>
      <c r="J52" s="863"/>
      <c r="K52" s="863"/>
      <c r="L52" s="863"/>
      <c r="M52" s="943"/>
      <c r="N52" s="692"/>
      <c r="O52" s="212"/>
      <c r="P52" s="200"/>
      <c r="R52" s="201"/>
      <c r="T52" s="152"/>
    </row>
    <row r="53" spans="1:35" ht="25.5" customHeight="1">
      <c r="C53" s="251">
        <f>$D$26+4</f>
        <v>2030</v>
      </c>
      <c r="D53" s="189">
        <v>0.45</v>
      </c>
      <c r="E53" s="865"/>
      <c r="F53" s="866"/>
      <c r="G53" s="866"/>
      <c r="H53" s="866"/>
      <c r="I53" s="866"/>
      <c r="J53" s="866"/>
      <c r="K53" s="866"/>
      <c r="L53" s="866"/>
      <c r="M53" s="944"/>
      <c r="N53" s="692"/>
      <c r="O53" s="212"/>
      <c r="P53" s="200"/>
      <c r="R53" s="201"/>
      <c r="T53" s="152"/>
    </row>
    <row r="54" spans="1:35" ht="46.5" customHeight="1" thickBot="1">
      <c r="C54" s="932" t="s">
        <v>39</v>
      </c>
      <c r="D54" s="933"/>
      <c r="E54" s="934"/>
      <c r="F54" s="934"/>
      <c r="G54" s="934"/>
      <c r="H54" s="934"/>
      <c r="I54" s="934"/>
      <c r="J54" s="934"/>
      <c r="K54" s="934"/>
      <c r="L54" s="294"/>
      <c r="M54" s="295"/>
      <c r="O54" s="231"/>
      <c r="P54" s="200"/>
      <c r="R54" s="201"/>
      <c r="T54" s="152"/>
    </row>
    <row r="55" spans="1:35" ht="12" customHeight="1">
      <c r="C55" s="85"/>
      <c r="D55" s="85"/>
      <c r="E55" s="85"/>
      <c r="F55" s="85"/>
      <c r="G55" s="85"/>
      <c r="H55" s="85"/>
      <c r="I55" s="85"/>
      <c r="J55" s="121"/>
      <c r="K55" s="85"/>
      <c r="L55" s="85"/>
      <c r="M55" s="85"/>
      <c r="P55" s="200"/>
      <c r="R55" s="201"/>
      <c r="T55" s="152"/>
    </row>
    <row r="56" spans="1:35" ht="25.5" customHeight="1">
      <c r="C56" s="190" t="s">
        <v>40</v>
      </c>
      <c r="D56" s="159"/>
      <c r="E56" s="159"/>
      <c r="F56" s="159"/>
      <c r="G56" s="159"/>
      <c r="H56" s="159"/>
      <c r="I56" s="159"/>
      <c r="J56" s="159"/>
      <c r="K56" s="159"/>
      <c r="L56" s="159"/>
      <c r="M56" s="160"/>
      <c r="N56" s="147"/>
      <c r="O56" s="213"/>
      <c r="P56" s="213"/>
      <c r="Q56" s="213"/>
      <c r="R56" s="213"/>
      <c r="S56" s="146"/>
      <c r="T56" s="146"/>
      <c r="U56" s="146"/>
      <c r="V56" s="146"/>
      <c r="W56" s="146"/>
      <c r="Y56" s="848"/>
      <c r="Z56" s="848"/>
      <c r="AA56" s="848"/>
      <c r="AB56" s="848"/>
      <c r="AC56" s="848"/>
      <c r="AD56" s="848"/>
      <c r="AE56" s="848"/>
      <c r="AF56" s="848"/>
      <c r="AG56" s="848"/>
      <c r="AH56" s="848"/>
      <c r="AI56" s="848"/>
    </row>
    <row r="57" spans="1:35">
      <c r="C57" s="106" t="s">
        <v>41</v>
      </c>
      <c r="D57" s="85"/>
      <c r="E57" s="85"/>
      <c r="F57" s="85"/>
      <c r="G57" s="107" t="s">
        <v>42</v>
      </c>
      <c r="H57" s="107"/>
      <c r="I57" s="107"/>
      <c r="J57" s="85"/>
      <c r="K57" s="85"/>
      <c r="L57" s="85"/>
      <c r="M57" s="85"/>
      <c r="N57" s="161" t="s">
        <v>43</v>
      </c>
    </row>
    <row r="58" spans="1:35">
      <c r="C58" s="106"/>
      <c r="D58" s="85"/>
      <c r="E58" s="85"/>
      <c r="F58" s="85"/>
      <c r="G58" s="85"/>
      <c r="H58" s="85"/>
      <c r="I58" s="85"/>
      <c r="J58" s="85"/>
      <c r="K58" s="85"/>
      <c r="L58" s="85"/>
      <c r="M58" s="85"/>
    </row>
    <row r="59" spans="1:35" ht="25.5" customHeight="1">
      <c r="C59" s="185" t="s">
        <v>44</v>
      </c>
      <c r="D59" s="186"/>
      <c r="E59" s="186"/>
      <c r="F59" s="186"/>
      <c r="G59" s="186"/>
      <c r="H59" s="186"/>
      <c r="I59" s="186"/>
      <c r="J59" s="186"/>
      <c r="K59" s="186"/>
      <c r="L59" s="186"/>
      <c r="M59" s="187"/>
      <c r="N59" s="191"/>
      <c r="O59" s="176"/>
      <c r="P59" s="176"/>
      <c r="Q59" s="176"/>
      <c r="R59" s="182"/>
      <c r="S59" s="694"/>
      <c r="T59" s="694"/>
      <c r="U59" s="694"/>
      <c r="V59" s="694"/>
      <c r="W59" s="694"/>
      <c r="Y59" s="836"/>
      <c r="Z59" s="836"/>
      <c r="AA59" s="836"/>
      <c r="AB59" s="836"/>
      <c r="AC59" s="836"/>
      <c r="AD59" s="836"/>
      <c r="AE59" s="836"/>
      <c r="AF59" s="836"/>
      <c r="AG59" s="836"/>
      <c r="AH59" s="836"/>
      <c r="AI59" s="836"/>
    </row>
    <row r="60" spans="1:35" ht="7.5" customHeight="1" thickBot="1">
      <c r="C60" s="106"/>
      <c r="D60" s="85"/>
      <c r="E60" s="85"/>
      <c r="F60" s="85"/>
      <c r="G60" s="85"/>
      <c r="H60" s="85"/>
      <c r="I60" s="85"/>
      <c r="J60" s="85"/>
      <c r="K60" s="85"/>
      <c r="L60" s="85"/>
      <c r="M60" s="85"/>
    </row>
    <row r="61" spans="1:35" s="113" customFormat="1" ht="108.75" customHeight="1">
      <c r="A61" s="85"/>
      <c r="B61" s="85"/>
      <c r="C61" s="296" t="s">
        <v>45</v>
      </c>
      <c r="D61" s="935" t="s">
        <v>90</v>
      </c>
      <c r="E61" s="936"/>
      <c r="F61" s="936"/>
      <c r="G61" s="935" t="s">
        <v>91</v>
      </c>
      <c r="H61" s="936"/>
      <c r="I61" s="937"/>
      <c r="J61" s="938" t="s">
        <v>48</v>
      </c>
      <c r="K61" s="939"/>
      <c r="L61" s="940" t="s">
        <v>16</v>
      </c>
      <c r="M61" s="854"/>
      <c r="N61" s="86"/>
      <c r="R61" s="175"/>
      <c r="S61" s="182"/>
      <c r="T61" s="175"/>
      <c r="U61" s="182"/>
      <c r="W61" s="182"/>
      <c r="X61" s="175"/>
      <c r="Y61" s="175"/>
      <c r="Z61" s="182"/>
      <c r="AA61" s="182"/>
      <c r="AC61" s="176"/>
    </row>
    <row r="62" spans="1:35" s="113" customFormat="1" ht="56.25" hidden="1" customHeight="1">
      <c r="A62" s="85"/>
      <c r="B62" s="85"/>
      <c r="C62" s="297"/>
      <c r="D62" s="695" t="s">
        <v>49</v>
      </c>
      <c r="E62" s="695" t="s">
        <v>50</v>
      </c>
      <c r="F62" s="695" t="s">
        <v>51</v>
      </c>
      <c r="G62" s="100"/>
      <c r="H62" s="695"/>
      <c r="I62" s="695"/>
      <c r="J62" s="695"/>
      <c r="K62" s="298"/>
      <c r="L62" s="836"/>
      <c r="M62" s="856"/>
      <c r="N62" s="86"/>
      <c r="R62" s="175"/>
      <c r="S62" s="182"/>
      <c r="T62" s="175"/>
      <c r="U62" s="182"/>
      <c r="W62" s="182"/>
      <c r="X62" s="175"/>
      <c r="Y62" s="175"/>
      <c r="Z62" s="182"/>
      <c r="AA62" s="182"/>
      <c r="AC62" s="176"/>
    </row>
    <row r="63" spans="1:35" ht="36.75" customHeight="1">
      <c r="C63" s="291" t="s">
        <v>52</v>
      </c>
      <c r="D63" s="169" t="s">
        <v>53</v>
      </c>
      <c r="E63" s="169" t="s">
        <v>55</v>
      </c>
      <c r="F63" s="169" t="s">
        <v>55</v>
      </c>
      <c r="G63" s="169" t="s">
        <v>56</v>
      </c>
      <c r="H63" s="169" t="s">
        <v>57</v>
      </c>
      <c r="I63" s="169" t="s">
        <v>58</v>
      </c>
      <c r="J63" s="169" t="s">
        <v>53</v>
      </c>
      <c r="K63" s="299" t="s">
        <v>56</v>
      </c>
      <c r="L63" s="941"/>
      <c r="M63" s="858"/>
      <c r="R63" s="214"/>
      <c r="S63" s="136"/>
      <c r="T63" s="137"/>
      <c r="U63" s="137"/>
      <c r="W63" s="694"/>
      <c r="X63" s="701"/>
      <c r="Z63" s="701"/>
      <c r="AB63" s="701"/>
    </row>
    <row r="64" spans="1:35" ht="48.75" customHeight="1">
      <c r="C64" s="300"/>
      <c r="D64" s="120" t="str">
        <f>IF(D63=Data!$A$13, "! This product is not available for Gavi countries !"," ")</f>
        <v xml:space="preserve"> </v>
      </c>
      <c r="E64" s="120" t="str">
        <f>IF(E63=Data!$A$13, "! This product is not available for Gavi countries !"," ")</f>
        <v xml:space="preserve"> </v>
      </c>
      <c r="F64" s="120" t="str">
        <f>IF(F63=Data!$A$13, "! This product is not available for Gavi countries !"," ")</f>
        <v xml:space="preserve"> </v>
      </c>
      <c r="G64" s="120" t="str">
        <f>IF(G63=Data!$A$13, "! This product is not available for Gavi countries !"," ")</f>
        <v xml:space="preserve"> </v>
      </c>
      <c r="H64" s="120" t="str">
        <f>IF(H63=Data!$A$13, "! This product is not available for Gavi countries !"," ")</f>
        <v xml:space="preserve"> </v>
      </c>
      <c r="I64" s="120" t="str">
        <f>IF(I63=Data!$A$13, "! This product is not available for Gavi countries !"," ")</f>
        <v xml:space="preserve"> </v>
      </c>
      <c r="J64" s="120"/>
      <c r="K64" s="301"/>
      <c r="L64" s="85"/>
      <c r="M64" s="85"/>
      <c r="N64" s="161"/>
      <c r="R64" s="177"/>
      <c r="S64" s="130"/>
      <c r="T64" s="138"/>
      <c r="U64" s="136"/>
      <c r="X64" s="701"/>
      <c r="Z64" s="701"/>
      <c r="AB64" s="701"/>
    </row>
    <row r="65" spans="1:351" ht="20.25" customHeight="1">
      <c r="C65" s="302" t="s">
        <v>59</v>
      </c>
      <c r="D65" s="269">
        <v>3</v>
      </c>
      <c r="E65" s="97" t="s">
        <v>60</v>
      </c>
      <c r="F65" s="270" t="s">
        <v>60</v>
      </c>
      <c r="G65" s="268">
        <v>3</v>
      </c>
      <c r="H65" s="97" t="s">
        <v>60</v>
      </c>
      <c r="I65" s="270" t="s">
        <v>60</v>
      </c>
      <c r="J65" s="97">
        <v>3</v>
      </c>
      <c r="K65" s="303">
        <v>3</v>
      </c>
      <c r="L65" s="929" t="s">
        <v>92</v>
      </c>
      <c r="M65" s="930"/>
      <c r="N65" s="161"/>
      <c r="R65" s="215"/>
      <c r="S65" s="131"/>
      <c r="T65" s="130"/>
      <c r="U65" s="130"/>
      <c r="W65" s="703"/>
      <c r="X65" s="701"/>
      <c r="Z65" s="701"/>
      <c r="AB65" s="701"/>
    </row>
    <row r="66" spans="1:351" ht="20.25" customHeight="1">
      <c r="C66" s="304" t="s">
        <v>62</v>
      </c>
      <c r="D66" s="272">
        <f>IFERROR(INDEX(Data!$A$2:$E$9,MATCH(D63,Data!$A$2:$A$9,0),2),"-")</f>
        <v>3.5</v>
      </c>
      <c r="E66" s="276">
        <f>IFERROR(INDEX(Data!$A$2:$E$9,MATCH(E63,Data!$A$2:$A$9,0),2),"-")</f>
        <v>3</v>
      </c>
      <c r="F66" s="273">
        <f>IFERROR(INDEX(Data!$A$2:$E$9,MATCH(F63,Data!$A$2:$A$9,0),2),"-")</f>
        <v>3</v>
      </c>
      <c r="G66" s="271">
        <f>IFERROR(INDEX(Data!$A$2:$E$9,MATCH(G63,Data!$A$2:$A$9,0),2),"-")</f>
        <v>20</v>
      </c>
      <c r="H66" s="276" t="str">
        <f>IFERROR(INDEX(Data!$A$2:$E$9,MATCH(H63,Data!$A$2:$A$9,0),2),"-")</f>
        <v>-</v>
      </c>
      <c r="I66" s="273">
        <f>IFERROR(INDEX(Data!$A$2:$E$9,MATCH(I63,Data!$A$2:$A$9,0),2),"-")</f>
        <v>50</v>
      </c>
      <c r="J66" s="276">
        <f>IFERROR(INDEX(Data!$A$2:$E$9,MATCH(J63,Data!$A$2:$A$9,0),2),"-")</f>
        <v>3.5</v>
      </c>
      <c r="K66" s="305">
        <f>IFERROR(INDEX(Data!$A$2:$E$9,MATCH(K63,Data!$A$2:$A$9,0),2),"-")</f>
        <v>20</v>
      </c>
      <c r="L66" s="929" t="s">
        <v>93</v>
      </c>
      <c r="M66" s="930"/>
      <c r="N66" s="161"/>
      <c r="R66" s="215"/>
      <c r="S66" s="131"/>
      <c r="T66" s="130"/>
      <c r="U66" s="130"/>
      <c r="W66" s="703"/>
      <c r="X66" s="701"/>
      <c r="Z66" s="701"/>
      <c r="AB66" s="701"/>
    </row>
    <row r="67" spans="1:351" ht="15.75" customHeight="1" outlineLevel="1">
      <c r="C67" s="306" t="s">
        <v>63</v>
      </c>
      <c r="D67" s="267"/>
      <c r="E67" s="267"/>
      <c r="F67" s="267"/>
      <c r="G67" s="267"/>
      <c r="H67" s="267"/>
      <c r="I67" s="267"/>
      <c r="J67" s="267"/>
      <c r="K67" s="307"/>
      <c r="L67" s="840"/>
      <c r="M67" s="841"/>
      <c r="R67" s="215"/>
      <c r="S67" s="132"/>
      <c r="T67" s="130"/>
      <c r="U67" s="131"/>
      <c r="W67" s="103"/>
      <c r="X67" s="103"/>
      <c r="Z67" s="103"/>
      <c r="AB67" s="103"/>
    </row>
    <row r="68" spans="1:351" ht="15.5" outlineLevel="1">
      <c r="C68" s="308">
        <f>$D$26</f>
        <v>2026</v>
      </c>
      <c r="D68" s="193">
        <f t="shared" ref="D68:K72" si="1">IFERROR(IF($D$45="No",D$65,IF($D$47="Other transition phase",$D49*D$65,IF(AND(D$73 =3,$D$47 = "Initial self-financing phase"),0.13,0.2))),"-")</f>
        <v>0.60000000000000009</v>
      </c>
      <c r="E68" s="193" t="str">
        <f t="shared" si="1"/>
        <v>-</v>
      </c>
      <c r="F68" s="193" t="str">
        <f t="shared" si="1"/>
        <v>-</v>
      </c>
      <c r="G68" s="193">
        <f t="shared" si="1"/>
        <v>0.60000000000000009</v>
      </c>
      <c r="H68" s="193" t="str">
        <f t="shared" si="1"/>
        <v>-</v>
      </c>
      <c r="I68" s="193" t="str">
        <f t="shared" si="1"/>
        <v>-</v>
      </c>
      <c r="J68" s="193">
        <f t="shared" si="1"/>
        <v>0.60000000000000009</v>
      </c>
      <c r="K68" s="309">
        <f t="shared" si="1"/>
        <v>0.60000000000000009</v>
      </c>
      <c r="L68" s="926"/>
      <c r="M68" s="829"/>
      <c r="R68" s="216"/>
      <c r="S68" s="132"/>
      <c r="T68" s="132"/>
      <c r="U68" s="132"/>
      <c r="W68" s="703"/>
      <c r="X68" s="104"/>
      <c r="Z68" s="104"/>
      <c r="AB68" s="104"/>
    </row>
    <row r="69" spans="1:351" ht="15.5" outlineLevel="1">
      <c r="C69" s="310">
        <f>$D$26+1</f>
        <v>2027</v>
      </c>
      <c r="D69" s="122">
        <f t="shared" si="1"/>
        <v>0.75</v>
      </c>
      <c r="E69" s="122" t="str">
        <f t="shared" si="1"/>
        <v>-</v>
      </c>
      <c r="F69" s="122" t="str">
        <f t="shared" si="1"/>
        <v>-</v>
      </c>
      <c r="G69" s="122">
        <f t="shared" si="1"/>
        <v>0.75</v>
      </c>
      <c r="H69" s="122" t="str">
        <f t="shared" si="1"/>
        <v>-</v>
      </c>
      <c r="I69" s="122" t="str">
        <f t="shared" si="1"/>
        <v>-</v>
      </c>
      <c r="J69" s="122">
        <f t="shared" si="1"/>
        <v>0.75</v>
      </c>
      <c r="K69" s="311">
        <f t="shared" si="1"/>
        <v>0.75</v>
      </c>
      <c r="L69" s="931"/>
      <c r="M69" s="843"/>
      <c r="R69" s="216"/>
      <c r="S69" s="132"/>
      <c r="T69" s="132"/>
      <c r="U69" s="132"/>
      <c r="W69" s="703"/>
      <c r="X69" s="104"/>
      <c r="Z69" s="104"/>
      <c r="AB69" s="104"/>
    </row>
    <row r="70" spans="1:351" ht="15.5" outlineLevel="1">
      <c r="C70" s="310">
        <f>$D$26+2</f>
        <v>2028</v>
      </c>
      <c r="D70" s="122">
        <f t="shared" si="1"/>
        <v>0.89999999999999991</v>
      </c>
      <c r="E70" s="122" t="str">
        <f t="shared" si="1"/>
        <v>-</v>
      </c>
      <c r="F70" s="122" t="str">
        <f t="shared" si="1"/>
        <v>-</v>
      </c>
      <c r="G70" s="122">
        <f t="shared" si="1"/>
        <v>0.89999999999999991</v>
      </c>
      <c r="H70" s="122" t="str">
        <f t="shared" si="1"/>
        <v>-</v>
      </c>
      <c r="I70" s="122" t="str">
        <f t="shared" si="1"/>
        <v>-</v>
      </c>
      <c r="J70" s="122">
        <f t="shared" si="1"/>
        <v>0.89999999999999991</v>
      </c>
      <c r="K70" s="311">
        <f t="shared" si="1"/>
        <v>0.89999999999999991</v>
      </c>
      <c r="L70" s="931"/>
      <c r="M70" s="843"/>
      <c r="R70" s="216"/>
      <c r="S70" s="132"/>
      <c r="T70" s="132"/>
      <c r="U70" s="132"/>
      <c r="W70" s="703"/>
      <c r="X70" s="104"/>
      <c r="Z70" s="104"/>
      <c r="AB70" s="104"/>
    </row>
    <row r="71" spans="1:351" ht="15.5" outlineLevel="1">
      <c r="C71" s="310">
        <f>$D$26+3</f>
        <v>2029</v>
      </c>
      <c r="D71" s="122">
        <f t="shared" si="1"/>
        <v>1.0499999999999998</v>
      </c>
      <c r="E71" s="122" t="str">
        <f t="shared" si="1"/>
        <v>-</v>
      </c>
      <c r="F71" s="122" t="str">
        <f t="shared" si="1"/>
        <v>-</v>
      </c>
      <c r="G71" s="122">
        <f t="shared" si="1"/>
        <v>1.0499999999999998</v>
      </c>
      <c r="H71" s="122" t="str">
        <f t="shared" si="1"/>
        <v>-</v>
      </c>
      <c r="I71" s="122" t="str">
        <f t="shared" si="1"/>
        <v>-</v>
      </c>
      <c r="J71" s="122">
        <f t="shared" si="1"/>
        <v>1.0499999999999998</v>
      </c>
      <c r="K71" s="311">
        <f t="shared" si="1"/>
        <v>1.0499999999999998</v>
      </c>
      <c r="L71" s="931"/>
      <c r="M71" s="843"/>
      <c r="R71" s="216"/>
      <c r="S71" s="132"/>
      <c r="T71" s="132"/>
      <c r="U71" s="132"/>
      <c r="W71" s="703"/>
      <c r="X71" s="104"/>
      <c r="Z71" s="104"/>
      <c r="AB71" s="104"/>
    </row>
    <row r="72" spans="1:351" ht="15.5" outlineLevel="1">
      <c r="C72" s="310">
        <f>$D$26+4</f>
        <v>2030</v>
      </c>
      <c r="D72" s="122">
        <f t="shared" si="1"/>
        <v>1.35</v>
      </c>
      <c r="E72" s="122" t="str">
        <f t="shared" si="1"/>
        <v>-</v>
      </c>
      <c r="F72" s="122" t="str">
        <f t="shared" si="1"/>
        <v>-</v>
      </c>
      <c r="G72" s="122">
        <f t="shared" si="1"/>
        <v>1.35</v>
      </c>
      <c r="H72" s="122" t="str">
        <f t="shared" si="1"/>
        <v>-</v>
      </c>
      <c r="I72" s="122" t="str">
        <f t="shared" si="1"/>
        <v>-</v>
      </c>
      <c r="J72" s="122">
        <f t="shared" si="1"/>
        <v>1.35</v>
      </c>
      <c r="K72" s="311">
        <f t="shared" si="1"/>
        <v>1.35</v>
      </c>
      <c r="L72" s="931"/>
      <c r="M72" s="843"/>
      <c r="R72" s="216"/>
      <c r="S72" s="133"/>
      <c r="T72" s="132"/>
      <c r="U72" s="132"/>
      <c r="W72" s="703"/>
      <c r="X72" s="104"/>
      <c r="Z72" s="104"/>
      <c r="AB72" s="104"/>
    </row>
    <row r="73" spans="1:351" ht="15.5">
      <c r="C73" s="277" t="s">
        <v>65</v>
      </c>
      <c r="D73" s="183">
        <v>1</v>
      </c>
      <c r="E73" s="183">
        <v>1</v>
      </c>
      <c r="F73" s="183">
        <v>1</v>
      </c>
      <c r="G73" s="183">
        <v>1</v>
      </c>
      <c r="H73" s="183">
        <v>1</v>
      </c>
      <c r="I73" s="183">
        <v>1</v>
      </c>
      <c r="J73" s="183">
        <v>1</v>
      </c>
      <c r="K73" s="312">
        <v>1</v>
      </c>
      <c r="L73" s="702"/>
      <c r="M73" s="196"/>
      <c r="R73" s="217"/>
      <c r="S73" s="134"/>
      <c r="T73" s="133"/>
      <c r="U73" s="133"/>
      <c r="W73" s="703"/>
      <c r="X73" s="701"/>
      <c r="Z73" s="701"/>
      <c r="AB73" s="701"/>
    </row>
    <row r="74" spans="1:351" ht="34.5" customHeight="1">
      <c r="C74" s="277" t="s">
        <v>66</v>
      </c>
      <c r="D74" s="123">
        <f>IFERROR(INDEX(Data!$A$2:$E$9,MATCH(D63,Data!$A$2:$A$9,0),5),"-")</f>
        <v>6.06</v>
      </c>
      <c r="E74" s="98">
        <f>IFERROR(INDEX(Data!$A$2:$E$9,MATCH(E63,Data!$A$2:$A$9,0),5),"-")</f>
        <v>17.12</v>
      </c>
      <c r="F74" s="98">
        <f>IFERROR(INDEX(Data!$A$2:$E$9,MATCH(F63,Data!$A$2:$A$9,0),5),"-")</f>
        <v>17.12</v>
      </c>
      <c r="G74" s="98">
        <f>IFERROR(INDEX(Data!$A$2:$E$9,MATCH(G63,Data!$A$2:$A$9,0),5),"-")</f>
        <v>17.12</v>
      </c>
      <c r="H74" s="98" t="str">
        <f>IFERROR(INDEX(Data!$A$2:$E$9,MATCH(H63,Data!$A$2:$A$9,0),5),"-")</f>
        <v>-</v>
      </c>
      <c r="I74" s="98">
        <f>IFERROR(INDEX(Data!$A$2:$E$9,MATCH(I63,Data!$A$2:$A$9,0),5),"-")</f>
        <v>17.12</v>
      </c>
      <c r="J74" s="98">
        <f>IFERROR(INDEX(Data!$A$2:$E$9,MATCH(J63,Data!$A$2:$A$9,0),5),"-")</f>
        <v>6.06</v>
      </c>
      <c r="K74" s="313">
        <f>IFERROR(INDEX(Data!$A$2:$E$9,MATCH(K63,Data!$A$2:$A$9,0),5),"-")</f>
        <v>17.12</v>
      </c>
      <c r="L74" s="702"/>
      <c r="M74" s="196"/>
      <c r="R74" s="218"/>
      <c r="S74" s="118"/>
      <c r="T74" s="134"/>
      <c r="U74" s="134"/>
      <c r="W74" s="703"/>
      <c r="X74" s="701"/>
      <c r="Z74" s="701"/>
      <c r="AB74" s="701"/>
    </row>
    <row r="75" spans="1:351" ht="20.25" customHeight="1">
      <c r="C75" s="302" t="s">
        <v>67</v>
      </c>
      <c r="D75" s="124">
        <v>0.1</v>
      </c>
      <c r="E75" s="99">
        <v>0.1</v>
      </c>
      <c r="F75" s="99">
        <v>0.1</v>
      </c>
      <c r="G75" s="99">
        <v>0.1</v>
      </c>
      <c r="H75" s="99">
        <v>0.1</v>
      </c>
      <c r="I75" s="124">
        <v>0.1</v>
      </c>
      <c r="J75" s="124">
        <v>0.1</v>
      </c>
      <c r="K75" s="314">
        <v>0.1</v>
      </c>
      <c r="L75" s="839"/>
      <c r="M75" s="833"/>
      <c r="N75" s="161" t="s">
        <v>68</v>
      </c>
      <c r="R75" s="219"/>
      <c r="S75" s="139"/>
      <c r="T75" s="116"/>
      <c r="U75" s="118"/>
      <c r="W75" s="119"/>
      <c r="X75" s="838"/>
      <c r="Z75" s="838"/>
      <c r="AB75" s="838"/>
    </row>
    <row r="76" spans="1:351" s="112" customFormat="1" ht="17.25" customHeight="1">
      <c r="A76" s="85"/>
      <c r="B76" s="85"/>
      <c r="C76" s="304" t="s">
        <v>94</v>
      </c>
      <c r="D76" s="172">
        <f>IFERROR(INDEX(Data!$A$2:$E$9,MATCH(D63,Data!$A$2:$A$9,0),4),"-")</f>
        <v>0.1</v>
      </c>
      <c r="E76" s="173">
        <f>IFERROR(INDEX(Data!$A$2:$E$9,MATCH(E63,Data!$A$2:$A$9,0),4),"-")</f>
        <v>0.1</v>
      </c>
      <c r="F76" s="173">
        <f>IFERROR(INDEX(Data!$A$2:$E$9,MATCH(F63,Data!$A$2:$A$9,0),4),"-")</f>
        <v>0.1</v>
      </c>
      <c r="G76" s="173">
        <f>IFERROR(INDEX(Data!$A$2:$E$9,MATCH(G63,Data!$A$2:$A$9,0),4),"-")</f>
        <v>0.1</v>
      </c>
      <c r="H76" s="173" t="str">
        <f>IFERROR(INDEX(Data!$A$2:$E$9,MATCH(H63,Data!$A$2:$A$9,0),4),"-")</f>
        <v>-</v>
      </c>
      <c r="I76" s="172">
        <f>IFERROR(INDEX(Data!$A$2:$E$9,MATCH(I63,Data!$A$2:$A$9,0),4),"-")</f>
        <v>0.1</v>
      </c>
      <c r="J76" s="172">
        <f>IFERROR(INDEX(Data!$A$2:$E$9,MATCH(J63,Data!$A$2:$A$9,0),4),"-")</f>
        <v>0.1</v>
      </c>
      <c r="K76" s="315">
        <f>IFERROR(INDEX(Data!$A$2:$E$9,MATCH(K63,Data!$A$2:$A$9,0),4),"-")</f>
        <v>0.1</v>
      </c>
      <c r="L76" s="929" t="s">
        <v>95</v>
      </c>
      <c r="M76" s="930"/>
      <c r="N76" s="86"/>
      <c r="O76" s="113"/>
      <c r="P76" s="113"/>
      <c r="Q76" s="206"/>
      <c r="R76" s="220"/>
      <c r="S76" s="135"/>
      <c r="T76" s="139"/>
      <c r="U76" s="139"/>
      <c r="V76" s="86"/>
      <c r="W76" s="140"/>
      <c r="X76" s="838"/>
      <c r="Y76" s="86"/>
      <c r="Z76" s="838"/>
      <c r="AA76" s="86"/>
      <c r="AB76" s="838"/>
      <c r="AC76" s="86"/>
      <c r="AD76" s="86"/>
      <c r="AE76" s="86"/>
      <c r="AF76" s="86"/>
      <c r="AG76" s="86"/>
      <c r="AH76" s="86"/>
      <c r="AI76" s="86"/>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c r="ES76" s="113"/>
      <c r="ET76" s="113"/>
      <c r="EU76" s="113"/>
      <c r="EV76" s="113"/>
      <c r="EW76" s="113"/>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c r="IV76" s="113"/>
      <c r="IW76" s="113"/>
      <c r="IX76" s="113"/>
      <c r="IY76" s="113"/>
      <c r="IZ76" s="113"/>
      <c r="JA76" s="113"/>
      <c r="JB76" s="113"/>
      <c r="JC76" s="113"/>
      <c r="JD76" s="113"/>
      <c r="JE76" s="113"/>
      <c r="JF76" s="113"/>
      <c r="JG76" s="113"/>
      <c r="JH76" s="113"/>
      <c r="JI76" s="113"/>
      <c r="JJ76" s="113"/>
      <c r="JK76" s="113"/>
      <c r="JL76" s="113"/>
      <c r="JM76" s="113"/>
      <c r="JN76" s="113"/>
      <c r="JO76" s="113"/>
      <c r="JP76" s="113"/>
      <c r="JQ76" s="113"/>
      <c r="JR76" s="113"/>
      <c r="JS76" s="113"/>
      <c r="JT76" s="113"/>
      <c r="JU76" s="113"/>
      <c r="JV76" s="113"/>
      <c r="JW76" s="113"/>
      <c r="JX76" s="113"/>
      <c r="JY76" s="113"/>
      <c r="JZ76" s="113"/>
      <c r="KA76" s="113"/>
      <c r="KB76" s="113"/>
      <c r="KC76" s="113"/>
      <c r="KD76" s="113"/>
      <c r="KE76" s="113"/>
      <c r="KF76" s="113"/>
      <c r="KG76" s="113"/>
      <c r="KH76" s="113"/>
      <c r="KI76" s="113"/>
      <c r="KJ76" s="113"/>
      <c r="KK76" s="113"/>
      <c r="KL76" s="113"/>
      <c r="KM76" s="113"/>
      <c r="KN76" s="113"/>
      <c r="KO76" s="113"/>
      <c r="KP76" s="113"/>
      <c r="KQ76" s="113"/>
      <c r="KR76" s="113"/>
      <c r="KS76" s="113"/>
      <c r="KT76" s="113"/>
      <c r="KU76" s="113"/>
      <c r="KV76" s="113"/>
      <c r="KW76" s="113"/>
      <c r="KX76" s="113"/>
      <c r="KY76" s="113"/>
      <c r="KZ76" s="113"/>
      <c r="LA76" s="113"/>
      <c r="LB76" s="113"/>
      <c r="LC76" s="113"/>
      <c r="LD76" s="113"/>
      <c r="LE76" s="113"/>
      <c r="LF76" s="113"/>
      <c r="LG76" s="113"/>
      <c r="LH76" s="113"/>
      <c r="LI76" s="113"/>
      <c r="LJ76" s="113"/>
      <c r="LK76" s="113"/>
      <c r="LL76" s="113"/>
      <c r="LM76" s="113"/>
      <c r="LN76" s="113"/>
      <c r="LO76" s="113"/>
      <c r="LP76" s="113"/>
      <c r="LQ76" s="113"/>
      <c r="LR76" s="113"/>
      <c r="LS76" s="113"/>
      <c r="LT76" s="113"/>
      <c r="LU76" s="113"/>
      <c r="LV76" s="113"/>
      <c r="LW76" s="113"/>
      <c r="LX76" s="113"/>
      <c r="LY76" s="113"/>
      <c r="LZ76" s="113"/>
      <c r="MA76" s="113"/>
      <c r="MB76" s="113"/>
      <c r="MC76" s="113"/>
      <c r="MD76" s="113"/>
      <c r="ME76" s="113"/>
      <c r="MF76" s="113"/>
      <c r="MG76" s="113"/>
      <c r="MH76" s="113"/>
      <c r="MI76" s="113"/>
      <c r="MJ76" s="113"/>
      <c r="MK76" s="113"/>
      <c r="ML76" s="113"/>
      <c r="MM76" s="113"/>
    </row>
    <row r="77" spans="1:351" ht="20.25" customHeight="1">
      <c r="C77" s="277" t="s">
        <v>70</v>
      </c>
      <c r="D77" s="125">
        <f t="shared" ref="D77:K77" si="2">(1/(1-D75))</f>
        <v>1.1111111111111112</v>
      </c>
      <c r="E77" s="125">
        <f t="shared" si="2"/>
        <v>1.1111111111111112</v>
      </c>
      <c r="F77" s="111">
        <f t="shared" si="2"/>
        <v>1.1111111111111112</v>
      </c>
      <c r="G77" s="111">
        <f t="shared" si="2"/>
        <v>1.1111111111111112</v>
      </c>
      <c r="H77" s="111">
        <f t="shared" si="2"/>
        <v>1.1111111111111112</v>
      </c>
      <c r="I77" s="125">
        <f t="shared" si="2"/>
        <v>1.1111111111111112</v>
      </c>
      <c r="J77" s="125">
        <f t="shared" si="2"/>
        <v>1.1111111111111112</v>
      </c>
      <c r="K77" s="316">
        <f t="shared" si="2"/>
        <v>1.1111111111111112</v>
      </c>
      <c r="L77" s="926" t="s">
        <v>71</v>
      </c>
      <c r="M77" s="829"/>
      <c r="Q77" s="206"/>
      <c r="R77" s="221"/>
      <c r="S77" s="117"/>
      <c r="T77" s="135"/>
      <c r="U77" s="135"/>
      <c r="W77" s="703"/>
      <c r="X77" s="701"/>
      <c r="Z77" s="701"/>
      <c r="AB77" s="701"/>
    </row>
    <row r="78" spans="1:351" ht="20.25" customHeight="1">
      <c r="C78" s="277" t="s">
        <v>72</v>
      </c>
      <c r="D78" s="124">
        <v>0.25</v>
      </c>
      <c r="E78" s="124">
        <v>0.25</v>
      </c>
      <c r="F78" s="124">
        <v>0.25</v>
      </c>
      <c r="G78" s="124">
        <v>0.25</v>
      </c>
      <c r="H78" s="124">
        <v>0.25</v>
      </c>
      <c r="I78" s="124">
        <v>0.25</v>
      </c>
      <c r="J78" s="124">
        <v>0.25</v>
      </c>
      <c r="K78" s="314">
        <v>0.25</v>
      </c>
      <c r="L78" s="839" t="s">
        <v>73</v>
      </c>
      <c r="M78" s="833"/>
      <c r="Q78" s="206"/>
      <c r="R78" s="221"/>
      <c r="S78" s="117"/>
      <c r="T78" s="135"/>
      <c r="U78" s="135"/>
      <c r="W78" s="703"/>
      <c r="X78" s="701"/>
      <c r="Z78" s="701"/>
      <c r="AB78" s="701"/>
    </row>
    <row r="79" spans="1:351" ht="20.25" customHeight="1">
      <c r="C79" s="277" t="s">
        <v>74</v>
      </c>
      <c r="D79" s="126">
        <v>0.03</v>
      </c>
      <c r="E79" s="126">
        <v>0.03</v>
      </c>
      <c r="F79" s="126">
        <v>0.03</v>
      </c>
      <c r="G79" s="93">
        <v>0.03</v>
      </c>
      <c r="H79" s="126">
        <v>0.03</v>
      </c>
      <c r="I79" s="126">
        <v>0.03</v>
      </c>
      <c r="J79" s="93">
        <v>0.03</v>
      </c>
      <c r="K79" s="317">
        <v>0.03</v>
      </c>
      <c r="L79" s="839" t="s">
        <v>75</v>
      </c>
      <c r="M79" s="833"/>
      <c r="Q79" s="206"/>
      <c r="R79" s="222"/>
      <c r="S79" s="116"/>
      <c r="T79" s="117"/>
      <c r="U79" s="117"/>
      <c r="W79" s="703"/>
      <c r="X79" s="701"/>
      <c r="Z79" s="701"/>
      <c r="AB79" s="701"/>
    </row>
    <row r="80" spans="1:351" ht="19.75" customHeight="1">
      <c r="C80" s="277" t="s">
        <v>76</v>
      </c>
      <c r="D80" s="127">
        <v>7.0000000000000007E-2</v>
      </c>
      <c r="E80" s="127">
        <v>7.0000000000000007E-2</v>
      </c>
      <c r="F80" s="127">
        <v>7.0000000000000007E-2</v>
      </c>
      <c r="G80" s="92">
        <v>7.0000000000000007E-2</v>
      </c>
      <c r="H80" s="127">
        <v>7.0000000000000007E-2</v>
      </c>
      <c r="I80" s="127">
        <v>7.0000000000000007E-2</v>
      </c>
      <c r="J80" s="92">
        <v>7.0000000000000007E-2</v>
      </c>
      <c r="K80" s="318">
        <v>7.0000000000000007E-2</v>
      </c>
      <c r="L80" s="839" t="s">
        <v>75</v>
      </c>
      <c r="M80" s="833"/>
      <c r="Q80" s="206"/>
      <c r="R80" s="219"/>
      <c r="S80" s="141"/>
      <c r="T80" s="116"/>
      <c r="U80" s="116"/>
      <c r="W80" s="703"/>
      <c r="X80" s="701"/>
      <c r="Z80" s="701"/>
      <c r="AB80" s="701"/>
    </row>
    <row r="81" spans="3:35" ht="20.25" customHeight="1">
      <c r="C81" s="277" t="s">
        <v>77</v>
      </c>
      <c r="D81" s="128">
        <v>0.8</v>
      </c>
      <c r="E81" s="128">
        <v>0.8</v>
      </c>
      <c r="F81" s="128">
        <v>0.8</v>
      </c>
      <c r="G81" s="94">
        <v>0.8</v>
      </c>
      <c r="H81" s="128">
        <v>0.8</v>
      </c>
      <c r="I81" s="128">
        <v>0.8</v>
      </c>
      <c r="J81" s="94">
        <v>0.8</v>
      </c>
      <c r="K81" s="319">
        <v>0.8</v>
      </c>
      <c r="L81" s="839" t="s">
        <v>78</v>
      </c>
      <c r="M81" s="833"/>
      <c r="Q81" s="206"/>
      <c r="R81" s="223"/>
      <c r="S81" s="142"/>
      <c r="T81" s="141"/>
      <c r="U81" s="141"/>
      <c r="W81" s="703"/>
      <c r="X81" s="701"/>
      <c r="Z81" s="701"/>
      <c r="AB81" s="701"/>
    </row>
    <row r="82" spans="3:35" ht="20.25" customHeight="1" thickBot="1">
      <c r="C82" s="279" t="s">
        <v>79</v>
      </c>
      <c r="D82" s="320">
        <v>100</v>
      </c>
      <c r="E82" s="320">
        <v>100</v>
      </c>
      <c r="F82" s="320">
        <v>100</v>
      </c>
      <c r="G82" s="321">
        <v>100</v>
      </c>
      <c r="H82" s="320">
        <v>100</v>
      </c>
      <c r="I82" s="320">
        <v>100</v>
      </c>
      <c r="J82" s="321">
        <v>100</v>
      </c>
      <c r="K82" s="322">
        <v>100</v>
      </c>
      <c r="L82" s="928" t="s">
        <v>80</v>
      </c>
      <c r="M82" s="835"/>
      <c r="Q82" s="206"/>
      <c r="R82" s="224"/>
      <c r="S82" s="109"/>
      <c r="T82" s="142"/>
      <c r="U82" s="142"/>
      <c r="W82" s="703"/>
      <c r="X82" s="701"/>
      <c r="Z82" s="701"/>
      <c r="AB82" s="701"/>
    </row>
    <row r="83" spans="3:35" ht="15" customHeight="1">
      <c r="C83" s="89"/>
      <c r="D83" s="85"/>
      <c r="E83" s="85"/>
      <c r="F83" s="85"/>
      <c r="G83" s="85"/>
      <c r="H83" s="89"/>
      <c r="I83" s="85"/>
      <c r="J83" s="85"/>
      <c r="K83" s="85"/>
      <c r="L83" s="199"/>
      <c r="M83" s="199"/>
      <c r="S83" s="694"/>
      <c r="W83" s="703"/>
      <c r="Y83" s="109"/>
      <c r="AC83" s="109"/>
      <c r="AG83" s="109"/>
    </row>
    <row r="84" spans="3:35" ht="25.5" customHeight="1">
      <c r="C84" s="185" t="s">
        <v>81</v>
      </c>
      <c r="D84" s="186"/>
      <c r="E84" s="186"/>
      <c r="F84" s="186"/>
      <c r="G84" s="186"/>
      <c r="H84" s="186"/>
      <c r="I84" s="186"/>
      <c r="J84" s="186"/>
      <c r="K84" s="186"/>
      <c r="L84" s="186"/>
      <c r="M84" s="194"/>
      <c r="R84" s="182"/>
      <c r="S84" s="694"/>
      <c r="T84" s="694"/>
      <c r="U84" s="694"/>
      <c r="W84" s="694"/>
      <c r="Y84" s="836"/>
      <c r="Z84" s="836"/>
      <c r="AA84" s="836"/>
      <c r="AB84" s="836"/>
      <c r="AC84" s="836"/>
      <c r="AD84" s="836"/>
      <c r="AE84" s="836"/>
      <c r="AF84" s="836"/>
      <c r="AG84" s="836"/>
      <c r="AH84" s="836"/>
      <c r="AI84" s="836"/>
    </row>
    <row r="85" spans="3:35" ht="5.5" customHeight="1" thickBot="1">
      <c r="C85" s="90"/>
      <c r="D85" s="90"/>
      <c r="E85" s="90"/>
      <c r="F85" s="90"/>
      <c r="G85" s="85"/>
      <c r="H85" s="90"/>
      <c r="I85" s="90"/>
      <c r="J85" s="90"/>
      <c r="K85" s="90"/>
      <c r="L85" s="199"/>
      <c r="M85" s="199"/>
      <c r="R85" s="182"/>
      <c r="S85" s="143"/>
      <c r="T85" s="694"/>
      <c r="U85" s="694"/>
      <c r="W85" s="703"/>
      <c r="Y85" s="694"/>
      <c r="Z85" s="694"/>
      <c r="AA85" s="694"/>
      <c r="AC85" s="694"/>
      <c r="AD85" s="694"/>
      <c r="AE85" s="694"/>
      <c r="AG85" s="694"/>
      <c r="AH85" s="694"/>
      <c r="AI85" s="694"/>
    </row>
    <row r="86" spans="3:35" ht="59.5" customHeight="1">
      <c r="C86" s="323" t="s">
        <v>82</v>
      </c>
      <c r="D86" s="324">
        <v>0</v>
      </c>
      <c r="E86" s="325">
        <v>0</v>
      </c>
      <c r="F86" s="324">
        <v>0</v>
      </c>
      <c r="G86" s="325">
        <v>0</v>
      </c>
      <c r="H86" s="325">
        <v>0</v>
      </c>
      <c r="I86" s="324">
        <v>0</v>
      </c>
      <c r="J86" s="324">
        <v>0</v>
      </c>
      <c r="K86" s="326">
        <v>0</v>
      </c>
      <c r="L86" s="839" t="s">
        <v>83</v>
      </c>
      <c r="M86" s="833"/>
      <c r="R86" s="114"/>
      <c r="S86" s="144"/>
      <c r="T86" s="143"/>
      <c r="U86" s="143"/>
      <c r="W86" s="703"/>
      <c r="X86" s="703"/>
      <c r="Y86" s="837"/>
      <c r="Z86" s="837"/>
      <c r="AA86" s="837"/>
      <c r="AB86" s="837"/>
      <c r="AC86" s="837"/>
      <c r="AD86" s="837"/>
      <c r="AE86" s="837"/>
      <c r="AF86" s="837"/>
      <c r="AG86" s="837"/>
      <c r="AH86" s="837"/>
      <c r="AI86" s="837"/>
    </row>
    <row r="87" spans="3:35" ht="49.5" customHeight="1">
      <c r="C87" s="302" t="s">
        <v>84</v>
      </c>
      <c r="D87" s="97">
        <v>1.32</v>
      </c>
      <c r="E87" s="97">
        <v>1.32</v>
      </c>
      <c r="F87" s="97">
        <v>1.32</v>
      </c>
      <c r="G87" s="97">
        <v>1.23</v>
      </c>
      <c r="H87" s="97">
        <v>1.23</v>
      </c>
      <c r="I87" s="97">
        <v>1.23</v>
      </c>
      <c r="J87" s="97">
        <v>1.32</v>
      </c>
      <c r="K87" s="327">
        <v>1.23</v>
      </c>
      <c r="L87" s="926" t="s">
        <v>85</v>
      </c>
      <c r="M87" s="829"/>
      <c r="N87" s="226"/>
      <c r="R87" s="115"/>
      <c r="S87" s="145"/>
      <c r="T87" s="144"/>
      <c r="U87" s="144"/>
      <c r="W87" s="703"/>
      <c r="X87" s="703"/>
      <c r="Y87" s="110"/>
      <c r="Z87" s="110"/>
      <c r="AA87" s="110"/>
      <c r="AB87" s="110"/>
      <c r="AC87" s="110"/>
      <c r="AD87" s="110"/>
      <c r="AE87" s="110"/>
      <c r="AF87" s="110"/>
      <c r="AG87" s="110"/>
      <c r="AH87" s="110"/>
      <c r="AI87" s="110"/>
    </row>
    <row r="88" spans="3:35" ht="20.25" customHeight="1" thickBot="1">
      <c r="C88" s="328"/>
      <c r="D88" s="329"/>
      <c r="E88" s="330"/>
      <c r="F88" s="329"/>
      <c r="G88" s="330"/>
      <c r="H88" s="330"/>
      <c r="I88" s="330"/>
      <c r="J88" s="330"/>
      <c r="K88" s="331"/>
      <c r="L88" s="927" t="s">
        <v>86</v>
      </c>
      <c r="M88" s="831"/>
      <c r="R88" s="115"/>
      <c r="T88" s="144"/>
      <c r="U88" s="145"/>
      <c r="W88" s="105"/>
      <c r="X88" s="105"/>
      <c r="AA88" s="703"/>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J3:K4"/>
    <mergeCell ref="C6:M9"/>
    <mergeCell ref="C11:D11"/>
    <mergeCell ref="C22:M22"/>
    <mergeCell ref="D24:F24"/>
    <mergeCell ref="G24:I24"/>
    <mergeCell ref="J24:K24"/>
    <mergeCell ref="L24:M24"/>
    <mergeCell ref="D26:K26"/>
    <mergeCell ref="L26:M26"/>
    <mergeCell ref="C29:C30"/>
    <mergeCell ref="D29:F29"/>
    <mergeCell ref="G29:I29"/>
    <mergeCell ref="L29:M30"/>
    <mergeCell ref="D30:F30"/>
    <mergeCell ref="G30:I30"/>
    <mergeCell ref="L31:M31"/>
    <mergeCell ref="L32:M32"/>
    <mergeCell ref="D33:F33"/>
    <mergeCell ref="G33:I33"/>
    <mergeCell ref="D34:F34"/>
    <mergeCell ref="G34:I34"/>
    <mergeCell ref="L34:M34"/>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C54:K54"/>
    <mergeCell ref="Y56:AI56"/>
    <mergeCell ref="Y59:AI59"/>
    <mergeCell ref="D61:F61"/>
    <mergeCell ref="G61:I61"/>
    <mergeCell ref="J61:K61"/>
    <mergeCell ref="L61:M63"/>
    <mergeCell ref="L65:M65"/>
    <mergeCell ref="L66:M66"/>
    <mergeCell ref="L67:M67"/>
    <mergeCell ref="L68:M72"/>
    <mergeCell ref="L75:M75"/>
    <mergeCell ref="Y84:AI84"/>
    <mergeCell ref="L86:M86"/>
    <mergeCell ref="Y86:AI86"/>
    <mergeCell ref="Z75:Z76"/>
    <mergeCell ref="AB75:AB76"/>
    <mergeCell ref="L76:M76"/>
    <mergeCell ref="L77:M77"/>
    <mergeCell ref="L78:M78"/>
    <mergeCell ref="L79:M79"/>
    <mergeCell ref="X75:X76"/>
    <mergeCell ref="L87:M87"/>
    <mergeCell ref="L88:M88"/>
    <mergeCell ref="L80:M80"/>
    <mergeCell ref="L81:M81"/>
    <mergeCell ref="L82:M82"/>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Data!$A$2:$A$9</xm:f>
          </x14:formula1>
          <xm:sqref>X63</xm:sqref>
        </x14:dataValidation>
        <x14:dataValidation type="list" allowBlank="1" showInputMessage="1" showErrorMessage="1" xr:uid="{1F8AFAC1-1489-42C1-A05E-EDAC80407D02}">
          <x14:formula1>
            <xm:f>Data!$A$2:$A$9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M67"/>
  <sheetViews>
    <sheetView tabSelected="1" zoomScale="110" zoomScaleNormal="110" workbookViewId="0"/>
  </sheetViews>
  <sheetFormatPr defaultColWidth="8.81640625" defaultRowHeight="15.5"/>
  <cols>
    <col min="1" max="1" width="4.1796875" style="332" customWidth="1"/>
    <col min="2" max="3" width="3.453125" style="332" customWidth="1"/>
    <col min="4" max="4" width="9" style="332" customWidth="1"/>
    <col min="5" max="5" width="14.453125" style="332" customWidth="1"/>
    <col min="6" max="6" width="6.453125" style="332" customWidth="1"/>
    <col min="7" max="7" width="67.453125" style="332" customWidth="1"/>
    <col min="8" max="8" width="22.1796875" style="332" customWidth="1"/>
    <col min="9" max="10" width="3.453125" style="332" customWidth="1"/>
    <col min="11" max="11" width="4.1796875" style="332" customWidth="1"/>
    <col min="12" max="16384" width="8.81640625" style="332"/>
  </cols>
  <sheetData>
    <row r="1" spans="1:11" ht="9" customHeight="1">
      <c r="A1" s="340"/>
      <c r="B1" s="355"/>
      <c r="C1" s="355"/>
      <c r="D1" s="355"/>
      <c r="E1" s="355"/>
      <c r="F1" s="355"/>
      <c r="G1" s="355"/>
      <c r="H1" s="355"/>
      <c r="I1" s="355"/>
      <c r="J1" s="355"/>
      <c r="K1" s="340"/>
    </row>
    <row r="2" spans="1:11" ht="122.25" customHeight="1">
      <c r="A2" s="340"/>
      <c r="D2" s="349"/>
      <c r="E2" s="782" t="s">
        <v>96</v>
      </c>
      <c r="F2" s="782"/>
      <c r="G2" s="782"/>
      <c r="K2" s="340"/>
    </row>
    <row r="3" spans="1:11" ht="54" customHeight="1">
      <c r="A3" s="340"/>
      <c r="D3" s="350"/>
      <c r="E3" s="783" t="s">
        <v>97</v>
      </c>
      <c r="F3" s="783"/>
      <c r="G3" s="783"/>
      <c r="H3" s="803" t="s">
        <v>479</v>
      </c>
      <c r="I3" s="803"/>
      <c r="J3" s="803"/>
      <c r="K3" s="340"/>
    </row>
    <row r="4" spans="1:11" ht="34" customHeight="1">
      <c r="A4" s="340"/>
      <c r="B4" s="340"/>
      <c r="C4" s="340"/>
      <c r="D4" s="802" t="s">
        <v>98</v>
      </c>
      <c r="E4" s="802"/>
      <c r="F4" s="802"/>
      <c r="G4" s="802"/>
      <c r="H4" s="802"/>
      <c r="I4" s="802"/>
      <c r="J4" s="340"/>
      <c r="K4" s="340"/>
    </row>
    <row r="5" spans="1:11" ht="8.25" customHeight="1">
      <c r="A5" s="340"/>
      <c r="B5" s="340"/>
      <c r="C5" s="340"/>
      <c r="D5" s="344"/>
      <c r="E5" s="344"/>
      <c r="F5" s="344"/>
      <c r="G5" s="344"/>
      <c r="H5" s="340"/>
      <c r="I5" s="340"/>
      <c r="J5" s="340"/>
      <c r="K5" s="340"/>
    </row>
    <row r="6" spans="1:11" ht="45" customHeight="1">
      <c r="A6" s="340"/>
      <c r="B6" s="804" t="s">
        <v>99</v>
      </c>
      <c r="C6" s="804"/>
      <c r="D6" s="804"/>
      <c r="E6" s="804"/>
      <c r="F6" s="804"/>
      <c r="G6" s="804"/>
      <c r="H6" s="804"/>
      <c r="I6" s="804"/>
      <c r="J6" s="804"/>
      <c r="K6" s="340"/>
    </row>
    <row r="7" spans="1:11" ht="6" customHeight="1">
      <c r="A7" s="340"/>
      <c r="B7" s="340"/>
      <c r="C7" s="340"/>
      <c r="D7" s="339"/>
      <c r="E7" s="339"/>
      <c r="F7" s="339"/>
      <c r="G7" s="339"/>
      <c r="H7" s="340"/>
      <c r="I7" s="340"/>
      <c r="J7" s="340"/>
      <c r="K7" s="340"/>
    </row>
    <row r="8" spans="1:11" ht="296.25" customHeight="1">
      <c r="A8" s="340"/>
      <c r="B8" s="340"/>
      <c r="C8" s="690"/>
      <c r="D8" s="805" t="s">
        <v>100</v>
      </c>
      <c r="E8" s="805"/>
      <c r="F8" s="805"/>
      <c r="G8" s="805"/>
      <c r="H8" s="805"/>
      <c r="I8" s="690"/>
      <c r="J8" s="340"/>
      <c r="K8" s="340"/>
    </row>
    <row r="9" spans="1:11" ht="8.25" customHeight="1">
      <c r="A9" s="340"/>
      <c r="B9" s="340"/>
      <c r="C9" s="345"/>
      <c r="D9" s="345"/>
      <c r="E9" s="345"/>
      <c r="F9" s="345"/>
      <c r="G9" s="345"/>
      <c r="H9" s="345"/>
      <c r="I9" s="345"/>
      <c r="J9" s="340"/>
      <c r="K9" s="340"/>
    </row>
    <row r="10" spans="1:11" ht="93" customHeight="1">
      <c r="A10" s="340"/>
      <c r="B10" s="340"/>
      <c r="C10" s="340"/>
      <c r="D10" s="806" t="s">
        <v>101</v>
      </c>
      <c r="E10" s="806"/>
      <c r="F10" s="806"/>
      <c r="G10" s="806"/>
      <c r="H10" s="806"/>
      <c r="I10" s="340"/>
      <c r="J10" s="340"/>
      <c r="K10" s="340"/>
    </row>
    <row r="11" spans="1:11" ht="9.75" customHeight="1">
      <c r="A11" s="340"/>
      <c r="B11" s="340"/>
      <c r="C11" s="340"/>
      <c r="D11" s="341"/>
      <c r="E11" s="341"/>
      <c r="F11" s="341"/>
      <c r="G11" s="341"/>
      <c r="H11" s="340"/>
      <c r="I11" s="340"/>
      <c r="J11" s="340"/>
      <c r="K11" s="340"/>
    </row>
    <row r="12" spans="1:11" ht="45" customHeight="1">
      <c r="A12" s="340"/>
      <c r="B12" s="804" t="s">
        <v>102</v>
      </c>
      <c r="C12" s="804"/>
      <c r="D12" s="804"/>
      <c r="E12" s="804"/>
      <c r="F12" s="804"/>
      <c r="G12" s="804"/>
      <c r="H12" s="804"/>
      <c r="I12" s="804"/>
      <c r="J12" s="804"/>
      <c r="K12" s="340"/>
    </row>
    <row r="13" spans="1:11" ht="9.75" customHeight="1">
      <c r="A13" s="340"/>
      <c r="B13" s="340"/>
      <c r="C13" s="340"/>
      <c r="D13" s="341"/>
      <c r="E13" s="341"/>
      <c r="F13" s="341"/>
      <c r="G13" s="341"/>
      <c r="H13" s="340"/>
      <c r="I13" s="340"/>
      <c r="J13" s="340"/>
      <c r="K13" s="340"/>
    </row>
    <row r="14" spans="1:11" ht="29.25" customHeight="1">
      <c r="A14" s="340"/>
      <c r="B14" s="340"/>
      <c r="C14" s="801" t="s">
        <v>103</v>
      </c>
      <c r="D14" s="801"/>
      <c r="E14" s="801"/>
      <c r="F14" s="801"/>
      <c r="G14" s="801"/>
      <c r="H14" s="801"/>
      <c r="I14" s="801"/>
      <c r="J14" s="340"/>
      <c r="K14" s="340"/>
    </row>
    <row r="15" spans="1:11" ht="8.5" customHeight="1">
      <c r="A15" s="340"/>
      <c r="B15" s="340"/>
      <c r="G15" s="334"/>
      <c r="J15" s="340"/>
      <c r="K15" s="340"/>
    </row>
    <row r="16" spans="1:11" ht="15" customHeight="1">
      <c r="A16" s="340"/>
      <c r="B16" s="340"/>
      <c r="D16" s="335"/>
      <c r="E16" s="797" t="s">
        <v>104</v>
      </c>
      <c r="F16" s="797"/>
      <c r="G16" s="797"/>
      <c r="H16" s="797"/>
      <c r="J16" s="340"/>
      <c r="K16" s="340"/>
    </row>
    <row r="17" spans="1:13" ht="43" customHeight="1">
      <c r="A17" s="340"/>
      <c r="B17" s="340"/>
      <c r="D17" s="346"/>
      <c r="E17" s="797"/>
      <c r="F17" s="797"/>
      <c r="G17" s="797"/>
      <c r="H17" s="797"/>
      <c r="J17" s="340"/>
      <c r="K17" s="340"/>
    </row>
    <row r="18" spans="1:13" ht="15" customHeight="1">
      <c r="A18" s="340"/>
      <c r="B18" s="340"/>
      <c r="D18" s="348"/>
      <c r="E18" s="797" t="s">
        <v>105</v>
      </c>
      <c r="F18" s="797"/>
      <c r="G18" s="797"/>
      <c r="H18" s="797"/>
      <c r="J18" s="340"/>
      <c r="K18" s="340"/>
    </row>
    <row r="19" spans="1:13" ht="30" customHeight="1">
      <c r="A19" s="340"/>
      <c r="B19" s="340"/>
      <c r="D19" s="346"/>
      <c r="E19" s="797"/>
      <c r="F19" s="797"/>
      <c r="G19" s="797"/>
      <c r="H19" s="797"/>
      <c r="J19" s="340"/>
      <c r="K19" s="340"/>
    </row>
    <row r="20" spans="1:13" ht="15" customHeight="1">
      <c r="A20" s="340"/>
      <c r="B20" s="340"/>
      <c r="D20" s="336"/>
      <c r="E20" s="797" t="s">
        <v>106</v>
      </c>
      <c r="F20" s="797"/>
      <c r="G20" s="797"/>
      <c r="H20" s="797"/>
      <c r="J20" s="340"/>
      <c r="K20" s="340"/>
    </row>
    <row r="21" spans="1:13" ht="8.25" customHeight="1">
      <c r="A21" s="340"/>
      <c r="B21" s="340"/>
      <c r="D21" s="346"/>
      <c r="E21" s="691"/>
      <c r="F21" s="691"/>
      <c r="G21" s="691"/>
      <c r="H21" s="691"/>
      <c r="J21" s="340"/>
      <c r="K21" s="340"/>
    </row>
    <row r="22" spans="1:13" s="337" customFormat="1" ht="22" customHeight="1">
      <c r="A22" s="342"/>
      <c r="B22" s="342"/>
      <c r="D22" s="784" t="s">
        <v>107</v>
      </c>
      <c r="E22" s="785"/>
      <c r="F22" s="798" t="s">
        <v>471</v>
      </c>
      <c r="G22" s="798"/>
      <c r="H22" s="799"/>
      <c r="J22" s="342"/>
      <c r="K22" s="342"/>
    </row>
    <row r="23" spans="1:13" s="337" customFormat="1" ht="40" customHeight="1">
      <c r="A23" s="342"/>
      <c r="B23" s="342"/>
      <c r="D23" s="786"/>
      <c r="E23" s="787"/>
      <c r="F23" s="797" t="s">
        <v>472</v>
      </c>
      <c r="G23" s="797"/>
      <c r="H23" s="800"/>
      <c r="J23" s="342"/>
      <c r="K23" s="342"/>
    </row>
    <row r="24" spans="1:13" s="337" customFormat="1" ht="88" customHeight="1">
      <c r="A24" s="342"/>
      <c r="B24" s="342"/>
      <c r="D24" s="786"/>
      <c r="E24" s="787"/>
      <c r="F24" s="797" t="s">
        <v>473</v>
      </c>
      <c r="G24" s="797"/>
      <c r="H24" s="800"/>
      <c r="J24" s="342"/>
      <c r="K24" s="342"/>
    </row>
    <row r="25" spans="1:13" s="337" customFormat="1" ht="46.5" customHeight="1">
      <c r="A25" s="342"/>
      <c r="B25" s="342"/>
      <c r="D25" s="786"/>
      <c r="E25" s="787"/>
      <c r="F25" s="790" t="s">
        <v>108</v>
      </c>
      <c r="G25" s="791"/>
      <c r="H25" s="792"/>
      <c r="J25" s="342"/>
      <c r="K25" s="342"/>
    </row>
    <row r="26" spans="1:13" s="337" customFormat="1" ht="22" customHeight="1">
      <c r="A26" s="342"/>
      <c r="B26" s="342"/>
      <c r="D26" s="786"/>
      <c r="E26" s="787"/>
      <c r="F26" s="797" t="s">
        <v>474</v>
      </c>
      <c r="G26" s="797"/>
      <c r="H26" s="800"/>
      <c r="J26" s="342"/>
      <c r="K26" s="342"/>
    </row>
    <row r="27" spans="1:13" s="337" customFormat="1" ht="90" customHeight="1">
      <c r="A27" s="342"/>
      <c r="B27" s="342"/>
      <c r="D27" s="786"/>
      <c r="E27" s="787"/>
      <c r="F27" s="797" t="s">
        <v>475</v>
      </c>
      <c r="G27" s="797"/>
      <c r="H27" s="800"/>
      <c r="J27" s="342"/>
      <c r="K27" s="342"/>
    </row>
    <row r="28" spans="1:13" s="337" customFormat="1" ht="56.15" customHeight="1">
      <c r="A28" s="342"/>
      <c r="B28" s="342"/>
      <c r="D28" s="788"/>
      <c r="E28" s="789"/>
      <c r="F28" s="793" t="s">
        <v>109</v>
      </c>
      <c r="G28" s="794"/>
      <c r="H28" s="795"/>
      <c r="J28" s="342"/>
      <c r="K28" s="342"/>
    </row>
    <row r="29" spans="1:13" ht="8.5" customHeight="1">
      <c r="A29" s="340"/>
      <c r="B29" s="340"/>
      <c r="D29" s="346"/>
      <c r="E29" s="346"/>
      <c r="F29" s="346"/>
      <c r="G29" s="351"/>
      <c r="H29" s="346"/>
      <c r="J29" s="340"/>
      <c r="K29" s="340"/>
    </row>
    <row r="30" spans="1:13" ht="232" customHeight="1">
      <c r="A30" s="340"/>
      <c r="B30" s="340"/>
      <c r="D30" s="808" t="s">
        <v>110</v>
      </c>
      <c r="E30" s="809"/>
      <c r="F30" s="810" t="s">
        <v>476</v>
      </c>
      <c r="G30" s="810"/>
      <c r="H30" s="811"/>
      <c r="J30" s="340"/>
      <c r="K30" s="340"/>
      <c r="M30" s="735"/>
    </row>
    <row r="31" spans="1:13" ht="8.25" customHeight="1">
      <c r="A31" s="340"/>
      <c r="B31" s="340"/>
      <c r="D31" s="346"/>
      <c r="E31" s="346"/>
      <c r="F31" s="346"/>
      <c r="G31" s="347"/>
      <c r="H31" s="346"/>
      <c r="J31" s="340"/>
      <c r="K31" s="340"/>
    </row>
    <row r="32" spans="1:13" ht="5.5" customHeight="1">
      <c r="A32" s="340"/>
      <c r="B32" s="340"/>
      <c r="D32" s="346"/>
      <c r="E32" s="346"/>
      <c r="F32" s="346"/>
      <c r="G32" s="346"/>
      <c r="H32" s="346"/>
      <c r="J32" s="340"/>
      <c r="K32" s="340"/>
    </row>
    <row r="33" spans="1:11" ht="206.25" customHeight="1">
      <c r="A33" s="340"/>
      <c r="B33" s="340"/>
      <c r="D33" s="784" t="s">
        <v>111</v>
      </c>
      <c r="E33" s="785"/>
      <c r="F33" s="812" t="s">
        <v>112</v>
      </c>
      <c r="G33" s="812"/>
      <c r="H33" s="352"/>
      <c r="J33" s="340"/>
      <c r="K33" s="340"/>
    </row>
    <row r="34" spans="1:11" ht="27" customHeight="1">
      <c r="A34" s="340"/>
      <c r="B34" s="340"/>
      <c r="D34" s="786"/>
      <c r="E34" s="787"/>
      <c r="F34" s="813" t="s">
        <v>113</v>
      </c>
      <c r="G34" s="813"/>
      <c r="H34" s="796" t="s">
        <v>114</v>
      </c>
      <c r="J34" s="340"/>
      <c r="K34" s="340"/>
    </row>
    <row r="35" spans="1:11" s="661" customFormat="1" ht="20.25" customHeight="1">
      <c r="A35" s="660"/>
      <c r="B35" s="660"/>
      <c r="D35" s="786"/>
      <c r="E35" s="787"/>
      <c r="F35" s="814" t="s">
        <v>115</v>
      </c>
      <c r="G35" s="814"/>
      <c r="H35" s="796"/>
      <c r="J35" s="660"/>
      <c r="K35" s="660"/>
    </row>
    <row r="36" spans="1:11" s="661" customFormat="1" ht="20.25" customHeight="1">
      <c r="A36" s="660"/>
      <c r="B36" s="660"/>
      <c r="D36" s="786"/>
      <c r="E36" s="787"/>
      <c r="F36" s="814" t="s">
        <v>116</v>
      </c>
      <c r="G36" s="814"/>
      <c r="H36" s="796"/>
      <c r="J36" s="660"/>
      <c r="K36" s="660"/>
    </row>
    <row r="37" spans="1:11" s="661" customFormat="1" ht="20.25" customHeight="1">
      <c r="A37" s="660"/>
      <c r="B37" s="660"/>
      <c r="D37" s="786"/>
      <c r="E37" s="787"/>
      <c r="F37" s="814" t="s">
        <v>117</v>
      </c>
      <c r="G37" s="814"/>
      <c r="H37" s="796"/>
      <c r="J37" s="660"/>
      <c r="K37" s="660"/>
    </row>
    <row r="38" spans="1:11" ht="8.5" customHeight="1">
      <c r="A38" s="340"/>
      <c r="B38" s="340"/>
      <c r="D38" s="786"/>
      <c r="E38" s="787"/>
      <c r="F38" s="815"/>
      <c r="G38" s="815"/>
      <c r="H38" s="353"/>
      <c r="J38" s="340"/>
      <c r="K38" s="340"/>
    </row>
    <row r="39" spans="1:11" s="663" customFormat="1" ht="386.25" customHeight="1">
      <c r="A39" s="662"/>
      <c r="B39" s="662"/>
      <c r="D39" s="786"/>
      <c r="E39" s="787"/>
      <c r="F39" s="816" t="s">
        <v>118</v>
      </c>
      <c r="G39" s="816"/>
      <c r="H39" s="817"/>
      <c r="J39" s="662"/>
      <c r="K39" s="662"/>
    </row>
    <row r="40" spans="1:11">
      <c r="A40" s="340"/>
      <c r="B40" s="340"/>
      <c r="D40" s="786"/>
      <c r="E40" s="787"/>
      <c r="F40" s="813" t="s">
        <v>113</v>
      </c>
      <c r="G40" s="813"/>
      <c r="H40" s="353"/>
      <c r="J40" s="340"/>
      <c r="K40" s="340"/>
    </row>
    <row r="41" spans="1:11" s="337" customFormat="1" ht="28" customHeight="1">
      <c r="A41" s="342"/>
      <c r="B41" s="342"/>
      <c r="D41" s="788"/>
      <c r="E41" s="789"/>
      <c r="F41" s="818" t="s">
        <v>119</v>
      </c>
      <c r="G41" s="818"/>
      <c r="H41" s="819"/>
      <c r="J41" s="342"/>
      <c r="K41" s="342"/>
    </row>
    <row r="42" spans="1:11" ht="9" customHeight="1">
      <c r="A42" s="340"/>
      <c r="B42" s="340"/>
      <c r="G42" s="338"/>
      <c r="J42" s="340"/>
      <c r="K42" s="340"/>
    </row>
    <row r="43" spans="1:11" ht="45" customHeight="1">
      <c r="A43" s="340"/>
      <c r="B43" s="340"/>
      <c r="C43" s="807" t="s">
        <v>120</v>
      </c>
      <c r="D43" s="807"/>
      <c r="E43" s="807"/>
      <c r="F43" s="807"/>
      <c r="G43" s="807"/>
      <c r="H43" s="807"/>
      <c r="I43" s="807"/>
      <c r="J43" s="340"/>
      <c r="K43" s="340"/>
    </row>
    <row r="44" spans="1:11" ht="8.25" customHeight="1">
      <c r="A44" s="340"/>
      <c r="B44" s="340"/>
      <c r="C44" s="354"/>
      <c r="D44" s="354"/>
      <c r="E44" s="354"/>
      <c r="F44" s="354"/>
      <c r="G44" s="354"/>
      <c r="H44" s="354"/>
      <c r="I44" s="354"/>
      <c r="J44" s="340"/>
      <c r="K44" s="340"/>
    </row>
    <row r="45" spans="1:11" ht="61" customHeight="1">
      <c r="A45" s="340"/>
      <c r="B45" s="340"/>
      <c r="D45" s="820" t="s">
        <v>121</v>
      </c>
      <c r="E45" s="820"/>
      <c r="F45" s="820"/>
      <c r="G45" s="820"/>
      <c r="H45" s="820"/>
      <c r="J45" s="340"/>
      <c r="K45" s="340"/>
    </row>
    <row r="46" spans="1:11" ht="8.5" customHeight="1">
      <c r="A46" s="340"/>
      <c r="B46" s="340"/>
      <c r="G46" s="334"/>
      <c r="J46" s="340"/>
      <c r="K46" s="340"/>
    </row>
    <row r="47" spans="1:11" ht="45" customHeight="1">
      <c r="A47" s="340"/>
      <c r="B47" s="340"/>
      <c r="C47" s="821" t="s">
        <v>122</v>
      </c>
      <c r="D47" s="821"/>
      <c r="E47" s="821"/>
      <c r="F47" s="821"/>
      <c r="G47" s="821"/>
      <c r="H47" s="821"/>
      <c r="I47" s="821"/>
      <c r="J47" s="340"/>
      <c r="K47" s="340"/>
    </row>
    <row r="48" spans="1:11" ht="8.25" customHeight="1">
      <c r="A48" s="340"/>
      <c r="B48" s="340"/>
      <c r="D48" s="333"/>
      <c r="E48" s="333"/>
      <c r="F48" s="333"/>
      <c r="G48" s="333"/>
      <c r="J48" s="340"/>
      <c r="K48" s="340"/>
    </row>
    <row r="49" spans="1:11" ht="52" customHeight="1">
      <c r="A49" s="340"/>
      <c r="B49" s="340"/>
      <c r="D49" s="824" t="s">
        <v>123</v>
      </c>
      <c r="E49" s="824"/>
      <c r="F49" s="824"/>
      <c r="G49" s="824"/>
      <c r="H49" s="824"/>
      <c r="J49" s="340"/>
      <c r="K49" s="340"/>
    </row>
    <row r="50" spans="1:11" ht="372" customHeight="1">
      <c r="A50" s="340"/>
      <c r="B50" s="340"/>
      <c r="D50" s="823" t="s">
        <v>124</v>
      </c>
      <c r="E50" s="824"/>
      <c r="F50" s="824"/>
      <c r="G50" s="824"/>
      <c r="H50" s="824"/>
      <c r="J50" s="340"/>
      <c r="K50" s="340"/>
    </row>
    <row r="51" spans="1:11" ht="8.5" customHeight="1">
      <c r="A51" s="340"/>
      <c r="B51" s="340"/>
      <c r="G51" s="334"/>
      <c r="J51" s="340"/>
      <c r="K51" s="340"/>
    </row>
    <row r="52" spans="1:11" ht="45" customHeight="1">
      <c r="A52" s="340"/>
      <c r="B52" s="340"/>
      <c r="C52" s="821" t="s">
        <v>125</v>
      </c>
      <c r="D52" s="821"/>
      <c r="E52" s="821"/>
      <c r="F52" s="821"/>
      <c r="G52" s="821"/>
      <c r="H52" s="821"/>
      <c r="I52" s="821"/>
      <c r="J52" s="340"/>
      <c r="K52" s="340"/>
    </row>
    <row r="53" spans="1:11" ht="8.25" customHeight="1">
      <c r="A53" s="340"/>
      <c r="B53" s="340"/>
      <c r="C53" s="354"/>
      <c r="D53" s="354"/>
      <c r="E53" s="354"/>
      <c r="F53" s="354"/>
      <c r="G53" s="354"/>
      <c r="H53" s="354"/>
      <c r="I53" s="354"/>
      <c r="J53" s="340"/>
      <c r="K53" s="340"/>
    </row>
    <row r="54" spans="1:11" ht="87" customHeight="1">
      <c r="A54" s="340"/>
      <c r="B54" s="340"/>
      <c r="D54" s="827" t="s">
        <v>126</v>
      </c>
      <c r="E54" s="827"/>
      <c r="F54" s="827"/>
      <c r="G54" s="827"/>
      <c r="H54" s="827"/>
      <c r="J54" s="340"/>
      <c r="K54" s="340"/>
    </row>
    <row r="55" spans="1:11" ht="8.5" customHeight="1">
      <c r="A55" s="340"/>
      <c r="B55" s="340"/>
      <c r="G55" s="334"/>
      <c r="J55" s="340"/>
      <c r="K55" s="340"/>
    </row>
    <row r="56" spans="1:11" ht="25" customHeight="1">
      <c r="A56" s="340"/>
      <c r="B56" s="340"/>
      <c r="C56" s="826" t="s">
        <v>127</v>
      </c>
      <c r="D56" s="826"/>
      <c r="E56" s="826"/>
      <c r="F56" s="826"/>
      <c r="G56" s="826"/>
      <c r="H56" s="826"/>
      <c r="I56" s="826"/>
      <c r="J56" s="340"/>
      <c r="K56" s="340"/>
    </row>
    <row r="57" spans="1:11" ht="20.25" customHeight="1">
      <c r="A57" s="340"/>
      <c r="B57" s="340"/>
      <c r="C57" s="689"/>
      <c r="D57" s="822" t="s">
        <v>128</v>
      </c>
      <c r="E57" s="822"/>
      <c r="F57" s="822"/>
      <c r="G57" s="822"/>
      <c r="H57" s="822"/>
      <c r="I57" s="689"/>
      <c r="J57" s="340"/>
      <c r="K57" s="340"/>
    </row>
    <row r="58" spans="1:11" ht="20.25" customHeight="1">
      <c r="A58" s="340"/>
      <c r="B58" s="340"/>
      <c r="C58" s="689"/>
      <c r="D58" s="822" t="s">
        <v>129</v>
      </c>
      <c r="E58" s="822"/>
      <c r="F58" s="822"/>
      <c r="G58" s="822"/>
      <c r="H58" s="822"/>
      <c r="I58" s="689"/>
      <c r="J58" s="340"/>
      <c r="K58" s="340"/>
    </row>
    <row r="59" spans="1:11" ht="20.25" customHeight="1">
      <c r="A59" s="340"/>
      <c r="B59" s="340"/>
      <c r="C59" s="689"/>
      <c r="D59" s="822" t="s">
        <v>130</v>
      </c>
      <c r="E59" s="822"/>
      <c r="F59" s="822"/>
      <c r="G59" s="822"/>
      <c r="H59" s="822"/>
      <c r="I59" s="689"/>
      <c r="J59" s="340"/>
      <c r="K59" s="340"/>
    </row>
    <row r="60" spans="1:11" ht="20.25" customHeight="1">
      <c r="A60" s="340"/>
      <c r="B60" s="340"/>
      <c r="C60" s="689"/>
      <c r="D60" s="822" t="s">
        <v>131</v>
      </c>
      <c r="E60" s="822"/>
      <c r="F60" s="822"/>
      <c r="G60" s="822"/>
      <c r="H60" s="822"/>
      <c r="I60" s="689"/>
      <c r="J60" s="340"/>
      <c r="K60" s="340"/>
    </row>
    <row r="61" spans="1:11" ht="20.25" customHeight="1">
      <c r="A61" s="340"/>
      <c r="B61" s="340"/>
      <c r="C61" s="689"/>
      <c r="D61" s="822" t="s">
        <v>132</v>
      </c>
      <c r="E61" s="822"/>
      <c r="F61" s="822"/>
      <c r="G61" s="822"/>
      <c r="H61" s="822"/>
      <c r="I61" s="689"/>
      <c r="J61" s="340"/>
      <c r="K61" s="340"/>
    </row>
    <row r="62" spans="1:11" ht="53.25" customHeight="1">
      <c r="A62" s="340"/>
      <c r="B62" s="340"/>
      <c r="C62" s="689"/>
      <c r="D62" s="822" t="s">
        <v>133</v>
      </c>
      <c r="E62" s="822"/>
      <c r="F62" s="822"/>
      <c r="G62" s="822"/>
      <c r="H62" s="822"/>
      <c r="I62" s="689"/>
      <c r="J62" s="340"/>
      <c r="K62" s="340"/>
    </row>
    <row r="63" spans="1:11" ht="42" customHeight="1">
      <c r="A63" s="340"/>
      <c r="B63" s="340"/>
      <c r="C63" s="689"/>
      <c r="D63" s="822" t="s">
        <v>134</v>
      </c>
      <c r="E63" s="822"/>
      <c r="F63" s="822"/>
      <c r="G63" s="822"/>
      <c r="H63" s="822"/>
      <c r="I63" s="689"/>
      <c r="J63" s="340"/>
      <c r="K63" s="340"/>
    </row>
    <row r="64" spans="1:11" ht="58" customHeight="1">
      <c r="A64" s="340"/>
      <c r="B64" s="340"/>
      <c r="C64" s="689"/>
      <c r="D64" s="822" t="s">
        <v>135</v>
      </c>
      <c r="E64" s="822"/>
      <c r="F64" s="822"/>
      <c r="G64" s="822"/>
      <c r="H64" s="822"/>
      <c r="I64" s="689"/>
      <c r="J64" s="340"/>
      <c r="K64" s="340"/>
    </row>
    <row r="65" spans="1:11" ht="52" customHeight="1">
      <c r="A65" s="340"/>
      <c r="B65" s="340"/>
      <c r="C65" s="689"/>
      <c r="D65" s="822" t="s">
        <v>136</v>
      </c>
      <c r="E65" s="822"/>
      <c r="F65" s="822"/>
      <c r="G65" s="822"/>
      <c r="H65" s="822"/>
      <c r="I65" s="689"/>
      <c r="J65" s="340"/>
      <c r="K65" s="340"/>
    </row>
    <row r="66" spans="1:11" ht="38.25" customHeight="1">
      <c r="A66" s="340"/>
      <c r="B66" s="340"/>
      <c r="C66" s="689"/>
      <c r="D66" s="825" t="s">
        <v>137</v>
      </c>
      <c r="E66" s="825"/>
      <c r="F66" s="825"/>
      <c r="G66" s="825"/>
      <c r="H66" s="825"/>
      <c r="I66" s="689"/>
      <c r="J66" s="340"/>
      <c r="K66" s="340"/>
    </row>
    <row r="67" spans="1:11">
      <c r="A67" s="340"/>
      <c r="B67" s="340"/>
      <c r="C67" s="340"/>
      <c r="D67" s="340"/>
      <c r="E67" s="340"/>
      <c r="F67" s="340"/>
      <c r="G67" s="343"/>
      <c r="H67" s="340"/>
      <c r="I67" s="340"/>
      <c r="J67" s="340"/>
      <c r="K67" s="340"/>
    </row>
  </sheetData>
  <sheetProtection algorithmName="SHA-512" hashValue="ZcJM+vd92tkuQn1b3xh0HoyJuLTN+eosDZLCjj/TlBxef/J2ADqpnJRm4MF/EOVOYhj2P01uE23OMv8oGLvCXQ==" saltValue="Pt6KrNVFJJULArIwRrdBVg==" spinCount="100000" sheet="1" objects="1" scenarios="1"/>
  <mergeCells count="51">
    <mergeCell ref="D65:H65"/>
    <mergeCell ref="D66:H66"/>
    <mergeCell ref="C56:I56"/>
    <mergeCell ref="C52:I52"/>
    <mergeCell ref="D54:H54"/>
    <mergeCell ref="D60:H60"/>
    <mergeCell ref="D61:H61"/>
    <mergeCell ref="D62:H62"/>
    <mergeCell ref="D63:H63"/>
    <mergeCell ref="D64:H64"/>
    <mergeCell ref="D45:H45"/>
    <mergeCell ref="C47:I47"/>
    <mergeCell ref="D57:H57"/>
    <mergeCell ref="D58:H58"/>
    <mergeCell ref="D59:H59"/>
    <mergeCell ref="D50:H50"/>
    <mergeCell ref="D49:H49"/>
    <mergeCell ref="B12:J12"/>
    <mergeCell ref="C43:I43"/>
    <mergeCell ref="D30:E30"/>
    <mergeCell ref="F30:H30"/>
    <mergeCell ref="F33:G33"/>
    <mergeCell ref="F34:G34"/>
    <mergeCell ref="F35:G35"/>
    <mergeCell ref="F36:G36"/>
    <mergeCell ref="F37:G37"/>
    <mergeCell ref="F38:G38"/>
    <mergeCell ref="F39:H39"/>
    <mergeCell ref="F40:G40"/>
    <mergeCell ref="F41:H41"/>
    <mergeCell ref="D4:I4"/>
    <mergeCell ref="H3:J3"/>
    <mergeCell ref="B6:J6"/>
    <mergeCell ref="D8:H8"/>
    <mergeCell ref="D10:H10"/>
    <mergeCell ref="E2:G2"/>
    <mergeCell ref="E3:G3"/>
    <mergeCell ref="D33:E41"/>
    <mergeCell ref="F25:H25"/>
    <mergeCell ref="F28:H28"/>
    <mergeCell ref="H34:H37"/>
    <mergeCell ref="E20:H20"/>
    <mergeCell ref="D22:E28"/>
    <mergeCell ref="F22:H22"/>
    <mergeCell ref="F23:H23"/>
    <mergeCell ref="F24:H24"/>
    <mergeCell ref="F26:H26"/>
    <mergeCell ref="F27:H27"/>
    <mergeCell ref="C14:I14"/>
    <mergeCell ref="E16:H17"/>
    <mergeCell ref="E18:H19"/>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s>
  <pageMargins left="0.7" right="0.7" top="0.75" bottom="0.75" header="0.3" footer="0.3"/>
  <pageSetup scale="62" orientation="portrait" r:id="rId5"/>
  <rowBreaks count="3" manualBreakCount="3">
    <brk id="11" max="16383" man="1"/>
    <brk id="32" max="16383" man="1"/>
    <brk id="46" max="16383"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zoomScaleNormal="100" workbookViewId="0"/>
  </sheetViews>
  <sheetFormatPr defaultColWidth="8.81640625" defaultRowHeight="15.5" outlineLevelRow="2" outlineLevelCol="1"/>
  <cols>
    <col min="1" max="1" width="1.453125" style="406" customWidth="1"/>
    <col min="2" max="3" width="4.453125" style="407" customWidth="1"/>
    <col min="4" max="4" width="43.81640625" style="406" customWidth="1"/>
    <col min="5" max="5" width="15" style="406" customWidth="1"/>
    <col min="6" max="7" width="15" style="406" hidden="1" customWidth="1" outlineLevel="1"/>
    <col min="8" max="8" width="15" style="406" customWidth="1" collapsed="1"/>
    <col min="9" max="10" width="15" style="406" hidden="1" customWidth="1" outlineLevel="1"/>
    <col min="11" max="11" width="15" style="406" customWidth="1" collapsed="1"/>
    <col min="12" max="12" width="15" style="406" customWidth="1"/>
    <col min="13" max="13" width="18.453125" style="406" customWidth="1"/>
    <col min="14" max="14" width="32.453125" style="406" customWidth="1"/>
    <col min="15" max="15" width="4.453125" style="406" customWidth="1"/>
    <col min="16" max="16" width="4.453125" style="407" customWidth="1"/>
    <col min="17" max="17" width="46.81640625" style="407" customWidth="1"/>
    <col min="18" max="18" width="25.453125" style="407" customWidth="1"/>
    <col min="19" max="19" width="4.81640625" style="407" customWidth="1"/>
    <col min="20" max="20" width="17.453125" style="406" customWidth="1"/>
    <col min="21" max="21" width="1.1796875" style="406" customWidth="1"/>
    <col min="22" max="22" width="17.453125" style="406" customWidth="1"/>
    <col min="23" max="23" width="59.1796875" style="406" customWidth="1"/>
    <col min="24" max="24" width="5.1796875" style="406" customWidth="1"/>
    <col min="25" max="25" width="25.453125" style="406" customWidth="1"/>
    <col min="26" max="26" width="19.1796875" style="406" customWidth="1"/>
    <col min="27" max="27" width="24.81640625" style="406" customWidth="1"/>
    <col min="28" max="28" width="19.1796875" style="406" customWidth="1"/>
    <col min="29" max="29" width="25" style="406" customWidth="1"/>
    <col min="30" max="30" width="19.453125" style="406" customWidth="1"/>
    <col min="31" max="31" width="15.81640625" style="406" customWidth="1"/>
    <col min="32" max="32" width="37" style="406" customWidth="1"/>
    <col min="33" max="33" width="8.81640625" style="406" customWidth="1"/>
    <col min="34" max="34" width="22.81640625" style="406" customWidth="1"/>
    <col min="35" max="35" width="15.81640625" style="406" customWidth="1"/>
    <col min="36" max="36" width="37" style="406" customWidth="1"/>
    <col min="37" max="37" width="2.81640625" style="406" customWidth="1"/>
    <col min="38" max="16384" width="8.81640625" style="406"/>
  </cols>
  <sheetData>
    <row r="1" spans="2:21" ht="8.25" customHeight="1">
      <c r="B1" s="531"/>
      <c r="C1" s="531"/>
      <c r="D1" s="531"/>
      <c r="E1" s="531"/>
      <c r="F1" s="531"/>
      <c r="G1" s="531"/>
      <c r="H1" s="531"/>
      <c r="I1" s="531"/>
      <c r="J1" s="531"/>
      <c r="K1" s="531"/>
      <c r="L1" s="531"/>
      <c r="M1" s="531"/>
      <c r="N1" s="531"/>
      <c r="O1" s="531"/>
      <c r="P1" s="531"/>
    </row>
    <row r="2" spans="2:21" ht="19" customHeight="1">
      <c r="B2" s="1022" t="s">
        <v>138</v>
      </c>
      <c r="C2" s="1022"/>
      <c r="D2" s="1022"/>
      <c r="E2" s="1022"/>
      <c r="F2" s="1022"/>
      <c r="G2" s="1022"/>
      <c r="H2" s="1022"/>
      <c r="I2" s="1022"/>
      <c r="J2" s="1022"/>
      <c r="K2" s="1022"/>
      <c r="L2" s="1022"/>
      <c r="M2" s="1022"/>
      <c r="N2" s="1022"/>
      <c r="O2" s="1022"/>
      <c r="P2" s="1022"/>
    </row>
    <row r="3" spans="2:21" ht="14.25" customHeight="1">
      <c r="B3" s="423"/>
      <c r="C3" s="423"/>
      <c r="D3" s="424"/>
      <c r="E3" s="424"/>
      <c r="F3" s="423"/>
      <c r="G3" s="424"/>
      <c r="H3" s="424"/>
      <c r="I3" s="423"/>
      <c r="J3" s="423"/>
      <c r="K3" s="424"/>
      <c r="L3" s="423"/>
      <c r="M3" s="423"/>
      <c r="N3" s="423"/>
      <c r="O3" s="423"/>
      <c r="P3" s="423"/>
      <c r="Q3" s="408"/>
      <c r="S3" s="409"/>
      <c r="U3" s="410"/>
    </row>
    <row r="4" spans="2:21" ht="60" customHeight="1">
      <c r="B4" s="423"/>
      <c r="C4" s="970" t="s">
        <v>87</v>
      </c>
      <c r="D4" s="970"/>
      <c r="E4" s="970"/>
      <c r="F4" s="970"/>
      <c r="G4" s="970"/>
      <c r="H4" s="970"/>
      <c r="I4" s="970"/>
      <c r="J4" s="970"/>
      <c r="K4" s="970"/>
      <c r="L4" s="970"/>
      <c r="M4" s="970"/>
      <c r="N4" s="970"/>
      <c r="O4" s="970"/>
      <c r="P4" s="423"/>
      <c r="R4" s="412"/>
      <c r="S4" s="412"/>
      <c r="T4" s="413"/>
    </row>
    <row r="5" spans="2:21" ht="26.25" hidden="1" customHeight="1">
      <c r="D5" s="405"/>
      <c r="E5" s="405"/>
      <c r="F5" s="405"/>
      <c r="G5" s="405"/>
      <c r="H5" s="405"/>
      <c r="I5" s="405"/>
      <c r="J5" s="405"/>
      <c r="K5" s="1001"/>
      <c r="L5" s="1001"/>
      <c r="M5" s="405"/>
      <c r="N5" s="405"/>
      <c r="R5" s="412"/>
      <c r="S5" s="412"/>
      <c r="T5" s="413"/>
    </row>
    <row r="6" spans="2:21" ht="14.25" hidden="1" customHeight="1">
      <c r="D6" s="405"/>
      <c r="E6" s="405"/>
      <c r="F6" s="405"/>
      <c r="G6" s="405"/>
      <c r="H6" s="405"/>
      <c r="I6" s="405"/>
      <c r="J6" s="405"/>
      <c r="K6" s="1001"/>
      <c r="L6" s="1001"/>
      <c r="M6" s="405"/>
      <c r="N6" s="405"/>
      <c r="R6" s="412"/>
      <c r="S6" s="412"/>
      <c r="T6" s="413"/>
    </row>
    <row r="7" spans="2:21" ht="14.25" hidden="1" customHeight="1">
      <c r="D7" s="405"/>
      <c r="E7" s="405"/>
      <c r="F7" s="405"/>
      <c r="G7" s="405"/>
      <c r="H7" s="405"/>
      <c r="I7" s="405"/>
      <c r="J7" s="405"/>
      <c r="K7" s="405"/>
      <c r="L7" s="405"/>
      <c r="M7" s="414"/>
      <c r="N7" s="405"/>
      <c r="Q7" s="415"/>
      <c r="R7" s="412"/>
      <c r="S7" s="412"/>
      <c r="T7" s="413"/>
    </row>
    <row r="8" spans="2:21" ht="20.25" hidden="1" customHeight="1">
      <c r="D8" s="1002" t="s">
        <v>2</v>
      </c>
      <c r="E8" s="1003"/>
      <c r="F8" s="1003"/>
      <c r="G8" s="1003"/>
      <c r="H8" s="1003"/>
      <c r="I8" s="1003"/>
      <c r="J8" s="1003"/>
      <c r="K8" s="1003"/>
      <c r="L8" s="1003"/>
      <c r="M8" s="1003"/>
      <c r="N8" s="1004"/>
      <c r="P8" s="356"/>
      <c r="Q8" s="356"/>
      <c r="R8" s="356"/>
      <c r="S8" s="356"/>
      <c r="T8" s="413"/>
    </row>
    <row r="9" spans="2:21" ht="20.25" hidden="1" customHeight="1">
      <c r="D9" s="1005"/>
      <c r="E9" s="1006"/>
      <c r="F9" s="1006"/>
      <c r="G9" s="1006"/>
      <c r="H9" s="1006"/>
      <c r="I9" s="1006"/>
      <c r="J9" s="1006"/>
      <c r="K9" s="1006"/>
      <c r="L9" s="1006"/>
      <c r="M9" s="1006"/>
      <c r="N9" s="1007"/>
      <c r="P9" s="356"/>
      <c r="Q9" s="356"/>
      <c r="R9" s="356"/>
      <c r="S9" s="356"/>
      <c r="T9" s="413"/>
    </row>
    <row r="10" spans="2:21" ht="20.25" hidden="1" customHeight="1">
      <c r="D10" s="1005"/>
      <c r="E10" s="1006"/>
      <c r="F10" s="1006"/>
      <c r="G10" s="1006"/>
      <c r="H10" s="1006"/>
      <c r="I10" s="1006"/>
      <c r="J10" s="1006"/>
      <c r="K10" s="1006"/>
      <c r="L10" s="1006"/>
      <c r="M10" s="1006"/>
      <c r="N10" s="1007"/>
      <c r="P10" s="356"/>
      <c r="Q10" s="356"/>
      <c r="R10" s="356"/>
      <c r="S10" s="356"/>
      <c r="T10" s="413"/>
    </row>
    <row r="11" spans="2:21" ht="16" hidden="1" customHeight="1">
      <c r="D11" s="1008"/>
      <c r="E11" s="1009"/>
      <c r="F11" s="1009"/>
      <c r="G11" s="1009"/>
      <c r="H11" s="1009"/>
      <c r="I11" s="1009"/>
      <c r="J11" s="1009"/>
      <c r="K11" s="1009"/>
      <c r="L11" s="1009"/>
      <c r="M11" s="1009"/>
      <c r="N11" s="1010"/>
      <c r="P11" s="356"/>
      <c r="Q11" s="356"/>
      <c r="R11" s="356"/>
      <c r="S11" s="356"/>
      <c r="T11" s="413"/>
    </row>
    <row r="12" spans="2:21" ht="12" customHeight="1">
      <c r="B12" s="423"/>
      <c r="C12" s="423"/>
      <c r="D12" s="423"/>
      <c r="E12" s="423"/>
      <c r="F12" s="423"/>
      <c r="G12" s="423"/>
      <c r="H12" s="423"/>
      <c r="I12" s="423"/>
      <c r="J12" s="423"/>
      <c r="K12" s="424"/>
      <c r="L12" s="423"/>
      <c r="M12" s="423"/>
      <c r="N12" s="423"/>
      <c r="O12" s="423"/>
      <c r="P12" s="423"/>
      <c r="Q12" s="408"/>
      <c r="S12" s="409"/>
      <c r="U12" s="410"/>
    </row>
    <row r="13" spans="2:21" ht="52" customHeight="1">
      <c r="B13" s="423"/>
      <c r="C13" s="423"/>
      <c r="D13" s="1017" t="s">
        <v>139</v>
      </c>
      <c r="E13" s="1018"/>
      <c r="F13" s="423"/>
      <c r="G13" s="423"/>
      <c r="H13" s="423"/>
      <c r="I13" s="423"/>
      <c r="J13" s="423"/>
      <c r="K13" s="423"/>
      <c r="L13" s="423"/>
      <c r="M13" s="431"/>
      <c r="N13" s="423"/>
      <c r="O13" s="423"/>
      <c r="P13" s="423"/>
      <c r="Q13" s="408"/>
      <c r="R13" s="412"/>
      <c r="S13" s="412"/>
      <c r="T13" s="413"/>
    </row>
    <row r="14" spans="2:21" ht="12" customHeight="1">
      <c r="B14" s="423"/>
      <c r="C14" s="423"/>
      <c r="D14" s="423"/>
      <c r="E14" s="423"/>
      <c r="F14" s="423"/>
      <c r="G14" s="423"/>
      <c r="H14" s="423"/>
      <c r="I14" s="423"/>
      <c r="J14" s="423"/>
      <c r="K14" s="424"/>
      <c r="L14" s="423"/>
      <c r="M14" s="423"/>
      <c r="N14" s="423"/>
      <c r="O14" s="423"/>
      <c r="P14" s="423"/>
      <c r="Q14" s="408"/>
      <c r="S14" s="409"/>
      <c r="U14" s="410"/>
    </row>
    <row r="15" spans="2:21" ht="46" customHeight="1">
      <c r="B15" s="423"/>
      <c r="C15" s="423"/>
      <c r="D15" s="971" t="s">
        <v>140</v>
      </c>
      <c r="E15" s="971"/>
      <c r="F15" s="971"/>
      <c r="G15" s="971"/>
      <c r="H15" s="971"/>
      <c r="I15" s="971"/>
      <c r="J15" s="971"/>
      <c r="K15" s="971"/>
      <c r="L15" s="971"/>
      <c r="M15" s="971"/>
      <c r="N15" s="971"/>
      <c r="O15" s="425"/>
      <c r="P15" s="425"/>
      <c r="S15" s="721"/>
      <c r="T15" s="712"/>
      <c r="U15" s="416"/>
    </row>
    <row r="16" spans="2:21" ht="12" customHeight="1">
      <c r="B16" s="423"/>
      <c r="C16" s="423"/>
      <c r="D16" s="423"/>
      <c r="E16" s="423"/>
      <c r="F16" s="423"/>
      <c r="G16" s="423"/>
      <c r="H16" s="423"/>
      <c r="I16" s="423"/>
      <c r="J16" s="423"/>
      <c r="K16" s="424"/>
      <c r="L16" s="423"/>
      <c r="M16" s="423"/>
      <c r="N16" s="423"/>
      <c r="O16" s="423"/>
      <c r="P16" s="423"/>
      <c r="Q16" s="408"/>
      <c r="S16" s="409"/>
      <c r="U16" s="410"/>
    </row>
    <row r="17" spans="2:21" ht="34.5" customHeight="1">
      <c r="B17" s="423"/>
      <c r="C17" s="423"/>
      <c r="D17" s="706" t="s">
        <v>5</v>
      </c>
      <c r="E17" s="442" t="s">
        <v>6</v>
      </c>
      <c r="F17" s="423"/>
      <c r="G17" s="423"/>
      <c r="H17" s="434"/>
      <c r="I17" s="434"/>
      <c r="J17" s="434"/>
      <c r="K17" s="434"/>
      <c r="L17" s="434"/>
      <c r="M17" s="434"/>
      <c r="N17" s="434"/>
      <c r="O17" s="423"/>
      <c r="P17" s="423"/>
      <c r="Q17" s="408"/>
      <c r="S17" s="409"/>
      <c r="U17" s="410"/>
    </row>
    <row r="18" spans="2:21" ht="25.5" customHeight="1">
      <c r="B18" s="423"/>
      <c r="C18" s="423"/>
      <c r="D18" s="440" t="s">
        <v>141</v>
      </c>
      <c r="E18" s="756" t="s">
        <v>8</v>
      </c>
      <c r="F18" s="423"/>
      <c r="G18" s="423"/>
      <c r="H18" s="434"/>
      <c r="I18" s="434"/>
      <c r="J18" s="434"/>
      <c r="K18" s="434"/>
      <c r="L18" s="434"/>
      <c r="M18" s="434"/>
      <c r="N18" s="434"/>
      <c r="O18" s="423"/>
      <c r="P18" s="423"/>
      <c r="Q18" s="408"/>
      <c r="S18" s="409"/>
      <c r="U18" s="410"/>
    </row>
    <row r="19" spans="2:21" ht="7.5" customHeight="1">
      <c r="B19" s="423"/>
      <c r="C19" s="423"/>
      <c r="D19" s="440"/>
      <c r="E19" s="443"/>
      <c r="F19" s="423"/>
      <c r="G19" s="423"/>
      <c r="H19" s="434"/>
      <c r="I19" s="434"/>
      <c r="J19" s="434"/>
      <c r="K19" s="434"/>
      <c r="L19" s="434"/>
      <c r="M19" s="434"/>
      <c r="N19" s="434"/>
      <c r="O19" s="423"/>
      <c r="P19" s="423"/>
      <c r="Q19" s="408"/>
      <c r="S19" s="409"/>
      <c r="U19" s="410"/>
    </row>
    <row r="20" spans="2:21" ht="25" customHeight="1">
      <c r="B20" s="423"/>
      <c r="C20" s="423"/>
      <c r="D20" s="440" t="s">
        <v>142</v>
      </c>
      <c r="E20" s="756" t="s">
        <v>8</v>
      </c>
      <c r="F20" s="423"/>
      <c r="G20" s="423"/>
      <c r="H20" s="434"/>
      <c r="I20" s="434"/>
      <c r="J20" s="434"/>
      <c r="K20" s="434"/>
      <c r="L20" s="434"/>
      <c r="M20" s="434"/>
      <c r="N20" s="434"/>
      <c r="O20" s="423"/>
      <c r="P20" s="423"/>
      <c r="Q20" s="408"/>
      <c r="S20" s="409"/>
      <c r="U20" s="410"/>
    </row>
    <row r="21" spans="2:21" ht="7.5" customHeight="1">
      <c r="B21" s="423"/>
      <c r="C21" s="423"/>
      <c r="D21" s="440"/>
      <c r="E21" s="443"/>
      <c r="F21" s="423"/>
      <c r="G21" s="423"/>
      <c r="H21" s="434"/>
      <c r="I21" s="434"/>
      <c r="J21" s="434"/>
      <c r="K21" s="434"/>
      <c r="L21" s="434"/>
      <c r="M21" s="434"/>
      <c r="N21" s="434"/>
      <c r="O21" s="423"/>
      <c r="P21" s="423"/>
      <c r="Q21" s="408"/>
      <c r="S21" s="409"/>
      <c r="U21" s="410"/>
    </row>
    <row r="22" spans="2:21" ht="31" customHeight="1">
      <c r="B22" s="423"/>
      <c r="C22" s="423"/>
      <c r="D22" s="441" t="s">
        <v>143</v>
      </c>
      <c r="E22" s="757" t="s">
        <v>144</v>
      </c>
      <c r="F22" s="423"/>
      <c r="G22" s="423"/>
      <c r="H22" s="434"/>
      <c r="I22" s="434"/>
      <c r="J22" s="434"/>
      <c r="K22" s="434"/>
      <c r="L22" s="434"/>
      <c r="M22" s="434"/>
      <c r="N22" s="434"/>
      <c r="O22" s="423"/>
      <c r="P22" s="423"/>
      <c r="Q22" s="408"/>
      <c r="S22" s="409"/>
      <c r="U22" s="410"/>
    </row>
    <row r="23" spans="2:21" ht="43.5" customHeight="1">
      <c r="B23" s="423"/>
      <c r="C23" s="423"/>
      <c r="D23" s="423"/>
      <c r="E23" s="951" t="s">
        <v>145</v>
      </c>
      <c r="F23" s="952"/>
      <c r="G23" s="952"/>
      <c r="H23" s="951" t="s">
        <v>146</v>
      </c>
      <c r="I23" s="952"/>
      <c r="J23" s="952"/>
      <c r="K23" s="951" t="s">
        <v>147</v>
      </c>
      <c r="L23" s="952"/>
      <c r="M23" s="1037"/>
      <c r="N23" s="1037"/>
      <c r="O23" s="423"/>
      <c r="P23" s="423"/>
      <c r="Q23" s="408"/>
      <c r="S23" s="409"/>
      <c r="U23" s="410"/>
    </row>
    <row r="24" spans="2:21" ht="119.5" customHeight="1">
      <c r="B24" s="423"/>
      <c r="C24" s="423"/>
      <c r="D24" s="436" t="s">
        <v>12</v>
      </c>
      <c r="E24" s="1015" t="s">
        <v>148</v>
      </c>
      <c r="F24" s="1015"/>
      <c r="G24" s="1015"/>
      <c r="H24" s="1015" t="s">
        <v>14</v>
      </c>
      <c r="I24" s="1015"/>
      <c r="J24" s="1015"/>
      <c r="K24" s="1015" t="s">
        <v>149</v>
      </c>
      <c r="L24" s="1015"/>
      <c r="M24" s="1016" t="s">
        <v>16</v>
      </c>
      <c r="N24" s="1016"/>
      <c r="O24" s="426"/>
      <c r="P24" s="426"/>
      <c r="Q24" s="417"/>
      <c r="S24" s="721"/>
      <c r="T24" s="712"/>
    </row>
    <row r="25" spans="2:21" ht="12" customHeight="1">
      <c r="B25" s="423"/>
      <c r="C25" s="423"/>
      <c r="D25" s="423"/>
      <c r="E25" s="423"/>
      <c r="F25" s="423"/>
      <c r="G25" s="423"/>
      <c r="H25" s="423"/>
      <c r="I25" s="423"/>
      <c r="J25" s="423"/>
      <c r="K25" s="434"/>
      <c r="L25" s="423"/>
      <c r="M25" s="423"/>
      <c r="N25" s="423"/>
      <c r="O25" s="423"/>
      <c r="P25" s="423"/>
      <c r="Q25" s="408"/>
      <c r="S25" s="409"/>
      <c r="U25" s="410"/>
    </row>
    <row r="26" spans="2:21" ht="50.25" customHeight="1">
      <c r="B26" s="423"/>
      <c r="C26" s="423"/>
      <c r="D26" s="718" t="s">
        <v>17</v>
      </c>
      <c r="E26" s="1019">
        <v>2025</v>
      </c>
      <c r="F26" s="1019"/>
      <c r="G26" s="1019"/>
      <c r="H26" s="1019"/>
      <c r="I26" s="1019"/>
      <c r="J26" s="1019"/>
      <c r="K26" s="1019"/>
      <c r="L26" s="1019"/>
      <c r="M26" s="954" t="s">
        <v>18</v>
      </c>
      <c r="N26" s="954"/>
      <c r="O26" s="665"/>
      <c r="P26" s="665"/>
      <c r="S26" s="720"/>
      <c r="U26" s="357"/>
    </row>
    <row r="27" spans="2:21" ht="12" customHeight="1">
      <c r="B27" s="423"/>
      <c r="C27" s="423"/>
      <c r="D27" s="423"/>
      <c r="E27" s="423"/>
      <c r="F27" s="423"/>
      <c r="G27" s="423"/>
      <c r="H27" s="423"/>
      <c r="I27" s="423"/>
      <c r="J27" s="423"/>
      <c r="K27" s="434"/>
      <c r="L27" s="423"/>
      <c r="M27" s="433"/>
      <c r="N27" s="433"/>
      <c r="O27" s="423"/>
      <c r="P27" s="423"/>
      <c r="Q27" s="408"/>
      <c r="S27" s="409"/>
      <c r="U27" s="410"/>
    </row>
    <row r="28" spans="2:21" ht="12" hidden="1" customHeight="1" thickBot="1">
      <c r="B28" s="423"/>
      <c r="C28" s="423"/>
      <c r="D28" s="405"/>
      <c r="E28" s="405"/>
      <c r="F28" s="405"/>
      <c r="G28" s="405"/>
      <c r="H28" s="405"/>
      <c r="I28" s="405"/>
      <c r="J28" s="405"/>
      <c r="K28" s="435"/>
      <c r="L28" s="405"/>
      <c r="M28" s="420"/>
      <c r="N28" s="420"/>
      <c r="O28" s="423"/>
      <c r="P28" s="423"/>
      <c r="Q28" s="408"/>
      <c r="S28" s="409"/>
      <c r="U28" s="410"/>
    </row>
    <row r="29" spans="2:21" ht="50.25" customHeight="1">
      <c r="B29" s="423"/>
      <c r="C29" s="423"/>
      <c r="D29" s="1035" t="s">
        <v>150</v>
      </c>
      <c r="E29" s="1020" t="s">
        <v>151</v>
      </c>
      <c r="F29" s="975"/>
      <c r="G29" s="975"/>
      <c r="H29" s="975" t="s">
        <v>19</v>
      </c>
      <c r="I29" s="975"/>
      <c r="J29" s="975"/>
      <c r="K29" s="709" t="s">
        <v>7</v>
      </c>
      <c r="L29" s="710" t="s">
        <v>19</v>
      </c>
      <c r="M29" s="954" t="s">
        <v>152</v>
      </c>
      <c r="N29" s="954"/>
      <c r="O29" s="665"/>
      <c r="P29" s="665"/>
      <c r="S29" s="358"/>
      <c r="U29" s="359"/>
    </row>
    <row r="30" spans="2:21" ht="50.25" customHeight="1">
      <c r="B30" s="423"/>
      <c r="C30" s="423"/>
      <c r="D30" s="1035"/>
      <c r="E30" s="969">
        <v>200000</v>
      </c>
      <c r="F30" s="969"/>
      <c r="G30" s="969"/>
      <c r="H30" s="969">
        <v>180000</v>
      </c>
      <c r="I30" s="969"/>
      <c r="J30" s="969"/>
      <c r="K30" s="758">
        <v>200000</v>
      </c>
      <c r="L30" s="733">
        <f>K30-(K30*K37)</f>
        <v>100000</v>
      </c>
      <c r="M30" s="954"/>
      <c r="N30" s="954"/>
      <c r="O30" s="665"/>
      <c r="P30" s="665"/>
      <c r="S30" s="358"/>
      <c r="U30" s="359"/>
    </row>
    <row r="31" spans="2:21" ht="50.25" hidden="1" customHeight="1">
      <c r="B31" s="423"/>
      <c r="C31" s="423"/>
      <c r="D31" s="437" t="s">
        <v>21</v>
      </c>
      <c r="E31" s="747">
        <v>12</v>
      </c>
      <c r="F31" s="747"/>
      <c r="G31" s="747"/>
      <c r="H31" s="747">
        <v>6</v>
      </c>
      <c r="I31" s="747"/>
      <c r="J31" s="747"/>
      <c r="K31" s="438">
        <f>E31</f>
        <v>12</v>
      </c>
      <c r="L31" s="438">
        <f>H31</f>
        <v>6</v>
      </c>
      <c r="M31" s="954" t="s">
        <v>22</v>
      </c>
      <c r="N31" s="954"/>
      <c r="O31" s="665"/>
      <c r="P31" s="665"/>
      <c r="S31" s="358"/>
      <c r="U31" s="359"/>
    </row>
    <row r="32" spans="2:21" ht="50.25" hidden="1" customHeight="1" thickBot="1">
      <c r="B32" s="423"/>
      <c r="C32" s="423"/>
      <c r="D32" s="437" t="s">
        <v>23</v>
      </c>
      <c r="E32" s="748">
        <v>0.7</v>
      </c>
      <c r="F32" s="747"/>
      <c r="G32" s="747"/>
      <c r="H32" s="748">
        <v>1</v>
      </c>
      <c r="I32" s="747"/>
      <c r="J32" s="747"/>
      <c r="K32" s="749">
        <f>E32</f>
        <v>0.7</v>
      </c>
      <c r="L32" s="749">
        <f>H32</f>
        <v>1</v>
      </c>
      <c r="M32" s="954" t="s">
        <v>24</v>
      </c>
      <c r="N32" s="954"/>
      <c r="O32" s="665"/>
      <c r="P32" s="665"/>
      <c r="S32" s="358"/>
      <c r="U32" s="359"/>
    </row>
    <row r="33" spans="2:21" ht="49" hidden="1" customHeight="1" thickBot="1">
      <c r="B33" s="423"/>
      <c r="C33" s="423"/>
      <c r="D33" s="706" t="s">
        <v>25</v>
      </c>
      <c r="E33" s="1021">
        <f>E30*(E31/12)*E32</f>
        <v>140000</v>
      </c>
      <c r="F33" s="1021"/>
      <c r="G33" s="1021"/>
      <c r="H33" s="1021">
        <f t="shared" ref="H33" si="0">H30*(H31/12)*H32</f>
        <v>90000</v>
      </c>
      <c r="I33" s="1021"/>
      <c r="J33" s="1021"/>
      <c r="K33" s="438">
        <f>K30*(K31/12)*K32</f>
        <v>140000</v>
      </c>
      <c r="L33" s="438">
        <f>L30*(L31/12)*L32</f>
        <v>50000</v>
      </c>
      <c r="M33" s="705"/>
      <c r="N33" s="705"/>
      <c r="O33" s="665"/>
      <c r="P33" s="665"/>
      <c r="S33" s="360"/>
      <c r="U33" s="361"/>
    </row>
    <row r="34" spans="2:21" ht="50.25" customHeight="1">
      <c r="B34" s="423"/>
      <c r="C34" s="423"/>
      <c r="D34" s="706" t="s">
        <v>26</v>
      </c>
      <c r="E34" s="993">
        <v>0.03</v>
      </c>
      <c r="F34" s="993"/>
      <c r="G34" s="993"/>
      <c r="H34" s="993">
        <v>0.03</v>
      </c>
      <c r="I34" s="993"/>
      <c r="J34" s="993"/>
      <c r="K34" s="759">
        <v>0.03</v>
      </c>
      <c r="L34" s="759">
        <v>0.03</v>
      </c>
      <c r="M34" s="954" t="s">
        <v>27</v>
      </c>
      <c r="N34" s="954"/>
      <c r="O34" s="665"/>
      <c r="P34" s="665"/>
      <c r="S34" s="360"/>
      <c r="U34" s="361"/>
    </row>
    <row r="35" spans="2:21" ht="12" customHeight="1">
      <c r="B35" s="423"/>
      <c r="C35" s="423"/>
      <c r="D35" s="423"/>
      <c r="E35" s="423"/>
      <c r="F35" s="423"/>
      <c r="G35" s="423"/>
      <c r="H35" s="423"/>
      <c r="I35" s="423"/>
      <c r="J35" s="423"/>
      <c r="K35" s="434"/>
      <c r="L35" s="423"/>
      <c r="M35" s="433"/>
      <c r="N35" s="433"/>
      <c r="O35" s="423"/>
      <c r="P35" s="423"/>
      <c r="Q35" s="408"/>
      <c r="S35" s="409"/>
      <c r="U35" s="410"/>
    </row>
    <row r="36" spans="2:21" ht="25.5" customHeight="1">
      <c r="B36" s="423"/>
      <c r="C36" s="423"/>
      <c r="D36" s="972" t="s">
        <v>153</v>
      </c>
      <c r="E36" s="973"/>
      <c r="F36" s="973"/>
      <c r="G36" s="973"/>
      <c r="H36" s="973"/>
      <c r="I36" s="973"/>
      <c r="J36" s="973"/>
      <c r="K36" s="973"/>
      <c r="L36" s="974"/>
      <c r="M36" s="954" t="s">
        <v>29</v>
      </c>
      <c r="N36" s="954"/>
      <c r="O36" s="665"/>
      <c r="P36" s="665"/>
      <c r="S36" s="360"/>
      <c r="U36" s="361"/>
    </row>
    <row r="37" spans="2:21" ht="49" customHeight="1">
      <c r="B37" s="423"/>
      <c r="C37" s="423"/>
      <c r="D37" s="714">
        <f>$E$26</f>
        <v>2025</v>
      </c>
      <c r="E37" s="994">
        <v>0.6</v>
      </c>
      <c r="F37" s="994"/>
      <c r="G37" s="994"/>
      <c r="H37" s="994">
        <v>0.8</v>
      </c>
      <c r="I37" s="994"/>
      <c r="J37" s="994"/>
      <c r="K37" s="760">
        <v>0.5</v>
      </c>
      <c r="L37" s="760">
        <v>0.9</v>
      </c>
      <c r="M37" s="954" t="s">
        <v>154</v>
      </c>
      <c r="N37" s="954"/>
      <c r="O37" s="427"/>
      <c r="P37" s="708"/>
      <c r="S37" s="360"/>
      <c r="U37" s="361"/>
    </row>
    <row r="38" spans="2:21" ht="49" customHeight="1">
      <c r="B38" s="423"/>
      <c r="C38" s="423"/>
      <c r="D38" s="706">
        <f>$E$26+1</f>
        <v>2026</v>
      </c>
      <c r="E38" s="994">
        <v>0.7</v>
      </c>
      <c r="F38" s="994"/>
      <c r="G38" s="994"/>
      <c r="H38" s="994">
        <v>0.8</v>
      </c>
      <c r="I38" s="994"/>
      <c r="J38" s="994"/>
      <c r="K38" s="760">
        <v>0.6</v>
      </c>
      <c r="L38" s="760">
        <v>0.9</v>
      </c>
      <c r="M38" s="954"/>
      <c r="N38" s="954"/>
      <c r="O38" s="427"/>
      <c r="P38" s="428"/>
      <c r="S38" s="360"/>
      <c r="U38" s="361"/>
    </row>
    <row r="39" spans="2:21" ht="49" customHeight="1">
      <c r="B39" s="423"/>
      <c r="C39" s="423"/>
      <c r="D39" s="706">
        <f>$E$26+2</f>
        <v>2027</v>
      </c>
      <c r="E39" s="994">
        <v>0.7</v>
      </c>
      <c r="F39" s="994"/>
      <c r="G39" s="994"/>
      <c r="H39" s="994">
        <v>0.8</v>
      </c>
      <c r="I39" s="994"/>
      <c r="J39" s="994"/>
      <c r="K39" s="760">
        <v>0.7</v>
      </c>
      <c r="L39" s="760">
        <v>0.9</v>
      </c>
      <c r="M39" s="954"/>
      <c r="N39" s="954"/>
      <c r="O39" s="427"/>
      <c r="P39" s="427"/>
      <c r="S39" s="360"/>
      <c r="U39" s="361"/>
    </row>
    <row r="40" spans="2:21" ht="49" customHeight="1">
      <c r="B40" s="423"/>
      <c r="C40" s="423"/>
      <c r="D40" s="706">
        <f>$E$26+3</f>
        <v>2028</v>
      </c>
      <c r="E40" s="994">
        <v>0.8</v>
      </c>
      <c r="F40" s="994"/>
      <c r="G40" s="994"/>
      <c r="H40" s="994">
        <v>0.8</v>
      </c>
      <c r="I40" s="994"/>
      <c r="J40" s="994"/>
      <c r="K40" s="760">
        <v>0.8</v>
      </c>
      <c r="L40" s="760">
        <v>0.9</v>
      </c>
      <c r="M40" s="954"/>
      <c r="N40" s="954"/>
      <c r="O40" s="427"/>
      <c r="P40" s="427"/>
      <c r="S40" s="360"/>
      <c r="U40" s="361"/>
    </row>
    <row r="41" spans="2:21" ht="49" customHeight="1">
      <c r="B41" s="423"/>
      <c r="C41" s="423"/>
      <c r="D41" s="706">
        <f>$E$26+4</f>
        <v>2029</v>
      </c>
      <c r="E41" s="994">
        <v>0.9</v>
      </c>
      <c r="F41" s="994"/>
      <c r="G41" s="994"/>
      <c r="H41" s="994">
        <v>0.9</v>
      </c>
      <c r="I41" s="994"/>
      <c r="J41" s="994"/>
      <c r="K41" s="760">
        <v>0.9</v>
      </c>
      <c r="L41" s="760">
        <v>0.9</v>
      </c>
      <c r="M41" s="954"/>
      <c r="N41" s="954"/>
      <c r="O41" s="427"/>
      <c r="P41" s="427"/>
      <c r="S41" s="360"/>
      <c r="U41" s="361"/>
    </row>
    <row r="42" spans="2:21" ht="36" hidden="1" customHeight="1" outlineLevel="2" thickBot="1">
      <c r="B42" s="423"/>
      <c r="C42" s="423"/>
      <c r="D42" s="439" t="s">
        <v>155</v>
      </c>
      <c r="E42" s="750"/>
      <c r="F42" s="750"/>
      <c r="G42" s="750"/>
      <c r="H42" s="750"/>
      <c r="I42" s="750"/>
      <c r="J42" s="750"/>
      <c r="K42" s="750"/>
      <c r="L42" s="751"/>
      <c r="M42" s="983" t="s">
        <v>156</v>
      </c>
      <c r="N42" s="962"/>
      <c r="O42" s="427"/>
      <c r="P42" s="427"/>
      <c r="S42" s="360"/>
      <c r="U42" s="361"/>
    </row>
    <row r="43" spans="2:21" ht="24" hidden="1" customHeight="1" outlineLevel="2">
      <c r="B43" s="423"/>
      <c r="C43" s="423"/>
      <c r="D43" s="363">
        <f>$E$26</f>
        <v>2025</v>
      </c>
      <c r="E43" s="963">
        <v>0.5</v>
      </c>
      <c r="F43" s="964"/>
      <c r="G43" s="964"/>
      <c r="H43" s="963">
        <v>0.5</v>
      </c>
      <c r="I43" s="964"/>
      <c r="J43" s="964"/>
      <c r="K43" s="778">
        <v>0.5</v>
      </c>
      <c r="L43" s="778">
        <v>0.5</v>
      </c>
      <c r="M43" s="957" t="s">
        <v>157</v>
      </c>
      <c r="N43" s="958"/>
      <c r="O43" s="427"/>
      <c r="P43" s="427"/>
      <c r="S43" s="360"/>
      <c r="U43" s="361"/>
    </row>
    <row r="44" spans="2:21" ht="24" hidden="1" customHeight="1" outlineLevel="2">
      <c r="B44" s="423"/>
      <c r="C44" s="423"/>
      <c r="D44" s="365">
        <f>$E$26+1</f>
        <v>2026</v>
      </c>
      <c r="E44" s="963">
        <v>0.6</v>
      </c>
      <c r="F44" s="964"/>
      <c r="G44" s="964"/>
      <c r="H44" s="963">
        <v>0.6</v>
      </c>
      <c r="I44" s="964"/>
      <c r="J44" s="964"/>
      <c r="K44" s="779">
        <v>0.6</v>
      </c>
      <c r="L44" s="779">
        <v>0.6</v>
      </c>
      <c r="M44" s="959"/>
      <c r="N44" s="960"/>
      <c r="O44" s="427"/>
      <c r="P44" s="427"/>
      <c r="S44" s="360"/>
      <c r="U44" s="361"/>
    </row>
    <row r="45" spans="2:21" ht="24" hidden="1" customHeight="1" outlineLevel="2">
      <c r="B45" s="423"/>
      <c r="C45" s="423"/>
      <c r="D45" s="365">
        <f>$E$26+2</f>
        <v>2027</v>
      </c>
      <c r="E45" s="963">
        <v>0.7</v>
      </c>
      <c r="F45" s="964"/>
      <c r="G45" s="964"/>
      <c r="H45" s="963">
        <v>0.7</v>
      </c>
      <c r="I45" s="964"/>
      <c r="J45" s="964"/>
      <c r="K45" s="779">
        <v>0.7</v>
      </c>
      <c r="L45" s="779">
        <v>0.7</v>
      </c>
      <c r="M45" s="959"/>
      <c r="N45" s="960"/>
      <c r="O45" s="427"/>
      <c r="P45" s="427"/>
      <c r="S45" s="360"/>
      <c r="U45" s="361"/>
    </row>
    <row r="46" spans="2:21" ht="24" hidden="1" customHeight="1" outlineLevel="2">
      <c r="B46" s="423"/>
      <c r="C46" s="423"/>
      <c r="D46" s="365">
        <f>$E$26+3</f>
        <v>2028</v>
      </c>
      <c r="E46" s="963">
        <v>0.8</v>
      </c>
      <c r="F46" s="964"/>
      <c r="G46" s="964"/>
      <c r="H46" s="963">
        <v>0.8</v>
      </c>
      <c r="I46" s="964"/>
      <c r="J46" s="964"/>
      <c r="K46" s="779">
        <v>0.8</v>
      </c>
      <c r="L46" s="779">
        <v>0.8</v>
      </c>
      <c r="M46" s="959"/>
      <c r="N46" s="960"/>
      <c r="O46" s="427"/>
      <c r="P46" s="427"/>
      <c r="S46" s="360"/>
      <c r="U46" s="361"/>
    </row>
    <row r="47" spans="2:21" ht="24" hidden="1" customHeight="1" outlineLevel="2" thickBot="1">
      <c r="B47" s="423"/>
      <c r="C47" s="423"/>
      <c r="D47" s="365">
        <f>$E$26+4</f>
        <v>2029</v>
      </c>
      <c r="E47" s="963">
        <v>0.9</v>
      </c>
      <c r="F47" s="964"/>
      <c r="G47" s="964"/>
      <c r="H47" s="963">
        <v>0.9</v>
      </c>
      <c r="I47" s="964"/>
      <c r="J47" s="964"/>
      <c r="K47" s="780">
        <v>0.9</v>
      </c>
      <c r="L47" s="780">
        <v>0.9</v>
      </c>
      <c r="M47" s="961"/>
      <c r="N47" s="962"/>
      <c r="O47" s="427"/>
      <c r="P47" s="427"/>
      <c r="S47" s="360"/>
      <c r="U47" s="361"/>
    </row>
    <row r="48" spans="2:21" ht="38.25" hidden="1" customHeight="1" outlineLevel="2" thickBot="1">
      <c r="B48" s="423"/>
      <c r="C48" s="423"/>
      <c r="D48" s="362" t="s">
        <v>158</v>
      </c>
      <c r="E48" s="752"/>
      <c r="F48" s="752"/>
      <c r="G48" s="752"/>
      <c r="H48" s="752"/>
      <c r="I48" s="752"/>
      <c r="J48" s="752"/>
      <c r="K48" s="752"/>
      <c r="L48" s="753"/>
      <c r="M48" s="976" t="s">
        <v>159</v>
      </c>
      <c r="N48" s="977"/>
      <c r="O48" s="427"/>
      <c r="P48" s="427"/>
      <c r="S48" s="360"/>
      <c r="U48" s="361"/>
    </row>
    <row r="49" spans="2:21" ht="24" hidden="1" customHeight="1" outlineLevel="2">
      <c r="B49" s="423"/>
      <c r="C49" s="423"/>
      <c r="D49" s="363">
        <f>$E$26</f>
        <v>2025</v>
      </c>
      <c r="E49" s="955">
        <v>0.9</v>
      </c>
      <c r="F49" s="956"/>
      <c r="G49" s="956"/>
      <c r="H49" s="955">
        <v>0.9</v>
      </c>
      <c r="I49" s="956"/>
      <c r="J49" s="956"/>
      <c r="K49" s="781">
        <v>0.9</v>
      </c>
      <c r="L49" s="781">
        <v>0.9</v>
      </c>
      <c r="M49" s="957" t="s">
        <v>160</v>
      </c>
      <c r="N49" s="958"/>
      <c r="O49" s="427"/>
      <c r="P49" s="427"/>
      <c r="S49" s="360"/>
      <c r="U49" s="361"/>
    </row>
    <row r="50" spans="2:21" ht="24" hidden="1" customHeight="1" outlineLevel="2">
      <c r="B50" s="423"/>
      <c r="C50" s="423"/>
      <c r="D50" s="365">
        <f>$E$26+1</f>
        <v>2026</v>
      </c>
      <c r="E50" s="963">
        <v>0.9</v>
      </c>
      <c r="F50" s="964"/>
      <c r="G50" s="964"/>
      <c r="H50" s="963">
        <v>0.9</v>
      </c>
      <c r="I50" s="964"/>
      <c r="J50" s="964"/>
      <c r="K50" s="779">
        <v>0.9</v>
      </c>
      <c r="L50" s="779">
        <v>0.9</v>
      </c>
      <c r="M50" s="959"/>
      <c r="N50" s="960"/>
      <c r="O50" s="427"/>
      <c r="P50" s="427"/>
      <c r="S50" s="360"/>
      <c r="U50" s="361"/>
    </row>
    <row r="51" spans="2:21" ht="24" hidden="1" customHeight="1" outlineLevel="2">
      <c r="B51" s="423"/>
      <c r="C51" s="423"/>
      <c r="D51" s="365">
        <f>$E$26+2</f>
        <v>2027</v>
      </c>
      <c r="E51" s="963">
        <v>0.9</v>
      </c>
      <c r="F51" s="964"/>
      <c r="G51" s="964"/>
      <c r="H51" s="963">
        <v>0.9</v>
      </c>
      <c r="I51" s="964"/>
      <c r="J51" s="964"/>
      <c r="K51" s="779">
        <v>0.9</v>
      </c>
      <c r="L51" s="779">
        <v>0.9</v>
      </c>
      <c r="M51" s="959"/>
      <c r="N51" s="960"/>
      <c r="O51" s="427"/>
      <c r="P51" s="427"/>
      <c r="S51" s="360"/>
      <c r="U51" s="361"/>
    </row>
    <row r="52" spans="2:21" ht="24" hidden="1" customHeight="1" outlineLevel="2">
      <c r="B52" s="423"/>
      <c r="C52" s="423"/>
      <c r="D52" s="365">
        <f>$E$26+3</f>
        <v>2028</v>
      </c>
      <c r="E52" s="963">
        <v>0.9</v>
      </c>
      <c r="F52" s="964"/>
      <c r="G52" s="964"/>
      <c r="H52" s="963">
        <v>0.9</v>
      </c>
      <c r="I52" s="964"/>
      <c r="J52" s="964"/>
      <c r="K52" s="779">
        <v>0.9</v>
      </c>
      <c r="L52" s="779">
        <v>0.9</v>
      </c>
      <c r="M52" s="959"/>
      <c r="N52" s="960"/>
      <c r="O52" s="427"/>
      <c r="P52" s="427"/>
      <c r="S52" s="360"/>
      <c r="U52" s="361"/>
    </row>
    <row r="53" spans="2:21" ht="24" hidden="1" customHeight="1" outlineLevel="2" thickBot="1">
      <c r="B53" s="423"/>
      <c r="C53" s="423"/>
      <c r="D53" s="365">
        <f>$E$26+4</f>
        <v>2029</v>
      </c>
      <c r="E53" s="996">
        <v>0.9</v>
      </c>
      <c r="F53" s="997"/>
      <c r="G53" s="997"/>
      <c r="H53" s="996">
        <v>0.9</v>
      </c>
      <c r="I53" s="997"/>
      <c r="J53" s="997"/>
      <c r="K53" s="780">
        <v>0.9</v>
      </c>
      <c r="L53" s="780">
        <v>0.9</v>
      </c>
      <c r="M53" s="961"/>
      <c r="N53" s="962"/>
      <c r="O53" s="427"/>
      <c r="P53" s="427"/>
      <c r="S53" s="360"/>
      <c r="U53" s="361"/>
    </row>
    <row r="54" spans="2:21" ht="30" customHeight="1" collapsed="1">
      <c r="B54" s="423"/>
      <c r="C54" s="423"/>
      <c r="D54" s="423"/>
      <c r="E54" s="423"/>
      <c r="F54" s="423"/>
      <c r="G54" s="423"/>
      <c r="H54" s="423"/>
      <c r="I54" s="423"/>
      <c r="J54" s="423"/>
      <c r="K54" s="424"/>
      <c r="L54" s="423"/>
      <c r="M54" s="423"/>
      <c r="N54" s="423"/>
      <c r="O54" s="423"/>
      <c r="P54" s="423"/>
      <c r="Q54" s="408"/>
      <c r="S54" s="409"/>
      <c r="U54" s="410"/>
    </row>
    <row r="55" spans="2:21" ht="46" customHeight="1">
      <c r="B55" s="423"/>
      <c r="C55" s="423"/>
      <c r="D55" s="971" t="s">
        <v>161</v>
      </c>
      <c r="E55" s="971"/>
      <c r="F55" s="971"/>
      <c r="G55" s="971"/>
      <c r="H55" s="971"/>
      <c r="I55" s="971"/>
      <c r="J55" s="971"/>
      <c r="K55" s="971"/>
      <c r="L55" s="971"/>
      <c r="M55" s="971"/>
      <c r="N55" s="971"/>
      <c r="O55" s="425"/>
      <c r="P55" s="425"/>
      <c r="Q55" s="408"/>
      <c r="S55" s="409"/>
      <c r="U55" s="410"/>
    </row>
    <row r="56" spans="2:21" ht="8.25" customHeight="1">
      <c r="B56" s="423"/>
      <c r="C56" s="423"/>
      <c r="D56" s="423"/>
      <c r="E56" s="423"/>
      <c r="F56" s="423"/>
      <c r="G56" s="423"/>
      <c r="H56" s="423"/>
      <c r="I56" s="423"/>
      <c r="J56" s="423"/>
      <c r="K56" s="424"/>
      <c r="L56" s="423"/>
      <c r="M56" s="423"/>
      <c r="N56" s="423"/>
      <c r="O56" s="423"/>
      <c r="P56" s="423"/>
      <c r="Q56" s="408"/>
      <c r="S56" s="409"/>
      <c r="U56" s="410"/>
    </row>
    <row r="57" spans="2:21" ht="58" customHeight="1">
      <c r="B57" s="423"/>
      <c r="C57" s="423"/>
      <c r="D57" s="754" t="s">
        <v>32</v>
      </c>
      <c r="E57" s="761" t="s">
        <v>8</v>
      </c>
      <c r="F57" s="1011" t="s">
        <v>478</v>
      </c>
      <c r="G57" s="1012"/>
      <c r="H57" s="1012"/>
      <c r="I57" s="1012"/>
      <c r="J57" s="1012"/>
      <c r="K57" s="1012"/>
      <c r="L57" s="1012"/>
      <c r="M57" s="1012"/>
      <c r="N57" s="1013"/>
      <c r="O57" s="755"/>
      <c r="P57" s="429"/>
      <c r="Q57" s="667"/>
      <c r="S57" s="409"/>
      <c r="U57" s="410"/>
    </row>
    <row r="58" spans="2:21" ht="8.25" customHeight="1">
      <c r="B58" s="423"/>
      <c r="C58" s="423"/>
      <c r="D58" s="423"/>
      <c r="E58" s="423"/>
      <c r="F58" s="433"/>
      <c r="G58" s="433"/>
      <c r="H58" s="433"/>
      <c r="I58" s="433"/>
      <c r="J58" s="433"/>
      <c r="K58" s="425"/>
      <c r="L58" s="433"/>
      <c r="M58" s="433"/>
      <c r="N58" s="433"/>
      <c r="O58" s="423"/>
      <c r="P58" s="423"/>
      <c r="Q58" s="408"/>
      <c r="S58" s="409"/>
      <c r="U58" s="410"/>
    </row>
    <row r="59" spans="2:21" ht="57" customHeight="1">
      <c r="B59" s="423"/>
      <c r="C59" s="423"/>
      <c r="D59" s="366" t="s">
        <v>34</v>
      </c>
      <c r="E59" s="762" t="s">
        <v>268</v>
      </c>
      <c r="F59" s="1014" t="s">
        <v>477</v>
      </c>
      <c r="G59" s="976"/>
      <c r="H59" s="976"/>
      <c r="I59" s="976"/>
      <c r="J59" s="976"/>
      <c r="K59" s="976"/>
      <c r="L59" s="976"/>
      <c r="M59" s="976"/>
      <c r="N59" s="977"/>
      <c r="O59" s="665"/>
      <c r="P59" s="665"/>
      <c r="Q59" s="667"/>
      <c r="S59" s="409"/>
      <c r="U59" s="410"/>
    </row>
    <row r="60" spans="2:21" ht="57" customHeight="1">
      <c r="B60" s="423"/>
      <c r="C60" s="423"/>
      <c r="D60" s="671" t="s">
        <v>163</v>
      </c>
      <c r="E60" s="762" t="s">
        <v>164</v>
      </c>
      <c r="F60" s="704"/>
      <c r="G60" s="704"/>
      <c r="H60" s="976" t="s">
        <v>165</v>
      </c>
      <c r="I60" s="976"/>
      <c r="J60" s="976"/>
      <c r="K60" s="976"/>
      <c r="L60" s="976"/>
      <c r="M60" s="976"/>
      <c r="N60" s="977"/>
      <c r="O60" s="665"/>
      <c r="P60" s="665"/>
      <c r="Q60" s="667"/>
      <c r="S60" s="409"/>
      <c r="U60" s="410"/>
    </row>
    <row r="61" spans="2:21" ht="87" customHeight="1">
      <c r="B61" s="423"/>
      <c r="C61" s="423"/>
      <c r="D61" s="671" t="s">
        <v>166</v>
      </c>
      <c r="E61" s="763">
        <v>3</v>
      </c>
      <c r="F61" s="704"/>
      <c r="G61" s="704"/>
      <c r="H61" s="976" t="s">
        <v>167</v>
      </c>
      <c r="I61" s="976"/>
      <c r="J61" s="976"/>
      <c r="K61" s="976"/>
      <c r="L61" s="976"/>
      <c r="M61" s="976"/>
      <c r="N61" s="977"/>
      <c r="O61" s="665"/>
      <c r="P61" s="665"/>
      <c r="Q61" s="667"/>
      <c r="S61" s="409"/>
      <c r="U61" s="410"/>
    </row>
    <row r="62" spans="2:21" ht="7.5" customHeight="1">
      <c r="B62" s="423"/>
      <c r="C62" s="665"/>
      <c r="D62" s="665"/>
      <c r="E62" s="665"/>
      <c r="F62" s="665"/>
      <c r="G62" s="665"/>
      <c r="H62" s="665"/>
      <c r="I62" s="665"/>
      <c r="J62" s="665"/>
      <c r="K62" s="665"/>
      <c r="L62" s="665"/>
      <c r="M62" s="665"/>
      <c r="N62" s="665"/>
      <c r="O62" s="665"/>
      <c r="P62" s="665"/>
      <c r="Q62" s="667"/>
      <c r="S62" s="409"/>
      <c r="U62" s="410"/>
    </row>
    <row r="63" spans="2:21" ht="46" customHeight="1">
      <c r="B63" s="423"/>
      <c r="C63" s="423"/>
      <c r="D63" s="365" t="s">
        <v>168</v>
      </c>
      <c r="E63" s="672"/>
      <c r="F63" s="665"/>
      <c r="G63" s="665"/>
      <c r="H63" s="984" t="s">
        <v>169</v>
      </c>
      <c r="I63" s="984"/>
      <c r="J63" s="984"/>
      <c r="K63" s="984"/>
      <c r="L63" s="984"/>
      <c r="M63" s="984"/>
      <c r="N63" s="984"/>
      <c r="O63" s="423"/>
      <c r="P63" s="423"/>
      <c r="Q63" s="667"/>
      <c r="S63" s="409"/>
      <c r="U63" s="410"/>
    </row>
    <row r="64" spans="2:21" ht="79.5" customHeight="1">
      <c r="B64" s="423"/>
      <c r="C64" s="423"/>
      <c r="D64" s="668" t="s">
        <v>170</v>
      </c>
      <c r="E64" s="764">
        <v>0.15</v>
      </c>
      <c r="F64" s="978" t="s">
        <v>171</v>
      </c>
      <c r="G64" s="979"/>
      <c r="H64" s="979"/>
      <c r="I64" s="979"/>
      <c r="J64" s="979"/>
      <c r="K64" s="979"/>
      <c r="L64" s="979"/>
      <c r="M64" s="979"/>
      <c r="N64" s="958"/>
      <c r="O64" s="423"/>
      <c r="P64" s="423"/>
      <c r="Q64" s="667"/>
      <c r="S64" s="409"/>
      <c r="U64" s="410"/>
    </row>
    <row r="65" spans="2:36" ht="25.5" customHeight="1">
      <c r="B65" s="423"/>
      <c r="C65" s="423"/>
      <c r="D65" s="367">
        <f>E26</f>
        <v>2025</v>
      </c>
      <c r="E65" s="736" t="str">
        <f>IF($E$57="No",1,IF($E$59="Preparatory transition",MIN(0.8,E64),IF($E$59="Accelerated transition",_xlfn.XLOOKUP(D65,Data!$B$32:$B$36,Data!$C$32:$C$36),"See below")))</f>
        <v>See below</v>
      </c>
      <c r="F65" s="980"/>
      <c r="G65" s="981"/>
      <c r="H65" s="981"/>
      <c r="I65" s="981"/>
      <c r="J65" s="981"/>
      <c r="K65" s="981"/>
      <c r="L65" s="981"/>
      <c r="M65" s="981"/>
      <c r="N65" s="960"/>
      <c r="O65" s="665"/>
      <c r="P65" s="665"/>
      <c r="Q65" s="667"/>
      <c r="S65" s="409"/>
      <c r="U65" s="410"/>
    </row>
    <row r="66" spans="2:36" ht="25.5" customHeight="1">
      <c r="B66" s="423"/>
      <c r="C66" s="423"/>
      <c r="D66" s="368">
        <f>$E$26+1</f>
        <v>2026</v>
      </c>
      <c r="E66" s="736" t="str">
        <f>IF($E$57="No",1,IF($E$59="Preparatory transition",MIN(0.8,E65*1.15),IF($E$59="Accelerated transition",_xlfn.XLOOKUP(D66,Data!$B$32:$B$36,Data!$C$32:$C$36),"See below")))</f>
        <v>See below</v>
      </c>
      <c r="F66" s="980"/>
      <c r="G66" s="981"/>
      <c r="H66" s="981"/>
      <c r="I66" s="981"/>
      <c r="J66" s="981"/>
      <c r="K66" s="981"/>
      <c r="L66" s="981"/>
      <c r="M66" s="981"/>
      <c r="N66" s="960"/>
      <c r="O66" s="665"/>
      <c r="P66" s="665"/>
      <c r="Q66" s="667"/>
      <c r="S66" s="409"/>
      <c r="U66" s="410"/>
    </row>
    <row r="67" spans="2:36" ht="25.5" customHeight="1">
      <c r="B67" s="423"/>
      <c r="C67" s="423"/>
      <c r="D67" s="368">
        <f>$E$26+2</f>
        <v>2027</v>
      </c>
      <c r="E67" s="736" t="str">
        <f>IF($E$57="No",1,IF($E$59="Preparatory transition",MIN(0.8,E66*1.15),IF($E$59="Accelerated transition",_xlfn.XLOOKUP(D67,Data!$B$32:$B$36,Data!$C$32:$C$36),"See below")))</f>
        <v>See below</v>
      </c>
      <c r="F67" s="980"/>
      <c r="G67" s="981"/>
      <c r="H67" s="981"/>
      <c r="I67" s="981"/>
      <c r="J67" s="981"/>
      <c r="K67" s="981"/>
      <c r="L67" s="981"/>
      <c r="M67" s="981"/>
      <c r="N67" s="960"/>
      <c r="O67" s="665"/>
      <c r="P67" s="665"/>
      <c r="Q67" s="667"/>
      <c r="S67" s="409"/>
      <c r="U67" s="410"/>
    </row>
    <row r="68" spans="2:36" ht="25.5" customHeight="1">
      <c r="B68" s="423"/>
      <c r="C68" s="423"/>
      <c r="D68" s="368">
        <f>$E$26+3</f>
        <v>2028</v>
      </c>
      <c r="E68" s="736" t="str">
        <f>IF($E$57="No",1,IF($E$59="Preparatory transition",MIN(0.8,E67*1.15),IF($E$59="Accelerated transition",_xlfn.XLOOKUP(D68,Data!$B$32:$B$36,Data!$C$32:$C$36),"See below")))</f>
        <v>See below</v>
      </c>
      <c r="F68" s="980"/>
      <c r="G68" s="981"/>
      <c r="H68" s="981"/>
      <c r="I68" s="981"/>
      <c r="J68" s="981"/>
      <c r="K68" s="981"/>
      <c r="L68" s="981"/>
      <c r="M68" s="981"/>
      <c r="N68" s="960"/>
      <c r="O68" s="665"/>
      <c r="P68" s="665"/>
      <c r="Q68" s="667"/>
      <c r="S68" s="409"/>
      <c r="U68" s="410"/>
    </row>
    <row r="69" spans="2:36" ht="25" customHeight="1">
      <c r="B69" s="423"/>
      <c r="C69" s="423"/>
      <c r="D69" s="368">
        <f>$E$26+4</f>
        <v>2029</v>
      </c>
      <c r="E69" s="736" t="str">
        <f>IF($E$57="No",1,IF($E$59="Preparatory transition",MIN(0.8,E68*1.15),IF($E$59="Accelerated transition",_xlfn.XLOOKUP(D69,Data!$B$32:$B$36,Data!$C$32:$C$36),"See below")))</f>
        <v>See below</v>
      </c>
      <c r="F69" s="982"/>
      <c r="G69" s="983"/>
      <c r="H69" s="983"/>
      <c r="I69" s="983"/>
      <c r="J69" s="983"/>
      <c r="K69" s="983"/>
      <c r="L69" s="983"/>
      <c r="M69" s="983"/>
      <c r="N69" s="962"/>
      <c r="O69" s="665"/>
      <c r="P69" s="665"/>
      <c r="Q69" s="667"/>
      <c r="S69" s="409"/>
      <c r="U69" s="410"/>
    </row>
    <row r="70" spans="2:36" ht="44.15" customHeight="1">
      <c r="B70" s="423"/>
      <c r="C70" s="423"/>
      <c r="D70" s="999"/>
      <c r="E70" s="999"/>
      <c r="F70" s="1000"/>
      <c r="G70" s="1000"/>
      <c r="H70" s="1000"/>
      <c r="I70" s="1000"/>
      <c r="J70" s="1000"/>
      <c r="K70" s="1000"/>
      <c r="L70" s="1000"/>
      <c r="M70" s="423"/>
      <c r="N70" s="423"/>
      <c r="O70" s="423"/>
      <c r="P70" s="430"/>
      <c r="Q70" s="734"/>
      <c r="S70" s="409"/>
      <c r="U70" s="410"/>
    </row>
    <row r="71" spans="2:36" ht="46" customHeight="1">
      <c r="B71" s="423"/>
      <c r="C71" s="423"/>
      <c r="D71" s="971" t="s">
        <v>172</v>
      </c>
      <c r="E71" s="971"/>
      <c r="F71" s="971"/>
      <c r="G71" s="971"/>
      <c r="H71" s="971"/>
      <c r="I71" s="971"/>
      <c r="J71" s="971"/>
      <c r="K71" s="971"/>
      <c r="L71" s="971"/>
      <c r="M71" s="971"/>
      <c r="N71" s="971"/>
      <c r="O71" s="431"/>
      <c r="P71" s="431"/>
      <c r="Q71" s="419"/>
      <c r="R71" s="419"/>
      <c r="S71" s="419"/>
      <c r="T71" s="712"/>
      <c r="U71" s="712"/>
      <c r="V71" s="712"/>
      <c r="W71" s="712"/>
      <c r="X71" s="712"/>
      <c r="Z71" s="998"/>
      <c r="AA71" s="998"/>
      <c r="AB71" s="998"/>
      <c r="AC71" s="998"/>
      <c r="AD71" s="998"/>
      <c r="AE71" s="998"/>
      <c r="AF71" s="998"/>
      <c r="AG71" s="998"/>
      <c r="AH71" s="998"/>
      <c r="AI71" s="998"/>
      <c r="AJ71" s="998"/>
    </row>
    <row r="72" spans="2:36" ht="25" customHeight="1">
      <c r="B72" s="423"/>
      <c r="C72" s="423"/>
      <c r="D72" s="433" t="s">
        <v>41</v>
      </c>
      <c r="E72" s="444" t="s">
        <v>42</v>
      </c>
      <c r="F72" s="423"/>
      <c r="G72" s="423"/>
      <c r="H72" s="423"/>
      <c r="I72" s="444"/>
      <c r="J72" s="444"/>
      <c r="K72" s="423"/>
      <c r="L72" s="423"/>
      <c r="M72" s="423"/>
      <c r="N72" s="423"/>
      <c r="O72" s="462" t="s">
        <v>43</v>
      </c>
      <c r="P72" s="423"/>
    </row>
    <row r="73" spans="2:36" ht="32.5" customHeight="1">
      <c r="B73" s="423"/>
      <c r="C73" s="423"/>
      <c r="D73" s="445"/>
      <c r="E73" s="951" t="s">
        <v>145</v>
      </c>
      <c r="F73" s="952"/>
      <c r="G73" s="952"/>
      <c r="H73" s="951" t="s">
        <v>146</v>
      </c>
      <c r="I73" s="952"/>
      <c r="J73" s="952"/>
      <c r="K73" s="951" t="s">
        <v>147</v>
      </c>
      <c r="L73" s="952"/>
      <c r="M73" s="423"/>
      <c r="N73" s="423"/>
      <c r="O73" s="423"/>
      <c r="P73" s="423"/>
    </row>
    <row r="74" spans="2:36" s="475" customFormat="1" ht="50.25" customHeight="1">
      <c r="B74" s="469"/>
      <c r="C74" s="469"/>
      <c r="D74" s="470" t="s">
        <v>44</v>
      </c>
      <c r="E74" s="471"/>
      <c r="F74" s="471"/>
      <c r="G74" s="471"/>
      <c r="H74" s="471"/>
      <c r="I74" s="471"/>
      <c r="J74" s="471"/>
      <c r="K74" s="471"/>
      <c r="L74" s="471"/>
      <c r="M74" s="471"/>
      <c r="N74" s="472"/>
      <c r="O74" s="473"/>
      <c r="P74" s="473"/>
      <c r="Q74" s="474"/>
      <c r="R74" s="474"/>
      <c r="S74" s="474"/>
      <c r="T74" s="715"/>
      <c r="U74" s="715"/>
      <c r="V74" s="715"/>
      <c r="W74" s="715"/>
      <c r="X74" s="715"/>
      <c r="Z74" s="995"/>
      <c r="AA74" s="995"/>
      <c r="AB74" s="995"/>
      <c r="AC74" s="995"/>
      <c r="AD74" s="995"/>
      <c r="AE74" s="995"/>
      <c r="AF74" s="995"/>
      <c r="AG74" s="995"/>
      <c r="AH74" s="995"/>
      <c r="AI74" s="995"/>
      <c r="AJ74" s="995"/>
    </row>
    <row r="75" spans="2:36" ht="7.5" customHeight="1">
      <c r="B75" s="423"/>
      <c r="C75" s="423"/>
      <c r="D75" s="433"/>
      <c r="E75" s="423"/>
      <c r="F75" s="423"/>
      <c r="G75" s="423"/>
      <c r="H75" s="423"/>
      <c r="I75" s="423"/>
      <c r="J75" s="423"/>
      <c r="K75" s="423"/>
      <c r="L75" s="423"/>
      <c r="M75" s="423"/>
      <c r="N75" s="423"/>
      <c r="O75" s="423"/>
      <c r="P75" s="423"/>
    </row>
    <row r="76" spans="2:36" s="407" customFormat="1" ht="151.5" customHeight="1">
      <c r="B76" s="423"/>
      <c r="C76" s="423"/>
      <c r="D76" s="446" t="s">
        <v>173</v>
      </c>
      <c r="E76" s="992" t="s">
        <v>90</v>
      </c>
      <c r="F76" s="992"/>
      <c r="G76" s="992"/>
      <c r="H76" s="992" t="s">
        <v>91</v>
      </c>
      <c r="I76" s="992"/>
      <c r="J76" s="992"/>
      <c r="K76" s="992" t="s">
        <v>174</v>
      </c>
      <c r="L76" s="992"/>
      <c r="M76" s="953" t="s">
        <v>16</v>
      </c>
      <c r="N76" s="953"/>
      <c r="O76" s="423"/>
      <c r="P76" s="423"/>
      <c r="S76" s="720"/>
      <c r="T76" s="721"/>
      <c r="U76" s="720"/>
      <c r="V76" s="721"/>
      <c r="X76" s="721"/>
      <c r="Y76" s="720"/>
      <c r="Z76" s="720"/>
      <c r="AA76" s="721"/>
      <c r="AB76" s="721"/>
      <c r="AD76" s="419"/>
    </row>
    <row r="77" spans="2:36" s="407" customFormat="1" ht="5.25" hidden="1" customHeight="1">
      <c r="B77" s="423"/>
      <c r="C77" s="423"/>
      <c r="D77" s="447"/>
      <c r="E77" s="714"/>
      <c r="F77" s="714"/>
      <c r="G77" s="714"/>
      <c r="H77" s="706"/>
      <c r="I77" s="714"/>
      <c r="J77" s="714"/>
      <c r="K77" s="714"/>
      <c r="L77" s="714"/>
      <c r="M77" s="448"/>
      <c r="N77" s="448"/>
      <c r="O77" s="423"/>
      <c r="P77" s="423"/>
      <c r="S77" s="720"/>
      <c r="T77" s="721"/>
      <c r="U77" s="720"/>
      <c r="V77" s="721"/>
      <c r="X77" s="721"/>
      <c r="Y77" s="720"/>
      <c r="Z77" s="720"/>
      <c r="AA77" s="721"/>
      <c r="AB77" s="721"/>
      <c r="AD77" s="419"/>
    </row>
    <row r="78" spans="2:36" ht="75" customHeight="1">
      <c r="B78" s="423"/>
      <c r="C78" s="423"/>
      <c r="D78" s="436" t="s">
        <v>52</v>
      </c>
      <c r="E78" s="765" t="s">
        <v>53</v>
      </c>
      <c r="F78" s="765" t="s">
        <v>175</v>
      </c>
      <c r="G78" s="765" t="s">
        <v>175</v>
      </c>
      <c r="H78" s="765" t="s">
        <v>56</v>
      </c>
      <c r="I78" s="765" t="s">
        <v>175</v>
      </c>
      <c r="J78" s="765" t="s">
        <v>175</v>
      </c>
      <c r="K78" s="765" t="s">
        <v>175</v>
      </c>
      <c r="L78" s="765" t="s">
        <v>175</v>
      </c>
      <c r="M78" s="954" t="s">
        <v>176</v>
      </c>
      <c r="N78" s="954"/>
      <c r="O78" s="423"/>
      <c r="P78" s="423"/>
      <c r="S78" s="369"/>
      <c r="T78" s="370"/>
      <c r="U78" s="357"/>
      <c r="V78" s="357"/>
      <c r="X78" s="712"/>
      <c r="Y78" s="713"/>
      <c r="AA78" s="713"/>
      <c r="AC78" s="713"/>
    </row>
    <row r="79" spans="2:36" ht="8.25" customHeight="1">
      <c r="B79" s="423"/>
      <c r="C79" s="423"/>
      <c r="D79" s="452"/>
      <c r="E79" s="453" t="str">
        <f>IF(E78=Data!$A$13, "! This product is not available for Gavi countries !"," ")</f>
        <v xml:space="preserve"> </v>
      </c>
      <c r="F79" s="453" t="str">
        <f>IF(F78=Data!$A$13, "! This product is not available for Gavi countries !"," ")</f>
        <v xml:space="preserve"> </v>
      </c>
      <c r="G79" s="453" t="str">
        <f>IF(G78=Data!$A$13, "! This product is not available for Gavi countries !"," ")</f>
        <v xml:space="preserve"> </v>
      </c>
      <c r="H79" s="453" t="str">
        <f>IF(H78=Data!$A$13, "! This product is not available for Gavi countries !"," ")</f>
        <v xml:space="preserve"> </v>
      </c>
      <c r="I79" s="453" t="str">
        <f>IF(I78=Data!$A$13, "! This product is not available for Gavi countries !"," ")</f>
        <v xml:space="preserve"> </v>
      </c>
      <c r="J79" s="453" t="str">
        <f>IF(J78=Data!$A$13, "! This product is not available for Gavi countries !"," ")</f>
        <v xml:space="preserve"> </v>
      </c>
      <c r="K79" s="453"/>
      <c r="L79" s="453"/>
      <c r="M79" s="433"/>
      <c r="N79" s="433"/>
      <c r="O79" s="432"/>
      <c r="P79" s="423"/>
      <c r="S79" s="371"/>
      <c r="T79" s="372"/>
      <c r="U79" s="373"/>
      <c r="V79" s="370"/>
      <c r="Y79" s="713"/>
      <c r="AA79" s="713"/>
      <c r="AC79" s="713"/>
    </row>
    <row r="80" spans="2:36" ht="30" customHeight="1">
      <c r="B80" s="423"/>
      <c r="C80" s="423"/>
      <c r="D80" s="717" t="s">
        <v>59</v>
      </c>
      <c r="E80" s="766">
        <v>3.5</v>
      </c>
      <c r="F80" s="767">
        <v>3</v>
      </c>
      <c r="G80" s="768">
        <v>3</v>
      </c>
      <c r="H80" s="769">
        <v>20</v>
      </c>
      <c r="I80" s="767">
        <v>3</v>
      </c>
      <c r="J80" s="768">
        <v>3</v>
      </c>
      <c r="K80" s="767"/>
      <c r="L80" s="768"/>
      <c r="M80" s="1025" t="s">
        <v>92</v>
      </c>
      <c r="N80" s="1026"/>
      <c r="O80" s="432"/>
      <c r="P80" s="423"/>
      <c r="S80" s="374"/>
      <c r="T80" s="377"/>
      <c r="U80" s="372"/>
      <c r="V80" s="372"/>
      <c r="X80" s="716"/>
      <c r="Y80" s="713"/>
      <c r="AA80" s="713"/>
      <c r="AC80" s="713"/>
    </row>
    <row r="81" spans="1:352" ht="30" customHeight="1">
      <c r="B81" s="423"/>
      <c r="C81" s="423"/>
      <c r="D81" s="375" t="s">
        <v>62</v>
      </c>
      <c r="E81" s="454">
        <f>IFERROR(INDEX(Data!$A$2:$E$9,MATCH(E78,Data!$A$2:$A$9,0),2),"-")</f>
        <v>3.5</v>
      </c>
      <c r="F81" s="455" t="str">
        <f>IFERROR(INDEX(Data!$A$2:$E$9,MATCH(F78,Data!$A$2:$A$9,0),2),"-")</f>
        <v>NA</v>
      </c>
      <c r="G81" s="456" t="str">
        <f>IFERROR(INDEX(Data!$A$2:$E$9,MATCH(G78,Data!$A$2:$A$9,0),2),"-")</f>
        <v>NA</v>
      </c>
      <c r="H81" s="457">
        <f>IFERROR(INDEX(Data!$A$2:$E$9,MATCH(H78,Data!$A$2:$A$9,0),2),"-")</f>
        <v>20</v>
      </c>
      <c r="I81" s="455" t="str">
        <f>IFERROR(INDEX(Data!$A$2:$E$9,MATCH(I78,Data!$A$2:$A$9,0),2),"-")</f>
        <v>NA</v>
      </c>
      <c r="J81" s="456" t="str">
        <f>IFERROR(INDEX(Data!$A$2:$E$9,MATCH(J78,Data!$A$2:$A$9,0),2),"-")</f>
        <v>NA</v>
      </c>
      <c r="K81" s="455" t="str">
        <f>IFERROR(INDEX(Data!$A$2:$E$9,MATCH(K78,Data!$A$2:$A$9,0),2),"-")</f>
        <v>NA</v>
      </c>
      <c r="L81" s="456" t="str">
        <f>IFERROR(INDEX(Data!$A$2:$E$9,MATCH(L78,Data!$A$2:$A$9,0),2),"-")</f>
        <v>NA</v>
      </c>
      <c r="M81" s="1036"/>
      <c r="N81" s="991"/>
      <c r="O81" s="432"/>
      <c r="P81" s="423"/>
      <c r="S81" s="374"/>
      <c r="T81" s="377"/>
      <c r="U81" s="372"/>
      <c r="V81" s="372"/>
      <c r="X81" s="716"/>
      <c r="Y81" s="713"/>
      <c r="AA81" s="713"/>
      <c r="AC81" s="713"/>
    </row>
    <row r="82" spans="1:352" ht="30" hidden="1" customHeight="1" outlineLevel="1">
      <c r="B82" s="423"/>
      <c r="C82" s="423"/>
      <c r="D82" s="449" t="s">
        <v>63</v>
      </c>
      <c r="E82" s="458"/>
      <c r="F82" s="458"/>
      <c r="G82" s="458"/>
      <c r="H82" s="458"/>
      <c r="I82" s="458"/>
      <c r="J82" s="458"/>
      <c r="K82" s="458"/>
      <c r="L82" s="458"/>
      <c r="M82" s="1030"/>
      <c r="N82" s="1031"/>
      <c r="O82" s="423"/>
      <c r="P82" s="423"/>
      <c r="S82" s="374"/>
      <c r="T82" s="376"/>
      <c r="U82" s="372"/>
      <c r="V82" s="377"/>
      <c r="X82" s="377"/>
      <c r="Y82" s="377"/>
      <c r="AA82" s="377"/>
      <c r="AC82" s="377"/>
    </row>
    <row r="83" spans="1:352" ht="30" hidden="1" customHeight="1" outlineLevel="1">
      <c r="B83" s="423"/>
      <c r="C83" s="423"/>
      <c r="D83" s="730">
        <f>$E$26</f>
        <v>2025</v>
      </c>
      <c r="E83" s="732">
        <f t="shared" ref="E83:L87" si="1">IFERROR(IF($E$57="No",E$80,IF($E$59 = "Initial self-financing",0.2, E$80*$E65)),"-")</f>
        <v>0.2</v>
      </c>
      <c r="F83" s="731">
        <f t="shared" si="1"/>
        <v>0.2</v>
      </c>
      <c r="G83" s="729">
        <f t="shared" si="1"/>
        <v>0.2</v>
      </c>
      <c r="H83" s="732">
        <f t="shared" si="1"/>
        <v>0.2</v>
      </c>
      <c r="I83" s="732">
        <f t="shared" si="1"/>
        <v>0.2</v>
      </c>
      <c r="J83" s="732">
        <f t="shared" si="1"/>
        <v>0.2</v>
      </c>
      <c r="K83" s="732">
        <f t="shared" si="1"/>
        <v>0.2</v>
      </c>
      <c r="L83" s="732">
        <f t="shared" si="1"/>
        <v>0.2</v>
      </c>
      <c r="M83" s="954"/>
      <c r="N83" s="954"/>
      <c r="O83" s="423"/>
      <c r="P83" s="423"/>
      <c r="Q83" s="667"/>
      <c r="S83" s="378"/>
      <c r="T83" s="376"/>
      <c r="U83" s="376"/>
      <c r="V83" s="376"/>
      <c r="X83" s="716"/>
      <c r="Y83" s="379"/>
      <c r="AA83" s="379"/>
      <c r="AC83" s="379"/>
    </row>
    <row r="84" spans="1:352" ht="30" hidden="1" customHeight="1" outlineLevel="1">
      <c r="B84" s="423"/>
      <c r="C84" s="423"/>
      <c r="D84" s="730">
        <f>$E$26+1</f>
        <v>2026</v>
      </c>
      <c r="E84" s="732">
        <f t="shared" si="1"/>
        <v>0.2</v>
      </c>
      <c r="F84" s="454">
        <f t="shared" si="1"/>
        <v>0.2</v>
      </c>
      <c r="G84" s="454">
        <f t="shared" si="1"/>
        <v>0.2</v>
      </c>
      <c r="H84" s="732">
        <f t="shared" si="1"/>
        <v>0.2</v>
      </c>
      <c r="I84" s="732">
        <f t="shared" si="1"/>
        <v>0.2</v>
      </c>
      <c r="J84" s="732">
        <f t="shared" si="1"/>
        <v>0.2</v>
      </c>
      <c r="K84" s="732">
        <f t="shared" si="1"/>
        <v>0.2</v>
      </c>
      <c r="L84" s="732">
        <f t="shared" si="1"/>
        <v>0.2</v>
      </c>
      <c r="M84" s="954"/>
      <c r="N84" s="954"/>
      <c r="O84" s="423"/>
      <c r="P84" s="423"/>
      <c r="S84" s="378"/>
      <c r="T84" s="376"/>
      <c r="U84" s="376"/>
      <c r="V84" s="376"/>
      <c r="X84" s="716"/>
      <c r="Y84" s="379"/>
      <c r="AA84" s="379"/>
      <c r="AC84" s="379"/>
    </row>
    <row r="85" spans="1:352" ht="30" hidden="1" customHeight="1" outlineLevel="1">
      <c r="B85" s="423"/>
      <c r="C85" s="423"/>
      <c r="D85" s="730">
        <f>$E$26+2</f>
        <v>2027</v>
      </c>
      <c r="E85" s="732">
        <f t="shared" si="1"/>
        <v>0.2</v>
      </c>
      <c r="F85" s="454">
        <f t="shared" si="1"/>
        <v>0.2</v>
      </c>
      <c r="G85" s="454">
        <f t="shared" si="1"/>
        <v>0.2</v>
      </c>
      <c r="H85" s="732">
        <f t="shared" si="1"/>
        <v>0.2</v>
      </c>
      <c r="I85" s="732">
        <f t="shared" si="1"/>
        <v>0.2</v>
      </c>
      <c r="J85" s="732">
        <f t="shared" si="1"/>
        <v>0.2</v>
      </c>
      <c r="K85" s="732">
        <f t="shared" si="1"/>
        <v>0.2</v>
      </c>
      <c r="L85" s="732">
        <f t="shared" si="1"/>
        <v>0.2</v>
      </c>
      <c r="M85" s="954"/>
      <c r="N85" s="954"/>
      <c r="O85" s="423"/>
      <c r="P85" s="423"/>
      <c r="S85" s="378"/>
      <c r="T85" s="376"/>
      <c r="U85" s="376"/>
      <c r="V85" s="376"/>
      <c r="X85" s="716"/>
      <c r="Y85" s="379"/>
      <c r="AA85" s="379"/>
      <c r="AC85" s="379"/>
    </row>
    <row r="86" spans="1:352" ht="30" hidden="1" customHeight="1" outlineLevel="1">
      <c r="B86" s="423"/>
      <c r="C86" s="423"/>
      <c r="D86" s="730">
        <f>$E$26+3</f>
        <v>2028</v>
      </c>
      <c r="E86" s="732">
        <f t="shared" si="1"/>
        <v>0.2</v>
      </c>
      <c r="F86" s="454">
        <f t="shared" si="1"/>
        <v>0.2</v>
      </c>
      <c r="G86" s="454">
        <f t="shared" si="1"/>
        <v>0.2</v>
      </c>
      <c r="H86" s="732">
        <f t="shared" si="1"/>
        <v>0.2</v>
      </c>
      <c r="I86" s="732">
        <f t="shared" si="1"/>
        <v>0.2</v>
      </c>
      <c r="J86" s="732">
        <f t="shared" si="1"/>
        <v>0.2</v>
      </c>
      <c r="K86" s="732">
        <f t="shared" si="1"/>
        <v>0.2</v>
      </c>
      <c r="L86" s="732">
        <f t="shared" si="1"/>
        <v>0.2</v>
      </c>
      <c r="M86" s="954"/>
      <c r="N86" s="954"/>
      <c r="O86" s="423"/>
      <c r="P86" s="423"/>
      <c r="S86" s="378"/>
      <c r="T86" s="376"/>
      <c r="U86" s="376"/>
      <c r="V86" s="376"/>
      <c r="X86" s="716"/>
      <c r="Y86" s="379"/>
      <c r="AA86" s="379"/>
      <c r="AC86" s="379"/>
    </row>
    <row r="87" spans="1:352" ht="30" hidden="1" customHeight="1" outlineLevel="1">
      <c r="B87" s="423"/>
      <c r="C87" s="423"/>
      <c r="D87" s="730">
        <f>$E$26+4</f>
        <v>2029</v>
      </c>
      <c r="E87" s="732">
        <f t="shared" si="1"/>
        <v>0.2</v>
      </c>
      <c r="F87" s="454">
        <f t="shared" si="1"/>
        <v>0.2</v>
      </c>
      <c r="G87" s="454">
        <f t="shared" si="1"/>
        <v>0.2</v>
      </c>
      <c r="H87" s="732">
        <f t="shared" si="1"/>
        <v>0.2</v>
      </c>
      <c r="I87" s="732">
        <f t="shared" si="1"/>
        <v>0.2</v>
      </c>
      <c r="J87" s="732">
        <f t="shared" si="1"/>
        <v>0.2</v>
      </c>
      <c r="K87" s="732">
        <f t="shared" si="1"/>
        <v>0.2</v>
      </c>
      <c r="L87" s="732">
        <f t="shared" si="1"/>
        <v>0.2</v>
      </c>
      <c r="M87" s="1032"/>
      <c r="N87" s="1032"/>
      <c r="O87" s="423"/>
      <c r="P87" s="423"/>
      <c r="S87" s="378"/>
      <c r="T87" s="380"/>
      <c r="U87" s="376"/>
      <c r="V87" s="376"/>
      <c r="X87" s="716"/>
      <c r="Y87" s="379"/>
      <c r="AA87" s="379"/>
      <c r="AC87" s="379"/>
    </row>
    <row r="88" spans="1:352" ht="30" customHeight="1" collapsed="1">
      <c r="B88" s="423"/>
      <c r="C88" s="423"/>
      <c r="D88" s="714" t="s">
        <v>65</v>
      </c>
      <c r="E88" s="737">
        <f>IFERROR(INDEX(Data!$A$2:$E$9,MATCH(E78,Data!$A$2:$A$9,0),3),"-")</f>
        <v>1</v>
      </c>
      <c r="F88" s="737" t="str">
        <f>IFERROR(INDEX(Data!$A$2:$E$9,MATCH(F78,Data!$A$2:$A$9,0),3),"-")</f>
        <v>NA</v>
      </c>
      <c r="G88" s="737" t="str">
        <f>IFERROR(INDEX(Data!$A$2:$E$9,MATCH(G78,Data!$A$2:$A$9,0),3),"-")</f>
        <v>NA</v>
      </c>
      <c r="H88" s="737">
        <f>IFERROR(INDEX(Data!$A$2:$E$9,MATCH(H78,Data!$A$2:$A$9,0),3),"-")</f>
        <v>1</v>
      </c>
      <c r="I88" s="737" t="str">
        <f>IFERROR(INDEX(Data!$A$2:$E$9,MATCH(I78,Data!$A$2:$A$9,0),3),"-")</f>
        <v>NA</v>
      </c>
      <c r="J88" s="737" t="str">
        <f>IFERROR(INDEX(Data!$A$2:$E$9,MATCH(J78,Data!$A$2:$A$9,0),3),"-")</f>
        <v>NA</v>
      </c>
      <c r="K88" s="737" t="str">
        <f>IFERROR(INDEX(Data!$A$2:$E$9,MATCH(K78,Data!$A$2:$A$9,0),3),"-")</f>
        <v>NA</v>
      </c>
      <c r="L88" s="738" t="str">
        <f>IFERROR(INDEX(Data!$A$2:$E$9,MATCH(L78,Data!$A$2:$A$9,0),3),"-")</f>
        <v>NA</v>
      </c>
      <c r="M88" s="465"/>
      <c r="N88" s="466"/>
      <c r="O88" s="462" t="s">
        <v>177</v>
      </c>
      <c r="P88" s="423"/>
      <c r="S88" s="382"/>
      <c r="T88" s="383"/>
      <c r="U88" s="380"/>
      <c r="V88" s="380"/>
      <c r="X88" s="716"/>
      <c r="Y88" s="713"/>
      <c r="AA88" s="713"/>
      <c r="AC88" s="713"/>
    </row>
    <row r="89" spans="1:352" ht="30" customHeight="1">
      <c r="B89" s="423"/>
      <c r="C89" s="423"/>
      <c r="D89" s="706" t="s">
        <v>178</v>
      </c>
      <c r="E89" s="459">
        <f>IFERROR(INDEX(Data!$A$2:$E$9,MATCH(E78,Data!$A$2:$A$9,0),5),"-")</f>
        <v>6.06</v>
      </c>
      <c r="F89" s="459">
        <f>IFERROR(INDEX(Data!$A$2:$E$9,MATCH(F78,Data!$A$2:$A$9,0),5),"-")</f>
        <v>17.12</v>
      </c>
      <c r="G89" s="459">
        <f>IFERROR(INDEX(Data!$A$2:$E$9,MATCH(G78,Data!$A$2:$A$9,0),5),"-")</f>
        <v>17.12</v>
      </c>
      <c r="H89" s="459">
        <f>IFERROR(INDEX(Data!$A$2:$E$9,MATCH(H78,Data!$A$2:$A$9,0),5),"-")</f>
        <v>17.12</v>
      </c>
      <c r="I89" s="459">
        <f>IFERROR(INDEX(Data!$A$2:$E$9,MATCH(I78,Data!$A$2:$A$9,0),5),"-")</f>
        <v>17.12</v>
      </c>
      <c r="J89" s="459">
        <f>IFERROR(INDEX(Data!$A$2:$E$9,MATCH(J78,Data!$A$2:$A$9,0),5),"-")</f>
        <v>17.12</v>
      </c>
      <c r="K89" s="459">
        <f>IFERROR(INDEX(Data!$A$2:$E$9,MATCH(K78,Data!$A$2:$A$9,0),5),"-")</f>
        <v>17.12</v>
      </c>
      <c r="L89" s="464">
        <f>IFERROR(INDEX(Data!$A$2:$E$9,MATCH(L78,Data!$A$2:$A$9,0),5),"-")</f>
        <v>17.12</v>
      </c>
      <c r="M89" s="467"/>
      <c r="N89" s="468"/>
      <c r="O89" s="463"/>
      <c r="P89" s="423"/>
      <c r="S89" s="384"/>
      <c r="T89" s="385"/>
      <c r="U89" s="383"/>
      <c r="V89" s="383"/>
      <c r="X89" s="716"/>
      <c r="Y89" s="713"/>
      <c r="AA89" s="713"/>
      <c r="AC89" s="713"/>
    </row>
    <row r="90" spans="1:352" ht="30" customHeight="1">
      <c r="B90" s="423"/>
      <c r="C90" s="423"/>
      <c r="D90" s="450" t="s">
        <v>67</v>
      </c>
      <c r="E90" s="770">
        <v>0.1</v>
      </c>
      <c r="F90" s="771">
        <v>0.1</v>
      </c>
      <c r="G90" s="771">
        <v>0.1</v>
      </c>
      <c r="H90" s="771">
        <v>0.1</v>
      </c>
      <c r="I90" s="771">
        <v>0.1</v>
      </c>
      <c r="J90" s="770">
        <v>0.1</v>
      </c>
      <c r="K90" s="770">
        <v>0.1</v>
      </c>
      <c r="L90" s="770">
        <v>0.1</v>
      </c>
      <c r="M90" s="1033"/>
      <c r="N90" s="1028"/>
      <c r="O90" s="462" t="s">
        <v>179</v>
      </c>
      <c r="P90" s="423"/>
      <c r="S90" s="386"/>
      <c r="T90" s="387"/>
      <c r="U90" s="388"/>
      <c r="V90" s="385"/>
      <c r="X90" s="389"/>
      <c r="Y90" s="987"/>
      <c r="AA90" s="987"/>
      <c r="AC90" s="987"/>
    </row>
    <row r="91" spans="1:352" s="421" customFormat="1" ht="30" customHeight="1">
      <c r="A91" s="407"/>
      <c r="B91" s="423"/>
      <c r="C91" s="423"/>
      <c r="D91" s="451" t="s">
        <v>94</v>
      </c>
      <c r="E91" s="739">
        <f>IFERROR(INDEX(Data!$A$2:$E$9,MATCH(E78,Data!$A$2:$A$9,0),4),"-")</f>
        <v>0.1</v>
      </c>
      <c r="F91" s="740">
        <f>IFERROR(INDEX(Data!$A$2:$E$9,MATCH(F78,Data!$A$2:$A$9,0),4),"-")</f>
        <v>0.1</v>
      </c>
      <c r="G91" s="740">
        <f>IFERROR(INDEX(Data!$A$2:$E$9,MATCH(G78,Data!$A$2:$A$9,0),4),"-")</f>
        <v>0.1</v>
      </c>
      <c r="H91" s="740">
        <f>IFERROR(INDEX(Data!$A$2:$E$9,MATCH(H78,Data!$A$2:$A$9,0),4),"-")</f>
        <v>0.1</v>
      </c>
      <c r="I91" s="740">
        <f>IFERROR(INDEX(Data!$A$2:$E$9,MATCH(I78,Data!$A$2:$A$9,0),4),"-")</f>
        <v>0.1</v>
      </c>
      <c r="J91" s="739">
        <f>IFERROR(INDEX(Data!$A$2:$E$9,MATCH(J78,Data!$A$2:$A$9,0),4),"-")</f>
        <v>0.1</v>
      </c>
      <c r="K91" s="739">
        <f>IFERROR(INDEX(Data!$A$2:$E$9,MATCH(K78,Data!$A$2:$A$9,0),4),"-")</f>
        <v>0.1</v>
      </c>
      <c r="L91" s="739">
        <f>IFERROR(INDEX(Data!$A$2:$E$9,MATCH(L78,Data!$A$2:$A$9,0),4),"-")</f>
        <v>0.1</v>
      </c>
      <c r="M91" s="990"/>
      <c r="N91" s="991"/>
      <c r="O91" s="423"/>
      <c r="P91" s="423"/>
      <c r="Q91" s="407"/>
      <c r="R91" s="417"/>
      <c r="S91" s="390"/>
      <c r="T91" s="391"/>
      <c r="U91" s="387"/>
      <c r="V91" s="387"/>
      <c r="W91" s="406"/>
      <c r="X91" s="392"/>
      <c r="Y91" s="987"/>
      <c r="Z91" s="406"/>
      <c r="AA91" s="987"/>
      <c r="AB91" s="406"/>
      <c r="AC91" s="987"/>
      <c r="AD91" s="406"/>
      <c r="AE91" s="406"/>
      <c r="AF91" s="406"/>
      <c r="AG91" s="406"/>
      <c r="AH91" s="406"/>
      <c r="AI91" s="406"/>
      <c r="AJ91" s="406"/>
      <c r="AL91" s="407"/>
      <c r="AM91" s="407"/>
      <c r="AN91" s="407"/>
      <c r="AO91" s="407"/>
      <c r="AP91" s="407"/>
      <c r="AQ91" s="407"/>
      <c r="AR91" s="407"/>
      <c r="AS91" s="407"/>
      <c r="AT91" s="407"/>
      <c r="AU91" s="407"/>
      <c r="AV91" s="407"/>
      <c r="AW91" s="407"/>
      <c r="AX91" s="407"/>
      <c r="AY91" s="407"/>
      <c r="AZ91" s="407"/>
      <c r="BA91" s="407"/>
      <c r="BB91" s="407"/>
      <c r="BC91" s="407"/>
      <c r="BD91" s="407"/>
      <c r="BE91" s="407"/>
      <c r="BF91" s="407"/>
      <c r="BG91" s="407"/>
      <c r="BH91" s="407"/>
      <c r="BI91" s="407"/>
      <c r="BJ91" s="407"/>
      <c r="BK91" s="407"/>
      <c r="BL91" s="407"/>
      <c r="BM91" s="407"/>
      <c r="BN91" s="407"/>
      <c r="BO91" s="407"/>
      <c r="BP91" s="407"/>
      <c r="BQ91" s="407"/>
      <c r="BR91" s="407"/>
      <c r="BS91" s="407"/>
      <c r="BT91" s="407"/>
      <c r="BU91" s="407"/>
      <c r="BV91" s="407"/>
      <c r="BW91" s="407"/>
      <c r="BX91" s="407"/>
      <c r="BY91" s="407"/>
      <c r="BZ91" s="407"/>
      <c r="CA91" s="407"/>
      <c r="CB91" s="407"/>
      <c r="CC91" s="407"/>
      <c r="CD91" s="407"/>
      <c r="CE91" s="407"/>
      <c r="CF91" s="407"/>
      <c r="CG91" s="407"/>
      <c r="CH91" s="407"/>
      <c r="CI91" s="407"/>
      <c r="CJ91" s="407"/>
      <c r="CK91" s="407"/>
      <c r="CL91" s="407"/>
      <c r="CM91" s="407"/>
      <c r="CN91" s="407"/>
      <c r="CO91" s="407"/>
      <c r="CP91" s="407"/>
      <c r="CQ91" s="407"/>
      <c r="CR91" s="407"/>
      <c r="CS91" s="407"/>
      <c r="CT91" s="407"/>
      <c r="CU91" s="407"/>
      <c r="CV91" s="407"/>
      <c r="CW91" s="407"/>
      <c r="CX91" s="407"/>
      <c r="CY91" s="407"/>
      <c r="CZ91" s="407"/>
      <c r="DA91" s="407"/>
      <c r="DB91" s="407"/>
      <c r="DC91" s="407"/>
      <c r="DD91" s="407"/>
      <c r="DE91" s="407"/>
      <c r="DF91" s="407"/>
      <c r="DG91" s="407"/>
      <c r="DH91" s="407"/>
      <c r="DI91" s="407"/>
      <c r="DJ91" s="407"/>
      <c r="DK91" s="407"/>
      <c r="DL91" s="407"/>
      <c r="DM91" s="407"/>
      <c r="DN91" s="407"/>
      <c r="DO91" s="407"/>
      <c r="DP91" s="407"/>
      <c r="DQ91" s="407"/>
      <c r="DR91" s="407"/>
      <c r="DS91" s="407"/>
      <c r="DT91" s="407"/>
      <c r="DU91" s="407"/>
      <c r="DV91" s="407"/>
      <c r="DW91" s="407"/>
      <c r="DX91" s="407"/>
      <c r="DY91" s="407"/>
      <c r="DZ91" s="407"/>
      <c r="EA91" s="407"/>
      <c r="EB91" s="407"/>
      <c r="EC91" s="407"/>
      <c r="ED91" s="407"/>
      <c r="EE91" s="407"/>
      <c r="EF91" s="407"/>
      <c r="EG91" s="407"/>
      <c r="EH91" s="407"/>
      <c r="EI91" s="407"/>
      <c r="EJ91" s="407"/>
      <c r="EK91" s="407"/>
      <c r="EL91" s="407"/>
      <c r="EM91" s="407"/>
      <c r="EN91" s="407"/>
      <c r="EO91" s="407"/>
      <c r="EP91" s="407"/>
      <c r="EQ91" s="407"/>
      <c r="ER91" s="407"/>
      <c r="ES91" s="407"/>
      <c r="ET91" s="407"/>
      <c r="EU91" s="407"/>
      <c r="EV91" s="407"/>
      <c r="EW91" s="407"/>
      <c r="EX91" s="407"/>
      <c r="EY91" s="407"/>
      <c r="EZ91" s="407"/>
      <c r="FA91" s="407"/>
      <c r="FB91" s="407"/>
      <c r="FC91" s="407"/>
      <c r="FD91" s="407"/>
      <c r="FE91" s="407"/>
      <c r="FF91" s="407"/>
      <c r="FG91" s="407"/>
      <c r="FH91" s="407"/>
      <c r="FI91" s="407"/>
      <c r="FJ91" s="407"/>
      <c r="FK91" s="407"/>
      <c r="FL91" s="407"/>
      <c r="FM91" s="407"/>
      <c r="FN91" s="407"/>
      <c r="FO91" s="407"/>
      <c r="FP91" s="407"/>
      <c r="FQ91" s="407"/>
      <c r="FR91" s="407"/>
      <c r="FS91" s="407"/>
      <c r="FT91" s="407"/>
      <c r="FU91" s="407"/>
      <c r="FV91" s="407"/>
      <c r="FW91" s="407"/>
      <c r="FX91" s="407"/>
      <c r="FY91" s="407"/>
      <c r="FZ91" s="407"/>
      <c r="GA91" s="407"/>
      <c r="GB91" s="407"/>
      <c r="GC91" s="407"/>
      <c r="GD91" s="407"/>
      <c r="GE91" s="407"/>
      <c r="GF91" s="407"/>
      <c r="GG91" s="407"/>
      <c r="GH91" s="407"/>
      <c r="GI91" s="407"/>
      <c r="GJ91" s="407"/>
      <c r="GK91" s="407"/>
      <c r="GL91" s="407"/>
      <c r="GM91" s="407"/>
      <c r="GN91" s="407"/>
      <c r="GO91" s="407"/>
      <c r="GP91" s="407"/>
      <c r="GQ91" s="407"/>
      <c r="GR91" s="407"/>
      <c r="GS91" s="407"/>
      <c r="GT91" s="407"/>
      <c r="GU91" s="407"/>
      <c r="GV91" s="407"/>
      <c r="GW91" s="407"/>
      <c r="GX91" s="407"/>
      <c r="GY91" s="407"/>
      <c r="GZ91" s="407"/>
      <c r="HA91" s="407"/>
      <c r="HB91" s="407"/>
      <c r="HC91" s="407"/>
      <c r="HD91" s="407"/>
      <c r="HE91" s="407"/>
      <c r="HF91" s="407"/>
      <c r="HG91" s="407"/>
      <c r="HH91" s="407"/>
      <c r="HI91" s="407"/>
      <c r="HJ91" s="407"/>
      <c r="HK91" s="407"/>
      <c r="HL91" s="407"/>
      <c r="HM91" s="407"/>
      <c r="HN91" s="407"/>
      <c r="HO91" s="407"/>
      <c r="HP91" s="407"/>
      <c r="HQ91" s="407"/>
      <c r="HR91" s="407"/>
      <c r="HS91" s="407"/>
      <c r="HT91" s="407"/>
      <c r="HU91" s="407"/>
      <c r="HV91" s="407"/>
      <c r="HW91" s="407"/>
      <c r="HX91" s="407"/>
      <c r="HY91" s="407"/>
      <c r="HZ91" s="407"/>
      <c r="IA91" s="407"/>
      <c r="IB91" s="407"/>
      <c r="IC91" s="407"/>
      <c r="ID91" s="407"/>
      <c r="IE91" s="407"/>
      <c r="IF91" s="407"/>
      <c r="IG91" s="407"/>
      <c r="IH91" s="407"/>
      <c r="II91" s="407"/>
      <c r="IJ91" s="407"/>
      <c r="IK91" s="407"/>
      <c r="IL91" s="407"/>
      <c r="IM91" s="407"/>
      <c r="IN91" s="407"/>
      <c r="IO91" s="407"/>
      <c r="IP91" s="407"/>
      <c r="IQ91" s="407"/>
      <c r="IR91" s="407"/>
      <c r="IS91" s="407"/>
      <c r="IT91" s="407"/>
      <c r="IU91" s="407"/>
      <c r="IV91" s="407"/>
      <c r="IW91" s="407"/>
      <c r="IX91" s="407"/>
      <c r="IY91" s="407"/>
      <c r="IZ91" s="407"/>
      <c r="JA91" s="407"/>
      <c r="JB91" s="407"/>
      <c r="JC91" s="407"/>
      <c r="JD91" s="407"/>
      <c r="JE91" s="407"/>
      <c r="JF91" s="407"/>
      <c r="JG91" s="407"/>
      <c r="JH91" s="407"/>
      <c r="JI91" s="407"/>
      <c r="JJ91" s="407"/>
      <c r="JK91" s="407"/>
      <c r="JL91" s="407"/>
      <c r="JM91" s="407"/>
      <c r="JN91" s="407"/>
      <c r="JO91" s="407"/>
      <c r="JP91" s="407"/>
      <c r="JQ91" s="407"/>
      <c r="JR91" s="407"/>
      <c r="JS91" s="407"/>
      <c r="JT91" s="407"/>
      <c r="JU91" s="407"/>
      <c r="JV91" s="407"/>
      <c r="JW91" s="407"/>
      <c r="JX91" s="407"/>
      <c r="JY91" s="407"/>
      <c r="JZ91" s="407"/>
      <c r="KA91" s="407"/>
      <c r="KB91" s="407"/>
      <c r="KC91" s="407"/>
      <c r="KD91" s="407"/>
      <c r="KE91" s="407"/>
      <c r="KF91" s="407"/>
      <c r="KG91" s="407"/>
      <c r="KH91" s="407"/>
      <c r="KI91" s="407"/>
      <c r="KJ91" s="407"/>
      <c r="KK91" s="407"/>
      <c r="KL91" s="407"/>
      <c r="KM91" s="407"/>
      <c r="KN91" s="407"/>
      <c r="KO91" s="407"/>
      <c r="KP91" s="407"/>
      <c r="KQ91" s="407"/>
      <c r="KR91" s="407"/>
      <c r="KS91" s="407"/>
      <c r="KT91" s="407"/>
      <c r="KU91" s="407"/>
      <c r="KV91" s="407"/>
      <c r="KW91" s="407"/>
      <c r="KX91" s="407"/>
      <c r="KY91" s="407"/>
      <c r="KZ91" s="407"/>
      <c r="LA91" s="407"/>
      <c r="LB91" s="407"/>
      <c r="LC91" s="407"/>
      <c r="LD91" s="407"/>
      <c r="LE91" s="407"/>
      <c r="LF91" s="407"/>
      <c r="LG91" s="407"/>
      <c r="LH91" s="407"/>
      <c r="LI91" s="407"/>
      <c r="LJ91" s="407"/>
      <c r="LK91" s="407"/>
      <c r="LL91" s="407"/>
      <c r="LM91" s="407"/>
      <c r="LN91" s="407"/>
      <c r="LO91" s="407"/>
      <c r="LP91" s="407"/>
      <c r="LQ91" s="407"/>
      <c r="LR91" s="407"/>
      <c r="LS91" s="407"/>
      <c r="LT91" s="407"/>
      <c r="LU91" s="407"/>
      <c r="LV91" s="407"/>
      <c r="LW91" s="407"/>
      <c r="LX91" s="407"/>
      <c r="LY91" s="407"/>
      <c r="LZ91" s="407"/>
      <c r="MA91" s="407"/>
      <c r="MB91" s="407"/>
      <c r="MC91" s="407"/>
      <c r="MD91" s="407"/>
      <c r="ME91" s="407"/>
      <c r="MF91" s="407"/>
      <c r="MG91" s="407"/>
      <c r="MH91" s="407"/>
      <c r="MI91" s="407"/>
      <c r="MJ91" s="407"/>
      <c r="MK91" s="407"/>
      <c r="ML91" s="407"/>
      <c r="MM91" s="407"/>
      <c r="MN91" s="407"/>
    </row>
    <row r="92" spans="1:352" ht="30" customHeight="1">
      <c r="B92" s="423"/>
      <c r="C92" s="423"/>
      <c r="D92" s="706" t="s">
        <v>70</v>
      </c>
      <c r="E92" s="460">
        <f>IFERROR((1/(1-E90)),"")</f>
        <v>1.1111111111111112</v>
      </c>
      <c r="F92" s="460">
        <f t="shared" ref="F92:G92" si="2">IFERROR((1/(1-F90)),"")</f>
        <v>1.1111111111111112</v>
      </c>
      <c r="G92" s="460">
        <f t="shared" si="2"/>
        <v>1.1111111111111112</v>
      </c>
      <c r="H92" s="460">
        <f t="shared" ref="H92:L92" si="3">IFERROR((1/(1-H90)),"")</f>
        <v>1.1111111111111112</v>
      </c>
      <c r="I92" s="460">
        <f t="shared" si="3"/>
        <v>1.1111111111111112</v>
      </c>
      <c r="J92" s="460">
        <f t="shared" si="3"/>
        <v>1.1111111111111112</v>
      </c>
      <c r="K92" s="460">
        <f t="shared" si="3"/>
        <v>1.1111111111111112</v>
      </c>
      <c r="L92" s="460">
        <f t="shared" si="3"/>
        <v>1.1111111111111112</v>
      </c>
      <c r="M92" s="988" t="s">
        <v>71</v>
      </c>
      <c r="N92" s="989"/>
      <c r="O92" s="423"/>
      <c r="P92" s="423"/>
      <c r="R92" s="417"/>
      <c r="S92" s="393"/>
      <c r="T92" s="394"/>
      <c r="U92" s="391"/>
      <c r="V92" s="391"/>
      <c r="X92" s="716"/>
      <c r="Y92" s="713"/>
      <c r="AA92" s="713"/>
      <c r="AC92" s="713"/>
    </row>
    <row r="93" spans="1:352" ht="30" customHeight="1">
      <c r="B93" s="423"/>
      <c r="C93" s="423"/>
      <c r="D93" s="706" t="s">
        <v>72</v>
      </c>
      <c r="E93" s="760">
        <v>0.25</v>
      </c>
      <c r="F93" s="760">
        <v>0.25</v>
      </c>
      <c r="G93" s="760">
        <v>0.25</v>
      </c>
      <c r="H93" s="760">
        <v>0.25</v>
      </c>
      <c r="I93" s="760">
        <v>0.25</v>
      </c>
      <c r="J93" s="760">
        <v>0.25</v>
      </c>
      <c r="K93" s="760">
        <v>0.25</v>
      </c>
      <c r="L93" s="760">
        <v>0.25</v>
      </c>
      <c r="M93" s="1025" t="s">
        <v>73</v>
      </c>
      <c r="N93" s="1026"/>
      <c r="O93" s="423"/>
      <c r="P93" s="423"/>
      <c r="R93" s="417"/>
      <c r="S93" s="393"/>
      <c r="T93" s="394"/>
      <c r="U93" s="391"/>
      <c r="V93" s="391"/>
      <c r="X93" s="716"/>
      <c r="Y93" s="713"/>
      <c r="AA93" s="713"/>
      <c r="AC93" s="713"/>
    </row>
    <row r="94" spans="1:352" ht="30" customHeight="1">
      <c r="B94" s="423"/>
      <c r="C94" s="423"/>
      <c r="D94" s="706" t="s">
        <v>74</v>
      </c>
      <c r="E94" s="772">
        <v>0.03</v>
      </c>
      <c r="F94" s="772">
        <v>0.03</v>
      </c>
      <c r="G94" s="772">
        <v>0.03</v>
      </c>
      <c r="H94" s="772">
        <v>0.03</v>
      </c>
      <c r="I94" s="772">
        <v>0.03</v>
      </c>
      <c r="J94" s="772">
        <v>0.03</v>
      </c>
      <c r="K94" s="772">
        <v>0.03</v>
      </c>
      <c r="L94" s="772">
        <v>0.03</v>
      </c>
      <c r="M94" s="1025" t="s">
        <v>75</v>
      </c>
      <c r="N94" s="1026"/>
      <c r="O94" s="423"/>
      <c r="P94" s="423"/>
      <c r="R94" s="417"/>
      <c r="S94" s="395"/>
      <c r="T94" s="388"/>
      <c r="U94" s="394"/>
      <c r="V94" s="394"/>
      <c r="X94" s="716"/>
      <c r="Y94" s="713"/>
      <c r="AA94" s="713"/>
      <c r="AC94" s="713"/>
    </row>
    <row r="95" spans="1:352" ht="30" customHeight="1">
      <c r="B95" s="423"/>
      <c r="C95" s="423"/>
      <c r="D95" s="706" t="s">
        <v>76</v>
      </c>
      <c r="E95" s="760">
        <v>7.0000000000000007E-2</v>
      </c>
      <c r="F95" s="760">
        <v>7.0000000000000007E-2</v>
      </c>
      <c r="G95" s="760">
        <v>7.0000000000000007E-2</v>
      </c>
      <c r="H95" s="760">
        <v>7.0000000000000007E-2</v>
      </c>
      <c r="I95" s="760">
        <v>7.0000000000000007E-2</v>
      </c>
      <c r="J95" s="760">
        <v>7.0000000000000007E-2</v>
      </c>
      <c r="K95" s="760">
        <v>7.0000000000000007E-2</v>
      </c>
      <c r="L95" s="760">
        <v>7.0000000000000007E-2</v>
      </c>
      <c r="M95" s="1025" t="s">
        <v>75</v>
      </c>
      <c r="N95" s="1026"/>
      <c r="O95" s="423"/>
      <c r="P95" s="423"/>
      <c r="R95" s="417"/>
      <c r="S95" s="386"/>
      <c r="T95" s="396"/>
      <c r="U95" s="388"/>
      <c r="V95" s="388"/>
      <c r="X95" s="716"/>
      <c r="Y95" s="713"/>
      <c r="AA95" s="713"/>
      <c r="AC95" s="713"/>
    </row>
    <row r="96" spans="1:352" ht="30" customHeight="1">
      <c r="B96" s="423"/>
      <c r="C96" s="423"/>
      <c r="D96" s="706" t="s">
        <v>77</v>
      </c>
      <c r="E96" s="773">
        <v>0.8</v>
      </c>
      <c r="F96" s="773">
        <v>0.8</v>
      </c>
      <c r="G96" s="773">
        <v>0.8</v>
      </c>
      <c r="H96" s="773">
        <v>0.8</v>
      </c>
      <c r="I96" s="773">
        <v>0.8</v>
      </c>
      <c r="J96" s="773">
        <v>0.8</v>
      </c>
      <c r="K96" s="773">
        <v>0.8</v>
      </c>
      <c r="L96" s="773">
        <v>0.8</v>
      </c>
      <c r="M96" s="1025" t="s">
        <v>78</v>
      </c>
      <c r="N96" s="1026"/>
      <c r="O96" s="423"/>
      <c r="P96" s="423"/>
      <c r="R96" s="417"/>
      <c r="S96" s="397"/>
      <c r="T96" s="398"/>
      <c r="U96" s="396"/>
      <c r="V96" s="396"/>
      <c r="X96" s="716"/>
      <c r="Y96" s="713"/>
      <c r="AA96" s="713"/>
      <c r="AC96" s="713"/>
    </row>
    <row r="97" spans="2:36" ht="30" customHeight="1">
      <c r="B97" s="423"/>
      <c r="C97" s="423"/>
      <c r="D97" s="706" t="s">
        <v>79</v>
      </c>
      <c r="E97" s="774">
        <v>100</v>
      </c>
      <c r="F97" s="774">
        <v>100</v>
      </c>
      <c r="G97" s="774">
        <v>100</v>
      </c>
      <c r="H97" s="774">
        <v>100</v>
      </c>
      <c r="I97" s="774">
        <v>100</v>
      </c>
      <c r="J97" s="774">
        <v>100</v>
      </c>
      <c r="K97" s="774">
        <v>100</v>
      </c>
      <c r="L97" s="774">
        <v>100</v>
      </c>
      <c r="M97" s="1027" t="s">
        <v>80</v>
      </c>
      <c r="N97" s="1028"/>
      <c r="O97" s="423"/>
      <c r="P97" s="423"/>
      <c r="R97" s="417"/>
      <c r="S97" s="399"/>
      <c r="T97" s="379"/>
      <c r="U97" s="398"/>
      <c r="V97" s="398"/>
      <c r="X97" s="716"/>
      <c r="Y97" s="713"/>
      <c r="AA97" s="713"/>
      <c r="AC97" s="713"/>
    </row>
    <row r="98" spans="2:36" ht="8.25" customHeight="1">
      <c r="B98" s="423"/>
      <c r="C98" s="423"/>
      <c r="D98" s="707"/>
      <c r="E98" s="423"/>
      <c r="F98" s="423"/>
      <c r="G98" s="423"/>
      <c r="H98" s="423"/>
      <c r="I98" s="707"/>
      <c r="J98" s="423"/>
      <c r="K98" s="423"/>
      <c r="L98" s="423"/>
      <c r="M98" s="665"/>
      <c r="N98" s="665"/>
      <c r="O98" s="423"/>
      <c r="P98" s="423"/>
      <c r="T98" s="712"/>
      <c r="X98" s="716"/>
      <c r="Z98" s="379"/>
      <c r="AD98" s="379"/>
      <c r="AH98" s="379"/>
    </row>
    <row r="99" spans="2:36" ht="50.25" customHeight="1">
      <c r="B99" s="423"/>
      <c r="C99" s="423"/>
      <c r="D99" s="461" t="s">
        <v>180</v>
      </c>
      <c r="E99" s="418"/>
      <c r="F99" s="418"/>
      <c r="G99" s="418"/>
      <c r="H99" s="418"/>
      <c r="I99" s="418"/>
      <c r="J99" s="418"/>
      <c r="K99" s="418"/>
      <c r="L99" s="418"/>
      <c r="M99" s="418"/>
      <c r="N99" s="411"/>
      <c r="O99" s="423"/>
      <c r="P99" s="423"/>
      <c r="S99" s="721"/>
      <c r="T99" s="712"/>
      <c r="U99" s="712"/>
      <c r="V99" s="712"/>
      <c r="X99" s="712"/>
      <c r="Z99" s="986"/>
      <c r="AA99" s="986"/>
      <c r="AB99" s="986"/>
      <c r="AC99" s="986"/>
      <c r="AD99" s="986"/>
      <c r="AE99" s="986"/>
      <c r="AF99" s="986"/>
      <c r="AG99" s="986"/>
      <c r="AH99" s="986"/>
      <c r="AI99" s="986"/>
      <c r="AJ99" s="986"/>
    </row>
    <row r="100" spans="2:36" ht="8.25" customHeight="1">
      <c r="B100" s="423"/>
      <c r="C100" s="423"/>
      <c r="D100" s="426"/>
      <c r="E100" s="426"/>
      <c r="F100" s="426"/>
      <c r="G100" s="426"/>
      <c r="H100" s="423"/>
      <c r="I100" s="426"/>
      <c r="J100" s="426"/>
      <c r="K100" s="426"/>
      <c r="L100" s="426"/>
      <c r="M100" s="665"/>
      <c r="N100" s="665"/>
      <c r="O100" s="423"/>
      <c r="P100" s="423"/>
      <c r="S100" s="721"/>
      <c r="T100" s="400"/>
      <c r="U100" s="712"/>
      <c r="V100" s="712"/>
      <c r="X100" s="716"/>
      <c r="Z100" s="712"/>
      <c r="AA100" s="712"/>
      <c r="AB100" s="712"/>
      <c r="AD100" s="712"/>
      <c r="AE100" s="712"/>
      <c r="AF100" s="712"/>
      <c r="AH100" s="712"/>
      <c r="AI100" s="712"/>
      <c r="AJ100" s="712"/>
    </row>
    <row r="101" spans="2:36" ht="45.75" customHeight="1">
      <c r="B101" s="423"/>
      <c r="C101" s="423"/>
      <c r="D101" s="381" t="s">
        <v>181</v>
      </c>
      <c r="E101" s="775">
        <v>5000</v>
      </c>
      <c r="F101" s="776">
        <v>5000</v>
      </c>
      <c r="G101" s="775">
        <v>5000</v>
      </c>
      <c r="H101" s="776">
        <v>5000</v>
      </c>
      <c r="I101" s="775">
        <v>5000</v>
      </c>
      <c r="J101" s="776">
        <v>5000</v>
      </c>
      <c r="K101" s="775">
        <v>5000</v>
      </c>
      <c r="L101" s="775">
        <v>5000</v>
      </c>
      <c r="M101" s="1029" t="s">
        <v>182</v>
      </c>
      <c r="N101" s="1026"/>
      <c r="O101" s="423"/>
      <c r="P101" s="423"/>
      <c r="S101" s="401"/>
      <c r="T101" s="402"/>
      <c r="U101" s="400"/>
      <c r="V101" s="400"/>
      <c r="X101" s="716"/>
      <c r="Y101" s="716"/>
      <c r="Z101" s="985"/>
      <c r="AA101" s="985"/>
      <c r="AB101" s="985"/>
      <c r="AC101" s="985"/>
      <c r="AD101" s="985"/>
      <c r="AE101" s="985"/>
      <c r="AF101" s="985"/>
      <c r="AG101" s="985"/>
      <c r="AH101" s="985"/>
      <c r="AI101" s="985"/>
      <c r="AJ101" s="985"/>
    </row>
    <row r="102" spans="2:36" ht="52.5" customHeight="1">
      <c r="B102" s="423"/>
      <c r="C102" s="423"/>
      <c r="D102" s="381" t="s">
        <v>183</v>
      </c>
      <c r="E102" s="777">
        <v>0.8</v>
      </c>
      <c r="F102" s="777">
        <v>0.8</v>
      </c>
      <c r="G102" s="777">
        <v>0.8</v>
      </c>
      <c r="H102" s="777">
        <v>0.8</v>
      </c>
      <c r="I102" s="777">
        <v>0.8</v>
      </c>
      <c r="J102" s="777">
        <v>0.8</v>
      </c>
      <c r="K102" s="777">
        <v>0</v>
      </c>
      <c r="L102" s="777">
        <v>0</v>
      </c>
      <c r="M102" s="1029" t="s">
        <v>184</v>
      </c>
      <c r="N102" s="1026"/>
      <c r="O102" s="423"/>
      <c r="P102" s="423"/>
      <c r="S102" s="401"/>
      <c r="T102" s="402"/>
      <c r="U102" s="400"/>
      <c r="V102" s="400"/>
      <c r="X102" s="716"/>
      <c r="Y102" s="716"/>
      <c r="Z102" s="711"/>
      <c r="AA102" s="711"/>
      <c r="AB102" s="711"/>
      <c r="AC102" s="711"/>
      <c r="AD102" s="711"/>
      <c r="AE102" s="711"/>
      <c r="AF102" s="711"/>
      <c r="AG102" s="711"/>
      <c r="AH102" s="711"/>
      <c r="AI102" s="711"/>
      <c r="AJ102" s="711"/>
    </row>
    <row r="103" spans="2:36" ht="49.5" customHeight="1">
      <c r="B103" s="423"/>
      <c r="C103" s="423"/>
      <c r="D103" s="965" t="s">
        <v>84</v>
      </c>
      <c r="E103" s="967">
        <v>1.32</v>
      </c>
      <c r="F103" s="967">
        <v>1.32</v>
      </c>
      <c r="G103" s="967">
        <v>1.32</v>
      </c>
      <c r="H103" s="967">
        <v>1.23</v>
      </c>
      <c r="I103" s="967">
        <v>1.23</v>
      </c>
      <c r="J103" s="967">
        <v>1.23</v>
      </c>
      <c r="K103" s="967">
        <v>1.32</v>
      </c>
      <c r="L103" s="967">
        <v>1.23</v>
      </c>
      <c r="M103" s="1034" t="s">
        <v>85</v>
      </c>
      <c r="N103" s="989"/>
      <c r="O103" s="433"/>
      <c r="P103" s="423"/>
      <c r="S103" s="403"/>
      <c r="T103" s="404"/>
      <c r="U103" s="402"/>
      <c r="V103" s="402"/>
      <c r="X103" s="716"/>
      <c r="Y103" s="716"/>
      <c r="Z103" s="364"/>
      <c r="AA103" s="364"/>
      <c r="AB103" s="364"/>
      <c r="AC103" s="364"/>
      <c r="AD103" s="364"/>
      <c r="AE103" s="364"/>
      <c r="AF103" s="364"/>
      <c r="AG103" s="364"/>
      <c r="AH103" s="364"/>
      <c r="AI103" s="364"/>
      <c r="AJ103" s="364"/>
    </row>
    <row r="104" spans="2:36" ht="20.25" customHeight="1">
      <c r="B104" s="423"/>
      <c r="C104" s="423"/>
      <c r="D104" s="966"/>
      <c r="E104" s="968"/>
      <c r="F104" s="968"/>
      <c r="G104" s="968"/>
      <c r="H104" s="968"/>
      <c r="I104" s="968"/>
      <c r="J104" s="968"/>
      <c r="K104" s="968"/>
      <c r="L104" s="968"/>
      <c r="M104" s="1023" t="s">
        <v>86</v>
      </c>
      <c r="N104" s="1024"/>
      <c r="O104" s="423"/>
      <c r="P104" s="423"/>
      <c r="S104" s="403"/>
      <c r="U104" s="402"/>
      <c r="V104" s="404"/>
      <c r="X104" s="422"/>
      <c r="Y104" s="422"/>
      <c r="AB104" s="716"/>
    </row>
    <row r="105" spans="2:36">
      <c r="B105" s="423"/>
      <c r="C105" s="423"/>
      <c r="D105" s="423"/>
      <c r="E105" s="423"/>
      <c r="F105" s="423"/>
      <c r="G105" s="423"/>
      <c r="H105" s="423"/>
      <c r="I105" s="423"/>
      <c r="J105" s="423"/>
      <c r="K105" s="423"/>
      <c r="L105" s="423"/>
      <c r="M105" s="423"/>
      <c r="N105" s="423"/>
      <c r="O105" s="423"/>
      <c r="P105" s="423"/>
    </row>
    <row r="106" spans="2:36" ht="20.25" customHeight="1" outlineLevel="1">
      <c r="D106" s="407"/>
      <c r="E106" s="407"/>
      <c r="F106" s="407"/>
      <c r="G106" s="407"/>
      <c r="H106" s="407"/>
      <c r="I106" s="407"/>
      <c r="J106" s="407"/>
      <c r="K106" s="407"/>
      <c r="L106" s="407"/>
      <c r="M106" s="407"/>
      <c r="N106" s="407"/>
      <c r="O106" s="407"/>
    </row>
    <row r="107" spans="2:36" ht="20.25" customHeight="1" outlineLevel="1">
      <c r="D107" s="407"/>
      <c r="E107" s="407"/>
      <c r="F107" s="407"/>
      <c r="G107" s="407"/>
      <c r="H107" s="407"/>
      <c r="I107" s="407"/>
      <c r="J107" s="407"/>
      <c r="K107" s="407"/>
      <c r="L107" s="407"/>
      <c r="M107" s="407"/>
      <c r="N107" s="407"/>
      <c r="O107" s="407"/>
    </row>
    <row r="108" spans="2:36" ht="20.25" customHeight="1" outlineLevel="1">
      <c r="D108" s="407"/>
      <c r="E108" s="407"/>
      <c r="F108" s="407"/>
      <c r="G108" s="407"/>
      <c r="H108" s="407"/>
      <c r="I108" s="407"/>
      <c r="J108" s="407"/>
      <c r="K108" s="407"/>
      <c r="L108" s="407"/>
      <c r="M108" s="407"/>
      <c r="N108" s="407"/>
      <c r="O108" s="407"/>
    </row>
    <row r="109" spans="2:36" ht="20.25" customHeight="1" outlineLevel="1">
      <c r="D109" s="407"/>
      <c r="E109" s="407"/>
      <c r="F109" s="407"/>
      <c r="G109" s="407"/>
      <c r="H109" s="407"/>
      <c r="I109" s="407"/>
      <c r="J109" s="407"/>
      <c r="K109" s="407"/>
      <c r="L109" s="407"/>
      <c r="M109" s="407"/>
      <c r="N109" s="407"/>
      <c r="O109" s="407"/>
    </row>
    <row r="110" spans="2:36" ht="20.25" customHeight="1" outlineLevel="1">
      <c r="D110" s="407"/>
      <c r="E110" s="407"/>
      <c r="F110" s="407"/>
      <c r="G110" s="407"/>
      <c r="H110" s="407"/>
      <c r="I110" s="407"/>
      <c r="J110" s="407"/>
      <c r="K110" s="407"/>
      <c r="L110" s="407"/>
      <c r="M110" s="407"/>
      <c r="N110" s="407"/>
      <c r="O110" s="407"/>
    </row>
    <row r="111" spans="2:36" ht="20.25" customHeight="1" outlineLevel="1">
      <c r="D111" s="407"/>
      <c r="E111" s="407"/>
      <c r="F111" s="407"/>
      <c r="G111" s="407"/>
      <c r="H111" s="407"/>
      <c r="I111" s="407"/>
      <c r="J111" s="407"/>
      <c r="K111" s="407"/>
      <c r="L111" s="407"/>
      <c r="M111" s="407"/>
      <c r="N111" s="407"/>
      <c r="O111" s="407"/>
    </row>
    <row r="112" spans="2:36" ht="20.25" customHeight="1" outlineLevel="1">
      <c r="D112" s="407"/>
      <c r="E112" s="407"/>
      <c r="F112" s="407"/>
      <c r="G112" s="407"/>
      <c r="H112" s="407"/>
      <c r="I112" s="407"/>
      <c r="J112" s="407"/>
      <c r="K112" s="407"/>
      <c r="L112" s="407"/>
      <c r="M112" s="407"/>
      <c r="N112" s="407"/>
      <c r="O112" s="407"/>
    </row>
    <row r="113" spans="4:15" ht="20.25" customHeight="1" outlineLevel="1">
      <c r="D113" s="407"/>
      <c r="E113" s="407"/>
      <c r="F113" s="407"/>
      <c r="G113" s="407"/>
      <c r="H113" s="407"/>
      <c r="I113" s="407"/>
      <c r="J113" s="407"/>
      <c r="K113" s="407"/>
      <c r="L113" s="407"/>
      <c r="M113" s="407"/>
      <c r="N113" s="407"/>
      <c r="O113" s="407"/>
    </row>
    <row r="114" spans="4:15" ht="20.25" customHeight="1" outlineLevel="1">
      <c r="D114" s="407"/>
      <c r="E114" s="407"/>
      <c r="F114" s="407"/>
      <c r="G114" s="407"/>
      <c r="H114" s="407"/>
      <c r="I114" s="407"/>
      <c r="J114" s="407"/>
      <c r="K114" s="407"/>
      <c r="L114" s="407"/>
      <c r="M114" s="407"/>
      <c r="N114" s="407"/>
      <c r="O114" s="407"/>
    </row>
    <row r="115" spans="4:15" ht="20.25" customHeight="1" outlineLevel="1">
      <c r="D115" s="407"/>
      <c r="E115" s="407"/>
      <c r="F115" s="407"/>
      <c r="G115" s="407"/>
      <c r="H115" s="407"/>
      <c r="I115" s="407"/>
      <c r="J115" s="407"/>
      <c r="K115" s="407"/>
      <c r="L115" s="407"/>
      <c r="M115" s="407"/>
      <c r="N115" s="407"/>
      <c r="O115" s="407"/>
    </row>
    <row r="116" spans="4:15" ht="29.25" customHeight="1">
      <c r="D116" s="407"/>
      <c r="E116" s="407"/>
      <c r="F116" s="407"/>
      <c r="G116" s="407"/>
      <c r="H116" s="407"/>
      <c r="I116" s="407"/>
      <c r="J116" s="407"/>
      <c r="K116" s="407"/>
      <c r="L116" s="407"/>
      <c r="M116" s="407"/>
      <c r="N116" s="407"/>
      <c r="O116" s="407"/>
    </row>
    <row r="117" spans="4:15" ht="20.25" customHeight="1" outlineLevel="1">
      <c r="D117" s="407"/>
      <c r="E117" s="407"/>
      <c r="F117" s="407"/>
      <c r="G117" s="407"/>
      <c r="H117" s="407"/>
      <c r="I117" s="407"/>
      <c r="J117" s="407"/>
      <c r="K117" s="407"/>
      <c r="L117" s="407"/>
      <c r="M117" s="407"/>
      <c r="N117" s="407"/>
      <c r="O117" s="407"/>
    </row>
    <row r="118" spans="4:15" ht="20.25" customHeight="1" outlineLevel="1">
      <c r="D118" s="407"/>
      <c r="E118" s="407"/>
      <c r="F118" s="407"/>
      <c r="G118" s="407"/>
      <c r="H118" s="407"/>
      <c r="I118" s="407"/>
      <c r="J118" s="407"/>
      <c r="K118" s="407"/>
      <c r="L118" s="407"/>
      <c r="M118" s="407"/>
      <c r="N118" s="407"/>
      <c r="O118" s="407"/>
    </row>
    <row r="119" spans="4:15" ht="20.25" customHeight="1" outlineLevel="1">
      <c r="D119" s="407"/>
      <c r="E119" s="407"/>
      <c r="F119" s="407"/>
      <c r="G119" s="407"/>
      <c r="H119" s="407"/>
      <c r="I119" s="407"/>
      <c r="J119" s="407"/>
      <c r="K119" s="407"/>
      <c r="L119" s="407"/>
      <c r="M119" s="407"/>
      <c r="N119" s="407"/>
      <c r="O119" s="407"/>
    </row>
    <row r="120" spans="4:15" ht="20.25" customHeight="1" outlineLevel="1">
      <c r="D120" s="407"/>
      <c r="E120" s="407"/>
      <c r="F120" s="407"/>
      <c r="G120" s="407"/>
      <c r="H120" s="407"/>
      <c r="I120" s="407"/>
      <c r="J120" s="407"/>
      <c r="K120" s="407"/>
      <c r="L120" s="407"/>
      <c r="M120" s="407"/>
      <c r="N120" s="407"/>
      <c r="O120" s="407"/>
    </row>
    <row r="121" spans="4:15" ht="20.25" customHeight="1" outlineLevel="1">
      <c r="D121" s="407"/>
      <c r="E121" s="407"/>
      <c r="F121" s="407"/>
      <c r="G121" s="407"/>
      <c r="H121" s="407"/>
      <c r="I121" s="407"/>
      <c r="J121" s="407"/>
      <c r="K121" s="407"/>
      <c r="L121" s="407"/>
      <c r="M121" s="407"/>
      <c r="N121" s="407"/>
      <c r="O121" s="407"/>
    </row>
    <row r="122" spans="4:15" ht="20.25" customHeight="1" outlineLevel="1">
      <c r="D122" s="407"/>
      <c r="E122" s="407"/>
      <c r="F122" s="407"/>
      <c r="G122" s="407"/>
      <c r="H122" s="407"/>
      <c r="I122" s="407"/>
      <c r="J122" s="407"/>
      <c r="K122" s="407"/>
      <c r="L122" s="407"/>
      <c r="M122" s="407"/>
      <c r="N122" s="407"/>
      <c r="O122" s="407"/>
    </row>
    <row r="123" spans="4:15" ht="20.25" customHeight="1" outlineLevel="1">
      <c r="D123" s="407"/>
      <c r="E123" s="407"/>
      <c r="F123" s="407"/>
      <c r="G123" s="407"/>
      <c r="H123" s="407"/>
      <c r="I123" s="407"/>
      <c r="J123" s="407"/>
      <c r="K123" s="407"/>
      <c r="L123" s="407"/>
      <c r="M123" s="407"/>
      <c r="N123" s="407"/>
      <c r="O123" s="407"/>
    </row>
    <row r="124" spans="4:15" ht="20.25" customHeight="1" outlineLevel="1">
      <c r="D124" s="407"/>
      <c r="E124" s="407"/>
      <c r="F124" s="407"/>
      <c r="G124" s="407"/>
      <c r="H124" s="407"/>
      <c r="I124" s="407"/>
      <c r="J124" s="407"/>
      <c r="K124" s="407"/>
      <c r="L124" s="407"/>
      <c r="M124" s="407"/>
      <c r="N124" s="407"/>
      <c r="O124" s="407"/>
    </row>
    <row r="125" spans="4:15" ht="20.25" customHeight="1" outlineLevel="1">
      <c r="D125" s="407"/>
      <c r="E125" s="407"/>
      <c r="F125" s="407"/>
      <c r="G125" s="407"/>
      <c r="H125" s="407"/>
      <c r="I125" s="407"/>
      <c r="J125" s="407"/>
      <c r="K125" s="407"/>
      <c r="L125" s="407"/>
      <c r="M125" s="407"/>
      <c r="N125" s="407"/>
      <c r="O125" s="407"/>
    </row>
    <row r="126" spans="4:15" ht="20.25" customHeight="1" outlineLevel="1">
      <c r="D126" s="407"/>
      <c r="E126" s="407"/>
      <c r="F126" s="407"/>
      <c r="G126" s="407"/>
      <c r="H126" s="407"/>
      <c r="I126" s="407"/>
      <c r="J126" s="407"/>
      <c r="K126" s="407"/>
      <c r="L126" s="407"/>
      <c r="M126" s="407"/>
      <c r="N126" s="407"/>
      <c r="O126" s="407"/>
    </row>
    <row r="127" spans="4:15" ht="18" customHeight="1">
      <c r="D127" s="407"/>
      <c r="E127" s="407"/>
      <c r="F127" s="407"/>
      <c r="G127" s="407"/>
      <c r="H127" s="407"/>
      <c r="I127" s="407"/>
      <c r="J127" s="407"/>
      <c r="K127" s="407"/>
      <c r="L127" s="407"/>
      <c r="M127" s="407"/>
      <c r="N127" s="407"/>
      <c r="O127" s="407"/>
    </row>
    <row r="128" spans="4:15" ht="25.5" customHeight="1">
      <c r="D128" s="407"/>
      <c r="E128" s="407"/>
      <c r="F128" s="407"/>
      <c r="G128" s="407"/>
      <c r="H128" s="407"/>
      <c r="I128" s="407"/>
      <c r="J128" s="407"/>
      <c r="K128" s="407"/>
      <c r="L128" s="407"/>
      <c r="M128" s="407"/>
      <c r="N128" s="407"/>
      <c r="O128" s="407"/>
    </row>
    <row r="129" spans="4:15" ht="18" customHeight="1">
      <c r="D129" s="407"/>
      <c r="E129" s="407"/>
      <c r="F129" s="407"/>
      <c r="G129" s="407"/>
      <c r="H129" s="407"/>
      <c r="I129" s="407"/>
      <c r="J129" s="407"/>
      <c r="K129" s="407"/>
      <c r="L129" s="407"/>
      <c r="M129" s="407"/>
      <c r="N129" s="407"/>
      <c r="O129" s="407"/>
    </row>
    <row r="130" spans="4:15">
      <c r="D130" s="407"/>
      <c r="E130" s="407"/>
      <c r="F130" s="407"/>
      <c r="G130" s="407"/>
      <c r="H130" s="407"/>
      <c r="I130" s="407"/>
      <c r="J130" s="407"/>
      <c r="K130" s="407"/>
      <c r="L130" s="407"/>
      <c r="M130" s="407"/>
      <c r="N130" s="407"/>
      <c r="O130" s="407"/>
    </row>
    <row r="131" spans="4:15" ht="20.25" customHeight="1" outlineLevel="1">
      <c r="D131" s="407"/>
      <c r="E131" s="407"/>
      <c r="F131" s="407"/>
      <c r="G131" s="407"/>
      <c r="H131" s="407"/>
      <c r="I131" s="407"/>
      <c r="J131" s="407"/>
      <c r="K131" s="407"/>
      <c r="L131" s="407"/>
      <c r="M131" s="407"/>
      <c r="N131" s="407"/>
      <c r="O131" s="407"/>
    </row>
    <row r="132" spans="4:15" ht="20.25" customHeight="1" outlineLevel="1">
      <c r="D132" s="407"/>
      <c r="E132" s="407"/>
      <c r="F132" s="407"/>
      <c r="G132" s="407"/>
      <c r="H132" s="407"/>
      <c r="I132" s="407"/>
      <c r="J132" s="407"/>
      <c r="K132" s="407"/>
      <c r="L132" s="407"/>
      <c r="M132" s="407"/>
      <c r="N132" s="407"/>
      <c r="O132" s="407"/>
    </row>
    <row r="133" spans="4:15" ht="20.25" customHeight="1" outlineLevel="1">
      <c r="D133" s="407"/>
      <c r="E133" s="407"/>
      <c r="F133" s="407"/>
      <c r="G133" s="407"/>
      <c r="H133" s="407"/>
      <c r="I133" s="407"/>
      <c r="J133" s="407"/>
      <c r="K133" s="407"/>
      <c r="L133" s="407"/>
      <c r="M133" s="407"/>
      <c r="N133" s="407"/>
      <c r="O133" s="407"/>
    </row>
    <row r="134" spans="4:15" ht="20.25" customHeight="1" outlineLevel="1">
      <c r="D134" s="407"/>
      <c r="E134" s="407"/>
      <c r="F134" s="407"/>
      <c r="G134" s="407"/>
      <c r="H134" s="407"/>
      <c r="I134" s="407"/>
      <c r="J134" s="407"/>
      <c r="K134" s="407"/>
      <c r="L134" s="407"/>
      <c r="M134" s="407"/>
      <c r="N134" s="407"/>
      <c r="O134" s="407"/>
    </row>
    <row r="135" spans="4:15" ht="20.25" customHeight="1" outlineLevel="1">
      <c r="D135" s="407"/>
      <c r="E135" s="407"/>
      <c r="F135" s="407"/>
      <c r="G135" s="407"/>
      <c r="H135" s="407"/>
      <c r="I135" s="407"/>
      <c r="J135" s="407"/>
      <c r="K135" s="407"/>
      <c r="L135" s="407"/>
      <c r="M135" s="407"/>
      <c r="N135" s="407"/>
      <c r="O135" s="407"/>
    </row>
    <row r="136" spans="4:15" ht="20.25" customHeight="1" outlineLevel="1">
      <c r="D136" s="407"/>
      <c r="E136" s="407"/>
      <c r="F136" s="407"/>
      <c r="G136" s="407"/>
      <c r="H136" s="407"/>
      <c r="I136" s="407"/>
      <c r="J136" s="407"/>
      <c r="K136" s="407"/>
      <c r="L136" s="407"/>
      <c r="M136" s="407"/>
      <c r="N136" s="407"/>
      <c r="O136" s="407"/>
    </row>
    <row r="137" spans="4:15" ht="20.25" customHeight="1" outlineLevel="1">
      <c r="D137" s="407"/>
      <c r="E137" s="407"/>
      <c r="F137" s="407"/>
      <c r="G137" s="407"/>
      <c r="H137" s="407"/>
      <c r="I137" s="407"/>
      <c r="J137" s="407"/>
      <c r="K137" s="407"/>
      <c r="L137" s="407"/>
      <c r="M137" s="407"/>
      <c r="N137" s="407"/>
      <c r="O137" s="407"/>
    </row>
    <row r="138" spans="4:15" ht="20.25" customHeight="1" outlineLevel="1">
      <c r="D138" s="407"/>
      <c r="E138" s="407"/>
      <c r="F138" s="407"/>
      <c r="G138" s="407"/>
      <c r="H138" s="407"/>
      <c r="I138" s="407"/>
      <c r="J138" s="407"/>
      <c r="K138" s="407"/>
      <c r="L138" s="407"/>
      <c r="M138" s="407"/>
      <c r="N138" s="407"/>
      <c r="O138" s="407"/>
    </row>
    <row r="139" spans="4:15" ht="20.25" customHeight="1" outlineLevel="1">
      <c r="D139" s="407"/>
      <c r="E139" s="407"/>
      <c r="F139" s="407"/>
      <c r="G139" s="407"/>
      <c r="H139" s="407"/>
      <c r="I139" s="407"/>
      <c r="J139" s="407"/>
      <c r="K139" s="407"/>
      <c r="L139" s="407"/>
      <c r="M139" s="407"/>
      <c r="N139" s="407"/>
      <c r="O139" s="407"/>
    </row>
    <row r="140" spans="4:15" ht="20.25" customHeight="1" outlineLevel="1">
      <c r="D140" s="407"/>
      <c r="E140" s="407"/>
      <c r="F140" s="407"/>
      <c r="G140" s="407"/>
      <c r="H140" s="407"/>
      <c r="I140" s="407"/>
      <c r="J140" s="407"/>
      <c r="K140" s="407"/>
      <c r="L140" s="407"/>
      <c r="M140" s="407"/>
      <c r="N140" s="407"/>
      <c r="O140" s="407"/>
    </row>
    <row r="141" spans="4:15">
      <c r="D141" s="407"/>
      <c r="E141" s="407"/>
      <c r="F141" s="407"/>
      <c r="G141" s="407"/>
      <c r="H141" s="407"/>
      <c r="I141" s="407"/>
      <c r="J141" s="407"/>
      <c r="K141" s="407"/>
      <c r="L141" s="407"/>
      <c r="M141" s="407"/>
      <c r="N141" s="407"/>
      <c r="O141" s="407"/>
    </row>
    <row r="142" spans="4:15" ht="20.25" customHeight="1" outlineLevel="1">
      <c r="D142" s="407"/>
      <c r="E142" s="407"/>
      <c r="F142" s="407"/>
      <c r="G142" s="407"/>
      <c r="H142" s="407"/>
      <c r="I142" s="407"/>
      <c r="J142" s="407"/>
      <c r="K142" s="407"/>
      <c r="L142" s="407"/>
      <c r="M142" s="407"/>
      <c r="N142" s="407"/>
      <c r="O142" s="407"/>
    </row>
    <row r="143" spans="4:15" ht="20.25" customHeight="1" outlineLevel="1">
      <c r="D143" s="407"/>
      <c r="E143" s="407"/>
      <c r="F143" s="407"/>
      <c r="G143" s="407"/>
      <c r="H143" s="407"/>
      <c r="I143" s="407"/>
      <c r="J143" s="407"/>
      <c r="K143" s="407"/>
      <c r="L143" s="407"/>
      <c r="M143" s="407"/>
      <c r="N143" s="407"/>
      <c r="O143" s="407"/>
    </row>
    <row r="144" spans="4:15" ht="20.25" customHeight="1" outlineLevel="1">
      <c r="D144" s="407"/>
      <c r="E144" s="407"/>
      <c r="F144" s="407"/>
      <c r="G144" s="407"/>
      <c r="H144" s="407"/>
      <c r="I144" s="407"/>
      <c r="J144" s="407"/>
      <c r="K144" s="407"/>
      <c r="L144" s="407"/>
      <c r="M144" s="407"/>
      <c r="N144" s="407"/>
      <c r="O144" s="407"/>
    </row>
    <row r="145" spans="4:15" ht="20.25" customHeight="1" outlineLevel="1">
      <c r="D145" s="407"/>
      <c r="E145" s="407"/>
      <c r="F145" s="407"/>
      <c r="G145" s="407"/>
      <c r="H145" s="407"/>
      <c r="I145" s="407"/>
      <c r="J145" s="407"/>
      <c r="K145" s="407"/>
      <c r="L145" s="407"/>
      <c r="M145" s="407"/>
      <c r="N145" s="407"/>
      <c r="O145" s="407"/>
    </row>
    <row r="146" spans="4:15" ht="20.25" customHeight="1" outlineLevel="1">
      <c r="D146" s="407"/>
      <c r="E146" s="407"/>
      <c r="F146" s="407"/>
      <c r="G146" s="407"/>
      <c r="H146" s="407"/>
      <c r="I146" s="407"/>
      <c r="J146" s="407"/>
      <c r="K146" s="407"/>
      <c r="L146" s="407"/>
      <c r="M146" s="407"/>
      <c r="N146" s="407"/>
      <c r="O146" s="407"/>
    </row>
    <row r="147" spans="4:15" ht="20.25" customHeight="1" outlineLevel="1">
      <c r="D147" s="407"/>
      <c r="E147" s="407"/>
      <c r="F147" s="407"/>
      <c r="G147" s="407"/>
      <c r="H147" s="407"/>
      <c r="I147" s="407"/>
      <c r="J147" s="407"/>
      <c r="K147" s="407"/>
      <c r="L147" s="407"/>
      <c r="M147" s="407"/>
      <c r="N147" s="407"/>
      <c r="O147" s="407"/>
    </row>
    <row r="148" spans="4:15" ht="20.25" customHeight="1" outlineLevel="1">
      <c r="D148" s="407"/>
      <c r="E148" s="407"/>
      <c r="F148" s="407"/>
      <c r="G148" s="407"/>
      <c r="H148" s="407"/>
      <c r="I148" s="407"/>
      <c r="J148" s="407"/>
      <c r="K148" s="407"/>
      <c r="L148" s="407"/>
      <c r="M148" s="407"/>
      <c r="N148" s="407"/>
      <c r="O148" s="407"/>
    </row>
    <row r="149" spans="4:15" ht="20.25" customHeight="1" outlineLevel="1">
      <c r="D149" s="407"/>
      <c r="E149" s="407"/>
      <c r="F149" s="407"/>
      <c r="G149" s="407"/>
      <c r="H149" s="407"/>
      <c r="I149" s="407"/>
      <c r="J149" s="407"/>
      <c r="K149" s="407"/>
      <c r="L149" s="407"/>
      <c r="M149" s="407"/>
      <c r="N149" s="407"/>
      <c r="O149" s="407"/>
    </row>
    <row r="150" spans="4:15" ht="20.25" customHeight="1" outlineLevel="1">
      <c r="D150" s="407"/>
      <c r="E150" s="407"/>
      <c r="F150" s="407"/>
      <c r="G150" s="407"/>
      <c r="H150" s="407"/>
      <c r="I150" s="407"/>
      <c r="J150" s="407"/>
      <c r="K150" s="407"/>
      <c r="L150" s="407"/>
      <c r="M150" s="407"/>
      <c r="N150" s="407"/>
      <c r="O150" s="407"/>
    </row>
    <row r="151" spans="4:15" ht="20.25" customHeight="1" outlineLevel="1">
      <c r="D151" s="407"/>
      <c r="E151" s="407"/>
      <c r="F151" s="407"/>
      <c r="G151" s="407"/>
      <c r="H151" s="407"/>
      <c r="I151" s="407"/>
      <c r="J151" s="407"/>
      <c r="K151" s="407"/>
      <c r="L151" s="407"/>
      <c r="M151" s="407"/>
      <c r="N151" s="407"/>
      <c r="O151" s="407"/>
    </row>
    <row r="152" spans="4:15">
      <c r="D152" s="407"/>
      <c r="E152" s="407"/>
      <c r="F152" s="407"/>
      <c r="G152" s="407"/>
      <c r="H152" s="407"/>
      <c r="I152" s="407"/>
      <c r="J152" s="407"/>
      <c r="K152" s="407"/>
      <c r="L152" s="407"/>
      <c r="M152" s="407"/>
      <c r="N152" s="407"/>
      <c r="O152" s="407"/>
    </row>
    <row r="153" spans="4:15" ht="25.5" customHeight="1">
      <c r="D153" s="407"/>
      <c r="E153" s="407"/>
      <c r="F153" s="407"/>
      <c r="G153" s="407"/>
      <c r="H153" s="407"/>
      <c r="I153" s="407"/>
      <c r="J153" s="407"/>
      <c r="K153" s="407"/>
      <c r="L153" s="407"/>
      <c r="M153" s="407"/>
      <c r="N153" s="407"/>
      <c r="O153" s="407"/>
    </row>
    <row r="154" spans="4:15">
      <c r="D154" s="407"/>
      <c r="E154" s="407"/>
      <c r="F154" s="407"/>
      <c r="G154" s="407"/>
      <c r="H154" s="407"/>
      <c r="I154" s="407"/>
      <c r="J154" s="407"/>
      <c r="K154" s="407"/>
      <c r="L154" s="407"/>
      <c r="M154" s="407"/>
      <c r="N154" s="407"/>
      <c r="O154" s="407"/>
    </row>
    <row r="155" spans="4:15" ht="36" customHeight="1">
      <c r="D155" s="407"/>
      <c r="E155" s="407"/>
      <c r="F155" s="407"/>
      <c r="G155" s="407"/>
      <c r="H155" s="407"/>
      <c r="I155" s="407"/>
      <c r="J155" s="407"/>
      <c r="K155" s="407"/>
      <c r="L155" s="407"/>
      <c r="M155" s="407"/>
      <c r="N155" s="407"/>
      <c r="O155" s="407"/>
    </row>
    <row r="156" spans="4:15" ht="20.25" customHeight="1" outlineLevel="1">
      <c r="D156" s="407"/>
      <c r="E156" s="407"/>
      <c r="F156" s="407"/>
      <c r="G156" s="407"/>
      <c r="H156" s="407"/>
      <c r="I156" s="407"/>
      <c r="J156" s="407"/>
      <c r="K156" s="407"/>
      <c r="L156" s="407"/>
      <c r="M156" s="407"/>
      <c r="N156" s="407"/>
      <c r="O156" s="407"/>
    </row>
    <row r="157" spans="4:15" ht="20.25" customHeight="1" outlineLevel="1">
      <c r="D157" s="407"/>
      <c r="E157" s="407"/>
      <c r="F157" s="407"/>
      <c r="G157" s="407"/>
      <c r="H157" s="407"/>
      <c r="I157" s="407"/>
      <c r="J157" s="407"/>
      <c r="K157" s="407"/>
      <c r="L157" s="407"/>
      <c r="M157" s="407"/>
      <c r="N157" s="407"/>
      <c r="O157" s="407"/>
    </row>
    <row r="158" spans="4:15" ht="20.25" customHeight="1" outlineLevel="1">
      <c r="D158" s="407"/>
      <c r="E158" s="407"/>
      <c r="F158" s="407"/>
      <c r="G158" s="407"/>
      <c r="H158" s="407"/>
      <c r="I158" s="407"/>
      <c r="J158" s="407"/>
      <c r="K158" s="407"/>
      <c r="L158" s="407"/>
      <c r="M158" s="407"/>
      <c r="N158" s="407"/>
      <c r="O158" s="407"/>
    </row>
    <row r="159" spans="4:15" ht="20.25" customHeight="1" outlineLevel="1">
      <c r="D159" s="407"/>
      <c r="E159" s="407"/>
      <c r="F159" s="407"/>
      <c r="G159" s="407"/>
      <c r="H159" s="407"/>
      <c r="I159" s="407"/>
      <c r="J159" s="407"/>
      <c r="K159" s="407"/>
      <c r="L159" s="407"/>
      <c r="M159" s="407"/>
      <c r="N159" s="407"/>
      <c r="O159" s="407"/>
    </row>
    <row r="160" spans="4:15" ht="20.25" customHeight="1" outlineLevel="1">
      <c r="D160" s="407"/>
      <c r="E160" s="407"/>
      <c r="F160" s="407"/>
      <c r="G160" s="407"/>
      <c r="H160" s="407"/>
      <c r="I160" s="407"/>
      <c r="J160" s="407"/>
      <c r="K160" s="407"/>
      <c r="L160" s="407"/>
      <c r="M160" s="407"/>
      <c r="N160" s="407"/>
      <c r="O160" s="407"/>
    </row>
    <row r="161" spans="4:15" ht="20.25" customHeight="1" outlineLevel="1">
      <c r="D161" s="407"/>
      <c r="E161" s="407"/>
      <c r="F161" s="407"/>
      <c r="G161" s="407"/>
      <c r="H161" s="407"/>
      <c r="I161" s="407"/>
      <c r="J161" s="407"/>
      <c r="K161" s="407"/>
      <c r="L161" s="407"/>
      <c r="M161" s="407"/>
      <c r="N161" s="407"/>
      <c r="O161" s="407"/>
    </row>
    <row r="162" spans="4:15" ht="20.25" customHeight="1" outlineLevel="1">
      <c r="D162" s="407"/>
      <c r="E162" s="407"/>
      <c r="F162" s="407"/>
      <c r="G162" s="407"/>
      <c r="H162" s="407"/>
      <c r="I162" s="407"/>
      <c r="J162" s="407"/>
      <c r="K162" s="407"/>
      <c r="L162" s="407"/>
      <c r="M162" s="407"/>
      <c r="N162" s="407"/>
      <c r="O162" s="407"/>
    </row>
    <row r="163" spans="4:15" ht="20.25" customHeight="1" outlineLevel="1">
      <c r="D163" s="407"/>
      <c r="E163" s="407"/>
      <c r="F163" s="407"/>
      <c r="G163" s="407"/>
      <c r="H163" s="407"/>
      <c r="I163" s="407"/>
      <c r="J163" s="407"/>
      <c r="K163" s="407"/>
      <c r="L163" s="407"/>
      <c r="M163" s="407"/>
      <c r="N163" s="407"/>
      <c r="O163" s="407"/>
    </row>
    <row r="164" spans="4:15" ht="20.25" customHeight="1" outlineLevel="1">
      <c r="D164" s="407"/>
      <c r="E164" s="407"/>
      <c r="F164" s="407"/>
      <c r="G164" s="407"/>
      <c r="H164" s="407"/>
      <c r="I164" s="407"/>
      <c r="J164" s="407"/>
      <c r="K164" s="407"/>
      <c r="L164" s="407"/>
      <c r="M164" s="407"/>
      <c r="N164" s="407"/>
      <c r="O164" s="407"/>
    </row>
    <row r="165" spans="4:15" ht="20.25" customHeight="1" outlineLevel="1">
      <c r="D165" s="407"/>
      <c r="E165" s="407"/>
      <c r="F165" s="407"/>
      <c r="G165" s="407"/>
      <c r="H165" s="407"/>
      <c r="I165" s="407"/>
      <c r="J165" s="407"/>
      <c r="K165" s="407"/>
      <c r="L165" s="407"/>
      <c r="M165" s="407"/>
      <c r="N165" s="407"/>
      <c r="O165" s="407"/>
    </row>
    <row r="166" spans="4:15">
      <c r="D166" s="407"/>
      <c r="E166" s="407"/>
      <c r="F166" s="407"/>
      <c r="G166" s="407"/>
      <c r="H166" s="407"/>
      <c r="I166" s="407"/>
      <c r="J166" s="407"/>
      <c r="K166" s="407"/>
      <c r="L166" s="407"/>
      <c r="M166" s="407"/>
      <c r="N166" s="407"/>
      <c r="O166" s="407"/>
    </row>
    <row r="167" spans="4:15" ht="20.25" customHeight="1" outlineLevel="1">
      <c r="D167" s="407"/>
      <c r="E167" s="407"/>
      <c r="F167" s="407"/>
      <c r="G167" s="407"/>
      <c r="H167" s="407"/>
      <c r="I167" s="407"/>
      <c r="J167" s="407"/>
      <c r="K167" s="407"/>
      <c r="L167" s="407"/>
      <c r="M167" s="407"/>
      <c r="N167" s="407"/>
      <c r="O167" s="407"/>
    </row>
    <row r="168" spans="4:15" ht="20.25" customHeight="1" outlineLevel="1">
      <c r="D168" s="407"/>
      <c r="E168" s="407"/>
      <c r="F168" s="407"/>
      <c r="G168" s="407"/>
      <c r="H168" s="407"/>
      <c r="I168" s="407"/>
      <c r="J168" s="407"/>
      <c r="K168" s="407"/>
      <c r="L168" s="407"/>
      <c r="M168" s="407"/>
      <c r="N168" s="407"/>
      <c r="O168" s="407"/>
    </row>
    <row r="169" spans="4:15" ht="20.25" customHeight="1" outlineLevel="1">
      <c r="D169" s="407"/>
      <c r="E169" s="407"/>
      <c r="F169" s="407"/>
      <c r="G169" s="407"/>
      <c r="H169" s="407"/>
      <c r="I169" s="407"/>
      <c r="J169" s="407"/>
      <c r="K169" s="407"/>
      <c r="L169" s="407"/>
      <c r="M169" s="407"/>
      <c r="N169" s="407"/>
      <c r="O169" s="407"/>
    </row>
    <row r="170" spans="4:15" ht="20.25" customHeight="1" outlineLevel="1">
      <c r="D170" s="407"/>
      <c r="E170" s="407"/>
      <c r="F170" s="407"/>
      <c r="G170" s="407"/>
      <c r="H170" s="407"/>
      <c r="I170" s="407"/>
      <c r="J170" s="407"/>
      <c r="K170" s="407"/>
      <c r="L170" s="407"/>
      <c r="M170" s="407"/>
      <c r="N170" s="407"/>
      <c r="O170" s="407"/>
    </row>
    <row r="171" spans="4:15" ht="20.25" customHeight="1" outlineLevel="1">
      <c r="D171" s="407"/>
      <c r="E171" s="407"/>
      <c r="F171" s="407"/>
      <c r="G171" s="407"/>
      <c r="H171" s="407"/>
      <c r="I171" s="407"/>
      <c r="J171" s="407"/>
      <c r="K171" s="407"/>
      <c r="L171" s="407"/>
      <c r="M171" s="407"/>
      <c r="N171" s="407"/>
      <c r="O171" s="407"/>
    </row>
    <row r="172" spans="4:15" ht="20.25" customHeight="1" outlineLevel="1">
      <c r="D172" s="407"/>
      <c r="E172" s="407"/>
      <c r="F172" s="407"/>
      <c r="G172" s="407"/>
      <c r="H172" s="407"/>
      <c r="I172" s="407"/>
      <c r="J172" s="407"/>
      <c r="K172" s="407"/>
      <c r="L172" s="407"/>
      <c r="M172" s="407"/>
      <c r="N172" s="407"/>
      <c r="O172" s="407"/>
    </row>
    <row r="173" spans="4:15" ht="20.25" customHeight="1" outlineLevel="1">
      <c r="D173" s="407"/>
      <c r="E173" s="407"/>
      <c r="F173" s="407"/>
      <c r="G173" s="407"/>
      <c r="H173" s="407"/>
      <c r="I173" s="407"/>
      <c r="J173" s="407"/>
      <c r="K173" s="407"/>
      <c r="L173" s="407"/>
      <c r="M173" s="407"/>
      <c r="N173" s="407"/>
      <c r="O173" s="407"/>
    </row>
    <row r="174" spans="4:15" ht="20.25" customHeight="1" outlineLevel="1">
      <c r="D174" s="407"/>
      <c r="E174" s="407"/>
      <c r="F174" s="407"/>
      <c r="G174" s="407"/>
      <c r="H174" s="407"/>
      <c r="I174" s="407"/>
      <c r="J174" s="407"/>
      <c r="K174" s="407"/>
      <c r="L174" s="407"/>
      <c r="M174" s="407"/>
      <c r="N174" s="407"/>
      <c r="O174" s="407"/>
    </row>
    <row r="175" spans="4:15" ht="20.25" customHeight="1" outlineLevel="1">
      <c r="D175" s="407"/>
      <c r="E175" s="407"/>
      <c r="F175" s="407"/>
      <c r="G175" s="407"/>
      <c r="H175" s="407"/>
      <c r="I175" s="407"/>
      <c r="J175" s="407"/>
      <c r="K175" s="407"/>
      <c r="L175" s="407"/>
      <c r="M175" s="407"/>
      <c r="N175" s="407"/>
      <c r="O175" s="407"/>
    </row>
    <row r="176" spans="4:15" ht="20.25" customHeight="1" outlineLevel="1">
      <c r="D176" s="407"/>
      <c r="E176" s="407"/>
      <c r="F176" s="407"/>
      <c r="G176" s="407"/>
      <c r="H176" s="407"/>
      <c r="I176" s="407"/>
      <c r="J176" s="407"/>
      <c r="K176" s="407"/>
      <c r="L176" s="407"/>
      <c r="M176" s="407"/>
      <c r="N176" s="407"/>
      <c r="O176" s="407"/>
    </row>
    <row r="177" spans="4:15">
      <c r="D177" s="407"/>
      <c r="E177" s="407"/>
      <c r="F177" s="407"/>
      <c r="G177" s="407"/>
      <c r="H177" s="407"/>
      <c r="I177" s="407"/>
      <c r="J177" s="407"/>
      <c r="K177" s="407"/>
      <c r="L177" s="407"/>
      <c r="M177" s="407"/>
      <c r="N177" s="407"/>
      <c r="O177" s="407"/>
    </row>
    <row r="178" spans="4:15">
      <c r="D178" s="407"/>
      <c r="E178" s="407"/>
      <c r="F178" s="407"/>
      <c r="G178" s="407"/>
      <c r="H178" s="407"/>
      <c r="I178" s="407"/>
      <c r="J178" s="407"/>
      <c r="K178" s="407"/>
      <c r="L178" s="407"/>
      <c r="M178" s="407"/>
      <c r="N178" s="407"/>
      <c r="O178" s="407"/>
    </row>
    <row r="179" spans="4:15">
      <c r="D179" s="407"/>
      <c r="E179" s="407"/>
      <c r="F179" s="407"/>
      <c r="G179" s="407"/>
      <c r="H179" s="407"/>
      <c r="I179" s="407"/>
      <c r="J179" s="407"/>
      <c r="K179" s="407"/>
      <c r="L179" s="407"/>
      <c r="M179" s="407"/>
      <c r="N179" s="407"/>
      <c r="O179" s="407"/>
    </row>
    <row r="180" spans="4:15">
      <c r="D180" s="407"/>
      <c r="E180" s="407"/>
      <c r="F180" s="407"/>
      <c r="G180" s="407"/>
      <c r="H180" s="407"/>
      <c r="I180" s="407"/>
      <c r="J180" s="407"/>
      <c r="K180" s="407"/>
      <c r="L180" s="407"/>
      <c r="M180" s="407"/>
      <c r="N180" s="407"/>
      <c r="O180" s="407"/>
    </row>
    <row r="181" spans="4:15">
      <c r="D181" s="407"/>
      <c r="E181" s="407"/>
      <c r="F181" s="407"/>
      <c r="G181" s="407"/>
      <c r="H181" s="407"/>
      <c r="I181" s="407"/>
      <c r="J181" s="407"/>
      <c r="K181" s="407"/>
      <c r="L181" s="407"/>
      <c r="M181" s="407"/>
      <c r="N181" s="407"/>
      <c r="O181" s="407"/>
    </row>
    <row r="182" spans="4:15">
      <c r="D182" s="407"/>
      <c r="E182" s="407"/>
      <c r="F182" s="407"/>
      <c r="G182" s="407"/>
      <c r="H182" s="407"/>
      <c r="I182" s="407"/>
      <c r="J182" s="407"/>
      <c r="K182" s="407"/>
      <c r="L182" s="407"/>
      <c r="M182" s="407"/>
      <c r="N182" s="407"/>
      <c r="O182" s="407"/>
    </row>
    <row r="183" spans="4:15">
      <c r="D183" s="407"/>
      <c r="E183" s="407"/>
      <c r="F183" s="407"/>
      <c r="G183" s="407"/>
      <c r="H183" s="407"/>
      <c r="I183" s="407"/>
      <c r="J183" s="407"/>
      <c r="K183" s="407"/>
      <c r="L183" s="407"/>
      <c r="M183" s="407"/>
      <c r="N183" s="407"/>
      <c r="O183" s="407"/>
    </row>
    <row r="184" spans="4:15">
      <c r="D184" s="407"/>
      <c r="E184" s="407"/>
      <c r="F184" s="407"/>
      <c r="G184" s="407"/>
      <c r="H184" s="407"/>
      <c r="I184" s="407"/>
      <c r="J184" s="407"/>
      <c r="K184" s="407"/>
      <c r="L184" s="407"/>
      <c r="M184" s="407"/>
      <c r="N184" s="407"/>
      <c r="O184" s="407"/>
    </row>
    <row r="185" spans="4:15">
      <c r="D185" s="407"/>
      <c r="E185" s="407"/>
      <c r="F185" s="407"/>
      <c r="G185" s="407"/>
      <c r="H185" s="407"/>
      <c r="I185" s="407"/>
      <c r="J185" s="407"/>
      <c r="K185" s="407"/>
      <c r="L185" s="407"/>
      <c r="M185" s="407"/>
      <c r="N185" s="407"/>
      <c r="O185" s="407"/>
    </row>
    <row r="186" spans="4:15">
      <c r="D186" s="407"/>
      <c r="E186" s="407"/>
      <c r="F186" s="407"/>
      <c r="G186" s="407"/>
      <c r="H186" s="407"/>
      <c r="I186" s="407"/>
      <c r="J186" s="407"/>
      <c r="K186" s="407"/>
      <c r="L186" s="407"/>
      <c r="M186" s="407"/>
      <c r="N186" s="407"/>
      <c r="O186" s="407"/>
    </row>
    <row r="187" spans="4:15">
      <c r="D187" s="407"/>
      <c r="E187" s="407"/>
      <c r="F187" s="407"/>
      <c r="G187" s="407"/>
      <c r="H187" s="407"/>
      <c r="I187" s="407"/>
      <c r="J187" s="407"/>
      <c r="K187" s="407"/>
      <c r="L187" s="407"/>
      <c r="M187" s="407"/>
      <c r="N187" s="407"/>
      <c r="O187" s="407"/>
    </row>
    <row r="188" spans="4:15">
      <c r="D188" s="407"/>
      <c r="E188" s="407"/>
      <c r="F188" s="407"/>
      <c r="G188" s="407"/>
      <c r="H188" s="407"/>
      <c r="I188" s="407"/>
      <c r="J188" s="407"/>
      <c r="K188" s="407"/>
      <c r="L188" s="407"/>
      <c r="M188" s="407"/>
      <c r="N188" s="407"/>
      <c r="O188" s="407"/>
    </row>
    <row r="189" spans="4:15">
      <c r="D189" s="407"/>
      <c r="E189" s="407"/>
      <c r="F189" s="407"/>
      <c r="G189" s="407"/>
      <c r="H189" s="407"/>
      <c r="I189" s="407"/>
      <c r="J189" s="407"/>
      <c r="K189" s="407"/>
      <c r="L189" s="407"/>
      <c r="M189" s="407"/>
      <c r="N189" s="407"/>
      <c r="O189" s="407"/>
    </row>
    <row r="190" spans="4:15">
      <c r="D190" s="407"/>
      <c r="E190" s="407"/>
      <c r="F190" s="407"/>
      <c r="G190" s="407"/>
      <c r="H190" s="407"/>
      <c r="I190" s="407"/>
      <c r="J190" s="407"/>
      <c r="K190" s="407"/>
      <c r="L190" s="407"/>
      <c r="M190" s="407"/>
      <c r="N190" s="407"/>
      <c r="O190" s="407"/>
    </row>
    <row r="191" spans="4:15">
      <c r="D191" s="407"/>
      <c r="E191" s="407"/>
      <c r="F191" s="407"/>
      <c r="G191" s="407"/>
      <c r="H191" s="407"/>
      <c r="I191" s="407"/>
      <c r="J191" s="407"/>
      <c r="K191" s="407"/>
      <c r="L191" s="407"/>
      <c r="M191" s="407"/>
      <c r="N191" s="407"/>
      <c r="O191" s="407"/>
    </row>
    <row r="192" spans="4:15">
      <c r="D192" s="407"/>
      <c r="E192" s="407"/>
      <c r="F192" s="407"/>
      <c r="G192" s="407"/>
      <c r="H192" s="407"/>
      <c r="I192" s="407"/>
      <c r="J192" s="407"/>
      <c r="K192" s="407"/>
      <c r="L192" s="407"/>
      <c r="M192" s="407"/>
      <c r="N192" s="407"/>
      <c r="O192" s="407"/>
    </row>
    <row r="193" spans="4:15">
      <c r="D193" s="407"/>
      <c r="E193" s="407"/>
      <c r="F193" s="407"/>
      <c r="G193" s="407"/>
      <c r="H193" s="407"/>
      <c r="I193" s="407"/>
      <c r="J193" s="407"/>
      <c r="K193" s="407"/>
      <c r="L193" s="407"/>
      <c r="M193" s="407"/>
      <c r="N193" s="407"/>
      <c r="O193" s="407"/>
    </row>
    <row r="194" spans="4:15">
      <c r="D194" s="407"/>
      <c r="E194" s="407"/>
      <c r="F194" s="407"/>
      <c r="G194" s="407"/>
      <c r="H194" s="407"/>
      <c r="I194" s="407"/>
      <c r="J194" s="407"/>
      <c r="K194" s="407"/>
      <c r="L194" s="407"/>
      <c r="M194" s="407"/>
      <c r="N194" s="407"/>
      <c r="O194" s="407"/>
    </row>
    <row r="195" spans="4:15">
      <c r="D195" s="407"/>
      <c r="E195" s="407"/>
      <c r="F195" s="407"/>
      <c r="G195" s="407"/>
      <c r="H195" s="407"/>
      <c r="I195" s="407"/>
      <c r="J195" s="407"/>
      <c r="K195" s="407"/>
      <c r="L195" s="407"/>
      <c r="M195" s="407"/>
      <c r="N195" s="407"/>
      <c r="O195" s="407"/>
    </row>
    <row r="196" spans="4:15">
      <c r="D196" s="407"/>
      <c r="E196" s="407"/>
      <c r="F196" s="407"/>
      <c r="G196" s="407"/>
      <c r="H196" s="407"/>
      <c r="I196" s="407"/>
      <c r="J196" s="407"/>
      <c r="K196" s="407"/>
      <c r="L196" s="407"/>
      <c r="M196" s="407"/>
      <c r="N196" s="407"/>
      <c r="O196" s="407"/>
    </row>
    <row r="197" spans="4:15">
      <c r="D197" s="407"/>
      <c r="E197" s="407"/>
      <c r="F197" s="407"/>
      <c r="G197" s="407"/>
      <c r="H197" s="407"/>
      <c r="I197" s="407"/>
      <c r="J197" s="407"/>
      <c r="K197" s="407"/>
      <c r="L197" s="407"/>
      <c r="M197" s="407"/>
      <c r="N197" s="407"/>
      <c r="O197" s="407"/>
    </row>
    <row r="198" spans="4:15">
      <c r="D198" s="407"/>
      <c r="E198" s="407"/>
      <c r="F198" s="407"/>
      <c r="G198" s="407"/>
      <c r="H198" s="407"/>
      <c r="I198" s="407"/>
      <c r="J198" s="407"/>
      <c r="K198" s="407"/>
      <c r="L198" s="407"/>
      <c r="M198" s="407"/>
      <c r="N198" s="407"/>
      <c r="O198" s="407"/>
    </row>
    <row r="199" spans="4:15">
      <c r="D199" s="407"/>
      <c r="E199" s="407"/>
      <c r="F199" s="407"/>
      <c r="G199" s="407"/>
      <c r="H199" s="407"/>
      <c r="I199" s="407"/>
      <c r="J199" s="407"/>
      <c r="K199" s="407"/>
      <c r="L199" s="407"/>
      <c r="M199" s="407"/>
      <c r="N199" s="407"/>
      <c r="O199" s="407"/>
    </row>
    <row r="200" spans="4:15">
      <c r="D200" s="407"/>
      <c r="E200" s="407"/>
      <c r="F200" s="407"/>
      <c r="G200" s="407"/>
      <c r="H200" s="407"/>
      <c r="I200" s="407"/>
      <c r="J200" s="407"/>
      <c r="K200" s="407"/>
      <c r="L200" s="407"/>
      <c r="M200" s="407"/>
      <c r="N200" s="407"/>
      <c r="O200" s="407"/>
    </row>
    <row r="201" spans="4:15">
      <c r="D201" s="407"/>
      <c r="E201" s="407"/>
      <c r="F201" s="407"/>
      <c r="G201" s="407"/>
      <c r="H201" s="407"/>
      <c r="I201" s="407"/>
      <c r="J201" s="407"/>
      <c r="K201" s="407"/>
      <c r="L201" s="407"/>
      <c r="M201" s="407"/>
      <c r="N201" s="407"/>
      <c r="O201" s="407"/>
    </row>
    <row r="202" spans="4:15">
      <c r="D202" s="407"/>
      <c r="E202" s="407"/>
      <c r="F202" s="407"/>
      <c r="G202" s="407"/>
      <c r="H202" s="407"/>
      <c r="I202" s="407"/>
      <c r="J202" s="407"/>
      <c r="K202" s="407"/>
      <c r="L202" s="407"/>
      <c r="M202" s="407"/>
      <c r="N202" s="407"/>
      <c r="O202" s="407"/>
    </row>
    <row r="203" spans="4:15">
      <c r="D203" s="407"/>
      <c r="E203" s="407"/>
      <c r="F203" s="407"/>
      <c r="G203" s="407"/>
      <c r="H203" s="407"/>
      <c r="I203" s="407"/>
      <c r="J203" s="407"/>
      <c r="K203" s="407"/>
      <c r="L203" s="407"/>
      <c r="M203" s="407"/>
      <c r="N203" s="407"/>
      <c r="O203" s="407"/>
    </row>
    <row r="204" spans="4:15">
      <c r="D204" s="407"/>
      <c r="E204" s="407"/>
      <c r="F204" s="407"/>
      <c r="G204" s="407"/>
      <c r="H204" s="407"/>
      <c r="I204" s="407"/>
      <c r="J204" s="407"/>
      <c r="K204" s="407"/>
      <c r="L204" s="407"/>
      <c r="M204" s="407"/>
      <c r="N204" s="407"/>
      <c r="O204" s="407"/>
    </row>
    <row r="205" spans="4:15">
      <c r="D205" s="407"/>
      <c r="E205" s="407"/>
      <c r="F205" s="407"/>
      <c r="G205" s="407"/>
      <c r="H205" s="407"/>
      <c r="I205" s="407"/>
      <c r="J205" s="407"/>
      <c r="K205" s="407"/>
      <c r="L205" s="407"/>
      <c r="M205" s="407"/>
      <c r="N205" s="407"/>
      <c r="O205" s="407"/>
    </row>
    <row r="206" spans="4:15">
      <c r="D206" s="407"/>
      <c r="E206" s="407"/>
      <c r="F206" s="407"/>
      <c r="G206" s="407"/>
      <c r="H206" s="407"/>
      <c r="I206" s="407"/>
      <c r="J206" s="407"/>
      <c r="K206" s="407"/>
      <c r="L206" s="407"/>
      <c r="M206" s="407"/>
      <c r="N206" s="407"/>
      <c r="O206" s="407"/>
    </row>
    <row r="207" spans="4:15">
      <c r="D207" s="407"/>
      <c r="E207" s="407"/>
      <c r="F207" s="407"/>
      <c r="G207" s="407"/>
      <c r="H207" s="407"/>
      <c r="I207" s="407"/>
      <c r="J207" s="407"/>
      <c r="K207" s="407"/>
      <c r="L207" s="407"/>
      <c r="M207" s="407"/>
      <c r="N207" s="407"/>
      <c r="O207" s="407"/>
    </row>
    <row r="208" spans="4:15">
      <c r="D208" s="407"/>
      <c r="E208" s="407"/>
      <c r="F208" s="407"/>
      <c r="G208" s="407"/>
      <c r="H208" s="407"/>
      <c r="I208" s="407"/>
      <c r="J208" s="407"/>
      <c r="K208" s="407"/>
      <c r="L208" s="407"/>
      <c r="M208" s="407"/>
      <c r="N208" s="407"/>
      <c r="O208" s="407"/>
    </row>
    <row r="209" spans="4:15">
      <c r="D209" s="407"/>
      <c r="E209" s="407"/>
      <c r="F209" s="407"/>
      <c r="G209" s="407"/>
      <c r="H209" s="407"/>
      <c r="I209" s="407"/>
      <c r="J209" s="407"/>
      <c r="K209" s="407"/>
      <c r="L209" s="407"/>
      <c r="M209" s="407"/>
      <c r="N209" s="407"/>
      <c r="O209" s="407"/>
    </row>
    <row r="210" spans="4:15">
      <c r="D210" s="407"/>
      <c r="E210" s="407"/>
      <c r="F210" s="407"/>
      <c r="G210" s="407"/>
      <c r="H210" s="407"/>
      <c r="I210" s="407"/>
      <c r="J210" s="407"/>
      <c r="K210" s="407"/>
      <c r="L210" s="407"/>
      <c r="M210" s="407"/>
      <c r="N210" s="407"/>
      <c r="O210" s="407"/>
    </row>
    <row r="211" spans="4:15">
      <c r="D211" s="407"/>
      <c r="E211" s="407"/>
      <c r="F211" s="407"/>
      <c r="G211" s="407"/>
      <c r="H211" s="407"/>
      <c r="I211" s="407"/>
      <c r="J211" s="407"/>
      <c r="K211" s="407"/>
      <c r="L211" s="407"/>
      <c r="M211" s="407"/>
      <c r="N211" s="407"/>
      <c r="O211" s="407"/>
    </row>
    <row r="212" spans="4:15">
      <c r="D212" s="407"/>
      <c r="E212" s="407"/>
      <c r="F212" s="407"/>
      <c r="G212" s="407"/>
      <c r="H212" s="407"/>
      <c r="I212" s="407"/>
      <c r="J212" s="407"/>
      <c r="K212" s="407"/>
      <c r="L212" s="407"/>
      <c r="M212" s="407"/>
      <c r="N212" s="407"/>
      <c r="O212" s="407"/>
    </row>
    <row r="213" spans="4:15">
      <c r="D213" s="407"/>
      <c r="E213" s="407"/>
      <c r="F213" s="407"/>
      <c r="G213" s="407"/>
      <c r="H213" s="407"/>
      <c r="I213" s="407"/>
      <c r="J213" s="407"/>
      <c r="K213" s="407"/>
      <c r="L213" s="407"/>
      <c r="M213" s="407"/>
      <c r="N213" s="407"/>
      <c r="O213" s="407"/>
    </row>
    <row r="214" spans="4:15">
      <c r="D214" s="407"/>
      <c r="E214" s="407"/>
      <c r="F214" s="407"/>
      <c r="G214" s="407"/>
      <c r="H214" s="407"/>
      <c r="I214" s="407"/>
      <c r="J214" s="407"/>
      <c r="K214" s="407"/>
      <c r="L214" s="407"/>
      <c r="M214" s="407"/>
      <c r="N214" s="407"/>
      <c r="O214" s="407"/>
    </row>
    <row r="215" spans="4:15">
      <c r="D215" s="407"/>
      <c r="E215" s="407"/>
      <c r="F215" s="407"/>
      <c r="G215" s="407"/>
      <c r="H215" s="407"/>
      <c r="I215" s="407"/>
      <c r="J215" s="407"/>
      <c r="K215" s="407"/>
      <c r="L215" s="407"/>
      <c r="M215" s="407"/>
      <c r="N215" s="407"/>
      <c r="O215" s="407"/>
    </row>
    <row r="216" spans="4:15">
      <c r="D216" s="407"/>
      <c r="E216" s="407"/>
      <c r="F216" s="407"/>
      <c r="G216" s="407"/>
      <c r="H216" s="407"/>
      <c r="I216" s="407"/>
      <c r="J216" s="407"/>
      <c r="K216" s="407"/>
      <c r="L216" s="407"/>
      <c r="M216" s="407"/>
      <c r="N216" s="407"/>
      <c r="O216" s="407"/>
    </row>
    <row r="217" spans="4:15">
      <c r="D217" s="407"/>
      <c r="E217" s="407"/>
      <c r="F217" s="407"/>
      <c r="G217" s="407"/>
      <c r="H217" s="407"/>
      <c r="I217" s="407"/>
      <c r="J217" s="407"/>
      <c r="K217" s="407"/>
      <c r="L217" s="407"/>
      <c r="M217" s="407"/>
      <c r="N217" s="407"/>
      <c r="O217" s="407"/>
    </row>
    <row r="218" spans="4:15">
      <c r="D218" s="407"/>
      <c r="E218" s="407"/>
      <c r="F218" s="407"/>
      <c r="G218" s="407"/>
      <c r="H218" s="407"/>
      <c r="I218" s="407"/>
      <c r="J218" s="407"/>
      <c r="K218" s="407"/>
      <c r="L218" s="407"/>
      <c r="M218" s="407"/>
      <c r="N218" s="407"/>
      <c r="O218" s="407"/>
    </row>
    <row r="219" spans="4:15">
      <c r="D219" s="407"/>
      <c r="E219" s="407"/>
      <c r="F219" s="407"/>
      <c r="G219" s="407"/>
      <c r="H219" s="407"/>
      <c r="I219" s="407"/>
      <c r="J219" s="407"/>
      <c r="K219" s="407"/>
      <c r="L219" s="407"/>
      <c r="M219" s="407"/>
      <c r="N219" s="407"/>
      <c r="O219" s="407"/>
    </row>
    <row r="220" spans="4:15">
      <c r="D220" s="407"/>
      <c r="E220" s="407"/>
      <c r="F220" s="407"/>
      <c r="G220" s="407"/>
      <c r="H220" s="407"/>
      <c r="I220" s="407"/>
      <c r="J220" s="407"/>
      <c r="K220" s="407"/>
      <c r="L220" s="407"/>
      <c r="M220" s="407"/>
      <c r="N220" s="407"/>
      <c r="O220" s="407"/>
    </row>
    <row r="221" spans="4:15">
      <c r="D221" s="407"/>
      <c r="E221" s="407"/>
      <c r="F221" s="407"/>
      <c r="G221" s="407"/>
      <c r="H221" s="407"/>
      <c r="I221" s="407"/>
      <c r="J221" s="407"/>
      <c r="K221" s="407"/>
      <c r="L221" s="407"/>
      <c r="M221" s="407"/>
      <c r="N221" s="407"/>
      <c r="O221" s="407"/>
    </row>
    <row r="222" spans="4:15">
      <c r="D222" s="407"/>
      <c r="E222" s="407"/>
      <c r="F222" s="407"/>
      <c r="G222" s="407"/>
      <c r="H222" s="407"/>
      <c r="I222" s="407"/>
      <c r="J222" s="407"/>
      <c r="K222" s="407"/>
      <c r="L222" s="407"/>
      <c r="M222" s="407"/>
      <c r="N222" s="407"/>
      <c r="O222" s="407"/>
    </row>
    <row r="223" spans="4:15">
      <c r="D223" s="407"/>
      <c r="E223" s="407"/>
      <c r="F223" s="407"/>
      <c r="G223" s="407"/>
      <c r="H223" s="407"/>
      <c r="I223" s="407"/>
      <c r="J223" s="407"/>
      <c r="K223" s="407"/>
      <c r="L223" s="407"/>
      <c r="M223" s="407"/>
      <c r="N223" s="407"/>
      <c r="O223" s="407"/>
    </row>
    <row r="224" spans="4:15">
      <c r="D224" s="407"/>
      <c r="E224" s="407"/>
      <c r="F224" s="407"/>
      <c r="G224" s="407"/>
      <c r="H224" s="407"/>
      <c r="I224" s="407"/>
      <c r="J224" s="407"/>
      <c r="K224" s="407"/>
      <c r="L224" s="407"/>
      <c r="M224" s="407"/>
      <c r="N224" s="407"/>
      <c r="O224" s="407"/>
    </row>
    <row r="225" spans="4:15">
      <c r="D225" s="407"/>
      <c r="E225" s="407"/>
      <c r="F225" s="407"/>
      <c r="G225" s="407"/>
      <c r="H225" s="407"/>
      <c r="I225" s="407"/>
      <c r="J225" s="407"/>
      <c r="K225" s="407"/>
      <c r="L225" s="407"/>
      <c r="M225" s="407"/>
      <c r="N225" s="407"/>
      <c r="O225" s="407"/>
    </row>
    <row r="226" spans="4:15">
      <c r="D226" s="407"/>
      <c r="E226" s="407"/>
      <c r="F226" s="407"/>
      <c r="G226" s="407"/>
      <c r="H226" s="407"/>
      <c r="I226" s="407"/>
      <c r="J226" s="407"/>
      <c r="K226" s="407"/>
      <c r="L226" s="407"/>
      <c r="M226" s="407"/>
      <c r="N226" s="407"/>
      <c r="O226" s="407"/>
    </row>
    <row r="227" spans="4:15">
      <c r="D227" s="407"/>
      <c r="E227" s="407"/>
      <c r="F227" s="407"/>
      <c r="G227" s="407"/>
      <c r="H227" s="407"/>
      <c r="I227" s="407"/>
      <c r="J227" s="407"/>
      <c r="K227" s="407"/>
      <c r="L227" s="407"/>
      <c r="M227" s="407"/>
      <c r="N227" s="407"/>
      <c r="O227" s="407"/>
    </row>
    <row r="228" spans="4:15">
      <c r="D228" s="407"/>
      <c r="E228" s="407"/>
      <c r="F228" s="407"/>
      <c r="G228" s="407"/>
      <c r="H228" s="407"/>
      <c r="I228" s="407"/>
      <c r="J228" s="407"/>
      <c r="K228" s="407"/>
      <c r="L228" s="407"/>
      <c r="M228" s="407"/>
      <c r="N228" s="407"/>
      <c r="O228" s="407"/>
    </row>
    <row r="229" spans="4:15">
      <c r="D229" s="407"/>
      <c r="E229" s="407"/>
      <c r="F229" s="407"/>
      <c r="G229" s="407"/>
      <c r="H229" s="407"/>
      <c r="I229" s="407"/>
      <c r="J229" s="407"/>
      <c r="K229" s="407"/>
      <c r="L229" s="407"/>
      <c r="M229" s="407"/>
      <c r="N229" s="407"/>
      <c r="O229" s="407"/>
    </row>
    <row r="230" spans="4:15">
      <c r="D230" s="407"/>
      <c r="E230" s="407"/>
      <c r="F230" s="407"/>
      <c r="G230" s="407"/>
      <c r="H230" s="407"/>
      <c r="I230" s="407"/>
      <c r="J230" s="407"/>
      <c r="K230" s="407"/>
      <c r="L230" s="407"/>
      <c r="M230" s="407"/>
      <c r="N230" s="407"/>
      <c r="O230" s="407"/>
    </row>
    <row r="231" spans="4:15">
      <c r="D231" s="407"/>
      <c r="E231" s="407"/>
      <c r="F231" s="407"/>
      <c r="G231" s="407"/>
      <c r="H231" s="407"/>
      <c r="I231" s="407"/>
      <c r="J231" s="407"/>
      <c r="K231" s="407"/>
      <c r="L231" s="407"/>
      <c r="M231" s="407"/>
      <c r="N231" s="407"/>
      <c r="O231" s="407"/>
    </row>
    <row r="232" spans="4:15">
      <c r="D232" s="407"/>
      <c r="E232" s="407"/>
      <c r="F232" s="407"/>
      <c r="G232" s="407"/>
      <c r="H232" s="407"/>
      <c r="I232" s="407"/>
      <c r="J232" s="407"/>
      <c r="K232" s="407"/>
      <c r="L232" s="407"/>
      <c r="M232" s="407"/>
      <c r="N232" s="407"/>
      <c r="O232" s="407"/>
    </row>
    <row r="233" spans="4:15">
      <c r="D233" s="407"/>
      <c r="E233" s="407"/>
      <c r="F233" s="407"/>
      <c r="G233" s="407"/>
      <c r="H233" s="407"/>
      <c r="I233" s="407"/>
      <c r="J233" s="407"/>
      <c r="K233" s="407"/>
      <c r="L233" s="407"/>
      <c r="M233" s="407"/>
      <c r="N233" s="407"/>
      <c r="O233" s="407"/>
    </row>
    <row r="234" spans="4:15">
      <c r="D234" s="407"/>
      <c r="E234" s="407"/>
      <c r="F234" s="407"/>
      <c r="G234" s="407"/>
      <c r="H234" s="407"/>
      <c r="I234" s="407"/>
      <c r="J234" s="407"/>
      <c r="K234" s="407"/>
      <c r="L234" s="407"/>
      <c r="M234" s="407"/>
      <c r="N234" s="407"/>
      <c r="O234" s="407"/>
    </row>
    <row r="235" spans="4:15">
      <c r="D235" s="407"/>
      <c r="E235" s="407"/>
      <c r="F235" s="407"/>
      <c r="G235" s="407"/>
      <c r="H235" s="407"/>
      <c r="I235" s="407"/>
      <c r="J235" s="407"/>
      <c r="K235" s="407"/>
      <c r="L235" s="407"/>
      <c r="M235" s="407"/>
      <c r="N235" s="407"/>
      <c r="O235" s="407"/>
    </row>
    <row r="236" spans="4:15">
      <c r="D236" s="407"/>
      <c r="E236" s="407"/>
      <c r="F236" s="407"/>
      <c r="G236" s="407"/>
      <c r="H236" s="407"/>
      <c r="I236" s="407"/>
      <c r="J236" s="407"/>
      <c r="K236" s="407"/>
      <c r="L236" s="407"/>
      <c r="M236" s="407"/>
      <c r="N236" s="407"/>
      <c r="O236" s="407"/>
    </row>
    <row r="237" spans="4:15">
      <c r="D237" s="407"/>
      <c r="E237" s="407"/>
      <c r="F237" s="407"/>
      <c r="G237" s="407"/>
      <c r="H237" s="407"/>
      <c r="I237" s="407"/>
      <c r="J237" s="407"/>
      <c r="K237" s="407"/>
      <c r="L237" s="407"/>
      <c r="M237" s="407"/>
      <c r="N237" s="407"/>
      <c r="O237" s="407"/>
    </row>
    <row r="238" spans="4:15">
      <c r="D238" s="407"/>
      <c r="E238" s="407"/>
      <c r="F238" s="407"/>
      <c r="G238" s="407"/>
      <c r="H238" s="407"/>
      <c r="I238" s="407"/>
      <c r="J238" s="407"/>
      <c r="K238" s="407"/>
      <c r="L238" s="407"/>
      <c r="M238" s="407"/>
      <c r="N238" s="407"/>
      <c r="O238" s="407"/>
    </row>
    <row r="239" spans="4:15">
      <c r="D239" s="407"/>
      <c r="E239" s="407"/>
      <c r="F239" s="407"/>
      <c r="G239" s="407"/>
      <c r="H239" s="407"/>
      <c r="I239" s="407"/>
      <c r="J239" s="407"/>
      <c r="K239" s="407"/>
      <c r="L239" s="407"/>
      <c r="M239" s="407"/>
      <c r="N239" s="407"/>
      <c r="O239" s="407"/>
    </row>
    <row r="240" spans="4:15">
      <c r="D240" s="407"/>
      <c r="E240" s="407"/>
      <c r="F240" s="407"/>
      <c r="G240" s="407"/>
      <c r="H240" s="407"/>
      <c r="I240" s="407"/>
      <c r="J240" s="407"/>
      <c r="K240" s="407"/>
      <c r="L240" s="407"/>
      <c r="M240" s="407"/>
      <c r="N240" s="407"/>
      <c r="O240" s="407"/>
    </row>
    <row r="241" spans="4:15">
      <c r="D241" s="407"/>
      <c r="E241" s="407"/>
      <c r="F241" s="407"/>
      <c r="G241" s="407"/>
      <c r="H241" s="407"/>
      <c r="I241" s="407"/>
      <c r="J241" s="407"/>
      <c r="K241" s="407"/>
      <c r="L241" s="407"/>
      <c r="M241" s="407"/>
      <c r="N241" s="407"/>
      <c r="O241" s="407"/>
    </row>
    <row r="242" spans="4:15">
      <c r="D242" s="407"/>
      <c r="E242" s="407"/>
      <c r="F242" s="407"/>
      <c r="G242" s="407"/>
      <c r="H242" s="407"/>
      <c r="I242" s="407"/>
      <c r="J242" s="407"/>
      <c r="K242" s="407"/>
      <c r="L242" s="407"/>
      <c r="M242" s="407"/>
      <c r="N242" s="407"/>
      <c r="O242" s="407"/>
    </row>
    <row r="243" spans="4:15">
      <c r="D243" s="407"/>
      <c r="E243" s="407"/>
      <c r="F243" s="407"/>
      <c r="G243" s="407"/>
      <c r="H243" s="407"/>
      <c r="I243" s="407"/>
      <c r="J243" s="407"/>
      <c r="K243" s="407"/>
      <c r="L243" s="407"/>
      <c r="M243" s="407"/>
      <c r="N243" s="407"/>
      <c r="O243" s="407"/>
    </row>
    <row r="244" spans="4:15">
      <c r="D244" s="407"/>
      <c r="E244" s="407"/>
      <c r="F244" s="407"/>
      <c r="G244" s="407"/>
      <c r="H244" s="407"/>
      <c r="I244" s="407"/>
      <c r="J244" s="407"/>
      <c r="K244" s="407"/>
      <c r="L244" s="407"/>
      <c r="M244" s="407"/>
      <c r="N244" s="407"/>
      <c r="O244" s="407"/>
    </row>
    <row r="245" spans="4:15">
      <c r="D245" s="407"/>
      <c r="E245" s="407"/>
      <c r="F245" s="407"/>
      <c r="G245" s="407"/>
      <c r="H245" s="407"/>
      <c r="I245" s="407"/>
      <c r="J245" s="407"/>
      <c r="K245" s="407"/>
      <c r="L245" s="407"/>
      <c r="M245" s="407"/>
      <c r="N245" s="407"/>
      <c r="O245" s="407"/>
    </row>
    <row r="246" spans="4:15">
      <c r="D246" s="407"/>
      <c r="E246" s="407"/>
      <c r="F246" s="407"/>
      <c r="G246" s="407"/>
      <c r="H246" s="407"/>
      <c r="I246" s="407"/>
      <c r="J246" s="407"/>
      <c r="K246" s="407"/>
      <c r="L246" s="407"/>
      <c r="M246" s="407"/>
      <c r="N246" s="407"/>
      <c r="O246" s="407"/>
    </row>
    <row r="247" spans="4:15">
      <c r="D247" s="407"/>
      <c r="E247" s="407"/>
      <c r="F247" s="407"/>
      <c r="G247" s="407"/>
      <c r="H247" s="407"/>
      <c r="I247" s="407"/>
      <c r="J247" s="407"/>
      <c r="K247" s="407"/>
      <c r="L247" s="407"/>
      <c r="M247" s="407"/>
      <c r="N247" s="407"/>
      <c r="O247" s="407"/>
    </row>
    <row r="248" spans="4:15">
      <c r="D248" s="407"/>
      <c r="E248" s="407"/>
      <c r="F248" s="407"/>
      <c r="G248" s="407"/>
      <c r="H248" s="407"/>
      <c r="I248" s="407"/>
      <c r="J248" s="407"/>
      <c r="K248" s="407"/>
      <c r="L248" s="407"/>
      <c r="M248" s="407"/>
      <c r="N248" s="407"/>
      <c r="O248" s="407"/>
    </row>
  </sheetData>
  <sheetProtection algorithmName="SHA-512" hashValue="LIa1ghG2dXBZBKXwxRwQrbjo5HvGGhgx0odxPiO+DsaN3s63ufrTSgI0uXV0pJm5y8sHHcwd+hgrUNLXKTxhdA==" saltValue="lc708RtJfDpen1x4Zhn9vw==" spinCount="100000" sheet="1" objects="1" scenarios="1" formatCells="0" formatColumns="0" formatRows="0"/>
  <mergeCells count="115">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H60:N60"/>
    <mergeCell ref="H61:N61"/>
    <mergeCell ref="F64:N69"/>
    <mergeCell ref="H63:N63"/>
    <mergeCell ref="D103:D104"/>
    <mergeCell ref="E103:E104"/>
    <mergeCell ref="F103:F104"/>
    <mergeCell ref="G103:G104"/>
    <mergeCell ref="H103:H104"/>
    <mergeCell ref="I103:I104"/>
    <mergeCell ref="J103:J104"/>
    <mergeCell ref="K103:K104"/>
    <mergeCell ref="L103:L104"/>
    <mergeCell ref="E73:G73"/>
    <mergeCell ref="H73:J73"/>
    <mergeCell ref="K73:L73"/>
    <mergeCell ref="M76:N76"/>
    <mergeCell ref="M78:N78"/>
    <mergeCell ref="H49:J49"/>
    <mergeCell ref="M49:N53"/>
    <mergeCell ref="E50:G50"/>
    <mergeCell ref="H50:J50"/>
    <mergeCell ref="E51:G51"/>
    <mergeCell ref="H51:J51"/>
    <mergeCell ref="E52:G52"/>
  </mergeCells>
  <phoneticPr fontId="41" type="noConversion"/>
  <dataValidations count="1">
    <dataValidation type="list" allowBlank="1" showInputMessage="1" showErrorMessage="1" sqref="E57 E18 E20 E22" xr:uid="{306C2B67-D298-432B-8FB9-0484A203413A}">
      <formula1>"Yes, No"</formula1>
    </dataValidation>
  </dataValidations>
  <hyperlinks>
    <hyperlink ref="E72" r:id="rId1" xr:uid="{00000000-0004-0000-0100-000007000000}"/>
    <hyperlink ref="M104" r:id="rId2" xr:uid="{3661346D-9AFC-49D2-9512-088AA3B9C2D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Data!$A$2:$A$9</xm:f>
          </x14:formula1>
          <xm:sqref>U78 S78</xm:sqref>
        </x14:dataValidation>
        <x14:dataValidation type="list" allowBlank="1" showDropDown="1" showInputMessage="1" showErrorMessage="1" xr:uid="{8345D4C2-6C55-44EB-AC07-37A7A41DDACE}">
          <x14:formula1>
            <xm:f>Data!$A$2:$A$9</xm:f>
          </x14:formula1>
          <xm:sqref>Y78</xm:sqref>
        </x14:dataValidation>
        <x14:dataValidation type="list" allowBlank="1" showInputMessage="1" showErrorMessage="1" xr:uid="{A07294AE-735A-4995-A770-D6FA63CCEB49}">
          <x14:formula1>
            <xm:f>Data!$A$2:$A$5</xm:f>
          </x14:formula1>
          <xm:sqref>E78:G78 K78</xm:sqref>
        </x14:dataValidation>
        <x14:dataValidation type="list" allowBlank="1" showInputMessage="1" showErrorMessage="1" xr:uid="{3729A67A-3252-494A-8394-AD5581157694}">
          <x14:formula1>
            <xm:f>Data!$A$6:$A$9</xm:f>
          </x14:formula1>
          <xm:sqref>H78:J78 L78</xm:sqref>
        </x14:dataValidation>
        <x14:dataValidation type="list" allowBlank="1" showInputMessage="1" showErrorMessage="1" xr:uid="{68C3E46A-594D-499E-8E5D-7E8CE8428DB0}">
          <x14:formula1>
            <xm:f>Data!$A$22:$A$25</xm:f>
          </x14:formula1>
          <xm:sqref>E59</xm:sqref>
        </x14:dataValidation>
        <x14:dataValidation type="list" allowBlank="1" showInputMessage="1" showErrorMessage="1" xr:uid="{E776C06E-E599-401B-AD88-66C1BE483BD1}">
          <x14:formula1>
            <xm:f>Data!$A$27:$A$28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showGridLines="0" zoomScaleNormal="100" workbookViewId="0"/>
  </sheetViews>
  <sheetFormatPr defaultColWidth="8.81640625" defaultRowHeight="15.5" outlineLevelCol="1"/>
  <cols>
    <col min="1" max="1" width="1.81640625" style="476" customWidth="1"/>
    <col min="2" max="2" width="5.81640625" style="476" customWidth="1"/>
    <col min="3" max="3" width="20.81640625" style="476" customWidth="1"/>
    <col min="4" max="4" width="12.81640625" style="476" customWidth="1"/>
    <col min="5" max="5" width="1.453125" style="476" customWidth="1"/>
    <col min="6" max="6" width="20" style="477" customWidth="1"/>
    <col min="7" max="7" width="2.1796875" style="478" hidden="1" customWidth="1" outlineLevel="1"/>
    <col min="8" max="8" width="20" style="476" hidden="1" customWidth="1" outlineLevel="1"/>
    <col min="9" max="9" width="2.1796875" style="478" hidden="1" customWidth="1" outlineLevel="1"/>
    <col min="10" max="10" width="20" style="476" hidden="1" customWidth="1" outlineLevel="1"/>
    <col min="11" max="11" width="1.81640625" style="478" customWidth="1" collapsed="1"/>
    <col min="12" max="12" width="20" style="476" customWidth="1"/>
    <col min="13" max="13" width="2.1796875" style="478" hidden="1" customWidth="1" outlineLevel="1"/>
    <col min="14" max="14" width="20" style="476" hidden="1" customWidth="1" outlineLevel="1"/>
    <col min="15" max="15" width="2.1796875" style="478" hidden="1" customWidth="1" outlineLevel="1"/>
    <col min="16" max="16" width="20" style="476" hidden="1" customWidth="1" outlineLevel="1"/>
    <col min="17" max="17" width="2.1796875" style="478" customWidth="1" collapsed="1"/>
    <col min="18" max="18" width="20" style="476" customWidth="1"/>
    <col min="19" max="19" width="5.81640625" style="478" customWidth="1"/>
    <col min="20" max="20" width="63.453125" style="476" customWidth="1"/>
    <col min="21" max="16384" width="8.81640625" style="476"/>
  </cols>
  <sheetData>
    <row r="1" spans="2:21" ht="8.25" customHeight="1">
      <c r="B1" s="528"/>
      <c r="C1" s="528"/>
      <c r="D1" s="528"/>
      <c r="E1" s="528"/>
      <c r="F1" s="529"/>
      <c r="G1" s="530"/>
      <c r="H1" s="528"/>
      <c r="I1" s="530"/>
      <c r="J1" s="528"/>
      <c r="K1" s="530"/>
      <c r="L1" s="528"/>
      <c r="M1" s="530"/>
      <c r="N1" s="528"/>
      <c r="O1" s="530"/>
      <c r="P1" s="528"/>
      <c r="Q1" s="530"/>
      <c r="R1" s="528"/>
      <c r="S1" s="530"/>
    </row>
    <row r="2" spans="2:21" ht="20.25" customHeight="1">
      <c r="B2" s="1039" t="s">
        <v>185</v>
      </c>
      <c r="C2" s="1039"/>
      <c r="D2" s="1039"/>
      <c r="E2" s="1039"/>
      <c r="F2" s="1039"/>
      <c r="G2" s="1039"/>
      <c r="H2" s="1039"/>
      <c r="I2" s="1039"/>
      <c r="J2" s="1039"/>
      <c r="K2" s="1039"/>
      <c r="L2" s="1039"/>
      <c r="M2" s="1039"/>
      <c r="N2" s="1039"/>
      <c r="O2" s="1039"/>
      <c r="P2" s="1039"/>
      <c r="Q2" s="1039"/>
      <c r="R2" s="1039"/>
      <c r="S2" s="1039"/>
    </row>
    <row r="3" spans="2:21" ht="8.25" customHeight="1">
      <c r="B3" s="493"/>
      <c r="C3" s="493"/>
      <c r="D3" s="493"/>
      <c r="E3" s="493"/>
      <c r="F3" s="501"/>
      <c r="G3" s="499"/>
      <c r="H3" s="493"/>
      <c r="I3" s="499"/>
      <c r="J3" s="493"/>
      <c r="K3" s="499"/>
      <c r="L3" s="493"/>
      <c r="M3" s="499"/>
      <c r="N3" s="493"/>
      <c r="O3" s="499"/>
      <c r="P3" s="493"/>
      <c r="Q3" s="499"/>
      <c r="R3" s="493"/>
      <c r="S3" s="499"/>
    </row>
    <row r="4" spans="2:21" ht="60" customHeight="1">
      <c r="B4" s="493"/>
      <c r="C4" s="1038" t="s">
        <v>186</v>
      </c>
      <c r="D4" s="1038"/>
      <c r="E4" s="1038"/>
      <c r="F4" s="1038"/>
      <c r="G4" s="1038"/>
      <c r="H4" s="1038"/>
      <c r="I4" s="1038"/>
      <c r="J4" s="1038"/>
      <c r="K4" s="1038"/>
      <c r="L4" s="1038"/>
      <c r="M4" s="1038"/>
      <c r="N4" s="1038"/>
      <c r="O4" s="1038"/>
      <c r="P4" s="1038"/>
      <c r="Q4" s="1038"/>
      <c r="R4" s="1038"/>
      <c r="S4" s="499"/>
    </row>
    <row r="5" spans="2:21" ht="8.25" customHeight="1">
      <c r="B5" s="500"/>
      <c r="C5" s="500"/>
      <c r="D5" s="500"/>
      <c r="E5" s="500"/>
      <c r="F5" s="500"/>
      <c r="G5" s="500"/>
      <c r="H5" s="500"/>
      <c r="I5" s="500"/>
      <c r="J5" s="500"/>
      <c r="K5" s="500"/>
      <c r="L5" s="500"/>
      <c r="M5" s="500"/>
      <c r="N5" s="500"/>
      <c r="O5" s="500"/>
      <c r="P5" s="500"/>
      <c r="Q5" s="500"/>
      <c r="R5" s="500"/>
      <c r="S5" s="499"/>
    </row>
    <row r="6" spans="2:21" ht="48.25" customHeight="1">
      <c r="B6" s="1040"/>
      <c r="C6" s="502"/>
      <c r="D6" s="502"/>
      <c r="E6" s="503"/>
      <c r="F6" s="1048" t="s">
        <v>187</v>
      </c>
      <c r="G6" s="1049"/>
      <c r="H6" s="1049"/>
      <c r="I6" s="1049"/>
      <c r="J6" s="1050"/>
      <c r="K6" s="504"/>
      <c r="L6" s="1048" t="s">
        <v>188</v>
      </c>
      <c r="M6" s="1049"/>
      <c r="N6" s="1049"/>
      <c r="O6" s="1049"/>
      <c r="P6" s="1050"/>
      <c r="Q6" s="504"/>
      <c r="R6" s="510" t="s">
        <v>189</v>
      </c>
      <c r="S6" s="494"/>
      <c r="T6" s="480"/>
    </row>
    <row r="7" spans="2:21" ht="8.25" customHeight="1">
      <c r="B7" s="1040"/>
      <c r="C7" s="502"/>
      <c r="D7" s="502"/>
      <c r="E7" s="503"/>
      <c r="F7" s="509"/>
      <c r="G7" s="509"/>
      <c r="H7" s="509"/>
      <c r="I7" s="509"/>
      <c r="J7" s="509"/>
      <c r="K7" s="504"/>
      <c r="L7" s="509"/>
      <c r="M7" s="509"/>
      <c r="N7" s="509"/>
      <c r="O7" s="509"/>
      <c r="P7" s="509"/>
      <c r="Q7" s="504"/>
      <c r="R7" s="504"/>
      <c r="S7" s="494"/>
      <c r="T7" s="480"/>
    </row>
    <row r="8" spans="2:21" ht="96" customHeight="1">
      <c r="B8" s="1040"/>
      <c r="C8" s="505"/>
      <c r="D8" s="502"/>
      <c r="E8" s="503"/>
      <c r="F8" s="745" t="str">
        <f>Results!E9</f>
        <v>Abrysvo, Pfizer</v>
      </c>
      <c r="G8" s="746"/>
      <c r="H8" s="745" t="str">
        <f>Results!F9</f>
        <v>None</v>
      </c>
      <c r="I8" s="746"/>
      <c r="J8" s="745" t="str">
        <f>Results!G9</f>
        <v>None</v>
      </c>
      <c r="K8" s="746"/>
      <c r="L8" s="745" t="str">
        <f>Results!I9</f>
        <v>Nirsevimab, AstraZeneca</v>
      </c>
      <c r="M8" s="746"/>
      <c r="N8" s="745" t="str">
        <f>Results!J9</f>
        <v>None</v>
      </c>
      <c r="O8" s="746"/>
      <c r="P8" s="745" t="str">
        <f>Results!K9</f>
        <v>None</v>
      </c>
      <c r="Q8" s="746"/>
      <c r="R8" s="745" t="str">
        <f>Results!M7</f>
        <v>RSV intervention, both maternal vaccine and mAb</v>
      </c>
      <c r="S8" s="495"/>
    </row>
    <row r="9" spans="2:21" ht="8.25" customHeight="1">
      <c r="B9" s="493"/>
      <c r="C9" s="506"/>
      <c r="D9" s="506"/>
      <c r="E9" s="506"/>
      <c r="F9" s="507" t="str">
        <f>IF(F8=Data!$A$13, "! This product is not available for Gavi countries !"," ")</f>
        <v xml:space="preserve"> </v>
      </c>
      <c r="G9" s="496"/>
      <c r="H9" s="508" t="str">
        <f>IF(H8=Data!$A$13, "! This product is not available for Gavi countries !"," ")</f>
        <v xml:space="preserve"> </v>
      </c>
      <c r="I9" s="496"/>
      <c r="J9" s="508" t="str">
        <f>IF(J8=Data!$A$13, "! This product is not available for Gavi countries !"," ")</f>
        <v xml:space="preserve"> </v>
      </c>
      <c r="K9" s="496"/>
      <c r="L9" s="508" t="str">
        <f>IF(L8=Data!$A$13, "! This product is not available for Gavi countries !"," ")</f>
        <v xml:space="preserve"> </v>
      </c>
      <c r="M9" s="496"/>
      <c r="N9" s="508" t="str">
        <f>IF(N8=Data!$A$13, "! This product is not available for Gavi countries !"," ")</f>
        <v xml:space="preserve"> </v>
      </c>
      <c r="O9" s="496"/>
      <c r="P9" s="508" t="str">
        <f>IF(P8=Data!$A$13, "! This product is not available for Gavi countries !"," ")</f>
        <v xml:space="preserve"> </v>
      </c>
      <c r="Q9" s="496"/>
      <c r="R9" s="508" t="str">
        <f>IF(R8=Data!$A$13, "! This product is not available for Gavi countries !"," ")</f>
        <v xml:space="preserve"> </v>
      </c>
      <c r="S9" s="496"/>
      <c r="U9" s="481"/>
    </row>
    <row r="10" spans="2:21" s="482" customFormat="1" ht="35.25" customHeight="1">
      <c r="B10" s="493"/>
      <c r="C10" s="1042" t="s">
        <v>190</v>
      </c>
      <c r="D10" s="517" t="s">
        <v>191</v>
      </c>
      <c r="E10" s="511"/>
      <c r="F10" s="518">
        <f>IFERROR(Results!E62/1000000,"")</f>
        <v>0.92859668067222245</v>
      </c>
      <c r="G10" s="741"/>
      <c r="H10" s="520" t="str">
        <f>IFERROR(Results!F62/1000000,"")</f>
        <v/>
      </c>
      <c r="I10" s="742"/>
      <c r="J10" s="520" t="str">
        <f>IFERROR(Results!G62/1000000,"")</f>
        <v/>
      </c>
      <c r="K10" s="741"/>
      <c r="L10" s="520">
        <f>IFERROR(Results!I62/1000000,"")</f>
        <v>0.83573701260500011</v>
      </c>
      <c r="M10" s="742"/>
      <c r="N10" s="520" t="str">
        <f>IFERROR(Results!J62/1000000,"")</f>
        <v/>
      </c>
      <c r="O10" s="742"/>
      <c r="P10" s="520" t="str">
        <f>IFERROR(Results!K62/1000000,"")</f>
        <v/>
      </c>
      <c r="Q10" s="742"/>
      <c r="R10" s="520" t="str">
        <f>IFERROR(Results!M62/1000000,"")</f>
        <v/>
      </c>
      <c r="S10" s="523"/>
    </row>
    <row r="11" spans="2:21" s="482" customFormat="1" ht="35.25" customHeight="1">
      <c r="B11" s="493"/>
      <c r="C11" s="1042"/>
      <c r="D11" s="517" t="s">
        <v>192</v>
      </c>
      <c r="E11" s="511"/>
      <c r="F11" s="519">
        <f>IFERROR(AVERAGE(Results!E63:E67)/1000000,"")</f>
        <v>0.1857193361344445</v>
      </c>
      <c r="G11" s="497"/>
      <c r="H11" s="520" t="str">
        <f>IFERROR(AVERAGE(Results!F63:F67)/1000000,"")</f>
        <v/>
      </c>
      <c r="I11" s="524"/>
      <c r="J11" s="521" t="str">
        <f>IFERROR(AVERAGE(Results!G63:G67)/1000000,"")</f>
        <v/>
      </c>
      <c r="K11" s="497"/>
      <c r="L11" s="521">
        <f>IFERROR(AVERAGE(Results!I63:I67)/1000000,"")</f>
        <v>0.16714740252100002</v>
      </c>
      <c r="M11" s="524"/>
      <c r="N11" s="521" t="str">
        <f>IFERROR(AVERAGE(Results!J63:J67)/1000000,"")</f>
        <v/>
      </c>
      <c r="O11" s="524"/>
      <c r="P11" s="521" t="str">
        <f>IFERROR(AVERAGE(Results!K63:K67)/1000000,"")</f>
        <v/>
      </c>
      <c r="Q11" s="524"/>
      <c r="R11" s="521" t="str">
        <f>IFERROR(AVERAGE(Results!M63:M67)/1000000,"")</f>
        <v/>
      </c>
      <c r="S11" s="524"/>
    </row>
    <row r="12" spans="2:21" ht="8.25" customHeight="1">
      <c r="B12" s="493"/>
      <c r="C12" s="503"/>
      <c r="D12" s="516"/>
      <c r="E12" s="511"/>
      <c r="F12" s="513"/>
      <c r="G12" s="498"/>
      <c r="H12" s="514"/>
      <c r="I12" s="525"/>
      <c r="J12" s="515"/>
      <c r="K12" s="498"/>
      <c r="L12" s="515"/>
      <c r="M12" s="525"/>
      <c r="N12" s="515"/>
      <c r="O12" s="525"/>
      <c r="P12" s="515"/>
      <c r="Q12" s="525"/>
      <c r="R12" s="515"/>
      <c r="S12" s="498"/>
    </row>
    <row r="13" spans="2:21" ht="35.25" customHeight="1">
      <c r="B13" s="493"/>
      <c r="C13" s="1042" t="s">
        <v>193</v>
      </c>
      <c r="D13" s="517" t="s">
        <v>191</v>
      </c>
      <c r="E13" s="503"/>
      <c r="F13" s="522">
        <f>IFERROR(Results!E108/1000000,"")</f>
        <v>0.21061366974788892</v>
      </c>
      <c r="G13" s="498"/>
      <c r="H13" s="520" t="str">
        <f>IFERROR(Results!F108/1000000,"")</f>
        <v/>
      </c>
      <c r="I13" s="525"/>
      <c r="J13" s="521" t="str">
        <f>IFERROR(Results!G108/1000000,"")</f>
        <v/>
      </c>
      <c r="K13" s="498" t="e">
        <f>(J13-F13)/F13</f>
        <v>#VALUE!</v>
      </c>
      <c r="L13" s="521">
        <f>Results!I108/1000000</f>
        <v>0.18955254277310005</v>
      </c>
      <c r="M13" s="525">
        <f>(L13-F13)/F13</f>
        <v>-9.9998860472825413E-2</v>
      </c>
      <c r="N13" s="521" t="str">
        <f>IFERROR(Results!J108/1000000,"")</f>
        <v/>
      </c>
      <c r="O13" s="525" t="e">
        <f>(N13-F13)/F13</f>
        <v>#VALUE!</v>
      </c>
      <c r="P13" s="521" t="str">
        <f>IFERROR(Results!K108/1000000,"")</f>
        <v/>
      </c>
      <c r="Q13" s="525" t="e">
        <f>(P13-F13)/F13</f>
        <v>#VALUE!</v>
      </c>
      <c r="R13" s="521" t="str">
        <f>IFERROR(Results!M108/1000000,"")</f>
        <v/>
      </c>
      <c r="S13" s="525" t="e">
        <f>(R13-F13)/F13</f>
        <v>#VALUE!</v>
      </c>
    </row>
    <row r="14" spans="2:21" ht="35.25" customHeight="1">
      <c r="B14" s="493"/>
      <c r="C14" s="1042"/>
      <c r="D14" s="517" t="s">
        <v>192</v>
      </c>
      <c r="E14" s="511"/>
      <c r="F14" s="522">
        <f>IFERROR(AVERAGE(Results!E109:E113)/1000000,"")</f>
        <v>4.2122733949577787E-2</v>
      </c>
      <c r="G14" s="743"/>
      <c r="H14" s="520" t="str">
        <f>IFERROR(AVERAGE(Results!F109:F113)/1000000,"")</f>
        <v/>
      </c>
      <c r="I14" s="744"/>
      <c r="J14" s="521" t="str">
        <f>IFERROR(AVERAGE(Results!G109:G113)/1000000,"")</f>
        <v/>
      </c>
      <c r="K14" s="743"/>
      <c r="L14" s="521">
        <f>AVERAGE(Results!I109:I113)/1000000</f>
        <v>3.7910508554620012E-2</v>
      </c>
      <c r="M14" s="744"/>
      <c r="N14" s="521" t="str">
        <f>IFERROR(AVERAGE(Results!J109:J113)/1000000,"")</f>
        <v/>
      </c>
      <c r="O14" s="744"/>
      <c r="P14" s="521" t="str">
        <f>IFERROR(AVERAGE(Results!K109:K113)/1000000,"")</f>
        <v/>
      </c>
      <c r="Q14" s="744"/>
      <c r="R14" s="521" t="str">
        <f>IFERROR(AVERAGE(Results!M109:M113)/1000000,"")</f>
        <v/>
      </c>
      <c r="S14" s="526"/>
    </row>
    <row r="15" spans="2:21" ht="8.25" customHeight="1">
      <c r="B15" s="493"/>
      <c r="C15" s="503"/>
      <c r="D15" s="516"/>
      <c r="E15" s="511"/>
      <c r="F15" s="513"/>
      <c r="G15" s="498"/>
      <c r="H15" s="514"/>
      <c r="I15" s="525"/>
      <c r="J15" s="515"/>
      <c r="K15" s="498"/>
      <c r="L15" s="515"/>
      <c r="M15" s="525"/>
      <c r="N15" s="515"/>
      <c r="O15" s="525"/>
      <c r="P15" s="515"/>
      <c r="Q15" s="525"/>
      <c r="R15" s="515"/>
      <c r="S15" s="525"/>
    </row>
    <row r="16" spans="2:21" ht="35.25" customHeight="1">
      <c r="B16" s="493"/>
      <c r="C16" s="1042" t="s">
        <v>194</v>
      </c>
      <c r="D16" s="517" t="s">
        <v>191</v>
      </c>
      <c r="E16" s="511"/>
      <c r="F16" s="522">
        <f>IFERROR(Results!E117/1000000,"")</f>
        <v>1.2536168254038889</v>
      </c>
      <c r="G16" s="498"/>
      <c r="H16" s="520" t="str">
        <f>IFERROR(Results!F117/1000000,"")</f>
        <v/>
      </c>
      <c r="I16" s="525"/>
      <c r="J16" s="521" t="str">
        <f>IFERROR(Results!G117/1000000,"")</f>
        <v/>
      </c>
      <c r="K16" s="498" t="e">
        <f>(J16-F16)/F16</f>
        <v>#VALUE!</v>
      </c>
      <c r="L16" s="521">
        <f>Results!I117/1000000</f>
        <v>1.0642529164936998</v>
      </c>
      <c r="M16" s="525">
        <f>(L16-F16)/F16</f>
        <v>-0.15105405820409279</v>
      </c>
      <c r="N16" s="521" t="str">
        <f>IFERROR(Results!J117/1000000,"")</f>
        <v/>
      </c>
      <c r="O16" s="525" t="e">
        <f>(N16-F16)/F16</f>
        <v>#VALUE!</v>
      </c>
      <c r="P16" s="521" t="str">
        <f>IFERROR(Results!K117/1000000,"")</f>
        <v/>
      </c>
      <c r="Q16" s="525" t="e">
        <f>(P16-F16)/F16</f>
        <v>#VALUE!</v>
      </c>
      <c r="R16" s="521" t="str">
        <f>IFERROR(Results!M117/1000000,"")</f>
        <v/>
      </c>
      <c r="S16" s="525" t="e">
        <f>(R16-F16)/F16</f>
        <v>#VALUE!</v>
      </c>
    </row>
    <row r="17" spans="2:20" ht="35.25" customHeight="1">
      <c r="B17" s="493"/>
      <c r="C17" s="1042"/>
      <c r="D17" s="517" t="s">
        <v>192</v>
      </c>
      <c r="E17" s="511"/>
      <c r="F17" s="522">
        <f>IFERROR(AVERAGE(Results!E118:E122)/1000000,"")</f>
        <v>0.2507233650807778</v>
      </c>
      <c r="G17" s="743"/>
      <c r="H17" s="520" t="str">
        <f>IFERROR(AVERAGE(Results!F118:F122)/1000000,"")</f>
        <v/>
      </c>
      <c r="I17" s="744"/>
      <c r="J17" s="521" t="str">
        <f>IFERROR(AVERAGE(Results!G118:G122)/1000000,"")</f>
        <v/>
      </c>
      <c r="K17" s="743"/>
      <c r="L17" s="521">
        <f>AVERAGE(Results!I118:I122)/1000000</f>
        <v>0.21285058329873999</v>
      </c>
      <c r="M17" s="744"/>
      <c r="N17" s="521" t="str">
        <f>IFERROR(AVERAGE(Results!J118:J122)/1000000,"")</f>
        <v/>
      </c>
      <c r="O17" s="744"/>
      <c r="P17" s="521" t="str">
        <f>IFERROR(AVERAGE(Results!K118:K122)/1000000,"")</f>
        <v/>
      </c>
      <c r="Q17" s="744"/>
      <c r="R17" s="521" t="str">
        <f>IFERROR(AVERAGE(Results!M118:M122)/1000000,"")</f>
        <v/>
      </c>
      <c r="S17" s="527"/>
    </row>
    <row r="18" spans="2:20" ht="8.25" customHeight="1">
      <c r="B18" s="493"/>
      <c r="C18" s="503"/>
      <c r="D18" s="516"/>
      <c r="E18" s="511"/>
      <c r="F18" s="513"/>
      <c r="G18" s="498"/>
      <c r="H18" s="514"/>
      <c r="I18" s="525"/>
      <c r="J18" s="515"/>
      <c r="K18" s="498"/>
      <c r="L18" s="515"/>
      <c r="M18" s="525"/>
      <c r="N18" s="515"/>
      <c r="O18" s="525"/>
      <c r="P18" s="515"/>
      <c r="Q18" s="525"/>
      <c r="R18" s="515"/>
      <c r="S18" s="525"/>
    </row>
    <row r="19" spans="2:20" ht="35.25" customHeight="1">
      <c r="B19" s="493"/>
      <c r="C19" s="1042" t="s">
        <v>195</v>
      </c>
      <c r="D19" s="517" t="s">
        <v>191</v>
      </c>
      <c r="E19" s="503"/>
      <c r="F19" s="522">
        <f>IFERROR(Results!E128/1000000,"")</f>
        <v>3.581419620588056</v>
      </c>
      <c r="G19" s="498"/>
      <c r="H19" s="520" t="str">
        <f>IFERROR(Results!F128/1000000,"")</f>
        <v/>
      </c>
      <c r="I19" s="525"/>
      <c r="J19" s="521" t="str">
        <f>IFERROR(Results!G128/1000000,"")</f>
        <v/>
      </c>
      <c r="K19" s="498" t="e">
        <f>(J19-F19)/F19</f>
        <v>#VALUE!</v>
      </c>
      <c r="L19" s="521">
        <f>Results!I128/1000000</f>
        <v>18.391904677310002</v>
      </c>
      <c r="M19" s="525">
        <f>(L19-F19)/F19</f>
        <v>4.135367152059696</v>
      </c>
      <c r="N19" s="521" t="str">
        <f>IFERROR(Results!J128/1000000,"")</f>
        <v/>
      </c>
      <c r="O19" s="525" t="e">
        <f>(N19-F19)/F19</f>
        <v>#VALUE!</v>
      </c>
      <c r="P19" s="521" t="str">
        <f>IFERROR(Results!K128/1000000,"")</f>
        <v/>
      </c>
      <c r="Q19" s="525" t="e">
        <f>(P19-F19)/F19</f>
        <v>#VALUE!</v>
      </c>
      <c r="R19" s="521" t="str">
        <f>IFERROR(Results!M128/1000000,"")</f>
        <v/>
      </c>
      <c r="S19" s="525" t="e">
        <f>(R19-F19)/F19</f>
        <v>#VALUE!</v>
      </c>
    </row>
    <row r="20" spans="2:20" ht="35.25" customHeight="1">
      <c r="B20" s="493"/>
      <c r="C20" s="1042"/>
      <c r="D20" s="517" t="s">
        <v>192</v>
      </c>
      <c r="E20" s="511"/>
      <c r="F20" s="522">
        <f>IFERROR(AVERAGE(Results!E129:E133)/1000000,"")</f>
        <v>0.7162839241176111</v>
      </c>
      <c r="G20" s="743"/>
      <c r="H20" s="520" t="str">
        <f>IFERROR(AVERAGE(Results!F129:F133)/1000000,"")</f>
        <v/>
      </c>
      <c r="I20" s="744"/>
      <c r="J20" s="521" t="str">
        <f>IFERROR(AVERAGE(Results!G129:G133)/1000000,"")</f>
        <v/>
      </c>
      <c r="K20" s="743"/>
      <c r="L20" s="521">
        <f>AVERAGE(Results!I129:I133)/1000000</f>
        <v>3.6783809354620005</v>
      </c>
      <c r="M20" s="744"/>
      <c r="N20" s="521" t="str">
        <f>IFERROR(AVERAGE(Results!J129:J133)/1000000,"")</f>
        <v/>
      </c>
      <c r="O20" s="744"/>
      <c r="P20" s="521" t="str">
        <f>IFERROR(AVERAGE(Results!K129:K133)/1000000,"")</f>
        <v/>
      </c>
      <c r="Q20" s="744"/>
      <c r="R20" s="521" t="str">
        <f>IFERROR(AVERAGE(Results!M129:M133)/1000000,"")</f>
        <v/>
      </c>
      <c r="S20" s="526"/>
    </row>
    <row r="21" spans="2:20" ht="8.25" customHeight="1">
      <c r="B21" s="493"/>
      <c r="C21" s="503"/>
      <c r="D21" s="516"/>
      <c r="E21" s="511"/>
      <c r="F21" s="513"/>
      <c r="G21" s="498"/>
      <c r="H21" s="514"/>
      <c r="I21" s="525"/>
      <c r="J21" s="515"/>
      <c r="K21" s="498"/>
      <c r="L21" s="515"/>
      <c r="M21" s="525"/>
      <c r="N21" s="515"/>
      <c r="O21" s="525"/>
      <c r="P21" s="515"/>
      <c r="Q21" s="525"/>
      <c r="R21" s="515"/>
      <c r="S21" s="525"/>
    </row>
    <row r="22" spans="2:20" ht="35.25" customHeight="1">
      <c r="B22" s="493"/>
      <c r="C22" s="1042" t="s">
        <v>196</v>
      </c>
      <c r="D22" s="517" t="s">
        <v>191</v>
      </c>
      <c r="E22" s="511"/>
      <c r="F22" s="522">
        <f>IFERROR(Results!E137/1000000,"")</f>
        <v>4.7894227762440558</v>
      </c>
      <c r="G22" s="498"/>
      <c r="H22" s="520" t="str">
        <f>IFERROR(Results!F137/1000000,"")</f>
        <v/>
      </c>
      <c r="I22" s="525"/>
      <c r="J22" s="521" t="str">
        <f>IFERROR(Results!G137/1000000,"")</f>
        <v/>
      </c>
      <c r="K22" s="498" t="e">
        <f>(J22-F22)/F22</f>
        <v>#VALUE!</v>
      </c>
      <c r="L22" s="521">
        <f>Results!I137/1000000</f>
        <v>19.4156050510306</v>
      </c>
      <c r="M22" s="525">
        <f>(L22-F22)/F22</f>
        <v>3.0538507369476027</v>
      </c>
      <c r="N22" s="521" t="str">
        <f>IFERROR(Results!J137/1000000,"")</f>
        <v/>
      </c>
      <c r="O22" s="525" t="e">
        <f>(N22-F22)/F22</f>
        <v>#VALUE!</v>
      </c>
      <c r="P22" s="521" t="str">
        <f>IFERROR(Results!K137/1000000,"")</f>
        <v/>
      </c>
      <c r="Q22" s="525" t="e">
        <f>(P22-F22)/F22</f>
        <v>#VALUE!</v>
      </c>
      <c r="R22" s="521" t="str">
        <f>IFERROR(Results!M137/1000000,"")</f>
        <v/>
      </c>
      <c r="S22" s="525" t="e">
        <f>(R22-F22)/F22</f>
        <v>#VALUE!</v>
      </c>
    </row>
    <row r="23" spans="2:20" ht="35.25" customHeight="1">
      <c r="B23" s="493"/>
      <c r="C23" s="1042"/>
      <c r="D23" s="517" t="s">
        <v>192</v>
      </c>
      <c r="E23" s="511"/>
      <c r="F23" s="522">
        <f>IFERROR(AVERAGE(Results!E138:E142)/1000000,"")</f>
        <v>0.95788455524881111</v>
      </c>
      <c r="G23" s="743"/>
      <c r="H23" s="520" t="str">
        <f>IFERROR(AVERAGE(Results!F138:F142)/1000000,"")</f>
        <v/>
      </c>
      <c r="I23" s="744"/>
      <c r="J23" s="521" t="str">
        <f>IFERROR(AVERAGE(Results!G138:G142)/1000000,"")</f>
        <v/>
      </c>
      <c r="K23" s="743"/>
      <c r="L23" s="521">
        <f>AVERAGE(Results!I138:I142)/1000000</f>
        <v>3.8831210102061195</v>
      </c>
      <c r="M23" s="744"/>
      <c r="N23" s="521" t="str">
        <f>IFERROR(AVERAGE(Results!J138:J142)/1000000,"")</f>
        <v/>
      </c>
      <c r="O23" s="744"/>
      <c r="P23" s="521" t="str">
        <f>IFERROR(AVERAGE(Results!K138:K142)/1000000,"")</f>
        <v/>
      </c>
      <c r="Q23" s="744"/>
      <c r="R23" s="521" t="str">
        <f>IFERROR(AVERAGE(Results!M138:M142)/1000000,"")</f>
        <v/>
      </c>
      <c r="S23" s="526"/>
    </row>
    <row r="24" spans="2:20" ht="8.25" customHeight="1">
      <c r="B24" s="493"/>
      <c r="C24" s="503"/>
      <c r="D24" s="516"/>
      <c r="E24" s="511"/>
      <c r="F24" s="513"/>
      <c r="G24" s="498"/>
      <c r="H24" s="514"/>
      <c r="I24" s="525"/>
      <c r="J24" s="515"/>
      <c r="K24" s="498"/>
      <c r="L24" s="515"/>
      <c r="M24" s="525"/>
      <c r="N24" s="515"/>
      <c r="O24" s="525"/>
      <c r="P24" s="515"/>
      <c r="Q24" s="525"/>
      <c r="R24" s="515"/>
      <c r="S24" s="525"/>
    </row>
    <row r="25" spans="2:20" ht="70" customHeight="1">
      <c r="B25" s="493"/>
      <c r="C25" s="719" t="s">
        <v>197</v>
      </c>
      <c r="D25" s="517" t="s">
        <v>192</v>
      </c>
      <c r="E25" s="511"/>
      <c r="F25" s="519">
        <f>IFERROR(AVERAGE(Results!E98:E102)/1000000,"")</f>
        <v>1.1254591769747333</v>
      </c>
      <c r="G25" s="498"/>
      <c r="H25" s="520" t="str">
        <f>IFERROR(AVERAGE(Results!F98:F102)/1000000,"")</f>
        <v/>
      </c>
      <c r="I25" s="525"/>
      <c r="J25" s="521" t="str">
        <f>IFERROR(AVERAGE(Results!G98:G102)/1000000,"")</f>
        <v/>
      </c>
      <c r="K25" s="498" t="e">
        <f>(J25-F25)/F25</f>
        <v>#VALUE!</v>
      </c>
      <c r="L25" s="521">
        <f>AVERAGE(Results!I98:I102)/1000000</f>
        <v>2.8615635311595207</v>
      </c>
      <c r="M25" s="525">
        <f>(L25-F25)/F25</f>
        <v>1.5425742574257433</v>
      </c>
      <c r="N25" s="521" t="str">
        <f>IFERROR(AVERAGE(Results!J98:J102)/1000000,"")</f>
        <v/>
      </c>
      <c r="O25" s="525" t="e">
        <f>(N25-F25)/F25</f>
        <v>#VALUE!</v>
      </c>
      <c r="P25" s="521" t="str">
        <f>IFERROR(AVERAGE(Results!K98:K102)/1000000,"")</f>
        <v/>
      </c>
      <c r="Q25" s="525" t="e">
        <f>(P25-F25)/F25</f>
        <v>#VALUE!</v>
      </c>
      <c r="R25" s="521" t="str">
        <f>IFERROR(AVERAGE(Results!M98:M102)/1000000,"")</f>
        <v/>
      </c>
      <c r="S25" s="525" t="e">
        <f>(R25-F25)/F25</f>
        <v>#VALUE!</v>
      </c>
    </row>
    <row r="26" spans="2:20" ht="15" customHeight="1">
      <c r="B26" s="493"/>
      <c r="C26" s="503"/>
      <c r="D26" s="512"/>
      <c r="E26" s="511"/>
      <c r="F26" s="513"/>
      <c r="G26" s="498"/>
      <c r="H26" s="514"/>
      <c r="I26" s="498"/>
      <c r="J26" s="515"/>
      <c r="K26" s="498"/>
      <c r="L26" s="515"/>
      <c r="M26" s="498"/>
      <c r="N26" s="515"/>
      <c r="O26" s="498"/>
      <c r="P26" s="515"/>
      <c r="Q26" s="498"/>
      <c r="R26" s="515"/>
      <c r="S26" s="498"/>
    </row>
    <row r="27" spans="2:20" ht="15.75" customHeight="1">
      <c r="B27" s="493"/>
      <c r="C27" s="1043" t="s">
        <v>198</v>
      </c>
      <c r="D27" s="1043"/>
      <c r="E27" s="1043"/>
      <c r="F27" s="1043"/>
      <c r="G27" s="1043"/>
      <c r="H27" s="1043"/>
      <c r="I27" s="1043"/>
      <c r="J27" s="1043"/>
      <c r="K27" s="1043"/>
      <c r="L27" s="1043"/>
      <c r="M27" s="1043"/>
      <c r="N27" s="1043"/>
      <c r="O27" s="1043"/>
      <c r="P27" s="1043"/>
      <c r="Q27" s="1043"/>
      <c r="R27" s="493"/>
      <c r="S27" s="499"/>
    </row>
    <row r="28" spans="2:20" ht="41.25" customHeight="1">
      <c r="B28" s="493"/>
      <c r="C28" s="1044" t="s">
        <v>199</v>
      </c>
      <c r="D28" s="1044"/>
      <c r="E28" s="1044"/>
      <c r="F28" s="1044"/>
      <c r="G28" s="1044"/>
      <c r="H28" s="1044"/>
      <c r="I28" s="1044"/>
      <c r="J28" s="1044"/>
      <c r="K28" s="1044"/>
      <c r="L28" s="1044"/>
      <c r="M28" s="1044"/>
      <c r="N28" s="1044"/>
      <c r="O28" s="1044"/>
      <c r="P28" s="1044"/>
      <c r="Q28" s="1044"/>
      <c r="R28" s="1045"/>
      <c r="S28" s="1045"/>
    </row>
    <row r="29" spans="2:20" ht="53.25" customHeight="1">
      <c r="B29" s="493"/>
      <c r="C29" s="1046" t="s">
        <v>200</v>
      </c>
      <c r="D29" s="1046"/>
      <c r="E29" s="1046"/>
      <c r="F29" s="1046"/>
      <c r="G29" s="1046"/>
      <c r="H29" s="1046"/>
      <c r="I29" s="1046"/>
      <c r="J29" s="1046"/>
      <c r="K29" s="1046"/>
      <c r="L29" s="1046"/>
      <c r="M29" s="1046"/>
      <c r="N29" s="1046"/>
      <c r="O29" s="1046"/>
      <c r="P29" s="1046"/>
      <c r="Q29" s="1046"/>
      <c r="R29" s="1047"/>
      <c r="S29" s="1047"/>
      <c r="T29" s="483"/>
    </row>
    <row r="30" spans="2:20" ht="11.5" customHeight="1">
      <c r="B30" s="493"/>
      <c r="C30" s="1041"/>
      <c r="D30" s="1041"/>
      <c r="E30" s="1041"/>
      <c r="F30" s="1041"/>
      <c r="G30" s="1041"/>
      <c r="H30" s="1041"/>
      <c r="I30" s="1041"/>
      <c r="J30" s="1041"/>
      <c r="K30" s="1041"/>
      <c r="L30" s="1041"/>
      <c r="M30" s="1041"/>
      <c r="N30" s="1041"/>
      <c r="O30" s="1041"/>
      <c r="P30" s="1041"/>
      <c r="Q30" s="494"/>
      <c r="R30" s="493"/>
      <c r="S30" s="494"/>
    </row>
    <row r="31" spans="2:20">
      <c r="C31" s="721"/>
      <c r="D31" s="721"/>
      <c r="E31" s="721"/>
      <c r="F31" s="484"/>
      <c r="G31" s="479"/>
      <c r="H31" s="721"/>
      <c r="I31" s="479"/>
      <c r="J31" s="407"/>
      <c r="K31" s="485"/>
      <c r="L31" s="721"/>
      <c r="M31" s="479"/>
      <c r="N31" s="721"/>
      <c r="O31" s="479"/>
      <c r="P31" s="407"/>
      <c r="Q31" s="479"/>
      <c r="R31" s="407"/>
      <c r="S31" s="485"/>
    </row>
    <row r="32" spans="2:20">
      <c r="C32" s="486"/>
      <c r="D32" s="486"/>
      <c r="E32" s="486"/>
      <c r="F32" s="487"/>
      <c r="G32" s="488"/>
      <c r="H32" s="401"/>
      <c r="I32" s="488"/>
      <c r="J32" s="401"/>
      <c r="K32" s="488"/>
      <c r="L32" s="401"/>
      <c r="M32" s="488"/>
      <c r="N32" s="401"/>
      <c r="O32" s="488"/>
      <c r="P32" s="401"/>
      <c r="Q32" s="488"/>
      <c r="R32" s="401"/>
      <c r="S32" s="488"/>
    </row>
    <row r="33" spans="3:19">
      <c r="C33" s="720"/>
      <c r="D33" s="720"/>
      <c r="E33" s="720"/>
      <c r="F33" s="489"/>
      <c r="G33" s="490"/>
      <c r="H33" s="403"/>
      <c r="I33" s="490"/>
      <c r="J33" s="403"/>
      <c r="K33" s="490"/>
      <c r="L33" s="403"/>
      <c r="M33" s="490"/>
      <c r="N33" s="403"/>
      <c r="O33" s="490"/>
      <c r="P33" s="403"/>
      <c r="Q33" s="490"/>
      <c r="R33" s="403"/>
      <c r="S33" s="490"/>
    </row>
    <row r="34" spans="3:19">
      <c r="C34" s="720"/>
      <c r="D34" s="720"/>
      <c r="E34" s="720"/>
      <c r="F34" s="489"/>
      <c r="G34" s="491"/>
      <c r="H34" s="492"/>
      <c r="I34" s="491"/>
      <c r="J34" s="403"/>
      <c r="K34" s="490"/>
      <c r="L34" s="492"/>
      <c r="M34" s="491"/>
      <c r="N34" s="492"/>
      <c r="O34" s="491"/>
      <c r="P34" s="492"/>
      <c r="Q34" s="491"/>
      <c r="R34" s="492"/>
      <c r="S34" s="491"/>
    </row>
  </sheetData>
  <sheetProtection algorithmName="SHA-512" hashValue="nzo95ZPLtNOfOQCJ7ozjlxE2HIPwW2A99MtzqFBEII2cLPkzMi6rj8MPU5AG/TQqQHtUfCKTWN0WAUK9uXQEfw==" saltValue="Pcrb5OxDBzxodSw0b68TAw==" spinCount="100000" sheet="1" objects="1" scenarios="1"/>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F24 L24 R24 R26 F26 L26">
    <cfRule type="colorScale" priority="230">
      <colorScale>
        <cfvo type="min"/>
        <cfvo type="percentile" val="50"/>
        <cfvo type="max"/>
        <color theme="3"/>
        <color rgb="FFE2E278"/>
        <color theme="6"/>
      </colorScale>
    </cfRule>
  </conditionalFormatting>
  <conditionalFormatting sqref="F24 L24 R24 R26 L26 F26">
    <cfRule type="colorScale" priority="236">
      <colorScale>
        <cfvo type="min"/>
        <cfvo type="percentile" val="50"/>
        <cfvo type="max"/>
        <color theme="6"/>
        <color rgb="FFE2E278"/>
        <color theme="3"/>
      </colorScale>
    </cfRule>
  </conditionalFormatting>
  <conditionalFormatting sqref="F25 F12 L12 L25 R12 R25">
    <cfRule type="colorScale" priority="149">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1" operator="lessThan">
      <formula>0</formula>
    </cfRule>
    <cfRule type="cellIs" dxfId="48" priority="62" operator="greater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5" operator="lessThan">
      <formula>0</formula>
    </cfRule>
    <cfRule type="cellIs" dxfId="44" priority="56" operator="greater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3" operator="lessThan">
      <formula>0</formula>
    </cfRule>
    <cfRule type="cellIs" dxfId="40" priority="54" operator="greaterThan">
      <formula>0</formula>
    </cfRule>
  </conditionalFormatting>
  <conditionalFormatting sqref="H13 F13 J13 L13 N13 P13 R13">
    <cfRule type="colorScale" priority="79">
      <colorScale>
        <cfvo type="min"/>
        <cfvo type="percentile" val="50"/>
        <cfvo type="max"/>
        <color theme="6"/>
        <color rgb="FFE2E278"/>
        <color theme="3"/>
      </colorScale>
    </cfRule>
  </conditionalFormatting>
  <conditionalFormatting sqref="H16 F16 J16 L16 N16 P16 R16">
    <cfRule type="colorScale" priority="78">
      <colorScale>
        <cfvo type="min"/>
        <cfvo type="percentile" val="50"/>
        <cfvo type="max"/>
        <color theme="6"/>
        <color rgb="FFE2E278"/>
        <color theme="3"/>
      </colorScale>
    </cfRule>
  </conditionalFormatting>
  <conditionalFormatting sqref="H19 F19 J19 L19 N19 P19 R19">
    <cfRule type="colorScale" priority="77">
      <colorScale>
        <cfvo type="min"/>
        <cfvo type="percentile" val="50"/>
        <cfvo type="max"/>
        <color theme="6"/>
        <color rgb="FFE2E278"/>
        <color theme="3"/>
      </colorScale>
    </cfRule>
  </conditionalFormatting>
  <conditionalFormatting sqref="H22 F22 J22 L22 N22 P22 R22">
    <cfRule type="colorScale" priority="76">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6" operator="lessThan">
      <formula>0</formula>
    </cfRule>
    <cfRule type="cellIs" dxfId="32" priority="117" operator="greaterThan">
      <formula>0</formula>
    </cfRule>
  </conditionalFormatting>
  <conditionalFormatting sqref="I21">
    <cfRule type="cellIs" dxfId="31" priority="128" operator="greaterThan">
      <formula>0</formula>
    </cfRule>
    <cfRule type="cellIs" dxfId="30" priority="127" operator="less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6" operator="greaterThan">
      <formula>0</formula>
    </cfRule>
    <cfRule type="cellIs" dxfId="26" priority="105" operator="less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1" operator="greaterThan">
      <formula>0</formula>
    </cfRule>
    <cfRule type="cellIs" dxfId="20" priority="140" operator="less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4" operator="lessThan">
      <formula>0</formula>
    </cfRule>
    <cfRule type="cellIs" dxfId="12" priority="85" operator="greaterThan">
      <formula>0</formula>
    </cfRule>
  </conditionalFormatting>
  <conditionalFormatting sqref="K24">
    <cfRule type="cellIs" dxfId="11" priority="100" operator="greaterThan">
      <formula>0</formula>
    </cfRule>
    <cfRule type="cellIs" dxfId="10" priority="99" operator="lessThan">
      <formula>0</formula>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8">
      <colorScale>
        <cfvo type="min"/>
        <cfvo type="percentile" val="50"/>
        <cfvo type="max"/>
        <color theme="3"/>
        <color rgb="FFE2E278"/>
        <color theme="6"/>
      </colorScale>
    </cfRule>
    <cfRule type="colorScale" priority="107">
      <colorScale>
        <cfvo type="min"/>
        <cfvo type="percentile" val="50"/>
        <cfvo type="max"/>
        <color theme="6"/>
        <color rgb="FFE2E278"/>
        <color theme="3"/>
      </colorScale>
    </cfRule>
  </conditionalFormatting>
  <conditionalFormatting sqref="L21 F21 R21">
    <cfRule type="colorScale" priority="119">
      <colorScale>
        <cfvo type="min"/>
        <cfvo type="percentile" val="50"/>
        <cfvo type="max"/>
        <color theme="3"/>
        <color rgb="FFE2E278"/>
        <color theme="6"/>
      </colorScale>
    </cfRule>
    <cfRule type="colorScale" priority="118">
      <colorScale>
        <cfvo type="min"/>
        <cfvo type="percentile" val="50"/>
        <cfvo type="max"/>
        <color theme="6"/>
        <color rgb="FFE2E278"/>
        <color theme="3"/>
      </colorScale>
    </cfRule>
  </conditionalFormatting>
  <conditionalFormatting sqref="L25 L12 F12 F25 R12 R25">
    <cfRule type="colorScale" priority="150">
      <colorScale>
        <cfvo type="min"/>
        <cfvo type="percentile" val="50"/>
        <cfvo type="max"/>
        <color theme="3"/>
        <color rgb="FFE2E278"/>
        <color theme="6"/>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showGridLines="0" zoomScaleNormal="100" workbookViewId="0"/>
  </sheetViews>
  <sheetFormatPr defaultColWidth="8.81640625" defaultRowHeight="15.5" outlineLevelRow="1" outlineLevelCol="1"/>
  <cols>
    <col min="1" max="1" width="2.1796875" style="557" customWidth="1"/>
    <col min="2" max="3" width="5.81640625" style="557" customWidth="1"/>
    <col min="4" max="5" width="18.453125" style="557" customWidth="1"/>
    <col min="6" max="7" width="18.453125" style="557" hidden="1" customWidth="1" outlineLevel="1"/>
    <col min="8" max="8" width="2" style="557" hidden="1" customWidth="1" outlineLevel="1"/>
    <col min="9" max="9" width="18.453125" style="557" customWidth="1" collapsed="1"/>
    <col min="10" max="11" width="18.453125" style="557" hidden="1" customWidth="1" outlineLevel="1"/>
    <col min="12" max="12" width="2" style="557" hidden="1" customWidth="1" outlineLevel="1"/>
    <col min="13" max="13" width="18.453125" style="557" customWidth="1" collapsed="1"/>
    <col min="14" max="15" width="18.453125" style="557" hidden="1" customWidth="1" outlineLevel="1"/>
    <col min="16" max="16" width="5.81640625" style="476" customWidth="1" collapsed="1"/>
    <col min="17" max="17" width="5.81640625" style="476" customWidth="1"/>
    <col min="18" max="18" width="36.453125" style="558" customWidth="1"/>
    <col min="19" max="19" width="72.453125" style="558" customWidth="1"/>
    <col min="20" max="20" width="2.1796875" style="558" customWidth="1"/>
    <col min="21" max="21" width="31.453125" style="558" customWidth="1"/>
    <col min="22" max="22" width="34.1796875" style="558" customWidth="1"/>
    <col min="23" max="23" width="3.1796875" style="558" customWidth="1"/>
    <col min="24" max="24" width="32.453125" style="558" customWidth="1"/>
    <col min="25" max="25" width="31.1796875" style="558" customWidth="1"/>
    <col min="26" max="28" width="8.81640625" style="558"/>
    <col min="29" max="16384" width="8.81640625" style="557"/>
  </cols>
  <sheetData>
    <row r="1" spans="2:28" ht="8.25" customHeight="1">
      <c r="B1" s="639"/>
      <c r="C1" s="639"/>
      <c r="D1" s="639"/>
      <c r="E1" s="639"/>
      <c r="F1" s="639"/>
      <c r="G1" s="639"/>
      <c r="H1" s="639"/>
      <c r="I1" s="639"/>
      <c r="J1" s="639"/>
      <c r="K1" s="639"/>
      <c r="L1" s="639"/>
      <c r="M1" s="639"/>
      <c r="N1" s="639"/>
      <c r="O1" s="639"/>
      <c r="P1" s="528"/>
      <c r="Q1" s="528"/>
    </row>
    <row r="2" spans="2:28" ht="29.5" customHeight="1">
      <c r="B2" s="1067" t="s">
        <v>201</v>
      </c>
      <c r="C2" s="1067"/>
      <c r="D2" s="1067"/>
      <c r="E2" s="1067"/>
      <c r="F2" s="1067"/>
      <c r="G2" s="1067"/>
      <c r="H2" s="1067"/>
      <c r="I2" s="1067"/>
      <c r="J2" s="1067"/>
      <c r="K2" s="1067"/>
      <c r="L2" s="1067"/>
      <c r="M2" s="1067"/>
      <c r="N2" s="1067"/>
      <c r="O2" s="1067"/>
      <c r="P2" s="1067"/>
      <c r="Q2" s="1067"/>
    </row>
    <row r="3" spans="2:28">
      <c r="B3" s="561"/>
      <c r="C3" s="561"/>
      <c r="D3" s="561"/>
      <c r="E3" s="561"/>
      <c r="F3" s="561"/>
      <c r="G3" s="561"/>
      <c r="H3" s="561"/>
      <c r="I3" s="561"/>
      <c r="J3" s="561"/>
      <c r="K3" s="561"/>
      <c r="L3" s="561"/>
      <c r="M3" s="561"/>
      <c r="N3" s="561"/>
      <c r="O3" s="561"/>
      <c r="P3" s="562"/>
      <c r="Q3" s="562"/>
    </row>
    <row r="4" spans="2:28" ht="60" customHeight="1">
      <c r="B4" s="565"/>
      <c r="C4" s="581"/>
      <c r="D4" s="1068" t="s">
        <v>202</v>
      </c>
      <c r="E4" s="1068"/>
      <c r="F4" s="1068"/>
      <c r="G4" s="1068"/>
      <c r="H4" s="1068"/>
      <c r="I4" s="1068"/>
      <c r="J4" s="1068"/>
      <c r="K4" s="1068"/>
      <c r="L4" s="1068"/>
      <c r="M4" s="1068"/>
      <c r="N4" s="1068"/>
      <c r="O4" s="1068"/>
      <c r="P4" s="582"/>
      <c r="Q4" s="562"/>
      <c r="R4" s="721"/>
      <c r="S4" s="721"/>
      <c r="T4" s="419"/>
      <c r="U4" s="419"/>
      <c r="V4" s="419"/>
      <c r="W4" s="419"/>
      <c r="X4" s="419"/>
      <c r="Y4" s="721"/>
    </row>
    <row r="5" spans="2:28" ht="8.5" customHeight="1">
      <c r="B5" s="565"/>
      <c r="C5" s="565"/>
      <c r="D5" s="578"/>
      <c r="E5" s="578"/>
      <c r="F5" s="578"/>
      <c r="G5" s="578"/>
      <c r="H5" s="578"/>
      <c r="I5" s="578"/>
      <c r="J5" s="578"/>
      <c r="K5" s="578"/>
      <c r="L5" s="578"/>
      <c r="M5" s="561"/>
      <c r="N5" s="578"/>
      <c r="O5" s="578"/>
      <c r="P5" s="562"/>
      <c r="Q5" s="562"/>
      <c r="R5" s="408"/>
      <c r="S5" s="407"/>
    </row>
    <row r="6" spans="2:28" ht="10.5" customHeight="1">
      <c r="B6" s="565"/>
      <c r="C6" s="565"/>
      <c r="D6" s="578"/>
      <c r="E6" s="578"/>
      <c r="F6" s="578"/>
      <c r="G6" s="578"/>
      <c r="H6" s="578"/>
      <c r="I6" s="578"/>
      <c r="J6" s="578"/>
      <c r="K6" s="578"/>
      <c r="L6" s="578"/>
      <c r="M6" s="561"/>
      <c r="N6" s="578"/>
      <c r="O6" s="578"/>
      <c r="P6" s="562"/>
      <c r="Q6" s="562"/>
      <c r="R6" s="721"/>
      <c r="S6" s="721"/>
    </row>
    <row r="7" spans="2:28" ht="69" customHeight="1">
      <c r="B7" s="565"/>
      <c r="C7" s="565"/>
      <c r="D7" s="578"/>
      <c r="E7" s="1056" t="s">
        <v>46</v>
      </c>
      <c r="F7" s="1056"/>
      <c r="G7" s="1056"/>
      <c r="H7" s="664"/>
      <c r="I7" s="1057" t="s">
        <v>203</v>
      </c>
      <c r="J7" s="1057"/>
      <c r="K7" s="1057"/>
      <c r="L7" s="664"/>
      <c r="M7" s="1058" t="s">
        <v>48</v>
      </c>
      <c r="N7" s="1058"/>
      <c r="O7" s="1058"/>
      <c r="P7" s="562"/>
      <c r="Q7" s="562"/>
      <c r="R7" s="721"/>
      <c r="S7" s="721"/>
    </row>
    <row r="8" spans="2:28" ht="65.25" customHeight="1">
      <c r="B8" s="565"/>
      <c r="C8" s="565"/>
      <c r="D8" s="578"/>
      <c r="E8" s="1053" t="s">
        <v>204</v>
      </c>
      <c r="F8" s="1053"/>
      <c r="G8" s="1053"/>
      <c r="H8" s="619"/>
      <c r="I8" s="1054" t="s">
        <v>188</v>
      </c>
      <c r="J8" s="1054"/>
      <c r="K8" s="1054"/>
      <c r="L8" s="619"/>
      <c r="M8" s="1055" t="s">
        <v>205</v>
      </c>
      <c r="N8" s="1055"/>
      <c r="O8" s="1055"/>
      <c r="P8" s="562"/>
      <c r="Q8" s="562"/>
      <c r="R8" s="721"/>
      <c r="S8" s="721"/>
    </row>
    <row r="9" spans="2:28" s="577" customFormat="1" ht="27" customHeight="1">
      <c r="B9" s="573"/>
      <c r="C9" s="573"/>
      <c r="D9" s="579"/>
      <c r="E9" s="638" t="str">
        <f>'Model Inputs'!E78</f>
        <v>Abrysvo, Pfizer</v>
      </c>
      <c r="F9" s="638" t="str">
        <f>'Model Inputs'!F78</f>
        <v>None</v>
      </c>
      <c r="G9" s="638" t="str">
        <f>'Model Inputs'!G78</f>
        <v>None</v>
      </c>
      <c r="H9" s="622"/>
      <c r="I9" s="638" t="str">
        <f>'Model Inputs'!H78</f>
        <v>Nirsevimab, AstraZeneca</v>
      </c>
      <c r="J9" s="638" t="str">
        <f>'Model Inputs'!I78</f>
        <v>None</v>
      </c>
      <c r="K9" s="638" t="str">
        <f>'Model Inputs'!J78</f>
        <v>None</v>
      </c>
      <c r="L9" s="622"/>
      <c r="M9" s="638" t="s">
        <v>206</v>
      </c>
      <c r="N9" s="638" t="str">
        <f>'Model Inputs'!K78</f>
        <v>None</v>
      </c>
      <c r="O9" s="638" t="str">
        <f>'Model Inputs'!L78</f>
        <v>None</v>
      </c>
      <c r="P9" s="574"/>
      <c r="Q9" s="574"/>
      <c r="R9" s="575"/>
      <c r="S9" s="724"/>
      <c r="T9" s="576"/>
      <c r="U9" s="1059"/>
      <c r="V9" s="1059"/>
      <c r="W9" s="576"/>
      <c r="X9" s="1059"/>
      <c r="Y9" s="1059"/>
      <c r="Z9" s="576"/>
      <c r="AA9" s="576"/>
      <c r="AB9" s="576"/>
    </row>
    <row r="10" spans="2:28" ht="35.25" hidden="1" customHeight="1">
      <c r="B10" s="565"/>
      <c r="C10" s="565"/>
      <c r="D10" s="712"/>
      <c r="E10" s="564" t="s">
        <v>207</v>
      </c>
      <c r="F10" s="564" t="s">
        <v>207</v>
      </c>
      <c r="G10" s="564" t="s">
        <v>207</v>
      </c>
      <c r="H10" s="564"/>
      <c r="I10" s="564" t="s">
        <v>208</v>
      </c>
      <c r="J10" s="564" t="s">
        <v>208</v>
      </c>
      <c r="K10" s="564" t="s">
        <v>208</v>
      </c>
      <c r="L10" s="564"/>
      <c r="M10" s="564" t="s">
        <v>209</v>
      </c>
      <c r="N10" s="564" t="s">
        <v>209</v>
      </c>
      <c r="O10" s="564" t="s">
        <v>209</v>
      </c>
      <c r="P10" s="562"/>
      <c r="Q10" s="562"/>
      <c r="R10" s="721"/>
      <c r="S10" s="721"/>
    </row>
    <row r="11" spans="2:28" ht="27" hidden="1" customHeight="1">
      <c r="B11" s="565"/>
      <c r="C11" s="565"/>
      <c r="E11" s="563" t="str">
        <f>E9</f>
        <v>Abrysvo, Pfizer</v>
      </c>
      <c r="F11" s="563" t="str">
        <f t="shared" ref="F11:O11" si="0">F9</f>
        <v>None</v>
      </c>
      <c r="G11" s="563" t="str">
        <f t="shared" si="0"/>
        <v>None</v>
      </c>
      <c r="H11" s="563"/>
      <c r="I11" s="563" t="str">
        <f t="shared" si="0"/>
        <v>Nirsevimab, AstraZeneca</v>
      </c>
      <c r="J11" s="563" t="str">
        <f t="shared" si="0"/>
        <v>None</v>
      </c>
      <c r="K11" s="563" t="str">
        <f t="shared" si="0"/>
        <v>None</v>
      </c>
      <c r="L11" s="563"/>
      <c r="M11" s="563" t="str">
        <f t="shared" si="0"/>
        <v>Both, total</v>
      </c>
      <c r="N11" s="563" t="str">
        <f t="shared" si="0"/>
        <v>None</v>
      </c>
      <c r="O11" s="563" t="str">
        <f t="shared" si="0"/>
        <v>None</v>
      </c>
      <c r="P11" s="562"/>
      <c r="Q11" s="562"/>
      <c r="R11" s="559"/>
      <c r="S11" s="721"/>
      <c r="U11" s="1060"/>
      <c r="V11" s="1060"/>
      <c r="X11" s="1060"/>
      <c r="Y11" s="1060"/>
    </row>
    <row r="12" spans="2:28" s="406" customFormat="1" ht="12" customHeight="1">
      <c r="B12" s="565"/>
      <c r="C12" s="565"/>
      <c r="D12" s="565"/>
      <c r="E12" s="565"/>
      <c r="F12" s="565"/>
      <c r="G12" s="565"/>
      <c r="H12" s="565"/>
      <c r="I12" s="565"/>
      <c r="J12" s="565"/>
      <c r="K12" s="565"/>
      <c r="L12" s="565"/>
      <c r="M12" s="565"/>
      <c r="N12" s="565"/>
      <c r="O12" s="565"/>
      <c r="P12" s="565"/>
      <c r="Q12" s="565"/>
      <c r="R12" s="532"/>
      <c r="S12" s="533"/>
      <c r="T12" s="409"/>
      <c r="U12" s="407"/>
      <c r="V12" s="409"/>
      <c r="W12" s="407"/>
      <c r="X12" s="407"/>
      <c r="Y12" s="407"/>
      <c r="Z12" s="407"/>
      <c r="AA12" s="407"/>
      <c r="AB12" s="407"/>
    </row>
    <row r="13" spans="2:28" ht="52" customHeight="1">
      <c r="B13" s="565"/>
      <c r="C13" s="565"/>
      <c r="D13" s="1063" t="s">
        <v>140</v>
      </c>
      <c r="E13" s="1063"/>
      <c r="F13" s="1063"/>
      <c r="G13" s="1063"/>
      <c r="H13" s="1063"/>
      <c r="I13" s="1063"/>
      <c r="J13" s="1063"/>
      <c r="K13" s="1063"/>
      <c r="L13" s="1063"/>
      <c r="M13" s="1063"/>
      <c r="N13" s="1063"/>
      <c r="O13" s="1063"/>
      <c r="P13" s="562"/>
      <c r="Q13" s="562"/>
      <c r="R13" s="534"/>
      <c r="S13" s="533"/>
      <c r="U13" s="1060"/>
      <c r="V13" s="1060"/>
      <c r="X13" s="1060"/>
      <c r="Y13" s="1060"/>
    </row>
    <row r="14" spans="2:28" ht="8.25" customHeight="1">
      <c r="B14" s="565"/>
      <c r="C14" s="565"/>
      <c r="D14" s="583"/>
      <c r="E14" s="583"/>
      <c r="F14" s="583"/>
      <c r="G14" s="583"/>
      <c r="H14" s="583"/>
      <c r="I14" s="583"/>
      <c r="J14" s="583"/>
      <c r="K14" s="583"/>
      <c r="L14" s="583"/>
      <c r="M14" s="583"/>
      <c r="N14" s="583"/>
      <c r="O14" s="583"/>
      <c r="P14" s="562"/>
      <c r="Q14" s="562"/>
      <c r="R14" s="534"/>
      <c r="S14" s="533"/>
      <c r="U14" s="721"/>
      <c r="V14" s="721"/>
      <c r="X14" s="721"/>
      <c r="Y14" s="721"/>
    </row>
    <row r="15" spans="2:28" ht="45" customHeight="1">
      <c r="B15" s="565"/>
      <c r="C15" s="565"/>
      <c r="D15" s="1069" t="s">
        <v>210</v>
      </c>
      <c r="E15" s="1069"/>
      <c r="F15" s="1069"/>
      <c r="G15" s="1069"/>
      <c r="H15" s="1069"/>
      <c r="I15" s="1069"/>
      <c r="J15" s="1069"/>
      <c r="K15" s="1069"/>
      <c r="L15" s="1069"/>
      <c r="M15" s="1069"/>
      <c r="N15" s="1069"/>
      <c r="O15" s="1069"/>
      <c r="P15" s="562"/>
      <c r="Q15" s="562"/>
      <c r="R15" s="534"/>
      <c r="S15" s="533"/>
      <c r="U15" s="721"/>
      <c r="V15" s="721"/>
      <c r="X15" s="721"/>
      <c r="Y15" s="721"/>
    </row>
    <row r="16" spans="2:28" ht="8.25" customHeight="1">
      <c r="B16" s="565"/>
      <c r="C16" s="565"/>
      <c r="D16" s="584"/>
      <c r="E16" s="584"/>
      <c r="F16" s="584"/>
      <c r="G16" s="584"/>
      <c r="H16" s="584"/>
      <c r="I16" s="584"/>
      <c r="J16" s="584"/>
      <c r="K16" s="584"/>
      <c r="L16" s="584"/>
      <c r="M16" s="584"/>
      <c r="N16" s="584"/>
      <c r="O16" s="584"/>
      <c r="P16" s="562"/>
      <c r="Q16" s="562"/>
      <c r="R16" s="534"/>
      <c r="S16" s="533"/>
      <c r="U16" s="721"/>
      <c r="V16" s="721"/>
      <c r="X16" s="721"/>
      <c r="Y16" s="721"/>
    </row>
    <row r="17" spans="2:25" ht="35.25" customHeight="1">
      <c r="B17" s="565"/>
      <c r="C17" s="565"/>
      <c r="D17" s="589" t="s">
        <v>211</v>
      </c>
      <c r="E17" s="535">
        <f>IF(E$9="None","",SUM(E18:E22))</f>
        <v>1061827.162</v>
      </c>
      <c r="F17" s="535" t="str">
        <f>IF(F18="","NA",SUM(F18:F22))</f>
        <v>NA</v>
      </c>
      <c r="G17" s="535" t="str">
        <f>IF(G18="","NA",SUM(G18:G22))</f>
        <v>NA</v>
      </c>
      <c r="H17" s="621"/>
      <c r="I17" s="535">
        <f t="shared" ref="I17" si="1">IF(I$9="None","",SUM(I18:I22))</f>
        <v>955644.44579999999</v>
      </c>
      <c r="J17" s="535" t="str">
        <f>IF(J18="","NA",SUM(J18:J22))</f>
        <v>NA</v>
      </c>
      <c r="K17" s="536" t="str">
        <f>IF(K18="","NA",SUM(K18:K22))</f>
        <v>NA</v>
      </c>
      <c r="L17" s="625"/>
      <c r="M17" s="540" t="str">
        <f t="shared" ref="M17:O17" si="2">IF(M18="","NA",SUM(M18:M22))</f>
        <v>NA</v>
      </c>
      <c r="N17" s="540" t="str">
        <f t="shared" si="2"/>
        <v>NA</v>
      </c>
      <c r="O17" s="540" t="str">
        <f t="shared" si="2"/>
        <v>NA</v>
      </c>
      <c r="P17" s="562"/>
      <c r="Q17" s="562"/>
      <c r="R17" s="534"/>
      <c r="S17" s="533"/>
      <c r="U17" s="721"/>
      <c r="V17" s="721"/>
      <c r="X17" s="721"/>
      <c r="Y17" s="721"/>
    </row>
    <row r="18" spans="2:25" ht="15.75" customHeight="1">
      <c r="B18" s="565"/>
      <c r="C18" s="565"/>
      <c r="D18" s="537">
        <f>'Model Inputs'!$E$26</f>
        <v>2025</v>
      </c>
      <c r="E18" s="538">
        <f>IF(E$9="None","",'Model Inputs'!$E$30*(1+'Model Inputs'!$E$34)^(D18-'Model Inputs'!$E$26))</f>
        <v>200000</v>
      </c>
      <c r="F18" s="538" t="str">
        <f>IF(F$9="None","", 'Model Inputs'!$E$30*(1+'Model Inputs'!$E$34)^(D18-'Model Inputs'!$E$26))</f>
        <v/>
      </c>
      <c r="G18" s="538" t="str">
        <f>IF(G$9="None","", 'Model Inputs'!$E$30*(1+'Model Inputs'!$E$34)^(D18-'Model Inputs'!$E$26))</f>
        <v/>
      </c>
      <c r="H18" s="588"/>
      <c r="I18" s="538">
        <f>IF(I$9="None","",'Model Inputs'!$H$30*(1+'Model Inputs'!$H$34)^(D18-'Model Inputs'!$E$26))</f>
        <v>180000</v>
      </c>
      <c r="J18" s="538" t="str">
        <f>IF(J$9="None","",'Model Inputs'!$H$30*(1+'Model Inputs'!$H$34)^(D18-'Model Inputs'!$E$26))</f>
        <v/>
      </c>
      <c r="K18" s="538" t="str">
        <f>IF(K$9="None","",'Model Inputs'!$H$30*(1+'Model Inputs'!$H$34)^(D18-'Model Inputs'!$E$26))</f>
        <v/>
      </c>
      <c r="L18" s="588"/>
      <c r="M18" s="538" t="str">
        <f>IFERROR(O18+N18,"")</f>
        <v/>
      </c>
      <c r="N18" s="538" t="str">
        <f>IF(N$9="None","",'Model Inputs'!$K$30*(1+'Model Inputs'!$K$34)^(D18-'Model Inputs'!$E$26))</f>
        <v/>
      </c>
      <c r="O18" s="538" t="str">
        <f>IFERROR(N18-(N18*'Model Inputs'!K37),"")</f>
        <v/>
      </c>
      <c r="P18" s="562"/>
      <c r="Q18" s="562"/>
      <c r="R18" s="539"/>
      <c r="S18" s="533"/>
      <c r="U18" s="534"/>
      <c r="V18" s="533"/>
      <c r="X18" s="534"/>
      <c r="Y18" s="533"/>
    </row>
    <row r="19" spans="2:25" ht="15.75" customHeight="1">
      <c r="B19" s="565"/>
      <c r="C19" s="565"/>
      <c r="D19" s="537">
        <f>'Model Inputs'!$E$26+1</f>
        <v>2026</v>
      </c>
      <c r="E19" s="538">
        <f>IF(E$9="None","",'Model Inputs'!$E$30*(1+'Model Inputs'!$E$34)^(D19-'Model Inputs'!$E$26))</f>
        <v>206000</v>
      </c>
      <c r="F19" s="538" t="str">
        <f>IF(F$9="None","", 'Model Inputs'!$E$30*(1+'Model Inputs'!$E$34)^(D19-'Model Inputs'!$E$26))</f>
        <v/>
      </c>
      <c r="G19" s="538" t="str">
        <f>IF(G$9="None","", 'Model Inputs'!$E$30*(1+'Model Inputs'!$E$34)^(D19-'Model Inputs'!$E$26))</f>
        <v/>
      </c>
      <c r="H19" s="588"/>
      <c r="I19" s="538">
        <f>IF(I$9="None","",'Model Inputs'!$H$30*(1+'Model Inputs'!$H$34)^(D19-'Model Inputs'!$E$26))</f>
        <v>185400</v>
      </c>
      <c r="J19" s="538" t="str">
        <f>IF(J$9="None","",'Model Inputs'!$H$30*(1+'Model Inputs'!$H$34)^(D19-'Model Inputs'!$E$26))</f>
        <v/>
      </c>
      <c r="K19" s="538" t="str">
        <f>IF(K$9="None","",'Model Inputs'!$H$30*(1+'Model Inputs'!$H$34)^(D19-'Model Inputs'!$E$26))</f>
        <v/>
      </c>
      <c r="L19" s="588"/>
      <c r="M19" s="538" t="str">
        <f t="shared" ref="M19:M22" si="3">IFERROR(O19+N19,"")</f>
        <v/>
      </c>
      <c r="N19" s="538" t="str">
        <f>IF(N$9="None","",'Model Inputs'!$K$30*(1+'Model Inputs'!$K$34)^(D19-'Model Inputs'!$E$26))</f>
        <v/>
      </c>
      <c r="O19" s="538" t="str">
        <f>IFERROR(N19-(N19*'Model Inputs'!K38),"")</f>
        <v/>
      </c>
      <c r="P19" s="562"/>
      <c r="Q19" s="562"/>
      <c r="R19" s="722"/>
      <c r="S19" s="723"/>
      <c r="U19" s="534"/>
      <c r="V19" s="533"/>
      <c r="X19" s="534"/>
      <c r="Y19" s="533"/>
    </row>
    <row r="20" spans="2:25" ht="15.75" customHeight="1">
      <c r="B20" s="565"/>
      <c r="C20" s="565"/>
      <c r="D20" s="537">
        <f>'Model Inputs'!$E$26+2</f>
        <v>2027</v>
      </c>
      <c r="E20" s="538">
        <f>IF(E$9="None","",'Model Inputs'!$E$30*(1+'Model Inputs'!$E$34)^(D20-'Model Inputs'!$E$26))</f>
        <v>212180</v>
      </c>
      <c r="F20" s="538" t="str">
        <f>IF(F$9="None","", 'Model Inputs'!$E$30*(1+'Model Inputs'!$E$34)^(D20-'Model Inputs'!$E$26))</f>
        <v/>
      </c>
      <c r="G20" s="538" t="str">
        <f>IF(G$9="None","", 'Model Inputs'!$E$30*(1+'Model Inputs'!$E$34)^(D20-'Model Inputs'!$E$26))</f>
        <v/>
      </c>
      <c r="H20" s="588"/>
      <c r="I20" s="538">
        <f>IF(I$9="None","",'Model Inputs'!$H$30*(1+'Model Inputs'!$H$34)^(D20-'Model Inputs'!$E$26))</f>
        <v>190962</v>
      </c>
      <c r="J20" s="538" t="str">
        <f>IF(J$9="None","",'Model Inputs'!$H$30*(1+'Model Inputs'!$H$34)^(D20-'Model Inputs'!$E$26))</f>
        <v/>
      </c>
      <c r="K20" s="538" t="str">
        <f>IF(K$9="None","",'Model Inputs'!$H$30*(1+'Model Inputs'!$H$34)^(D20-'Model Inputs'!$E$26))</f>
        <v/>
      </c>
      <c r="L20" s="588"/>
      <c r="M20" s="538" t="str">
        <f t="shared" si="3"/>
        <v/>
      </c>
      <c r="N20" s="538" t="str">
        <f>IF(N$9="None","",'Model Inputs'!$K$30*(1+'Model Inputs'!$K$34)^(D20-'Model Inputs'!$E$26))</f>
        <v/>
      </c>
      <c r="O20" s="538" t="str">
        <f>IFERROR(N20-(N20*'Model Inputs'!K39),"")</f>
        <v/>
      </c>
      <c r="P20" s="562"/>
      <c r="Q20" s="562"/>
      <c r="R20" s="1051"/>
      <c r="S20" s="1052"/>
      <c r="U20" s="534"/>
      <c r="V20" s="533"/>
      <c r="X20" s="534"/>
      <c r="Y20" s="533"/>
    </row>
    <row r="21" spans="2:25" ht="15.75" customHeight="1">
      <c r="B21" s="565"/>
      <c r="C21" s="565"/>
      <c r="D21" s="537">
        <f>'Model Inputs'!$E$26+3</f>
        <v>2028</v>
      </c>
      <c r="E21" s="538">
        <f>IF(E$9="None","",'Model Inputs'!$E$30*(1+'Model Inputs'!$E$34)^(D21-'Model Inputs'!$E$26))</f>
        <v>218545.4</v>
      </c>
      <c r="F21" s="538" t="str">
        <f>IF(F$9="None","", 'Model Inputs'!$E$30*(1+'Model Inputs'!$E$34)^(D21-'Model Inputs'!$E$26))</f>
        <v/>
      </c>
      <c r="G21" s="538" t="str">
        <f>IF(G$9="None","", 'Model Inputs'!$E$30*(1+'Model Inputs'!$E$34)^(D21-'Model Inputs'!$E$26))</f>
        <v/>
      </c>
      <c r="H21" s="588"/>
      <c r="I21" s="538">
        <f>IF(I$9="None","",'Model Inputs'!$H$30*(1+'Model Inputs'!$H$34)^(D21-'Model Inputs'!$E$26))</f>
        <v>196690.86000000002</v>
      </c>
      <c r="J21" s="538" t="str">
        <f>IF(J$9="None","",'Model Inputs'!$H$30*(1+'Model Inputs'!$H$34)^(D21-'Model Inputs'!$E$26))</f>
        <v/>
      </c>
      <c r="K21" s="538" t="str">
        <f>IF(K$9="None","",'Model Inputs'!$H$30*(1+'Model Inputs'!$H$34)^(D21-'Model Inputs'!$E$26))</f>
        <v/>
      </c>
      <c r="L21" s="588"/>
      <c r="M21" s="538" t="str">
        <f t="shared" si="3"/>
        <v/>
      </c>
      <c r="N21" s="538" t="str">
        <f>IF(N$9="None","",'Model Inputs'!$K$30*(1+'Model Inputs'!$K$34)^(D21-'Model Inputs'!$E$26))</f>
        <v/>
      </c>
      <c r="O21" s="538" t="str">
        <f>IFERROR(N21-(N21*'Model Inputs'!K40),"")</f>
        <v/>
      </c>
      <c r="P21" s="562"/>
      <c r="Q21" s="562"/>
      <c r="R21" s="534"/>
      <c r="S21" s="533"/>
      <c r="U21" s="534"/>
      <c r="V21" s="533"/>
      <c r="X21" s="534"/>
      <c r="Y21" s="533"/>
    </row>
    <row r="22" spans="2:25" ht="16" customHeight="1">
      <c r="B22" s="565"/>
      <c r="C22" s="565"/>
      <c r="D22" s="537">
        <f>'Model Inputs'!$E$26+4</f>
        <v>2029</v>
      </c>
      <c r="E22" s="538">
        <f>IF(E$9="None","",'Model Inputs'!$E$30*(1+'Model Inputs'!$E$34)^(D22-'Model Inputs'!$E$26))</f>
        <v>225101.76199999999</v>
      </c>
      <c r="F22" s="538" t="str">
        <f>IF(F$9="None","", 'Model Inputs'!$E$30*(1+'Model Inputs'!$E$34)^(D22-'Model Inputs'!$E$26))</f>
        <v/>
      </c>
      <c r="G22" s="538" t="str">
        <f>IF(G$9="None","", 'Model Inputs'!$E$30*(1+'Model Inputs'!$E$34)^(D22-'Model Inputs'!$E$26))</f>
        <v/>
      </c>
      <c r="H22" s="588"/>
      <c r="I22" s="538">
        <f>IF(I$9="None","",'Model Inputs'!$H$30*(1+'Model Inputs'!$H$34)^(D22-'Model Inputs'!$E$26))</f>
        <v>202591.58579999997</v>
      </c>
      <c r="J22" s="538" t="str">
        <f>IF(J$9="None","",'Model Inputs'!$H$30*(1+'Model Inputs'!$H$34)^(D22-'Model Inputs'!$E$26))</f>
        <v/>
      </c>
      <c r="K22" s="538" t="str">
        <f>IF(K$9="None","",'Model Inputs'!$H$30*(1+'Model Inputs'!$H$34)^(D22-'Model Inputs'!$E$26))</f>
        <v/>
      </c>
      <c r="L22" s="588"/>
      <c r="M22" s="538" t="str">
        <f t="shared" si="3"/>
        <v/>
      </c>
      <c r="N22" s="538" t="str">
        <f>IF(N$9="None","",'Model Inputs'!$K$30*(1+'Model Inputs'!$K$34)^(D22-'Model Inputs'!$E$26))</f>
        <v/>
      </c>
      <c r="O22" s="538" t="str">
        <f>IFERROR(N22-(N22*'Model Inputs'!K41),"")</f>
        <v/>
      </c>
      <c r="P22" s="562"/>
      <c r="Q22" s="562"/>
      <c r="R22" s="534"/>
      <c r="S22" s="533"/>
      <c r="U22" s="534"/>
      <c r="V22" s="533"/>
      <c r="X22" s="534"/>
      <c r="Y22" s="533"/>
    </row>
    <row r="23" spans="2:25" ht="8.25" customHeight="1">
      <c r="B23" s="565"/>
      <c r="C23" s="565"/>
      <c r="D23" s="587"/>
      <c r="E23" s="588"/>
      <c r="F23" s="588"/>
      <c r="G23" s="588"/>
      <c r="H23" s="588"/>
      <c r="I23" s="588"/>
      <c r="J23" s="588"/>
      <c r="K23" s="588"/>
      <c r="L23" s="588"/>
      <c r="M23" s="588"/>
      <c r="N23" s="588"/>
      <c r="O23" s="588"/>
      <c r="P23" s="562"/>
      <c r="Q23" s="562"/>
      <c r="R23" s="534"/>
      <c r="S23" s="533"/>
      <c r="U23" s="534"/>
      <c r="V23" s="533"/>
      <c r="X23" s="534"/>
      <c r="Y23" s="533"/>
    </row>
    <row r="24" spans="2:25" ht="45" customHeight="1">
      <c r="B24" s="565"/>
      <c r="C24" s="565"/>
      <c r="D24" s="1069" t="s">
        <v>212</v>
      </c>
      <c r="E24" s="1069"/>
      <c r="F24" s="1069"/>
      <c r="G24" s="1069"/>
      <c r="H24" s="1069"/>
      <c r="I24" s="1069"/>
      <c r="J24" s="1069"/>
      <c r="K24" s="1069"/>
      <c r="L24" s="1069"/>
      <c r="M24" s="1069"/>
      <c r="N24" s="1069"/>
      <c r="O24" s="1069"/>
      <c r="P24" s="562"/>
      <c r="Q24" s="562"/>
      <c r="R24" s="534"/>
      <c r="S24" s="533"/>
      <c r="U24" s="1060"/>
      <c r="V24" s="1060"/>
      <c r="X24" s="1060"/>
      <c r="Y24" s="1060"/>
    </row>
    <row r="25" spans="2:25" ht="8.25" customHeight="1">
      <c r="B25" s="565"/>
      <c r="C25" s="565"/>
      <c r="D25" s="590"/>
      <c r="E25" s="590"/>
      <c r="F25" s="590"/>
      <c r="G25" s="590"/>
      <c r="H25" s="578"/>
      <c r="I25" s="590"/>
      <c r="J25" s="590"/>
      <c r="K25" s="590"/>
      <c r="L25" s="578"/>
      <c r="M25" s="590"/>
      <c r="N25" s="590"/>
      <c r="O25" s="590"/>
      <c r="P25" s="562"/>
      <c r="Q25" s="562"/>
      <c r="R25" s="534"/>
      <c r="S25" s="533"/>
      <c r="U25" s="721"/>
      <c r="V25" s="721"/>
      <c r="X25" s="721"/>
      <c r="Y25" s="721"/>
    </row>
    <row r="26" spans="2:25" ht="35.25" customHeight="1">
      <c r="B26" s="565"/>
      <c r="C26" s="565"/>
      <c r="D26" s="589" t="s">
        <v>211</v>
      </c>
      <c r="E26" s="540">
        <f t="shared" ref="E26:O26" si="4">IF(E27="","NA",SUM(E27:E31))</f>
        <v>790153.90580000007</v>
      </c>
      <c r="F26" s="540" t="str">
        <f t="shared" si="4"/>
        <v>NA</v>
      </c>
      <c r="G26" s="540" t="str">
        <f t="shared" si="4"/>
        <v>NA</v>
      </c>
      <c r="H26" s="621"/>
      <c r="I26" s="540">
        <f t="shared" si="4"/>
        <v>711138.51521999994</v>
      </c>
      <c r="J26" s="540" t="str">
        <f t="shared" si="4"/>
        <v>NA</v>
      </c>
      <c r="K26" s="540" t="str">
        <f t="shared" si="4"/>
        <v>NA</v>
      </c>
      <c r="L26" s="621"/>
      <c r="M26" s="540" t="str">
        <f t="shared" si="4"/>
        <v>NA</v>
      </c>
      <c r="N26" s="540" t="str">
        <f t="shared" si="4"/>
        <v>NA</v>
      </c>
      <c r="O26" s="540" t="str">
        <f t="shared" si="4"/>
        <v>NA</v>
      </c>
      <c r="P26" s="562"/>
      <c r="Q26" s="562"/>
      <c r="R26" s="1051"/>
      <c r="S26" s="1052"/>
      <c r="U26" s="534"/>
      <c r="V26" s="533"/>
      <c r="X26" s="534"/>
      <c r="Y26" s="533"/>
    </row>
    <row r="27" spans="2:25">
      <c r="B27" s="565"/>
      <c r="C27" s="565"/>
      <c r="D27" s="537">
        <f>'Model Inputs'!$E$26</f>
        <v>2025</v>
      </c>
      <c r="E27" s="538">
        <f>IFERROR(E36+E45+E54,"")</f>
        <v>120000</v>
      </c>
      <c r="F27" s="538" t="str">
        <f t="shared" ref="F27:G27" si="5">IFERROR(F36+F45+F54,"")</f>
        <v/>
      </c>
      <c r="G27" s="538" t="str">
        <f t="shared" si="5"/>
        <v/>
      </c>
      <c r="H27" s="588"/>
      <c r="I27" s="538">
        <f t="shared" ref="I27:K27" si="6">IFERROR(I36+I45+I54,"")</f>
        <v>108000</v>
      </c>
      <c r="J27" s="538" t="str">
        <f t="shared" si="6"/>
        <v/>
      </c>
      <c r="K27" s="538" t="str">
        <f t="shared" si="6"/>
        <v/>
      </c>
      <c r="L27" s="588"/>
      <c r="M27" s="538" t="str">
        <f>IFERROR(O27+N27,"")</f>
        <v/>
      </c>
      <c r="N27" s="538" t="str">
        <f t="shared" ref="N27:O27" si="7">IFERROR(N36+N45+N54,"")</f>
        <v/>
      </c>
      <c r="O27" s="538" t="str">
        <f t="shared" si="7"/>
        <v/>
      </c>
      <c r="P27" s="562"/>
      <c r="Q27" s="562"/>
      <c r="R27" s="534"/>
      <c r="S27" s="533"/>
      <c r="U27" s="534"/>
      <c r="V27" s="533"/>
      <c r="X27" s="534"/>
      <c r="Y27" s="533"/>
    </row>
    <row r="28" spans="2:25">
      <c r="B28" s="565"/>
      <c r="C28" s="565"/>
      <c r="D28" s="537">
        <f>'Model Inputs'!$E$26+1</f>
        <v>2026</v>
      </c>
      <c r="E28" s="538">
        <f>IFERROR(E37+E46+E55,"")</f>
        <v>144200</v>
      </c>
      <c r="F28" s="538" t="str">
        <f t="shared" ref="F28:G31" si="8">IFERROR(F37+F46+F55,"")</f>
        <v/>
      </c>
      <c r="G28" s="538" t="str">
        <f t="shared" si="8"/>
        <v/>
      </c>
      <c r="H28" s="588"/>
      <c r="I28" s="538">
        <f t="shared" ref="I28:K28" si="9">IFERROR(I37+I46+I55,"")</f>
        <v>129779.99999999999</v>
      </c>
      <c r="J28" s="538" t="str">
        <f t="shared" si="9"/>
        <v/>
      </c>
      <c r="K28" s="538" t="str">
        <f t="shared" si="9"/>
        <v/>
      </c>
      <c r="L28" s="588"/>
      <c r="M28" s="538" t="str">
        <f t="shared" ref="M28:M31" si="10">IFERROR(O28+N28,"")</f>
        <v/>
      </c>
      <c r="N28" s="538" t="str">
        <f t="shared" ref="N28:O28" si="11">IFERROR(N37+N46+N55,"")</f>
        <v/>
      </c>
      <c r="O28" s="538" t="str">
        <f t="shared" si="11"/>
        <v/>
      </c>
      <c r="P28" s="562"/>
      <c r="Q28" s="562"/>
      <c r="R28" s="534"/>
      <c r="S28" s="533"/>
      <c r="U28" s="534"/>
      <c r="V28" s="533"/>
      <c r="X28" s="534"/>
      <c r="Y28" s="533"/>
    </row>
    <row r="29" spans="2:25">
      <c r="B29" s="565"/>
      <c r="C29" s="565"/>
      <c r="D29" s="537">
        <f>'Model Inputs'!$E$26+2</f>
        <v>2027</v>
      </c>
      <c r="E29" s="538">
        <f>IFERROR(E38+E47+E56,"")</f>
        <v>148526</v>
      </c>
      <c r="F29" s="538" t="str">
        <f t="shared" si="8"/>
        <v/>
      </c>
      <c r="G29" s="538" t="str">
        <f t="shared" si="8"/>
        <v/>
      </c>
      <c r="H29" s="588"/>
      <c r="I29" s="538">
        <f t="shared" ref="I29:K29" si="12">IFERROR(I38+I47+I56,"")</f>
        <v>133673.4</v>
      </c>
      <c r="J29" s="538" t="str">
        <f t="shared" si="12"/>
        <v/>
      </c>
      <c r="K29" s="538" t="str">
        <f t="shared" si="12"/>
        <v/>
      </c>
      <c r="L29" s="588"/>
      <c r="M29" s="538" t="str">
        <f t="shared" si="10"/>
        <v/>
      </c>
      <c r="N29" s="538" t="str">
        <f t="shared" ref="N29:O29" si="13">IFERROR(N38+N47+N56,"")</f>
        <v/>
      </c>
      <c r="O29" s="538" t="str">
        <f t="shared" si="13"/>
        <v/>
      </c>
      <c r="P29" s="562"/>
      <c r="Q29" s="562"/>
      <c r="R29" s="534"/>
      <c r="S29" s="533"/>
      <c r="U29" s="534"/>
      <c r="V29" s="533"/>
      <c r="X29" s="534"/>
      <c r="Y29" s="533"/>
    </row>
    <row r="30" spans="2:25">
      <c r="B30" s="565"/>
      <c r="C30" s="565"/>
      <c r="D30" s="537">
        <f>'Model Inputs'!$E$26+3</f>
        <v>2028</v>
      </c>
      <c r="E30" s="538">
        <f>IFERROR(E39+E48+E57,"")</f>
        <v>174836.32</v>
      </c>
      <c r="F30" s="538" t="str">
        <f t="shared" si="8"/>
        <v/>
      </c>
      <c r="G30" s="538" t="str">
        <f t="shared" si="8"/>
        <v/>
      </c>
      <c r="H30" s="588"/>
      <c r="I30" s="538">
        <f t="shared" ref="I30:K30" si="14">IFERROR(I39+I48+I57,"")</f>
        <v>157352.68800000002</v>
      </c>
      <c r="J30" s="538" t="str">
        <f t="shared" si="14"/>
        <v/>
      </c>
      <c r="K30" s="538" t="str">
        <f t="shared" si="14"/>
        <v/>
      </c>
      <c r="L30" s="588"/>
      <c r="M30" s="538" t="str">
        <f t="shared" si="10"/>
        <v/>
      </c>
      <c r="N30" s="538" t="str">
        <f t="shared" ref="N30:O30" si="15">IFERROR(N39+N48+N57,"")</f>
        <v/>
      </c>
      <c r="O30" s="538" t="str">
        <f t="shared" si="15"/>
        <v/>
      </c>
      <c r="P30" s="562"/>
      <c r="Q30" s="562"/>
      <c r="R30" s="534"/>
      <c r="S30" s="533"/>
      <c r="U30" s="534"/>
      <c r="V30" s="533"/>
      <c r="X30" s="534"/>
      <c r="Y30" s="533"/>
    </row>
    <row r="31" spans="2:25" ht="16" customHeight="1">
      <c r="B31" s="565"/>
      <c r="C31" s="565"/>
      <c r="D31" s="537">
        <f>'Model Inputs'!$E$26+4</f>
        <v>2029</v>
      </c>
      <c r="E31" s="538">
        <f>IFERROR(E40+E49+E58,"")</f>
        <v>202591.5858</v>
      </c>
      <c r="F31" s="538" t="str">
        <f t="shared" si="8"/>
        <v/>
      </c>
      <c r="G31" s="538" t="str">
        <f t="shared" si="8"/>
        <v/>
      </c>
      <c r="H31" s="588"/>
      <c r="I31" s="538">
        <f t="shared" ref="I31:K31" si="16">IFERROR(I40+I49+I58,"")</f>
        <v>182332.42721999998</v>
      </c>
      <c r="J31" s="538" t="str">
        <f t="shared" si="16"/>
        <v/>
      </c>
      <c r="K31" s="538" t="str">
        <f t="shared" si="16"/>
        <v/>
      </c>
      <c r="L31" s="588"/>
      <c r="M31" s="538" t="str">
        <f t="shared" si="10"/>
        <v/>
      </c>
      <c r="N31" s="538" t="str">
        <f t="shared" ref="N31:O31" si="17">IFERROR(N40+N49+N58,"")</f>
        <v/>
      </c>
      <c r="O31" s="538" t="str">
        <f t="shared" si="17"/>
        <v/>
      </c>
      <c r="P31" s="562"/>
      <c r="Q31" s="562"/>
      <c r="R31" s="534"/>
      <c r="S31" s="533"/>
      <c r="U31" s="534"/>
      <c r="V31" s="533"/>
      <c r="X31" s="534"/>
      <c r="Y31" s="533"/>
    </row>
    <row r="32" spans="2:25" ht="8.25" customHeight="1">
      <c r="B32" s="565"/>
      <c r="C32" s="565"/>
      <c r="D32" s="585"/>
      <c r="E32" s="586"/>
      <c r="F32" s="586"/>
      <c r="G32" s="586"/>
      <c r="H32" s="623"/>
      <c r="I32" s="586"/>
      <c r="J32" s="586"/>
      <c r="K32" s="586"/>
      <c r="L32" s="623"/>
      <c r="M32" s="586"/>
      <c r="N32" s="586"/>
      <c r="O32" s="586"/>
      <c r="P32" s="562"/>
      <c r="Q32" s="562"/>
      <c r="R32" s="534"/>
      <c r="S32" s="533"/>
      <c r="U32" s="534"/>
      <c r="V32" s="533"/>
      <c r="X32" s="534"/>
      <c r="Y32" s="533"/>
    </row>
    <row r="33" spans="2:25" ht="24" hidden="1" customHeight="1" outlineLevel="1">
      <c r="B33" s="565"/>
      <c r="C33" s="565"/>
      <c r="D33" s="1071" t="s">
        <v>213</v>
      </c>
      <c r="E33" s="1071"/>
      <c r="F33" s="1071"/>
      <c r="G33" s="1071"/>
      <c r="H33" s="1071"/>
      <c r="I33" s="1071"/>
      <c r="J33" s="1071"/>
      <c r="K33" s="1071"/>
      <c r="L33" s="1071"/>
      <c r="M33" s="1071"/>
      <c r="N33" s="1071"/>
      <c r="O33" s="1071"/>
      <c r="P33" s="562"/>
      <c r="Q33" s="562"/>
      <c r="R33" s="534"/>
      <c r="S33" s="533"/>
      <c r="U33" s="534"/>
      <c r="V33" s="533"/>
      <c r="X33" s="534"/>
      <c r="Y33" s="533"/>
    </row>
    <row r="34" spans="2:25" ht="8.25" hidden="1" customHeight="1" outlineLevel="1">
      <c r="B34" s="565"/>
      <c r="C34" s="565"/>
      <c r="D34" s="591"/>
      <c r="E34" s="591"/>
      <c r="F34" s="591"/>
      <c r="G34" s="591"/>
      <c r="H34" s="624"/>
      <c r="I34" s="591"/>
      <c r="J34" s="591"/>
      <c r="K34" s="591"/>
      <c r="L34" s="624"/>
      <c r="M34" s="591"/>
      <c r="N34" s="591"/>
      <c r="O34" s="591"/>
      <c r="P34" s="562"/>
      <c r="Q34" s="562"/>
      <c r="R34" s="534"/>
      <c r="S34" s="533"/>
      <c r="U34" s="534"/>
      <c r="V34" s="533"/>
      <c r="X34" s="534"/>
      <c r="Y34" s="533"/>
    </row>
    <row r="35" spans="2:25" ht="30" hidden="1" customHeight="1" outlineLevel="1">
      <c r="B35" s="565"/>
      <c r="C35" s="565"/>
      <c r="D35" s="541" t="s">
        <v>211</v>
      </c>
      <c r="E35" s="542">
        <f>SUM(E36:E40)</f>
        <v>790153.90580000007</v>
      </c>
      <c r="F35" s="542">
        <f>SUM(F36:F40)</f>
        <v>0</v>
      </c>
      <c r="G35" s="542">
        <f t="shared" ref="G35:K35" si="18">SUM(G36:G40)</f>
        <v>0</v>
      </c>
      <c r="H35" s="621"/>
      <c r="I35" s="542">
        <f t="shared" si="18"/>
        <v>711138.51521999994</v>
      </c>
      <c r="J35" s="542">
        <f t="shared" si="18"/>
        <v>0</v>
      </c>
      <c r="K35" s="542">
        <f t="shared" si="18"/>
        <v>0</v>
      </c>
      <c r="L35" s="621"/>
      <c r="M35" s="542">
        <f>SUM(M36:M40)</f>
        <v>0</v>
      </c>
      <c r="N35" s="542">
        <f t="shared" ref="N35:O35" si="19">SUM(N36:N40)</f>
        <v>0</v>
      </c>
      <c r="O35" s="542">
        <f t="shared" si="19"/>
        <v>0</v>
      </c>
      <c r="P35" s="562"/>
      <c r="Q35" s="562"/>
      <c r="R35" s="543" t="s">
        <v>214</v>
      </c>
      <c r="S35" s="533"/>
      <c r="U35" s="534"/>
      <c r="V35" s="533"/>
      <c r="X35" s="534"/>
      <c r="Y35" s="533"/>
    </row>
    <row r="36" spans="2:25" ht="16" hidden="1" customHeight="1" outlineLevel="1">
      <c r="B36" s="565"/>
      <c r="C36" s="565"/>
      <c r="D36" s="544">
        <f>'Model Inputs'!$E$26</f>
        <v>2025</v>
      </c>
      <c r="E36" s="545">
        <f>IF(E$9="None","",E18*'Model Inputs'!$E37)</f>
        <v>120000</v>
      </c>
      <c r="F36" s="545" t="str">
        <f>IF(F$9="None","",F18*'Model Inputs'!$E37)</f>
        <v/>
      </c>
      <c r="G36" s="545" t="str">
        <f>IF(G$9="None","",G18*'Model Inputs'!$E37)</f>
        <v/>
      </c>
      <c r="H36" s="588"/>
      <c r="I36" s="545">
        <f>IF(I$9="None","",I18*'Model Inputs'!$E37)</f>
        <v>108000</v>
      </c>
      <c r="J36" s="545" t="str">
        <f>IF(J$9="None","",J18*'Model Inputs'!$E37)</f>
        <v/>
      </c>
      <c r="K36" s="545" t="str">
        <f>IF(K$9="None","",K18*'Model Inputs'!$E37)</f>
        <v/>
      </c>
      <c r="L36" s="588"/>
      <c r="M36" s="545" t="str">
        <f>IFERROR(O36+N36,"")</f>
        <v/>
      </c>
      <c r="N36" s="545" t="str">
        <f>IF(N$9="None","",N18*'Model Inputs'!$K37)</f>
        <v/>
      </c>
      <c r="O36" s="545" t="str">
        <f>IFERROR(O18*'Model Inputs'!$L37,"")</f>
        <v/>
      </c>
      <c r="P36" s="562"/>
      <c r="Q36" s="562"/>
      <c r="R36" s="534"/>
      <c r="S36" s="533"/>
      <c r="U36" s="534"/>
      <c r="V36" s="533"/>
      <c r="X36" s="534"/>
      <c r="Y36" s="533"/>
    </row>
    <row r="37" spans="2:25" ht="16" hidden="1" customHeight="1" outlineLevel="1">
      <c r="B37" s="565"/>
      <c r="C37" s="565"/>
      <c r="D37" s="544">
        <f>'Model Inputs'!$E$26+1</f>
        <v>2026</v>
      </c>
      <c r="E37" s="545">
        <f>IF(E$9="None","",E19*'Model Inputs'!$E38)</f>
        <v>144200</v>
      </c>
      <c r="F37" s="545" t="str">
        <f>IF(F$9="None","",F19*'Model Inputs'!$E38)</f>
        <v/>
      </c>
      <c r="G37" s="545" t="str">
        <f>IF(G$9="None","",G19*'Model Inputs'!$E38)</f>
        <v/>
      </c>
      <c r="H37" s="588"/>
      <c r="I37" s="545">
        <f>IF(I$9="None","",I19*'Model Inputs'!$E38)</f>
        <v>129779.99999999999</v>
      </c>
      <c r="J37" s="545" t="str">
        <f>IF(J$9="None","",J19*'Model Inputs'!$E38)</f>
        <v/>
      </c>
      <c r="K37" s="545" t="str">
        <f>IF(K$9="None","",K19*'Model Inputs'!$E38)</f>
        <v/>
      </c>
      <c r="L37" s="588"/>
      <c r="M37" s="545" t="str">
        <f t="shared" ref="M37:M40" si="20">IFERROR(O37+N37,"")</f>
        <v/>
      </c>
      <c r="N37" s="545" t="str">
        <f>IF(N$9="None","",N19*'Model Inputs'!$K38)</f>
        <v/>
      </c>
      <c r="O37" s="545" t="str">
        <f>IFERROR(O19*'Model Inputs'!$L38,"")</f>
        <v/>
      </c>
      <c r="P37" s="562"/>
      <c r="Q37" s="562"/>
      <c r="R37" s="534"/>
      <c r="S37" s="533"/>
      <c r="U37" s="534"/>
      <c r="V37" s="533"/>
      <c r="X37" s="534"/>
      <c r="Y37" s="533"/>
    </row>
    <row r="38" spans="2:25" ht="16" hidden="1" customHeight="1" outlineLevel="1">
      <c r="B38" s="565"/>
      <c r="C38" s="565"/>
      <c r="D38" s="544">
        <f>'Model Inputs'!$E$26+2</f>
        <v>2027</v>
      </c>
      <c r="E38" s="545">
        <f>IF(E$9="None","",E20*'Model Inputs'!$E39)</f>
        <v>148526</v>
      </c>
      <c r="F38" s="545" t="str">
        <f>IF(F$9="None","",F20*'Model Inputs'!$E39)</f>
        <v/>
      </c>
      <c r="G38" s="545" t="str">
        <f>IF(G$9="None","",G20*'Model Inputs'!$E39)</f>
        <v/>
      </c>
      <c r="H38" s="588"/>
      <c r="I38" s="545">
        <f>IF(I$9="None","",I20*'Model Inputs'!$E39)</f>
        <v>133673.4</v>
      </c>
      <c r="J38" s="545" t="str">
        <f>IF(J$9="None","",J20*'Model Inputs'!$E39)</f>
        <v/>
      </c>
      <c r="K38" s="545" t="str">
        <f>IF(K$9="None","",K20*'Model Inputs'!$E39)</f>
        <v/>
      </c>
      <c r="L38" s="588"/>
      <c r="M38" s="545" t="str">
        <f t="shared" si="20"/>
        <v/>
      </c>
      <c r="N38" s="545" t="str">
        <f>IF(N$9="None","",N20*'Model Inputs'!$K39)</f>
        <v/>
      </c>
      <c r="O38" s="545" t="str">
        <f>IFERROR(O20*'Model Inputs'!$L39,"")</f>
        <v/>
      </c>
      <c r="P38" s="562"/>
      <c r="Q38" s="562"/>
      <c r="R38" s="534"/>
      <c r="S38" s="533"/>
      <c r="U38" s="534"/>
      <c r="V38" s="533"/>
      <c r="X38" s="534"/>
      <c r="Y38" s="533"/>
    </row>
    <row r="39" spans="2:25" ht="16" hidden="1" customHeight="1" outlineLevel="1">
      <c r="B39" s="565"/>
      <c r="C39" s="565"/>
      <c r="D39" s="544">
        <f>'Model Inputs'!$E$26+3</f>
        <v>2028</v>
      </c>
      <c r="E39" s="545">
        <f>IF(E$9="None","",E21*'Model Inputs'!$E40)</f>
        <v>174836.32</v>
      </c>
      <c r="F39" s="545" t="str">
        <f>IF(F$9="None","",F21*'Model Inputs'!$E40)</f>
        <v/>
      </c>
      <c r="G39" s="545" t="str">
        <f>IF(G$9="None","",G21*'Model Inputs'!$E40)</f>
        <v/>
      </c>
      <c r="H39" s="588"/>
      <c r="I39" s="545">
        <f>IF(I$9="None","",I21*'Model Inputs'!$E40)</f>
        <v>157352.68800000002</v>
      </c>
      <c r="J39" s="545" t="str">
        <f>IF(J$9="None","",J21*'Model Inputs'!$E40)</f>
        <v/>
      </c>
      <c r="K39" s="545" t="str">
        <f>IF(K$9="None","",K21*'Model Inputs'!$E40)</f>
        <v/>
      </c>
      <c r="L39" s="588"/>
      <c r="M39" s="545" t="str">
        <f t="shared" si="20"/>
        <v/>
      </c>
      <c r="N39" s="545" t="str">
        <f>IF(N$9="None","",N21*'Model Inputs'!$K40)</f>
        <v/>
      </c>
      <c r="O39" s="545" t="str">
        <f>IFERROR(O21*'Model Inputs'!$L40,"")</f>
        <v/>
      </c>
      <c r="P39" s="562"/>
      <c r="Q39" s="562"/>
      <c r="R39" s="534"/>
      <c r="S39" s="533"/>
      <c r="U39" s="534"/>
      <c r="V39" s="533"/>
      <c r="X39" s="534"/>
      <c r="Y39" s="533"/>
    </row>
    <row r="40" spans="2:25" ht="16" hidden="1" customHeight="1" outlineLevel="1">
      <c r="B40" s="565"/>
      <c r="C40" s="565"/>
      <c r="D40" s="544">
        <f>'Model Inputs'!$E$26+4</f>
        <v>2029</v>
      </c>
      <c r="E40" s="545">
        <f>IF(E$9="None","",E22*'Model Inputs'!$E41)</f>
        <v>202591.5858</v>
      </c>
      <c r="F40" s="545" t="str">
        <f>IF(F$9="None","",F22*'Model Inputs'!$E41)</f>
        <v/>
      </c>
      <c r="G40" s="545" t="str">
        <f>IF(G$9="None","",G22*'Model Inputs'!$E41)</f>
        <v/>
      </c>
      <c r="H40" s="588"/>
      <c r="I40" s="545">
        <f>IF(I$9="None","",I22*'Model Inputs'!$E41)</f>
        <v>182332.42721999998</v>
      </c>
      <c r="J40" s="545" t="str">
        <f>IF(J$9="None","",J22*'Model Inputs'!$E41)</f>
        <v/>
      </c>
      <c r="K40" s="545" t="str">
        <f>IF(K$9="None","",K22*'Model Inputs'!$E41)</f>
        <v/>
      </c>
      <c r="L40" s="588"/>
      <c r="M40" s="545" t="str">
        <f t="shared" si="20"/>
        <v/>
      </c>
      <c r="N40" s="545" t="str">
        <f>IF(N$9="None","",N22*'Model Inputs'!$K41)</f>
        <v/>
      </c>
      <c r="O40" s="545" t="str">
        <f>IFERROR(O22*'Model Inputs'!$L41,"")</f>
        <v/>
      </c>
      <c r="P40" s="562"/>
      <c r="Q40" s="562"/>
      <c r="R40" s="534"/>
      <c r="S40" s="533"/>
      <c r="U40" s="534"/>
      <c r="V40" s="533"/>
      <c r="X40" s="534"/>
      <c r="Y40" s="533"/>
    </row>
    <row r="41" spans="2:25" ht="8.25" hidden="1" customHeight="1" outlineLevel="1">
      <c r="B41" s="565"/>
      <c r="C41" s="565"/>
      <c r="D41" s="585"/>
      <c r="E41" s="586"/>
      <c r="F41" s="586"/>
      <c r="G41" s="586"/>
      <c r="H41" s="623"/>
      <c r="I41" s="586"/>
      <c r="J41" s="586"/>
      <c r="K41" s="586"/>
      <c r="L41" s="623"/>
      <c r="M41" s="586"/>
      <c r="N41" s="586"/>
      <c r="O41" s="586"/>
      <c r="P41" s="562"/>
      <c r="Q41" s="562"/>
      <c r="R41" s="534"/>
      <c r="S41" s="533"/>
      <c r="U41" s="534"/>
      <c r="V41" s="533"/>
      <c r="X41" s="534"/>
      <c r="Y41" s="533"/>
    </row>
    <row r="42" spans="2:25" ht="24" hidden="1" customHeight="1" outlineLevel="1">
      <c r="B42" s="565"/>
      <c r="C42" s="565"/>
      <c r="D42" s="1071" t="s">
        <v>215</v>
      </c>
      <c r="E42" s="1071"/>
      <c r="F42" s="1071"/>
      <c r="G42" s="1071"/>
      <c r="H42" s="1071"/>
      <c r="I42" s="1071"/>
      <c r="J42" s="1071"/>
      <c r="K42" s="1071"/>
      <c r="L42" s="1071"/>
      <c r="M42" s="1071"/>
      <c r="N42" s="1071"/>
      <c r="O42" s="1071"/>
      <c r="P42" s="562"/>
      <c r="Q42" s="562"/>
      <c r="R42" s="534"/>
      <c r="S42" s="533"/>
      <c r="U42" s="534"/>
      <c r="V42" s="533"/>
      <c r="X42" s="534"/>
      <c r="Y42" s="533"/>
    </row>
    <row r="43" spans="2:25" ht="8.25" hidden="1" customHeight="1" outlineLevel="1">
      <c r="B43" s="565"/>
      <c r="C43" s="565"/>
      <c r="D43" s="591"/>
      <c r="E43" s="591"/>
      <c r="F43" s="591"/>
      <c r="G43" s="591"/>
      <c r="H43" s="624"/>
      <c r="I43" s="591"/>
      <c r="J43" s="591"/>
      <c r="K43" s="591"/>
      <c r="L43" s="624"/>
      <c r="M43" s="591"/>
      <c r="N43" s="591"/>
      <c r="O43" s="591"/>
      <c r="P43" s="562"/>
      <c r="Q43" s="562"/>
      <c r="R43" s="534"/>
      <c r="S43" s="533"/>
      <c r="U43" s="534"/>
      <c r="V43" s="533"/>
      <c r="X43" s="534"/>
      <c r="Y43" s="533"/>
    </row>
    <row r="44" spans="2:25" ht="35.25" hidden="1" customHeight="1" outlineLevel="1">
      <c r="B44" s="565"/>
      <c r="C44" s="565"/>
      <c r="D44" s="541" t="s">
        <v>211</v>
      </c>
      <c r="E44" s="542">
        <f>SUM(E45:E49)</f>
        <v>0</v>
      </c>
      <c r="F44" s="542">
        <f>SUM(F45:F49)</f>
        <v>0</v>
      </c>
      <c r="G44" s="542">
        <f t="shared" ref="G44:K44" si="21">SUM(G45:G49)</f>
        <v>0</v>
      </c>
      <c r="H44" s="621"/>
      <c r="I44" s="542">
        <f t="shared" si="21"/>
        <v>0</v>
      </c>
      <c r="J44" s="542">
        <f t="shared" si="21"/>
        <v>0</v>
      </c>
      <c r="K44" s="542">
        <f t="shared" si="21"/>
        <v>0</v>
      </c>
      <c r="L44" s="621"/>
      <c r="M44" s="542">
        <f>SUM(M45:M49)</f>
        <v>0</v>
      </c>
      <c r="N44" s="542">
        <f t="shared" ref="N44:O44" si="22">SUM(N45:N49)</f>
        <v>0</v>
      </c>
      <c r="O44" s="542">
        <f t="shared" si="22"/>
        <v>0</v>
      </c>
      <c r="P44" s="562"/>
      <c r="Q44" s="562"/>
      <c r="R44" s="546" t="s">
        <v>216</v>
      </c>
      <c r="S44" s="533"/>
      <c r="U44" s="534"/>
      <c r="V44" s="533"/>
      <c r="X44" s="534"/>
      <c r="Y44" s="533"/>
    </row>
    <row r="45" spans="2:25" ht="16" hidden="1" customHeight="1" outlineLevel="1">
      <c r="B45" s="565"/>
      <c r="C45" s="565"/>
      <c r="D45" s="544">
        <f>'Model Inputs'!$E$26</f>
        <v>2025</v>
      </c>
      <c r="E45" s="545">
        <f>IF(E$9="None","",IF('Model Inputs'!E$88&gt;1, $E36*'Model Inputs'!$E43, 0))</f>
        <v>0</v>
      </c>
      <c r="F45" s="545" t="str">
        <f>IF(F$9="None","",IF('Model Inputs'!F$88&gt;1, F36*'Model Inputs'!$E43, 0))</f>
        <v/>
      </c>
      <c r="G45" s="545" t="str">
        <f>IF(G$9="None","",IF('Model Inputs'!G$88&gt;1, G36*'Model Inputs'!$E43, 0))</f>
        <v/>
      </c>
      <c r="H45" s="588"/>
      <c r="I45" s="545">
        <f>IF(I$9="None","",IF('Model Inputs'!H$88&gt;1, I36*'Model Inputs'!$H43, 0))</f>
        <v>0</v>
      </c>
      <c r="J45" s="545" t="str">
        <f>IF(J$9="None","",IF('Model Inputs'!I$88&gt;1, J36*'Model Inputs'!$H43, 0))</f>
        <v/>
      </c>
      <c r="K45" s="545" t="str">
        <f>IF(K$9="None","",IF('Model Inputs'!J$88&gt;1, K36*'Model Inputs'!$H43, 0))</f>
        <v/>
      </c>
      <c r="L45" s="588"/>
      <c r="M45" s="545" t="str">
        <f>IFERROR(O45+N45,"")</f>
        <v/>
      </c>
      <c r="N45" s="545" t="str">
        <f>IF(N$9="None","",IF('Model Inputs'!K$88&gt;1, N36*'Model Inputs'!$K43, 0))</f>
        <v/>
      </c>
      <c r="O45" s="545" t="str">
        <f>IFERROR(IF('Model Inputs'!L$88&gt;1, O36*'Model Inputs'!$L43, 0),"")</f>
        <v/>
      </c>
      <c r="P45" s="562"/>
      <c r="Q45" s="562"/>
      <c r="R45" s="534"/>
      <c r="S45" s="533"/>
      <c r="U45" s="534"/>
      <c r="V45" s="533"/>
      <c r="X45" s="534"/>
      <c r="Y45" s="533"/>
    </row>
    <row r="46" spans="2:25" ht="16" hidden="1" customHeight="1" outlineLevel="1">
      <c r="B46" s="565"/>
      <c r="C46" s="565"/>
      <c r="D46" s="544">
        <f>'Model Inputs'!$E$26+1</f>
        <v>2026</v>
      </c>
      <c r="E46" s="545">
        <f>IF(E$9="None","",IF('Model Inputs'!E$88&gt;1, $E37*'Model Inputs'!$E44, 0))</f>
        <v>0</v>
      </c>
      <c r="F46" s="545" t="str">
        <f>IF(F$9="None","",IF('Model Inputs'!F$88&gt;1, F37*'Model Inputs'!$E44, 0))</f>
        <v/>
      </c>
      <c r="G46" s="545" t="str">
        <f>IF(G$9="None","",IF('Model Inputs'!G$88&gt;1, G37*'Model Inputs'!$E44, 0))</f>
        <v/>
      </c>
      <c r="H46" s="588"/>
      <c r="I46" s="545">
        <f>IF(I$9="None","",IF('Model Inputs'!H$88&gt;1, I37*'Model Inputs'!$H44, 0))</f>
        <v>0</v>
      </c>
      <c r="J46" s="545" t="str">
        <f>IF(J$9="None","",IF('Model Inputs'!I$88&gt;1, J37*'Model Inputs'!$H44, 0))</f>
        <v/>
      </c>
      <c r="K46" s="545" t="str">
        <f>IF(K$9="None","",IF('Model Inputs'!J$88&gt;1, K37*'Model Inputs'!$H44, 0))</f>
        <v/>
      </c>
      <c r="L46" s="588"/>
      <c r="M46" s="545" t="str">
        <f t="shared" ref="M46:M49" si="23">IFERROR(O46+N46,"")</f>
        <v/>
      </c>
      <c r="N46" s="545" t="str">
        <f>IF(N$9="None","",IF('Model Inputs'!K$88&gt;1, N37*'Model Inputs'!$K44, 0))</f>
        <v/>
      </c>
      <c r="O46" s="545" t="str">
        <f>IFERROR(IF('Model Inputs'!L$88&gt;1, O37*'Model Inputs'!$L44, 0),"")</f>
        <v/>
      </c>
      <c r="P46" s="562"/>
      <c r="Q46" s="562"/>
      <c r="R46" s="534"/>
      <c r="S46" s="533"/>
      <c r="U46" s="534"/>
      <c r="V46" s="533"/>
      <c r="X46" s="534"/>
      <c r="Y46" s="533"/>
    </row>
    <row r="47" spans="2:25" ht="16" hidden="1" customHeight="1" outlineLevel="1">
      <c r="B47" s="565"/>
      <c r="C47" s="565"/>
      <c r="D47" s="544">
        <f>'Model Inputs'!$E$26+2</f>
        <v>2027</v>
      </c>
      <c r="E47" s="545">
        <f>IF(E$9="None","",IF('Model Inputs'!E$88&gt;1, $E38*'Model Inputs'!$E45, 0))</f>
        <v>0</v>
      </c>
      <c r="F47" s="545" t="str">
        <f>IF(F$9="None","",IF('Model Inputs'!F$88&gt;1, F38*'Model Inputs'!$E45, 0))</f>
        <v/>
      </c>
      <c r="G47" s="545" t="str">
        <f>IF(G$9="None","",IF('Model Inputs'!G$88&gt;1, G38*'Model Inputs'!$E45, 0))</f>
        <v/>
      </c>
      <c r="H47" s="588"/>
      <c r="I47" s="545">
        <f>IF(I$9="None","",IF('Model Inputs'!H$88&gt;1, I38*'Model Inputs'!$H45, 0))</f>
        <v>0</v>
      </c>
      <c r="J47" s="545" t="str">
        <f>IF(J$9="None","",IF('Model Inputs'!I$88&gt;1, J38*'Model Inputs'!$H45, 0))</f>
        <v/>
      </c>
      <c r="K47" s="545" t="str">
        <f>IF(K$9="None","",IF('Model Inputs'!J$88&gt;1, K38*'Model Inputs'!$H45, 0))</f>
        <v/>
      </c>
      <c r="L47" s="588"/>
      <c r="M47" s="545" t="str">
        <f t="shared" si="23"/>
        <v/>
      </c>
      <c r="N47" s="545" t="str">
        <f>IF(N$9="None","",IF('Model Inputs'!K$88&gt;1, N38*'Model Inputs'!$K45, 0))</f>
        <v/>
      </c>
      <c r="O47" s="545" t="str">
        <f>IFERROR(IF('Model Inputs'!L$88&gt;1, O38*'Model Inputs'!$L45, 0),"")</f>
        <v/>
      </c>
      <c r="P47" s="562"/>
      <c r="Q47" s="562"/>
      <c r="R47" s="534"/>
      <c r="S47" s="533"/>
      <c r="U47" s="534"/>
      <c r="V47" s="533"/>
      <c r="X47" s="534"/>
      <c r="Y47" s="533"/>
    </row>
    <row r="48" spans="2:25" ht="16" hidden="1" customHeight="1" outlineLevel="1">
      <c r="B48" s="565"/>
      <c r="C48" s="565"/>
      <c r="D48" s="544">
        <f>'Model Inputs'!$E$26+3</f>
        <v>2028</v>
      </c>
      <c r="E48" s="545">
        <f>IF(E$9="None","",IF('Model Inputs'!E$88&gt;1, $E39*'Model Inputs'!$E46, 0))</f>
        <v>0</v>
      </c>
      <c r="F48" s="545" t="str">
        <f>IF(F$9="None","",IF('Model Inputs'!F$88&gt;1, F39*'Model Inputs'!$E46, 0))</f>
        <v/>
      </c>
      <c r="G48" s="545" t="str">
        <f>IF(G$9="None","",IF('Model Inputs'!G$88&gt;1, G39*'Model Inputs'!$E46, 0))</f>
        <v/>
      </c>
      <c r="H48" s="588"/>
      <c r="I48" s="545">
        <f>IF(I$9="None","",IF('Model Inputs'!H$88&gt;1, I39*'Model Inputs'!$H46, 0))</f>
        <v>0</v>
      </c>
      <c r="J48" s="545" t="str">
        <f>IF(J$9="None","",IF('Model Inputs'!I$88&gt;1, J39*'Model Inputs'!$H46, 0))</f>
        <v/>
      </c>
      <c r="K48" s="545" t="str">
        <f>IF(K$9="None","",IF('Model Inputs'!J$88&gt;1, K39*'Model Inputs'!$H46, 0))</f>
        <v/>
      </c>
      <c r="L48" s="588"/>
      <c r="M48" s="545" t="str">
        <f t="shared" si="23"/>
        <v/>
      </c>
      <c r="N48" s="545" t="str">
        <f>IF(N$9="None","",IF('Model Inputs'!K$88&gt;1, N39*'Model Inputs'!$K46, 0))</f>
        <v/>
      </c>
      <c r="O48" s="545" t="str">
        <f>IFERROR(IF('Model Inputs'!L$88&gt;1, O39*'Model Inputs'!$L46, 0),"")</f>
        <v/>
      </c>
      <c r="P48" s="562"/>
      <c r="Q48" s="562"/>
      <c r="R48" s="534"/>
      <c r="S48" s="533"/>
      <c r="U48" s="534"/>
      <c r="V48" s="533"/>
      <c r="X48" s="534"/>
      <c r="Y48" s="533"/>
    </row>
    <row r="49" spans="2:25" ht="16" hidden="1" customHeight="1" outlineLevel="1">
      <c r="B49" s="565"/>
      <c r="C49" s="565"/>
      <c r="D49" s="544">
        <f>'Model Inputs'!$E$26+4</f>
        <v>2029</v>
      </c>
      <c r="E49" s="545">
        <f>IF(E$9="None","",IF('Model Inputs'!E$88&gt;1, $E40*'Model Inputs'!$E47, 0))</f>
        <v>0</v>
      </c>
      <c r="F49" s="545" t="str">
        <f>IF(F$9="None","",IF('Model Inputs'!F$88&gt;1, F40*'Model Inputs'!$E47, 0))</f>
        <v/>
      </c>
      <c r="G49" s="545" t="str">
        <f>IF(G$9="None","",IF('Model Inputs'!G$88&gt;1, G40*'Model Inputs'!$E47, 0))</f>
        <v/>
      </c>
      <c r="H49" s="588"/>
      <c r="I49" s="545">
        <f>IF(I$9="None","",IF('Model Inputs'!H$88&gt;1, I40*'Model Inputs'!$H47, 0))</f>
        <v>0</v>
      </c>
      <c r="J49" s="545" t="str">
        <f>IF(J$9="None","",IF('Model Inputs'!I$88&gt;1, J40*'Model Inputs'!$H47, 0))</f>
        <v/>
      </c>
      <c r="K49" s="545" t="str">
        <f>IF(K$9="None","",IF('Model Inputs'!J$88&gt;1, K40*'Model Inputs'!$H47, 0))</f>
        <v/>
      </c>
      <c r="L49" s="588"/>
      <c r="M49" s="545" t="str">
        <f t="shared" si="23"/>
        <v/>
      </c>
      <c r="N49" s="545" t="str">
        <f>IF(N$9="None","",IF('Model Inputs'!K$88&gt;1, N40*'Model Inputs'!$K47, 0))</f>
        <v/>
      </c>
      <c r="O49" s="545" t="str">
        <f>IFERROR(IF('Model Inputs'!L$88&gt;1, O40*'Model Inputs'!$L47, 0),"")</f>
        <v/>
      </c>
      <c r="P49" s="562"/>
      <c r="Q49" s="562"/>
      <c r="R49" s="534"/>
      <c r="S49" s="533"/>
      <c r="U49" s="534"/>
      <c r="V49" s="533"/>
      <c r="X49" s="534"/>
      <c r="Y49" s="533"/>
    </row>
    <row r="50" spans="2:25" ht="8.25" hidden="1" customHeight="1" outlineLevel="1">
      <c r="B50" s="565"/>
      <c r="C50" s="565"/>
      <c r="D50" s="585"/>
      <c r="E50" s="586"/>
      <c r="F50" s="586"/>
      <c r="G50" s="586"/>
      <c r="H50" s="623"/>
      <c r="I50" s="586"/>
      <c r="J50" s="586"/>
      <c r="K50" s="586"/>
      <c r="L50" s="623"/>
      <c r="M50" s="586"/>
      <c r="N50" s="586"/>
      <c r="O50" s="586"/>
      <c r="P50" s="562"/>
      <c r="Q50" s="562"/>
      <c r="R50" s="534"/>
      <c r="S50" s="533"/>
      <c r="U50" s="534"/>
      <c r="V50" s="533"/>
      <c r="X50" s="534"/>
      <c r="Y50" s="533"/>
    </row>
    <row r="51" spans="2:25" ht="24" hidden="1" customHeight="1" outlineLevel="1">
      <c r="B51" s="565"/>
      <c r="C51" s="565"/>
      <c r="D51" s="1071" t="s">
        <v>217</v>
      </c>
      <c r="E51" s="1071"/>
      <c r="F51" s="1071"/>
      <c r="G51" s="1071"/>
      <c r="H51" s="1071"/>
      <c r="I51" s="1071"/>
      <c r="J51" s="1071"/>
      <c r="K51" s="1071"/>
      <c r="L51" s="1071"/>
      <c r="M51" s="1071"/>
      <c r="N51" s="1071"/>
      <c r="O51" s="1071"/>
      <c r="P51" s="562"/>
      <c r="Q51" s="562"/>
      <c r="R51" s="534"/>
      <c r="S51" s="533"/>
      <c r="U51" s="534"/>
      <c r="V51" s="533"/>
      <c r="X51" s="534"/>
      <c r="Y51" s="533"/>
    </row>
    <row r="52" spans="2:25" ht="8.25" hidden="1" customHeight="1" outlineLevel="1">
      <c r="B52" s="565"/>
      <c r="C52" s="565"/>
      <c r="D52" s="591"/>
      <c r="E52" s="591"/>
      <c r="F52" s="591"/>
      <c r="G52" s="591"/>
      <c r="H52" s="624"/>
      <c r="I52" s="591"/>
      <c r="J52" s="591"/>
      <c r="K52" s="591"/>
      <c r="L52" s="624"/>
      <c r="M52" s="591"/>
      <c r="N52" s="591"/>
      <c r="O52" s="591"/>
      <c r="P52" s="562"/>
      <c r="Q52" s="562"/>
      <c r="R52" s="534"/>
      <c r="S52" s="533"/>
      <c r="U52" s="534"/>
      <c r="V52" s="533"/>
      <c r="X52" s="534"/>
      <c r="Y52" s="533"/>
    </row>
    <row r="53" spans="2:25" ht="35.25" hidden="1" customHeight="1" outlineLevel="1">
      <c r="B53" s="565"/>
      <c r="C53" s="565"/>
      <c r="D53" s="541" t="s">
        <v>211</v>
      </c>
      <c r="E53" s="542">
        <f>SUM(E54:E58)</f>
        <v>0</v>
      </c>
      <c r="F53" s="542">
        <f>SUM(F54:F58)</f>
        <v>0</v>
      </c>
      <c r="G53" s="542">
        <f t="shared" ref="G53:K53" si="24">SUM(G54:G58)</f>
        <v>0</v>
      </c>
      <c r="H53" s="621"/>
      <c r="I53" s="542">
        <f t="shared" si="24"/>
        <v>0</v>
      </c>
      <c r="J53" s="542">
        <f t="shared" si="24"/>
        <v>0</v>
      </c>
      <c r="K53" s="542">
        <f t="shared" si="24"/>
        <v>0</v>
      </c>
      <c r="L53" s="621"/>
      <c r="M53" s="542">
        <f>SUM(M54:M58)</f>
        <v>0</v>
      </c>
      <c r="N53" s="542">
        <f t="shared" ref="N53:O53" si="25">SUM(N54:N58)</f>
        <v>0</v>
      </c>
      <c r="O53" s="542">
        <f t="shared" si="25"/>
        <v>0</v>
      </c>
      <c r="P53" s="562"/>
      <c r="Q53" s="562"/>
      <c r="R53" s="546" t="s">
        <v>218</v>
      </c>
      <c r="S53" s="533"/>
      <c r="U53" s="534"/>
      <c r="V53" s="533"/>
      <c r="X53" s="534"/>
      <c r="Y53" s="533"/>
    </row>
    <row r="54" spans="2:25" ht="16" hidden="1" customHeight="1" outlineLevel="1">
      <c r="B54" s="565"/>
      <c r="C54" s="565"/>
      <c r="D54" s="544">
        <f>'Model Inputs'!$E$26</f>
        <v>2025</v>
      </c>
      <c r="E54" s="545">
        <f>IF(E$9="None","",IF('Model Inputs'!E$88&gt;2,  $E45*'Model Inputs'!$E49,0))</f>
        <v>0</v>
      </c>
      <c r="F54" s="545" t="str">
        <f>IF(F$9="None","",IF('Model Inputs'!F$88&gt;2,  F45*'Model Inputs'!$E49,0))</f>
        <v/>
      </c>
      <c r="G54" s="545" t="str">
        <f>IF(G$9="None","",IF('Model Inputs'!G$88&gt;2,  G45*'Model Inputs'!$E49,0))</f>
        <v/>
      </c>
      <c r="H54" s="588"/>
      <c r="I54" s="545">
        <f>IF(I$9="None","",IF('Model Inputs'!H$88&gt;2,  I45*'Model Inputs'!$H49,0))</f>
        <v>0</v>
      </c>
      <c r="J54" s="545" t="str">
        <f>IF(J$9="None","",IF('Model Inputs'!I$88&gt;2,  J45*'Model Inputs'!$H49,0))</f>
        <v/>
      </c>
      <c r="K54" s="545" t="str">
        <f>IF(K$9="None","",IF('Model Inputs'!J$88&gt;2,  K45*'Model Inputs'!$H49,0))</f>
        <v/>
      </c>
      <c r="L54" s="588"/>
      <c r="M54" s="545" t="str">
        <f>IFERROR(O54+N54,"")</f>
        <v/>
      </c>
      <c r="N54" s="545" t="str">
        <f>IF(N$9="None","",IF('Model Inputs'!K$88&gt;2,N45*'Model Inputs'!$K49,0))</f>
        <v/>
      </c>
      <c r="O54" s="545" t="str">
        <f>IFERROR(IF('Model Inputs'!L$88&gt;2, O45*'Model Inputs'!$K49, 0),"")</f>
        <v/>
      </c>
      <c r="P54" s="562"/>
      <c r="Q54" s="562"/>
      <c r="R54" s="534"/>
      <c r="S54" s="533"/>
      <c r="U54" s="534"/>
      <c r="V54" s="533"/>
      <c r="X54" s="534"/>
      <c r="Y54" s="533"/>
    </row>
    <row r="55" spans="2:25" ht="16" hidden="1" customHeight="1" outlineLevel="1">
      <c r="B55" s="565"/>
      <c r="C55" s="565"/>
      <c r="D55" s="544">
        <f>'Model Inputs'!$E$26+1</f>
        <v>2026</v>
      </c>
      <c r="E55" s="545">
        <f>IF(E$9="None","",IF('Model Inputs'!E$88&gt;2,  $E46*'Model Inputs'!$E50,0))</f>
        <v>0</v>
      </c>
      <c r="F55" s="545" t="str">
        <f>IF(F$9="None","",IF('Model Inputs'!F$88&gt;2,  F46*'Model Inputs'!$E50,0))</f>
        <v/>
      </c>
      <c r="G55" s="545" t="str">
        <f>IF(G$9="None","",IF('Model Inputs'!G$88&gt;2,  G46*'Model Inputs'!$E50,0))</f>
        <v/>
      </c>
      <c r="H55" s="588"/>
      <c r="I55" s="545">
        <f>IF(I$9="None","",IF('Model Inputs'!H$88&gt;2,  I46*'Model Inputs'!$H50,0))</f>
        <v>0</v>
      </c>
      <c r="J55" s="545" t="str">
        <f>IF(J$9="None","",IF('Model Inputs'!I$88&gt;2,  J46*'Model Inputs'!$H50,0))</f>
        <v/>
      </c>
      <c r="K55" s="545" t="str">
        <f>IF(K$9="None","",IF('Model Inputs'!J$88&gt;2,  K46*'Model Inputs'!$H50,0))</f>
        <v/>
      </c>
      <c r="L55" s="588"/>
      <c r="M55" s="545" t="str">
        <f t="shared" ref="M55:M58" si="26">IFERROR(O55+N55,"")</f>
        <v/>
      </c>
      <c r="N55" s="545" t="str">
        <f>IF(N$9="None","",IF('Model Inputs'!K$88&gt;2,N46*'Model Inputs'!$K50,0))</f>
        <v/>
      </c>
      <c r="O55" s="545" t="str">
        <f>IFERROR(IF('Model Inputs'!L$88&gt;2, O46*'Model Inputs'!$K50, 0),"")</f>
        <v/>
      </c>
      <c r="P55" s="562"/>
      <c r="Q55" s="562"/>
      <c r="R55" s="534"/>
      <c r="S55" s="533"/>
      <c r="U55" s="534"/>
      <c r="V55" s="533"/>
      <c r="X55" s="534"/>
      <c r="Y55" s="533"/>
    </row>
    <row r="56" spans="2:25" ht="16" hidden="1" customHeight="1" outlineLevel="1">
      <c r="B56" s="565"/>
      <c r="C56" s="565"/>
      <c r="D56" s="544">
        <f>'Model Inputs'!$E$26+2</f>
        <v>2027</v>
      </c>
      <c r="E56" s="545">
        <f>IF(E$9="None","",IF('Model Inputs'!E$88&gt;2,  $E47*'Model Inputs'!$E51,0))</f>
        <v>0</v>
      </c>
      <c r="F56" s="545" t="str">
        <f>IF(F$9="None","",IF('Model Inputs'!F$88&gt;2,  F47*'Model Inputs'!$E51,0))</f>
        <v/>
      </c>
      <c r="G56" s="545" t="str">
        <f>IF(G$9="None","",IF('Model Inputs'!G$88&gt;2,  G47*'Model Inputs'!$E51,0))</f>
        <v/>
      </c>
      <c r="H56" s="588"/>
      <c r="I56" s="545">
        <f>IF(I$9="None","",IF('Model Inputs'!H$88&gt;2,  I47*'Model Inputs'!$H51,0))</f>
        <v>0</v>
      </c>
      <c r="J56" s="545" t="str">
        <f>IF(J$9="None","",IF('Model Inputs'!I$88&gt;2,  J47*'Model Inputs'!$H51,0))</f>
        <v/>
      </c>
      <c r="K56" s="545" t="str">
        <f>IF(K$9="None","",IF('Model Inputs'!J$88&gt;2,  K47*'Model Inputs'!$H51,0))</f>
        <v/>
      </c>
      <c r="L56" s="588"/>
      <c r="M56" s="545" t="str">
        <f t="shared" si="26"/>
        <v/>
      </c>
      <c r="N56" s="545" t="str">
        <f>IF(N$9="None","",IF('Model Inputs'!K$88&gt;2,N47*'Model Inputs'!$K51,0))</f>
        <v/>
      </c>
      <c r="O56" s="545" t="str">
        <f>IFERROR(IF('Model Inputs'!L$88&gt;2, O47*'Model Inputs'!$K51, 0),"")</f>
        <v/>
      </c>
      <c r="P56" s="562"/>
      <c r="Q56" s="562"/>
      <c r="R56" s="534"/>
      <c r="S56" s="533"/>
      <c r="U56" s="534"/>
      <c r="V56" s="533"/>
      <c r="X56" s="534"/>
      <c r="Y56" s="533"/>
    </row>
    <row r="57" spans="2:25" ht="16" hidden="1" customHeight="1" outlineLevel="1">
      <c r="B57" s="565"/>
      <c r="C57" s="565"/>
      <c r="D57" s="544">
        <f>'Model Inputs'!$E$26+3</f>
        <v>2028</v>
      </c>
      <c r="E57" s="545">
        <f>IF(E$9="None","",IF('Model Inputs'!E$88&gt;2,  $E48*'Model Inputs'!$E52,0))</f>
        <v>0</v>
      </c>
      <c r="F57" s="545" t="str">
        <f>IF(F$9="None","",IF('Model Inputs'!F$88&gt;2,  F48*'Model Inputs'!$E52,0))</f>
        <v/>
      </c>
      <c r="G57" s="545" t="str">
        <f>IF(G$9="None","",IF('Model Inputs'!G$88&gt;2,  G48*'Model Inputs'!$E52,0))</f>
        <v/>
      </c>
      <c r="H57" s="588"/>
      <c r="I57" s="545">
        <f>IF(I$9="None","",IF('Model Inputs'!H$88&gt;2,  I48*'Model Inputs'!$H52,0))</f>
        <v>0</v>
      </c>
      <c r="J57" s="545" t="str">
        <f>IF(J$9="None","",IF('Model Inputs'!I$88&gt;2,  J48*'Model Inputs'!$H52,0))</f>
        <v/>
      </c>
      <c r="K57" s="545" t="str">
        <f>IF(K$9="None","",IF('Model Inputs'!J$88&gt;2,  K48*'Model Inputs'!$H52,0))</f>
        <v/>
      </c>
      <c r="L57" s="588"/>
      <c r="M57" s="545" t="str">
        <f t="shared" si="26"/>
        <v/>
      </c>
      <c r="N57" s="545" t="str">
        <f>IF(N$9="None","",IF('Model Inputs'!K$88&gt;2,N48*'Model Inputs'!$K52,0))</f>
        <v/>
      </c>
      <c r="O57" s="545" t="str">
        <f>IFERROR(IF('Model Inputs'!L$88&gt;2, O48*'Model Inputs'!$K52, 0),"")</f>
        <v/>
      </c>
      <c r="P57" s="562"/>
      <c r="Q57" s="562"/>
      <c r="R57" s="534"/>
      <c r="S57" s="533"/>
      <c r="U57" s="534"/>
      <c r="V57" s="533"/>
      <c r="X57" s="534"/>
      <c r="Y57" s="533"/>
    </row>
    <row r="58" spans="2:25" ht="16" hidden="1" customHeight="1" outlineLevel="1">
      <c r="B58" s="565"/>
      <c r="C58" s="565"/>
      <c r="D58" s="544">
        <f>'Model Inputs'!$E$26+4</f>
        <v>2029</v>
      </c>
      <c r="E58" s="545">
        <f>IF(E$9="None","",IF('Model Inputs'!E$88&gt;2,  $E49*'Model Inputs'!$E53,0))</f>
        <v>0</v>
      </c>
      <c r="F58" s="545" t="str">
        <f>IF(F$9="None","",IF('Model Inputs'!F$88&gt;2,  F49*'Model Inputs'!$E53,0))</f>
        <v/>
      </c>
      <c r="G58" s="545" t="str">
        <f>IF(G$9="None","",IF('Model Inputs'!G$88&gt;2,  G49*'Model Inputs'!$E53,0))</f>
        <v/>
      </c>
      <c r="H58" s="588"/>
      <c r="I58" s="545">
        <f>IF(I$9="None","",IF('Model Inputs'!H$88&gt;2,  I49*'Model Inputs'!$H53,0))</f>
        <v>0</v>
      </c>
      <c r="J58" s="545" t="str">
        <f>IF(J$9="None","",IF('Model Inputs'!I$88&gt;2,  J49*'Model Inputs'!$H53,0))</f>
        <v/>
      </c>
      <c r="K58" s="545" t="str">
        <f>IF(K$9="None","",IF('Model Inputs'!J$88&gt;2,  K49*'Model Inputs'!$H53,0))</f>
        <v/>
      </c>
      <c r="L58" s="588"/>
      <c r="M58" s="545" t="str">
        <f t="shared" si="26"/>
        <v/>
      </c>
      <c r="N58" s="545" t="str">
        <f>IF(N$9="None","",IF('Model Inputs'!K$88&gt;2,N49*'Model Inputs'!$K53,0))</f>
        <v/>
      </c>
      <c r="O58" s="545" t="str">
        <f>IFERROR(IF('Model Inputs'!L$88&gt;2, O49*'Model Inputs'!$K53, 0),"")</f>
        <v/>
      </c>
      <c r="P58" s="562"/>
      <c r="Q58" s="562"/>
      <c r="R58" s="534"/>
      <c r="S58" s="533"/>
      <c r="U58" s="534"/>
      <c r="V58" s="533"/>
      <c r="X58" s="534"/>
      <c r="Y58" s="533"/>
    </row>
    <row r="59" spans="2:25" ht="8.25" hidden="1" customHeight="1" outlineLevel="1">
      <c r="B59" s="565"/>
      <c r="C59" s="565"/>
      <c r="D59" s="613"/>
      <c r="E59" s="614"/>
      <c r="F59" s="614"/>
      <c r="G59" s="614"/>
      <c r="H59" s="588"/>
      <c r="I59" s="614"/>
      <c r="J59" s="614"/>
      <c r="K59" s="614"/>
      <c r="L59" s="588"/>
      <c r="M59" s="614"/>
      <c r="N59" s="614"/>
      <c r="O59" s="614"/>
      <c r="P59" s="562"/>
      <c r="Q59" s="562"/>
      <c r="R59" s="534"/>
      <c r="S59" s="533"/>
      <c r="U59" s="534"/>
      <c r="V59" s="533"/>
      <c r="X59" s="534"/>
      <c r="Y59" s="533"/>
    </row>
    <row r="60" spans="2:25" s="558" customFormat="1" ht="45" customHeight="1" collapsed="1">
      <c r="B60" s="565"/>
      <c r="C60" s="565"/>
      <c r="D60" s="1070" t="s">
        <v>219</v>
      </c>
      <c r="E60" s="1070"/>
      <c r="F60" s="1070"/>
      <c r="G60" s="1070"/>
      <c r="H60" s="1070"/>
      <c r="I60" s="1070"/>
      <c r="J60" s="1070"/>
      <c r="K60" s="1070"/>
      <c r="L60" s="1070"/>
      <c r="M60" s="1070"/>
      <c r="N60" s="1070"/>
      <c r="O60" s="1070"/>
      <c r="P60" s="561"/>
      <c r="Q60" s="561"/>
      <c r="R60" s="1061"/>
      <c r="S60" s="1060"/>
      <c r="U60" s="1061"/>
      <c r="V60" s="1060"/>
      <c r="X60" s="1061"/>
      <c r="Y60" s="1060"/>
    </row>
    <row r="61" spans="2:25" s="558" customFormat="1" ht="8.25" customHeight="1">
      <c r="B61" s="565"/>
      <c r="C61" s="565"/>
      <c r="D61" s="599"/>
      <c r="E61" s="599"/>
      <c r="F61" s="599"/>
      <c r="G61" s="599"/>
      <c r="H61" s="619"/>
      <c r="I61" s="599"/>
      <c r="J61" s="599"/>
      <c r="K61" s="599"/>
      <c r="L61" s="619"/>
      <c r="M61" s="599"/>
      <c r="N61" s="599"/>
      <c r="O61" s="599"/>
      <c r="P61" s="561"/>
      <c r="Q61" s="561"/>
      <c r="R61" s="720"/>
      <c r="S61" s="721"/>
      <c r="U61" s="720"/>
      <c r="V61" s="721"/>
      <c r="X61" s="720"/>
      <c r="Y61" s="721"/>
    </row>
    <row r="62" spans="2:25" s="558" customFormat="1" ht="35.25" customHeight="1">
      <c r="B62" s="565"/>
      <c r="C62" s="565"/>
      <c r="D62" s="615" t="s">
        <v>211</v>
      </c>
      <c r="E62" s="540">
        <f>IF(E63="","NA",SUM(E63:E67))</f>
        <v>928596.6806722224</v>
      </c>
      <c r="F62" s="540" t="str">
        <f t="shared" ref="F62:I62" si="27">IF(F63="","NA",SUM(F63:F67))</f>
        <v>NA</v>
      </c>
      <c r="G62" s="540" t="str">
        <f t="shared" si="27"/>
        <v>NA</v>
      </c>
      <c r="H62" s="621"/>
      <c r="I62" s="540">
        <f t="shared" si="27"/>
        <v>835737.01260500005</v>
      </c>
      <c r="J62" s="540" t="str">
        <f>IF(J63="","NA",SUM(J63:J67))</f>
        <v>NA</v>
      </c>
      <c r="K62" s="540" t="str">
        <f>IF(K63="","NA",SUM(K63:K67))</f>
        <v>NA</v>
      </c>
      <c r="L62" s="621"/>
      <c r="M62" s="540" t="str">
        <f>IF(M63="","NA",SUM(M63:M67))</f>
        <v>NA</v>
      </c>
      <c r="N62" s="540" t="str">
        <f t="shared" ref="N62:O62" si="28">IF(N63="","NA",SUM(N63:N67))</f>
        <v>NA</v>
      </c>
      <c r="O62" s="540" t="str">
        <f t="shared" si="28"/>
        <v>NA</v>
      </c>
      <c r="P62" s="561"/>
      <c r="Q62" s="561"/>
      <c r="R62" s="532"/>
      <c r="S62" s="533"/>
      <c r="U62" s="534"/>
      <c r="V62" s="533"/>
      <c r="X62" s="534"/>
      <c r="Y62" s="533"/>
    </row>
    <row r="63" spans="2:25">
      <c r="B63" s="565"/>
      <c r="C63" s="565"/>
      <c r="D63" s="537">
        <f>'Model Inputs'!$E$26</f>
        <v>2025</v>
      </c>
      <c r="E63" s="547">
        <f>IF(E$9="None","",E27*'Model Inputs'!E$92+E90)</f>
        <v>163333.33333333334</v>
      </c>
      <c r="F63" s="547" t="str">
        <f>IFERROR(F27*'Model Inputs'!F$92+F90,"")</f>
        <v/>
      </c>
      <c r="G63" s="547" t="str">
        <f>IFERROR(G27*'Model Inputs'!G$92+G90,"")</f>
        <v/>
      </c>
      <c r="H63" s="588"/>
      <c r="I63" s="547">
        <f>IFERROR(I27*'Model Inputs'!H$92+I90,"")</f>
        <v>147000</v>
      </c>
      <c r="J63" s="547" t="str">
        <f>IFERROR(J27*'Model Inputs'!I$92+J90,"")</f>
        <v/>
      </c>
      <c r="K63" s="547" t="str">
        <f>IFERROR(K27*'Model Inputs'!J$92+K90,"")</f>
        <v/>
      </c>
      <c r="L63" s="588"/>
      <c r="M63" s="547" t="str">
        <f>IFERROR(O63+N63,"")</f>
        <v/>
      </c>
      <c r="N63" s="547" t="str">
        <f>IFERROR(N27*'Model Inputs'!K$92+N90,"")</f>
        <v/>
      </c>
      <c r="O63" s="547" t="str">
        <f>IFERROR(O27*'Model Inputs'!L$92+O90,"")</f>
        <v/>
      </c>
      <c r="P63" s="562"/>
      <c r="Q63" s="562"/>
      <c r="R63" s="548"/>
      <c r="S63" s="533"/>
      <c r="U63" s="534"/>
      <c r="V63" s="533"/>
      <c r="X63" s="534"/>
      <c r="Y63" s="533"/>
    </row>
    <row r="64" spans="2:25">
      <c r="B64" s="565"/>
      <c r="C64" s="565"/>
      <c r="D64" s="537">
        <f>'Model Inputs'!$E$26+1</f>
        <v>2026</v>
      </c>
      <c r="E64" s="547">
        <f>IF(E$9="None","",E28*'Model Inputs'!E$92+E91)</f>
        <v>166272.22222222222</v>
      </c>
      <c r="F64" s="547" t="str">
        <f>IFERROR(F28*'Model Inputs'!F$92+F91,"")</f>
        <v/>
      </c>
      <c r="G64" s="547" t="str">
        <f>IFERROR(G28*'Model Inputs'!G$92+G91,"")</f>
        <v/>
      </c>
      <c r="H64" s="588"/>
      <c r="I64" s="547">
        <f>IFERROR(I28*'Model Inputs'!H$92+I91,"")</f>
        <v>149645</v>
      </c>
      <c r="J64" s="547" t="str">
        <f>IFERROR(J28*'Model Inputs'!I$92+J91,"")</f>
        <v/>
      </c>
      <c r="K64" s="547" t="str">
        <f>IFERROR(K28*'Model Inputs'!J$92+K91,"")</f>
        <v/>
      </c>
      <c r="L64" s="588"/>
      <c r="M64" s="547" t="str">
        <f t="shared" ref="M64:M67" si="29">IFERROR(O64+N64,"")</f>
        <v/>
      </c>
      <c r="N64" s="547" t="str">
        <f>IFERROR(N28*'Model Inputs'!K$92+N91,"")</f>
        <v/>
      </c>
      <c r="O64" s="547" t="str">
        <f>IFERROR(O28*'Model Inputs'!L$92+O91,"")</f>
        <v/>
      </c>
      <c r="P64" s="562"/>
      <c r="Q64" s="562"/>
      <c r="R64" s="546"/>
      <c r="S64" s="533"/>
      <c r="U64" s="534"/>
      <c r="V64" s="533"/>
      <c r="X64" s="534"/>
      <c r="Y64" s="533"/>
    </row>
    <row r="65" spans="2:25">
      <c r="B65" s="565"/>
      <c r="C65" s="565"/>
      <c r="D65" s="537">
        <f>'Model Inputs'!$E$26+2</f>
        <v>2027</v>
      </c>
      <c r="E65" s="547">
        <f>IF(E$9="None","",E29*'Model Inputs'!E$92+E92)</f>
        <v>166110.38888888891</v>
      </c>
      <c r="F65" s="547" t="str">
        <f>IFERROR(F29*'Model Inputs'!F$92+F92,"")</f>
        <v/>
      </c>
      <c r="G65" s="547" t="str">
        <f>IFERROR(G29*'Model Inputs'!G$92+G92,"")</f>
        <v/>
      </c>
      <c r="H65" s="588"/>
      <c r="I65" s="547">
        <f>IFERROR(I29*'Model Inputs'!H$92+I92,"")</f>
        <v>149499.35</v>
      </c>
      <c r="J65" s="547" t="str">
        <f>IFERROR(J29*'Model Inputs'!I$92+J92,"")</f>
        <v/>
      </c>
      <c r="K65" s="547" t="str">
        <f>IFERROR(K29*'Model Inputs'!J$92+K92,"")</f>
        <v/>
      </c>
      <c r="L65" s="588"/>
      <c r="M65" s="547" t="str">
        <f t="shared" si="29"/>
        <v/>
      </c>
      <c r="N65" s="547" t="str">
        <f>IFERROR(N29*'Model Inputs'!K$92+N92,"")</f>
        <v/>
      </c>
      <c r="O65" s="547" t="str">
        <f>IFERROR(O29*'Model Inputs'!L$92+O92,"")</f>
        <v/>
      </c>
      <c r="P65" s="562"/>
      <c r="Q65" s="562"/>
      <c r="R65" s="534"/>
      <c r="S65" s="533"/>
      <c r="U65" s="534"/>
      <c r="V65" s="533"/>
      <c r="X65" s="534"/>
      <c r="Y65" s="533"/>
    </row>
    <row r="66" spans="2:25">
      <c r="B66" s="565"/>
      <c r="C66" s="565"/>
      <c r="D66" s="537">
        <f>'Model Inputs'!$E$26+3</f>
        <v>2028</v>
      </c>
      <c r="E66" s="547">
        <f>IF(E$9="None","",E30*'Model Inputs'!E$92+E93)</f>
        <v>200840.15777777781</v>
      </c>
      <c r="F66" s="547" t="str">
        <f>IFERROR(F30*'Model Inputs'!F$92+F93,"")</f>
        <v/>
      </c>
      <c r="G66" s="547" t="str">
        <f>IFERROR(G30*'Model Inputs'!G$92+G93,"")</f>
        <v/>
      </c>
      <c r="H66" s="588"/>
      <c r="I66" s="547">
        <f>IFERROR(I30*'Model Inputs'!H$92+I93,"")</f>
        <v>180756.14200000005</v>
      </c>
      <c r="J66" s="547" t="str">
        <f>IFERROR(J30*'Model Inputs'!I$92+J93,"")</f>
        <v/>
      </c>
      <c r="K66" s="547" t="str">
        <f>IFERROR(K30*'Model Inputs'!J$92+K93,"")</f>
        <v/>
      </c>
      <c r="L66" s="588"/>
      <c r="M66" s="547" t="str">
        <f t="shared" si="29"/>
        <v/>
      </c>
      <c r="N66" s="547" t="str">
        <f>IFERROR(N30*'Model Inputs'!K$92+N93,"")</f>
        <v/>
      </c>
      <c r="O66" s="547" t="str">
        <f>IFERROR(O30*'Model Inputs'!L$92+O93,"")</f>
        <v/>
      </c>
      <c r="P66" s="562"/>
      <c r="Q66" s="562"/>
      <c r="R66" s="534"/>
      <c r="S66" s="533"/>
      <c r="U66" s="534"/>
      <c r="V66" s="533"/>
      <c r="X66" s="534"/>
      <c r="Y66" s="533"/>
    </row>
    <row r="67" spans="2:25" ht="16" customHeight="1">
      <c r="B67" s="565"/>
      <c r="C67" s="565"/>
      <c r="D67" s="537">
        <f>'Model Inputs'!$E$26+4</f>
        <v>2029</v>
      </c>
      <c r="E67" s="547">
        <f>IF(E$9="None","",E31*'Model Inputs'!E$92+E94)</f>
        <v>232040.57845000003</v>
      </c>
      <c r="F67" s="547" t="str">
        <f>IFERROR(F31*'Model Inputs'!F$92+F94,"")</f>
        <v/>
      </c>
      <c r="G67" s="547" t="str">
        <f>IFERROR(G31*'Model Inputs'!G$92+G94,"")</f>
        <v/>
      </c>
      <c r="H67" s="588"/>
      <c r="I67" s="547">
        <f>IFERROR(I31*'Model Inputs'!H$92+I94,"")</f>
        <v>208836.520605</v>
      </c>
      <c r="J67" s="547" t="str">
        <f>IFERROR(J31*'Model Inputs'!I$92+J94,"")</f>
        <v/>
      </c>
      <c r="K67" s="547" t="str">
        <f>IFERROR(K31*'Model Inputs'!J$92+K94,"")</f>
        <v/>
      </c>
      <c r="L67" s="588"/>
      <c r="M67" s="547" t="str">
        <f t="shared" si="29"/>
        <v/>
      </c>
      <c r="N67" s="547" t="str">
        <f>IFERROR(N31*'Model Inputs'!K$92+N94,"")</f>
        <v/>
      </c>
      <c r="O67" s="547" t="str">
        <f>IFERROR(O31*'Model Inputs'!L$92+O94,"")</f>
        <v/>
      </c>
      <c r="P67" s="562"/>
      <c r="Q67" s="562"/>
      <c r="R67" s="534"/>
      <c r="S67" s="533"/>
      <c r="U67" s="534"/>
      <c r="V67" s="533"/>
      <c r="X67" s="534"/>
      <c r="Y67" s="533"/>
    </row>
    <row r="68" spans="2:25" ht="8.25" customHeight="1">
      <c r="B68" s="565"/>
      <c r="C68" s="565"/>
      <c r="D68" s="585"/>
      <c r="E68" s="586"/>
      <c r="F68" s="586"/>
      <c r="G68" s="586"/>
      <c r="H68" s="623"/>
      <c r="I68" s="586"/>
      <c r="J68" s="586"/>
      <c r="K68" s="586"/>
      <c r="L68" s="623"/>
      <c r="M68" s="586"/>
      <c r="N68" s="586"/>
      <c r="O68" s="586"/>
      <c r="P68" s="562"/>
      <c r="Q68" s="562"/>
      <c r="R68" s="534"/>
      <c r="S68" s="533"/>
      <c r="U68" s="534"/>
      <c r="V68" s="533"/>
      <c r="X68" s="534"/>
      <c r="Y68" s="533"/>
    </row>
    <row r="69" spans="2:25" ht="24" hidden="1" customHeight="1" outlineLevel="1">
      <c r="B69" s="565"/>
      <c r="C69" s="565"/>
      <c r="D69" s="1064" t="s">
        <v>220</v>
      </c>
      <c r="E69" s="1064"/>
      <c r="F69" s="1064"/>
      <c r="G69" s="1064"/>
      <c r="H69" s="1064"/>
      <c r="I69" s="1064"/>
      <c r="J69" s="1064"/>
      <c r="K69" s="1064"/>
      <c r="L69" s="1064"/>
      <c r="M69" s="1064"/>
      <c r="N69" s="1064"/>
      <c r="O69" s="1064"/>
      <c r="P69" s="562"/>
      <c r="Q69" s="562"/>
      <c r="R69" s="534"/>
      <c r="S69" s="533"/>
      <c r="U69" s="534"/>
      <c r="V69" s="533"/>
      <c r="X69" s="534"/>
      <c r="Y69" s="533"/>
    </row>
    <row r="70" spans="2:25" ht="8.25" hidden="1" customHeight="1" outlineLevel="1">
      <c r="B70" s="565"/>
      <c r="C70" s="565"/>
      <c r="D70" s="592"/>
      <c r="E70" s="592"/>
      <c r="F70" s="592"/>
      <c r="G70" s="592"/>
      <c r="H70" s="626"/>
      <c r="I70" s="592"/>
      <c r="J70" s="592"/>
      <c r="K70" s="592"/>
      <c r="L70" s="626"/>
      <c r="M70" s="592"/>
      <c r="N70" s="592"/>
      <c r="O70" s="592"/>
      <c r="P70" s="562"/>
      <c r="Q70" s="562"/>
      <c r="R70" s="534"/>
      <c r="S70" s="533"/>
      <c r="U70" s="534"/>
      <c r="V70" s="533"/>
      <c r="X70" s="534"/>
      <c r="Y70" s="533"/>
    </row>
    <row r="71" spans="2:25" ht="35.25" hidden="1" customHeight="1" outlineLevel="1">
      <c r="B71" s="565"/>
      <c r="C71" s="565"/>
      <c r="D71" s="603" t="s">
        <v>211</v>
      </c>
      <c r="E71" s="593">
        <f>IF(E72="","NA",SUM(E72:E76))</f>
        <v>197538.47645000002</v>
      </c>
      <c r="F71" s="593" t="str">
        <f>IF(F72="","NA",SUM(F72:F76))</f>
        <v>NA</v>
      </c>
      <c r="G71" s="593" t="str">
        <f>IF(G72="","NA",SUM(G72:G76))</f>
        <v>NA</v>
      </c>
      <c r="H71" s="628"/>
      <c r="I71" s="593">
        <f>IF(I72="","NA",SUM(I72:I76))</f>
        <v>177784.62880499999</v>
      </c>
      <c r="J71" s="593" t="str">
        <f>IF(J72="","NA",SUM(J72:J76))</f>
        <v>NA</v>
      </c>
      <c r="K71" s="593" t="str">
        <f>IF(K72="","NA",SUM(K72:K76))</f>
        <v>NA</v>
      </c>
      <c r="L71" s="628"/>
      <c r="M71" s="593" t="str">
        <f>IF(M72="","NA",SUM(M72:M76))</f>
        <v>NA</v>
      </c>
      <c r="N71" s="593" t="str">
        <f>IF(N72="","NA",SUM(N72:N76))</f>
        <v>NA</v>
      </c>
      <c r="O71" s="593" t="str">
        <f>IF(O72="","NA",SUM(O72:O76))</f>
        <v>NA</v>
      </c>
      <c r="P71" s="562"/>
      <c r="Q71" s="562"/>
      <c r="R71" s="548" t="s">
        <v>221</v>
      </c>
      <c r="S71" s="533"/>
      <c r="U71" s="534"/>
      <c r="V71" s="533"/>
      <c r="X71" s="534"/>
      <c r="Y71" s="533"/>
    </row>
    <row r="72" spans="2:25" ht="16" hidden="1" customHeight="1" outlineLevel="1">
      <c r="B72" s="565"/>
      <c r="C72" s="565"/>
      <c r="D72" s="604">
        <f>'Model Inputs'!$E$26</f>
        <v>2025</v>
      </c>
      <c r="E72" s="594">
        <f>IFERROR(E27*'Model Inputs'!E$93,"")</f>
        <v>30000</v>
      </c>
      <c r="F72" s="594" t="str">
        <f>IFERROR(F27*'Model Inputs'!F$93,"")</f>
        <v/>
      </c>
      <c r="G72" s="594" t="str">
        <f>IFERROR(G27*'Model Inputs'!G$93,"")</f>
        <v/>
      </c>
      <c r="H72" s="629"/>
      <c r="I72" s="594">
        <f>IFERROR(I27*'Model Inputs'!H$93,"")</f>
        <v>27000</v>
      </c>
      <c r="J72" s="594" t="str">
        <f>IFERROR(J27*'Model Inputs'!I$93,"")</f>
        <v/>
      </c>
      <c r="K72" s="594" t="str">
        <f>IFERROR(K27*'Model Inputs'!J$93,"")</f>
        <v/>
      </c>
      <c r="L72" s="629"/>
      <c r="M72" s="594" t="str">
        <f>IFERROR(O72+N72,"")</f>
        <v/>
      </c>
      <c r="N72" s="594" t="str">
        <f>IFERROR(N27*'Model Inputs'!K$93,"")</f>
        <v/>
      </c>
      <c r="O72" s="594" t="str">
        <f>IFERROR(O27*'Model Inputs'!L$93,"")</f>
        <v/>
      </c>
      <c r="P72" s="562"/>
      <c r="Q72" s="562"/>
      <c r="R72" s="539"/>
      <c r="S72" s="533"/>
      <c r="U72" s="534"/>
      <c r="V72" s="533"/>
      <c r="X72" s="534"/>
      <c r="Y72" s="533"/>
    </row>
    <row r="73" spans="2:25" ht="16" hidden="1" customHeight="1" outlineLevel="1">
      <c r="B73" s="565"/>
      <c r="C73" s="565"/>
      <c r="D73" s="604">
        <f>'Model Inputs'!$E$26+1</f>
        <v>2026</v>
      </c>
      <c r="E73" s="594">
        <f>IFERROR(E28*'Model Inputs'!E$93,"")</f>
        <v>36050</v>
      </c>
      <c r="F73" s="594" t="str">
        <f>IFERROR(F28*'Model Inputs'!F$93,"")</f>
        <v/>
      </c>
      <c r="G73" s="594" t="str">
        <f>IFERROR(G28*'Model Inputs'!G$93,"")</f>
        <v/>
      </c>
      <c r="H73" s="629"/>
      <c r="I73" s="594">
        <f>IFERROR(I28*'Model Inputs'!H$93,"")</f>
        <v>32444.999999999996</v>
      </c>
      <c r="J73" s="594" t="str">
        <f>IFERROR(J28*'Model Inputs'!I$93,"")</f>
        <v/>
      </c>
      <c r="K73" s="594" t="str">
        <f>IFERROR(K28*'Model Inputs'!J$93,"")</f>
        <v/>
      </c>
      <c r="L73" s="629"/>
      <c r="M73" s="594" t="str">
        <f t="shared" ref="M73:M76" si="30">IFERROR(O73+N73,"")</f>
        <v/>
      </c>
      <c r="N73" s="594" t="str">
        <f>IFERROR(N28*'Model Inputs'!K$93,"")</f>
        <v/>
      </c>
      <c r="O73" s="594" t="str">
        <f>IFERROR(O28*'Model Inputs'!L$93,"")</f>
        <v/>
      </c>
      <c r="P73" s="562"/>
      <c r="Q73" s="562"/>
      <c r="R73" s="534"/>
      <c r="S73" s="533"/>
      <c r="U73" s="534"/>
      <c r="V73" s="533"/>
      <c r="X73" s="534"/>
      <c r="Y73" s="533"/>
    </row>
    <row r="74" spans="2:25" ht="16" hidden="1" customHeight="1" outlineLevel="1">
      <c r="B74" s="565"/>
      <c r="C74" s="565"/>
      <c r="D74" s="604">
        <f>'Model Inputs'!$E$26+2</f>
        <v>2027</v>
      </c>
      <c r="E74" s="594">
        <f>IFERROR(E29*'Model Inputs'!E$93,"")</f>
        <v>37131.5</v>
      </c>
      <c r="F74" s="594" t="str">
        <f>IFERROR(F29*'Model Inputs'!F$93,"")</f>
        <v/>
      </c>
      <c r="G74" s="594" t="str">
        <f>IFERROR(G29*'Model Inputs'!G$93,"")</f>
        <v/>
      </c>
      <c r="H74" s="629"/>
      <c r="I74" s="594">
        <f>IFERROR(I29*'Model Inputs'!H$93,"")</f>
        <v>33418.35</v>
      </c>
      <c r="J74" s="594" t="str">
        <f>IFERROR(J29*'Model Inputs'!I$93,"")</f>
        <v/>
      </c>
      <c r="K74" s="594" t="str">
        <f>IFERROR(K29*'Model Inputs'!J$93,"")</f>
        <v/>
      </c>
      <c r="L74" s="629"/>
      <c r="M74" s="594" t="str">
        <f t="shared" si="30"/>
        <v/>
      </c>
      <c r="N74" s="594" t="str">
        <f>IFERROR(N29*'Model Inputs'!K$93,"")</f>
        <v/>
      </c>
      <c r="O74" s="594" t="str">
        <f>IFERROR(O29*'Model Inputs'!L$93,"")</f>
        <v/>
      </c>
      <c r="P74" s="562"/>
      <c r="Q74" s="562"/>
      <c r="R74" s="534"/>
      <c r="S74" s="533"/>
      <c r="U74" s="534"/>
      <c r="V74" s="533"/>
      <c r="X74" s="534"/>
      <c r="Y74" s="533"/>
    </row>
    <row r="75" spans="2:25" ht="16" hidden="1" customHeight="1" outlineLevel="1">
      <c r="B75" s="565"/>
      <c r="C75" s="565"/>
      <c r="D75" s="604">
        <f>'Model Inputs'!$E$26+3</f>
        <v>2028</v>
      </c>
      <c r="E75" s="594">
        <f>IFERROR(E30*'Model Inputs'!E$93,"")</f>
        <v>43709.08</v>
      </c>
      <c r="F75" s="594" t="str">
        <f>IFERROR(F30*'Model Inputs'!F$93,"")</f>
        <v/>
      </c>
      <c r="G75" s="594" t="str">
        <f>IFERROR(G30*'Model Inputs'!G$93,"")</f>
        <v/>
      </c>
      <c r="H75" s="629"/>
      <c r="I75" s="594">
        <f>IFERROR(I30*'Model Inputs'!H$93,"")</f>
        <v>39338.172000000006</v>
      </c>
      <c r="J75" s="594" t="str">
        <f>IFERROR(J30*'Model Inputs'!I$93,"")</f>
        <v/>
      </c>
      <c r="K75" s="594" t="str">
        <f>IFERROR(K30*'Model Inputs'!J$93,"")</f>
        <v/>
      </c>
      <c r="L75" s="629"/>
      <c r="M75" s="594" t="str">
        <f t="shared" si="30"/>
        <v/>
      </c>
      <c r="N75" s="594" t="str">
        <f>IFERROR(N30*'Model Inputs'!K$93,"")</f>
        <v/>
      </c>
      <c r="O75" s="594" t="str">
        <f>IFERROR(O30*'Model Inputs'!L$93,"")</f>
        <v/>
      </c>
      <c r="P75" s="562"/>
      <c r="Q75" s="562"/>
      <c r="R75" s="534"/>
      <c r="S75" s="533"/>
      <c r="U75" s="534"/>
      <c r="V75" s="533"/>
      <c r="X75" s="534"/>
      <c r="Y75" s="533"/>
    </row>
    <row r="76" spans="2:25" ht="16" hidden="1" customHeight="1" outlineLevel="1">
      <c r="B76" s="565"/>
      <c r="C76" s="565"/>
      <c r="D76" s="604">
        <f>'Model Inputs'!$E$26+4</f>
        <v>2029</v>
      </c>
      <c r="E76" s="594">
        <f>IFERROR(E31*'Model Inputs'!E$93,"")</f>
        <v>50647.89645</v>
      </c>
      <c r="F76" s="594" t="str">
        <f>IFERROR(F31*'Model Inputs'!F$93,"")</f>
        <v/>
      </c>
      <c r="G76" s="594" t="str">
        <f>IFERROR(G31*'Model Inputs'!G$93,"")</f>
        <v/>
      </c>
      <c r="H76" s="629"/>
      <c r="I76" s="594">
        <f>IFERROR(I31*'Model Inputs'!H$93,"")</f>
        <v>45583.106804999996</v>
      </c>
      <c r="J76" s="594" t="str">
        <f>IFERROR(J31*'Model Inputs'!I$93,"")</f>
        <v/>
      </c>
      <c r="K76" s="594" t="str">
        <f>IFERROR(K31*'Model Inputs'!J$93,"")</f>
        <v/>
      </c>
      <c r="L76" s="629"/>
      <c r="M76" s="594" t="str">
        <f t="shared" si="30"/>
        <v/>
      </c>
      <c r="N76" s="594" t="str">
        <f>IFERROR(N31*'Model Inputs'!K$93,"")</f>
        <v/>
      </c>
      <c r="O76" s="594" t="str">
        <f>IFERROR(O31*'Model Inputs'!L$93,"")</f>
        <v/>
      </c>
      <c r="P76" s="562"/>
      <c r="Q76" s="562"/>
      <c r="R76" s="534"/>
      <c r="S76" s="533"/>
      <c r="U76" s="534"/>
      <c r="V76" s="533"/>
      <c r="X76" s="534"/>
      <c r="Y76" s="533"/>
    </row>
    <row r="77" spans="2:25" ht="8.25" hidden="1" customHeight="1" outlineLevel="1">
      <c r="B77" s="565"/>
      <c r="C77" s="565"/>
      <c r="D77" s="595"/>
      <c r="E77" s="596"/>
      <c r="F77" s="596"/>
      <c r="G77" s="596"/>
      <c r="H77" s="627"/>
      <c r="I77" s="596"/>
      <c r="J77" s="596"/>
      <c r="K77" s="596"/>
      <c r="L77" s="627"/>
      <c r="M77" s="596"/>
      <c r="N77" s="596"/>
      <c r="O77" s="596"/>
      <c r="P77" s="562"/>
      <c r="Q77" s="562"/>
      <c r="R77" s="534"/>
      <c r="S77" s="533"/>
      <c r="U77" s="534"/>
      <c r="V77" s="533"/>
      <c r="X77" s="534"/>
      <c r="Y77" s="533"/>
    </row>
    <row r="78" spans="2:25" ht="24" hidden="1" customHeight="1" outlineLevel="1">
      <c r="B78" s="565"/>
      <c r="C78" s="565"/>
      <c r="D78" s="1065" t="s">
        <v>222</v>
      </c>
      <c r="E78" s="1065"/>
      <c r="F78" s="1065"/>
      <c r="G78" s="1065"/>
      <c r="H78" s="1065"/>
      <c r="I78" s="1065"/>
      <c r="J78" s="1065"/>
      <c r="K78" s="1065"/>
      <c r="L78" s="1065"/>
      <c r="M78" s="1065"/>
      <c r="N78" s="1065"/>
      <c r="O78" s="1065"/>
      <c r="P78" s="562"/>
      <c r="Q78" s="562"/>
      <c r="R78" s="534"/>
      <c r="S78" s="533"/>
      <c r="U78" s="534"/>
      <c r="V78" s="533"/>
      <c r="X78" s="534"/>
      <c r="Y78" s="533"/>
    </row>
    <row r="79" spans="2:25" ht="8.25" hidden="1" customHeight="1" outlineLevel="1">
      <c r="B79" s="565"/>
      <c r="C79" s="565"/>
      <c r="D79" s="637"/>
      <c r="E79" s="637"/>
      <c r="F79" s="637"/>
      <c r="G79" s="637"/>
      <c r="H79" s="636"/>
      <c r="I79" s="636"/>
      <c r="J79" s="636"/>
      <c r="K79" s="636"/>
      <c r="L79" s="636"/>
      <c r="M79" s="637"/>
      <c r="N79" s="637"/>
      <c r="O79" s="637"/>
      <c r="P79" s="562"/>
      <c r="Q79" s="562"/>
      <c r="R79" s="534"/>
      <c r="S79" s="533"/>
      <c r="U79" s="534"/>
      <c r="V79" s="533"/>
      <c r="X79" s="534"/>
      <c r="Y79" s="533"/>
    </row>
    <row r="80" spans="2:25" ht="35.25" hidden="1" customHeight="1" outlineLevel="1">
      <c r="B80" s="565"/>
      <c r="C80" s="565"/>
      <c r="D80" s="605" t="s">
        <v>211</v>
      </c>
      <c r="E80" s="606">
        <f>SUM(E81:E85)</f>
        <v>146890.58000000002</v>
      </c>
      <c r="F80" s="606">
        <f t="shared" ref="F80:G80" si="31">SUM(F81:F85)</f>
        <v>0</v>
      </c>
      <c r="G80" s="606">
        <f t="shared" si="31"/>
        <v>0</v>
      </c>
      <c r="H80" s="631"/>
      <c r="I80" s="606">
        <f>SUM(I81:I85)</f>
        <v>132201.522</v>
      </c>
      <c r="J80" s="606">
        <f t="shared" ref="J80" si="32">SUM(J81:J85)</f>
        <v>0</v>
      </c>
      <c r="K80" s="606">
        <f t="shared" ref="K80" si="33">SUM(K81:K85)</f>
        <v>0</v>
      </c>
      <c r="L80" s="631"/>
      <c r="M80" s="606">
        <f>SUM(M81:M85)</f>
        <v>0</v>
      </c>
      <c r="N80" s="606">
        <f t="shared" ref="N80" si="34">SUM(N81:N85)</f>
        <v>0</v>
      </c>
      <c r="O80" s="606">
        <f t="shared" ref="O80" si="35">SUM(O81:O85)</f>
        <v>0</v>
      </c>
      <c r="P80" s="562"/>
      <c r="Q80" s="562"/>
      <c r="R80" s="534"/>
      <c r="S80" s="533"/>
      <c r="U80" s="534"/>
      <c r="V80" s="533"/>
      <c r="X80" s="534"/>
      <c r="Y80" s="533"/>
    </row>
    <row r="81" spans="2:25" ht="16" hidden="1" customHeight="1" outlineLevel="1">
      <c r="B81" s="565"/>
      <c r="C81" s="565"/>
      <c r="D81" s="607">
        <f>'Model Inputs'!$E$26</f>
        <v>2025</v>
      </c>
      <c r="E81" s="608"/>
      <c r="F81" s="608"/>
      <c r="G81" s="608"/>
      <c r="H81" s="630"/>
      <c r="I81" s="608"/>
      <c r="J81" s="608"/>
      <c r="K81" s="608"/>
      <c r="L81" s="630"/>
      <c r="M81" s="608"/>
      <c r="N81" s="608"/>
      <c r="O81" s="608"/>
      <c r="P81" s="562"/>
      <c r="Q81" s="562"/>
      <c r="R81" s="534"/>
      <c r="S81" s="533"/>
      <c r="U81" s="534"/>
      <c r="V81" s="533"/>
      <c r="X81" s="534"/>
      <c r="Y81" s="533"/>
    </row>
    <row r="82" spans="2:25" ht="16" hidden="1" customHeight="1" outlineLevel="1">
      <c r="B82" s="565"/>
      <c r="C82" s="565"/>
      <c r="D82" s="607">
        <f>'Model Inputs'!$E$26+1</f>
        <v>2026</v>
      </c>
      <c r="E82" s="608">
        <f>E72</f>
        <v>30000</v>
      </c>
      <c r="F82" s="608" t="str">
        <f t="shared" ref="F82:O82" si="36">F72</f>
        <v/>
      </c>
      <c r="G82" s="608" t="str">
        <f t="shared" si="36"/>
        <v/>
      </c>
      <c r="H82" s="630"/>
      <c r="I82" s="608">
        <f t="shared" si="36"/>
        <v>27000</v>
      </c>
      <c r="J82" s="608" t="str">
        <f t="shared" si="36"/>
        <v/>
      </c>
      <c r="K82" s="608" t="str">
        <f t="shared" si="36"/>
        <v/>
      </c>
      <c r="L82" s="630"/>
      <c r="M82" s="608" t="str">
        <f t="shared" si="36"/>
        <v/>
      </c>
      <c r="N82" s="608" t="str">
        <f t="shared" si="36"/>
        <v/>
      </c>
      <c r="O82" s="608" t="str">
        <f t="shared" si="36"/>
        <v/>
      </c>
      <c r="P82" s="562"/>
      <c r="Q82" s="562"/>
      <c r="R82" s="534"/>
      <c r="S82" s="533"/>
      <c r="U82" s="534"/>
      <c r="V82" s="533"/>
      <c r="X82" s="534"/>
      <c r="Y82" s="533"/>
    </row>
    <row r="83" spans="2:25" ht="16" hidden="1" customHeight="1" outlineLevel="1">
      <c r="B83" s="565"/>
      <c r="C83" s="565"/>
      <c r="D83" s="607">
        <f>'Model Inputs'!$E$26+2</f>
        <v>2027</v>
      </c>
      <c r="E83" s="608">
        <f t="shared" ref="E83:O83" si="37">E73</f>
        <v>36050</v>
      </c>
      <c r="F83" s="608" t="str">
        <f t="shared" si="37"/>
        <v/>
      </c>
      <c r="G83" s="608" t="str">
        <f t="shared" si="37"/>
        <v/>
      </c>
      <c r="H83" s="630"/>
      <c r="I83" s="608">
        <f t="shared" si="37"/>
        <v>32444.999999999996</v>
      </c>
      <c r="J83" s="608" t="str">
        <f t="shared" si="37"/>
        <v/>
      </c>
      <c r="K83" s="608" t="str">
        <f t="shared" si="37"/>
        <v/>
      </c>
      <c r="L83" s="630"/>
      <c r="M83" s="608" t="str">
        <f t="shared" si="37"/>
        <v/>
      </c>
      <c r="N83" s="608" t="str">
        <f t="shared" si="37"/>
        <v/>
      </c>
      <c r="O83" s="608" t="str">
        <f t="shared" si="37"/>
        <v/>
      </c>
      <c r="P83" s="562"/>
      <c r="Q83" s="562"/>
      <c r="R83" s="534"/>
      <c r="S83" s="533"/>
      <c r="U83" s="534"/>
      <c r="V83" s="533"/>
      <c r="X83" s="534"/>
      <c r="Y83" s="533"/>
    </row>
    <row r="84" spans="2:25" ht="16" hidden="1" customHeight="1" outlineLevel="1">
      <c r="B84" s="565"/>
      <c r="C84" s="565"/>
      <c r="D84" s="607">
        <f>'Model Inputs'!$E$26+3</f>
        <v>2028</v>
      </c>
      <c r="E84" s="608">
        <f t="shared" ref="E84:O84" si="38">E74</f>
        <v>37131.5</v>
      </c>
      <c r="F84" s="608" t="str">
        <f t="shared" si="38"/>
        <v/>
      </c>
      <c r="G84" s="608" t="str">
        <f t="shared" si="38"/>
        <v/>
      </c>
      <c r="H84" s="630"/>
      <c r="I84" s="608">
        <f t="shared" si="38"/>
        <v>33418.35</v>
      </c>
      <c r="J84" s="608" t="str">
        <f t="shared" si="38"/>
        <v/>
      </c>
      <c r="K84" s="608" t="str">
        <f t="shared" si="38"/>
        <v/>
      </c>
      <c r="L84" s="630"/>
      <c r="M84" s="608" t="str">
        <f t="shared" si="38"/>
        <v/>
      </c>
      <c r="N84" s="608" t="str">
        <f t="shared" si="38"/>
        <v/>
      </c>
      <c r="O84" s="608" t="str">
        <f t="shared" si="38"/>
        <v/>
      </c>
      <c r="P84" s="562"/>
      <c r="Q84" s="562"/>
      <c r="R84" s="534"/>
      <c r="S84" s="533"/>
      <c r="U84" s="534"/>
      <c r="V84" s="533"/>
      <c r="X84" s="534"/>
      <c r="Y84" s="533"/>
    </row>
    <row r="85" spans="2:25" ht="16" hidden="1" customHeight="1" outlineLevel="1">
      <c r="B85" s="565"/>
      <c r="C85" s="565"/>
      <c r="D85" s="607">
        <f>'Model Inputs'!$E$26+4</f>
        <v>2029</v>
      </c>
      <c r="E85" s="608">
        <f t="shared" ref="E85:O85" si="39">E75</f>
        <v>43709.08</v>
      </c>
      <c r="F85" s="608" t="str">
        <f t="shared" si="39"/>
        <v/>
      </c>
      <c r="G85" s="608" t="str">
        <f t="shared" si="39"/>
        <v/>
      </c>
      <c r="H85" s="630"/>
      <c r="I85" s="608">
        <f t="shared" si="39"/>
        <v>39338.172000000006</v>
      </c>
      <c r="J85" s="608" t="str">
        <f t="shared" si="39"/>
        <v/>
      </c>
      <c r="K85" s="608" t="str">
        <f t="shared" si="39"/>
        <v/>
      </c>
      <c r="L85" s="630"/>
      <c r="M85" s="608" t="str">
        <f t="shared" si="39"/>
        <v/>
      </c>
      <c r="N85" s="608" t="str">
        <f t="shared" si="39"/>
        <v/>
      </c>
      <c r="O85" s="608" t="str">
        <f t="shared" si="39"/>
        <v/>
      </c>
      <c r="P85" s="562"/>
      <c r="Q85" s="562"/>
      <c r="R85" s="534"/>
      <c r="S85" s="533"/>
      <c r="U85" s="534"/>
      <c r="V85" s="533"/>
      <c r="X85" s="534"/>
      <c r="Y85" s="533"/>
    </row>
    <row r="86" spans="2:25" ht="8.25" hidden="1" customHeight="1" outlineLevel="1">
      <c r="B86" s="565"/>
      <c r="C86" s="565"/>
      <c r="D86" s="600"/>
      <c r="E86" s="601"/>
      <c r="F86" s="601"/>
      <c r="G86" s="601"/>
      <c r="H86" s="630"/>
      <c r="I86" s="601"/>
      <c r="J86" s="601"/>
      <c r="K86" s="601"/>
      <c r="L86" s="630"/>
      <c r="M86" s="601"/>
      <c r="N86" s="601"/>
      <c r="O86" s="601"/>
      <c r="P86" s="562"/>
      <c r="Q86" s="562"/>
      <c r="R86" s="534"/>
      <c r="S86" s="533"/>
      <c r="U86" s="534"/>
      <c r="V86" s="533"/>
      <c r="X86" s="534"/>
      <c r="Y86" s="533"/>
    </row>
    <row r="87" spans="2:25" ht="24" hidden="1" customHeight="1" outlineLevel="1">
      <c r="B87" s="565"/>
      <c r="C87" s="565"/>
      <c r="D87" s="1066" t="s">
        <v>223</v>
      </c>
      <c r="E87" s="1066"/>
      <c r="F87" s="1066"/>
      <c r="G87" s="1066"/>
      <c r="H87" s="1066"/>
      <c r="I87" s="1066"/>
      <c r="J87" s="1066"/>
      <c r="K87" s="1066"/>
      <c r="L87" s="1066"/>
      <c r="M87" s="1066"/>
      <c r="N87" s="1066"/>
      <c r="O87" s="1066"/>
      <c r="P87" s="562"/>
      <c r="Q87" s="562"/>
      <c r="R87" s="534"/>
      <c r="S87" s="533"/>
      <c r="U87" s="534"/>
      <c r="V87" s="533"/>
      <c r="X87" s="534"/>
      <c r="Y87" s="533"/>
    </row>
    <row r="88" spans="2:25" ht="8.25" hidden="1" customHeight="1" outlineLevel="1">
      <c r="B88" s="565"/>
      <c r="C88" s="565"/>
      <c r="D88" s="602"/>
      <c r="E88" s="602"/>
      <c r="F88" s="602"/>
      <c r="G88" s="602"/>
      <c r="H88" s="632"/>
      <c r="I88" s="602"/>
      <c r="J88" s="602"/>
      <c r="K88" s="602"/>
      <c r="L88" s="632"/>
      <c r="M88" s="602"/>
      <c r="N88" s="602"/>
      <c r="O88" s="602"/>
      <c r="P88" s="562"/>
      <c r="Q88" s="562"/>
      <c r="R88" s="534"/>
      <c r="S88" s="533"/>
      <c r="U88" s="534"/>
      <c r="V88" s="533"/>
      <c r="X88" s="534"/>
      <c r="Y88" s="533"/>
    </row>
    <row r="89" spans="2:25" ht="35.25" hidden="1" customHeight="1" outlineLevel="1">
      <c r="B89" s="565"/>
      <c r="C89" s="565"/>
      <c r="D89" s="609" t="s">
        <v>211</v>
      </c>
      <c r="E89" s="610">
        <f>SUM(E90:E94)</f>
        <v>50647.89645</v>
      </c>
      <c r="F89" s="610">
        <f t="shared" ref="F89:K89" si="40">SUM(F90:F94)</f>
        <v>0</v>
      </c>
      <c r="G89" s="610">
        <f t="shared" si="40"/>
        <v>0</v>
      </c>
      <c r="H89" s="634"/>
      <c r="I89" s="610">
        <f t="shared" si="40"/>
        <v>45583.106804999996</v>
      </c>
      <c r="J89" s="610">
        <f t="shared" si="40"/>
        <v>0</v>
      </c>
      <c r="K89" s="610">
        <f t="shared" si="40"/>
        <v>0</v>
      </c>
      <c r="L89" s="634"/>
      <c r="M89" s="610">
        <f>SUM(M90:M94)</f>
        <v>0</v>
      </c>
      <c r="N89" s="610">
        <f t="shared" ref="N89:O89" si="41">SUM(N90:N94)</f>
        <v>0</v>
      </c>
      <c r="O89" s="610">
        <f t="shared" si="41"/>
        <v>0</v>
      </c>
      <c r="P89" s="562"/>
      <c r="Q89" s="562"/>
      <c r="R89" s="534"/>
      <c r="S89" s="533"/>
      <c r="U89" s="534"/>
      <c r="V89" s="533"/>
      <c r="X89" s="534"/>
      <c r="Y89" s="533"/>
    </row>
    <row r="90" spans="2:25" ht="16" hidden="1" customHeight="1" outlineLevel="1">
      <c r="B90" s="565"/>
      <c r="C90" s="565"/>
      <c r="D90" s="611">
        <f>'Model Inputs'!$E$26</f>
        <v>2025</v>
      </c>
      <c r="E90" s="612">
        <f>IFERROR(E72,"")</f>
        <v>30000</v>
      </c>
      <c r="F90" s="612" t="str">
        <f t="shared" ref="F90:K90" si="42">F72</f>
        <v/>
      </c>
      <c r="G90" s="612" t="str">
        <f t="shared" si="42"/>
        <v/>
      </c>
      <c r="H90" s="633"/>
      <c r="I90" s="612">
        <f t="shared" si="42"/>
        <v>27000</v>
      </c>
      <c r="J90" s="612" t="str">
        <f t="shared" si="42"/>
        <v/>
      </c>
      <c r="K90" s="612" t="str">
        <f t="shared" si="42"/>
        <v/>
      </c>
      <c r="L90" s="633"/>
      <c r="M90" s="612" t="str">
        <f>IFERROR(M72,"")</f>
        <v/>
      </c>
      <c r="N90" s="612" t="str">
        <f>IFERROR(N72,"")</f>
        <v/>
      </c>
      <c r="O90" s="612" t="str">
        <f>IFERROR(O72,"")</f>
        <v/>
      </c>
      <c r="P90" s="562"/>
      <c r="Q90" s="562"/>
      <c r="R90" s="534"/>
      <c r="S90" s="533"/>
      <c r="U90" s="534"/>
      <c r="V90" s="533"/>
      <c r="X90" s="534"/>
      <c r="Y90" s="533"/>
    </row>
    <row r="91" spans="2:25" ht="16" hidden="1" customHeight="1" outlineLevel="1">
      <c r="B91" s="565"/>
      <c r="C91" s="565"/>
      <c r="D91" s="611">
        <f>'Model Inputs'!$E$26+1</f>
        <v>2026</v>
      </c>
      <c r="E91" s="612">
        <f t="shared" ref="E91:G94" si="43">IFERROR(E73-E82,"")</f>
        <v>6050</v>
      </c>
      <c r="F91" s="612" t="str">
        <f t="shared" si="43"/>
        <v/>
      </c>
      <c r="G91" s="612" t="str">
        <f t="shared" si="43"/>
        <v/>
      </c>
      <c r="H91" s="633"/>
      <c r="I91" s="612">
        <f t="shared" ref="I91:K94" si="44">IFERROR(I73-I82,"")</f>
        <v>5444.9999999999964</v>
      </c>
      <c r="J91" s="612" t="str">
        <f t="shared" si="44"/>
        <v/>
      </c>
      <c r="K91" s="612" t="str">
        <f t="shared" si="44"/>
        <v/>
      </c>
      <c r="L91" s="633"/>
      <c r="M91" s="612" t="str">
        <f t="shared" ref="M91:O94" si="45">IFERROR(M73-M82,"")</f>
        <v/>
      </c>
      <c r="N91" s="612" t="str">
        <f t="shared" si="45"/>
        <v/>
      </c>
      <c r="O91" s="612" t="str">
        <f t="shared" si="45"/>
        <v/>
      </c>
      <c r="P91" s="562"/>
      <c r="Q91" s="562"/>
      <c r="R91" s="534"/>
      <c r="S91" s="533"/>
      <c r="U91" s="534"/>
      <c r="V91" s="533"/>
      <c r="X91" s="534"/>
      <c r="Y91" s="533"/>
    </row>
    <row r="92" spans="2:25" ht="16" hidden="1" customHeight="1" outlineLevel="1">
      <c r="B92" s="565"/>
      <c r="C92" s="565"/>
      <c r="D92" s="611">
        <f>'Model Inputs'!$E$26+2</f>
        <v>2027</v>
      </c>
      <c r="E92" s="612">
        <f t="shared" si="43"/>
        <v>1081.5</v>
      </c>
      <c r="F92" s="612" t="str">
        <f t="shared" si="43"/>
        <v/>
      </c>
      <c r="G92" s="612" t="str">
        <f t="shared" si="43"/>
        <v/>
      </c>
      <c r="H92" s="633"/>
      <c r="I92" s="612">
        <f t="shared" si="44"/>
        <v>973.35000000000218</v>
      </c>
      <c r="J92" s="612" t="str">
        <f t="shared" si="44"/>
        <v/>
      </c>
      <c r="K92" s="612" t="str">
        <f t="shared" si="44"/>
        <v/>
      </c>
      <c r="L92" s="633"/>
      <c r="M92" s="612" t="str">
        <f t="shared" si="45"/>
        <v/>
      </c>
      <c r="N92" s="612" t="str">
        <f t="shared" si="45"/>
        <v/>
      </c>
      <c r="O92" s="612" t="str">
        <f t="shared" si="45"/>
        <v/>
      </c>
      <c r="P92" s="562"/>
      <c r="Q92" s="562"/>
      <c r="R92" s="534"/>
      <c r="S92" s="533"/>
      <c r="U92" s="534"/>
      <c r="V92" s="533"/>
      <c r="X92" s="534"/>
      <c r="Y92" s="533"/>
    </row>
    <row r="93" spans="2:25" ht="16" hidden="1" customHeight="1" outlineLevel="1">
      <c r="B93" s="565"/>
      <c r="C93" s="565"/>
      <c r="D93" s="611">
        <f>'Model Inputs'!$E$26+3</f>
        <v>2028</v>
      </c>
      <c r="E93" s="612">
        <f t="shared" si="43"/>
        <v>6577.5800000000017</v>
      </c>
      <c r="F93" s="612" t="str">
        <f t="shared" si="43"/>
        <v/>
      </c>
      <c r="G93" s="612" t="str">
        <f t="shared" si="43"/>
        <v/>
      </c>
      <c r="H93" s="633"/>
      <c r="I93" s="612">
        <f t="shared" si="44"/>
        <v>5919.8220000000074</v>
      </c>
      <c r="J93" s="612" t="str">
        <f t="shared" si="44"/>
        <v/>
      </c>
      <c r="K93" s="612" t="str">
        <f t="shared" si="44"/>
        <v/>
      </c>
      <c r="L93" s="633"/>
      <c r="M93" s="612" t="str">
        <f t="shared" si="45"/>
        <v/>
      </c>
      <c r="N93" s="612" t="str">
        <f t="shared" si="45"/>
        <v/>
      </c>
      <c r="O93" s="612" t="str">
        <f t="shared" si="45"/>
        <v/>
      </c>
      <c r="P93" s="562"/>
      <c r="Q93" s="562"/>
      <c r="R93" s="534"/>
      <c r="S93" s="533"/>
      <c r="U93" s="534"/>
      <c r="V93" s="533"/>
      <c r="X93" s="534"/>
      <c r="Y93" s="533"/>
    </row>
    <row r="94" spans="2:25" ht="16" hidden="1" customHeight="1" outlineLevel="1">
      <c r="B94" s="565"/>
      <c r="C94" s="565"/>
      <c r="D94" s="611">
        <f>'Model Inputs'!$E$26+4</f>
        <v>2029</v>
      </c>
      <c r="E94" s="612">
        <f t="shared" si="43"/>
        <v>6938.8164499999984</v>
      </c>
      <c r="F94" s="612" t="str">
        <f t="shared" si="43"/>
        <v/>
      </c>
      <c r="G94" s="612" t="str">
        <f t="shared" si="43"/>
        <v/>
      </c>
      <c r="H94" s="633"/>
      <c r="I94" s="612">
        <f t="shared" si="44"/>
        <v>6244.9348049999899</v>
      </c>
      <c r="J94" s="612" t="str">
        <f t="shared" si="44"/>
        <v/>
      </c>
      <c r="K94" s="612" t="str">
        <f t="shared" si="44"/>
        <v/>
      </c>
      <c r="L94" s="633"/>
      <c r="M94" s="612" t="str">
        <f t="shared" si="45"/>
        <v/>
      </c>
      <c r="N94" s="612" t="str">
        <f t="shared" si="45"/>
        <v/>
      </c>
      <c r="O94" s="612" t="str">
        <f t="shared" si="45"/>
        <v/>
      </c>
      <c r="P94" s="562"/>
      <c r="Q94" s="562"/>
      <c r="R94" s="534"/>
      <c r="S94" s="533"/>
      <c r="U94" s="534"/>
      <c r="V94" s="533"/>
      <c r="X94" s="534"/>
      <c r="Y94" s="533"/>
    </row>
    <row r="95" spans="2:25" ht="8.25" hidden="1" customHeight="1" outlineLevel="1">
      <c r="B95" s="565"/>
      <c r="C95" s="565"/>
      <c r="D95" s="597"/>
      <c r="E95" s="598"/>
      <c r="F95" s="598"/>
      <c r="G95" s="598"/>
      <c r="H95" s="633"/>
      <c r="I95" s="598"/>
      <c r="J95" s="598"/>
      <c r="K95" s="598"/>
      <c r="L95" s="633"/>
      <c r="M95" s="598"/>
      <c r="N95" s="598"/>
      <c r="O95" s="598"/>
      <c r="P95" s="562"/>
      <c r="Q95" s="562"/>
      <c r="R95" s="534"/>
      <c r="S95" s="533"/>
      <c r="U95" s="534"/>
      <c r="V95" s="533"/>
      <c r="X95" s="534"/>
      <c r="Y95" s="533"/>
    </row>
    <row r="96" spans="2:25" s="558" customFormat="1" ht="45" customHeight="1" collapsed="1">
      <c r="B96" s="565"/>
      <c r="C96" s="565"/>
      <c r="D96" s="1062" t="s">
        <v>224</v>
      </c>
      <c r="E96" s="1062"/>
      <c r="F96" s="1062"/>
      <c r="G96" s="1062"/>
      <c r="H96" s="1062"/>
      <c r="I96" s="1062"/>
      <c r="J96" s="1062"/>
      <c r="K96" s="1062"/>
      <c r="L96" s="1062"/>
      <c r="M96" s="1062"/>
      <c r="N96" s="1062"/>
      <c r="O96" s="1062"/>
      <c r="P96" s="561"/>
      <c r="Q96" s="561"/>
      <c r="R96" s="532"/>
      <c r="S96" s="532"/>
      <c r="U96" s="1061"/>
      <c r="V96" s="1060"/>
      <c r="X96" s="1061"/>
      <c r="Y96" s="1060"/>
    </row>
    <row r="97" spans="2:25" s="558" customFormat="1" ht="8.25" customHeight="1">
      <c r="B97" s="565"/>
      <c r="C97" s="565"/>
      <c r="D97" s="599"/>
      <c r="E97" s="599"/>
      <c r="F97" s="599"/>
      <c r="G97" s="599"/>
      <c r="H97" s="619"/>
      <c r="I97" s="599"/>
      <c r="J97" s="599"/>
      <c r="K97" s="599"/>
      <c r="L97" s="619"/>
      <c r="M97" s="599"/>
      <c r="N97" s="599"/>
      <c r="O97" s="599"/>
      <c r="P97" s="561"/>
      <c r="Q97" s="561"/>
      <c r="R97" s="532"/>
      <c r="S97" s="532"/>
      <c r="U97" s="720"/>
      <c r="V97" s="721"/>
      <c r="X97" s="720"/>
      <c r="Y97" s="721"/>
    </row>
    <row r="98" spans="2:25">
      <c r="B98" s="565"/>
      <c r="C98" s="565"/>
      <c r="D98" s="537">
        <f>'Model Inputs'!$E$26</f>
        <v>2025</v>
      </c>
      <c r="E98" s="547">
        <f>IF(E$9="None","",E63*'Model Inputs'!E$89)</f>
        <v>989800</v>
      </c>
      <c r="F98" s="547" t="str">
        <f>IFERROR(F63*'Model Inputs'!F$89,"")</f>
        <v/>
      </c>
      <c r="G98" s="547" t="str">
        <f>IFERROR(G63*'Model Inputs'!G$89,"")</f>
        <v/>
      </c>
      <c r="H98" s="588"/>
      <c r="I98" s="547">
        <f>IFERROR(I63*'Model Inputs'!H$89,"")</f>
        <v>2516640</v>
      </c>
      <c r="J98" s="547" t="str">
        <f>IFERROR(J63*'Model Inputs'!I$89,"")</f>
        <v/>
      </c>
      <c r="K98" s="547" t="str">
        <f>IFERROR(K63*'Model Inputs'!J$89,"")</f>
        <v/>
      </c>
      <c r="L98" s="588"/>
      <c r="M98" s="547" t="str">
        <f>IFERROR(O98+N98,"")</f>
        <v/>
      </c>
      <c r="N98" s="547" t="str">
        <f>IFERROR(N63*'Model Inputs'!K$89,"")</f>
        <v/>
      </c>
      <c r="O98" s="547" t="str">
        <f>IFERROR(O63*'Model Inputs'!L$89,"")</f>
        <v/>
      </c>
      <c r="P98" s="562"/>
      <c r="Q98" s="562"/>
      <c r="R98" s="548"/>
      <c r="S98" s="533"/>
      <c r="U98" s="534"/>
      <c r="V98" s="533"/>
      <c r="X98" s="534"/>
      <c r="Y98" s="533"/>
    </row>
    <row r="99" spans="2:25">
      <c r="B99" s="565"/>
      <c r="C99" s="565"/>
      <c r="D99" s="537">
        <f>'Model Inputs'!$E$26+1</f>
        <v>2026</v>
      </c>
      <c r="E99" s="547">
        <f>IF(E$9="None","",E64*'Model Inputs'!E$89)</f>
        <v>1007609.6666666666</v>
      </c>
      <c r="F99" s="547" t="str">
        <f>IFERROR(F64*'Model Inputs'!F$89,"")</f>
        <v/>
      </c>
      <c r="G99" s="547" t="str">
        <f>IFERROR(G64*'Model Inputs'!G$89,"")</f>
        <v/>
      </c>
      <c r="H99" s="588"/>
      <c r="I99" s="547">
        <f>IFERROR(I64*'Model Inputs'!H$89,"")</f>
        <v>2561922.4000000004</v>
      </c>
      <c r="J99" s="547" t="str">
        <f>IFERROR(J64*'Model Inputs'!I$89,"")</f>
        <v/>
      </c>
      <c r="K99" s="547" t="str">
        <f>IFERROR(K64*'Model Inputs'!J$89,"")</f>
        <v/>
      </c>
      <c r="L99" s="588"/>
      <c r="M99" s="547" t="str">
        <f t="shared" ref="M99:M102" si="46">IFERROR(O99+N99,"")</f>
        <v/>
      </c>
      <c r="N99" s="547" t="str">
        <f>IFERROR(N64*'Model Inputs'!K$89,"")</f>
        <v/>
      </c>
      <c r="O99" s="547" t="str">
        <f>IFERROR(O64*'Model Inputs'!L$89,"")</f>
        <v/>
      </c>
      <c r="P99" s="562"/>
      <c r="Q99" s="562"/>
      <c r="R99" s="534"/>
      <c r="S99" s="533"/>
      <c r="U99" s="534"/>
      <c r="V99" s="533"/>
      <c r="X99" s="534"/>
      <c r="Y99" s="533"/>
    </row>
    <row r="100" spans="2:25">
      <c r="B100" s="565"/>
      <c r="C100" s="565"/>
      <c r="D100" s="537">
        <f>'Model Inputs'!$E$26+2</f>
        <v>2027</v>
      </c>
      <c r="E100" s="547">
        <f>IF(E$9="None","",E65*'Model Inputs'!E$89)</f>
        <v>1006628.9566666667</v>
      </c>
      <c r="F100" s="547" t="str">
        <f>IFERROR(F65*'Model Inputs'!F$89,"")</f>
        <v/>
      </c>
      <c r="G100" s="547" t="str">
        <f>IFERROR(G65*'Model Inputs'!G$89,"")</f>
        <v/>
      </c>
      <c r="H100" s="588"/>
      <c r="I100" s="547">
        <f>IFERROR(I65*'Model Inputs'!H$89,"")</f>
        <v>2559428.8720000004</v>
      </c>
      <c r="J100" s="547" t="str">
        <f>IFERROR(J65*'Model Inputs'!I$89,"")</f>
        <v/>
      </c>
      <c r="K100" s="547" t="str">
        <f>IFERROR(K65*'Model Inputs'!J$89,"")</f>
        <v/>
      </c>
      <c r="L100" s="588"/>
      <c r="M100" s="547" t="str">
        <f t="shared" si="46"/>
        <v/>
      </c>
      <c r="N100" s="547" t="str">
        <f>IFERROR(N65*'Model Inputs'!K$89,"")</f>
        <v/>
      </c>
      <c r="O100" s="547" t="str">
        <f>IFERROR(O65*'Model Inputs'!L$89,"")</f>
        <v/>
      </c>
      <c r="P100" s="562"/>
      <c r="Q100" s="562"/>
      <c r="R100" s="534"/>
      <c r="S100" s="533"/>
      <c r="U100" s="534"/>
      <c r="V100" s="533"/>
      <c r="X100" s="534"/>
      <c r="Y100" s="533"/>
    </row>
    <row r="101" spans="2:25">
      <c r="B101" s="565"/>
      <c r="C101" s="565"/>
      <c r="D101" s="537">
        <f>'Model Inputs'!$E$26+3</f>
        <v>2028</v>
      </c>
      <c r="E101" s="547">
        <f>IF(E$9="None","",E66*'Model Inputs'!E$89)</f>
        <v>1217091.3561333334</v>
      </c>
      <c r="F101" s="547" t="str">
        <f>IFERROR(F66*'Model Inputs'!F$89,"")</f>
        <v/>
      </c>
      <c r="G101" s="547" t="str">
        <f>IFERROR(G66*'Model Inputs'!G$89,"")</f>
        <v/>
      </c>
      <c r="H101" s="588"/>
      <c r="I101" s="547">
        <f>IFERROR(I66*'Model Inputs'!H$89,"")</f>
        <v>3094545.1510400008</v>
      </c>
      <c r="J101" s="547" t="str">
        <f>IFERROR(J66*'Model Inputs'!I$89,"")</f>
        <v/>
      </c>
      <c r="K101" s="547" t="str">
        <f>IFERROR(K66*'Model Inputs'!J$89,"")</f>
        <v/>
      </c>
      <c r="L101" s="588"/>
      <c r="M101" s="547" t="str">
        <f t="shared" si="46"/>
        <v/>
      </c>
      <c r="N101" s="547" t="str">
        <f>IFERROR(N66*'Model Inputs'!K$89,"")</f>
        <v/>
      </c>
      <c r="O101" s="547" t="str">
        <f>IFERROR(O66*'Model Inputs'!L$89,"")</f>
        <v/>
      </c>
      <c r="P101" s="562"/>
      <c r="Q101" s="562"/>
      <c r="R101" s="534"/>
      <c r="S101" s="533"/>
      <c r="U101" s="534"/>
      <c r="V101" s="533"/>
      <c r="X101" s="534"/>
      <c r="Y101" s="533"/>
    </row>
    <row r="102" spans="2:25">
      <c r="B102" s="565"/>
      <c r="C102" s="565"/>
      <c r="D102" s="537">
        <f>'Model Inputs'!$E$26+4</f>
        <v>2029</v>
      </c>
      <c r="E102" s="547">
        <f>IF(E$9="None","",E67*'Model Inputs'!E$89)</f>
        <v>1406165.9054070001</v>
      </c>
      <c r="F102" s="547" t="str">
        <f>IFERROR(F67*'Model Inputs'!F$89,"")</f>
        <v/>
      </c>
      <c r="G102" s="547" t="str">
        <f>IFERROR(G67*'Model Inputs'!G$89,"")</f>
        <v/>
      </c>
      <c r="H102" s="588"/>
      <c r="I102" s="547">
        <f>IFERROR(I67*'Model Inputs'!H$89,"")</f>
        <v>3575281.2327576</v>
      </c>
      <c r="J102" s="547" t="str">
        <f>IFERROR(J67*'Model Inputs'!I$89,"")</f>
        <v/>
      </c>
      <c r="K102" s="547" t="str">
        <f>IFERROR(K67*'Model Inputs'!J$89,"")</f>
        <v/>
      </c>
      <c r="L102" s="588"/>
      <c r="M102" s="547" t="str">
        <f t="shared" si="46"/>
        <v/>
      </c>
      <c r="N102" s="547" t="str">
        <f>IFERROR(N67*'Model Inputs'!K$89,"")</f>
        <v/>
      </c>
      <c r="O102" s="547" t="str">
        <f>IFERROR(O67*'Model Inputs'!L$89,"")</f>
        <v/>
      </c>
      <c r="P102" s="562"/>
      <c r="Q102" s="562"/>
      <c r="R102" s="534"/>
      <c r="S102" s="533"/>
      <c r="U102" s="534"/>
      <c r="V102" s="533"/>
      <c r="X102" s="534"/>
      <c r="Y102" s="533"/>
    </row>
    <row r="103" spans="2:25" ht="12" customHeight="1">
      <c r="B103" s="565"/>
      <c r="C103" s="565"/>
      <c r="D103" s="613"/>
      <c r="E103" s="614"/>
      <c r="F103" s="614"/>
      <c r="G103" s="614"/>
      <c r="H103" s="588"/>
      <c r="I103" s="614"/>
      <c r="J103" s="614"/>
      <c r="K103" s="614"/>
      <c r="L103" s="588"/>
      <c r="M103" s="614"/>
      <c r="N103" s="614"/>
      <c r="O103" s="614"/>
      <c r="P103" s="562"/>
      <c r="Q103" s="562"/>
      <c r="R103" s="534"/>
      <c r="S103" s="533"/>
      <c r="U103" s="534"/>
      <c r="V103" s="533"/>
      <c r="X103" s="534"/>
      <c r="Y103" s="533"/>
    </row>
    <row r="104" spans="2:25" ht="55" customHeight="1">
      <c r="B104" s="565"/>
      <c r="C104" s="565"/>
      <c r="D104" s="1063" t="s">
        <v>225</v>
      </c>
      <c r="E104" s="1063"/>
      <c r="F104" s="1063"/>
      <c r="G104" s="1063"/>
      <c r="H104" s="1063"/>
      <c r="I104" s="1063"/>
      <c r="J104" s="1063"/>
      <c r="K104" s="1063"/>
      <c r="L104" s="1063"/>
      <c r="M104" s="1063"/>
      <c r="N104" s="1063"/>
      <c r="O104" s="1063"/>
      <c r="P104" s="562"/>
      <c r="Q104" s="562"/>
      <c r="R104" s="1060"/>
      <c r="S104" s="1060"/>
      <c r="U104" s="1060"/>
      <c r="V104" s="1060"/>
      <c r="X104" s="1060"/>
      <c r="Y104" s="1060"/>
    </row>
    <row r="105" spans="2:25" ht="8.25" customHeight="1">
      <c r="B105" s="565"/>
      <c r="C105" s="565"/>
      <c r="D105" s="578"/>
      <c r="E105" s="578"/>
      <c r="F105" s="578"/>
      <c r="G105" s="578"/>
      <c r="H105" s="578"/>
      <c r="I105" s="578"/>
      <c r="J105" s="578"/>
      <c r="K105" s="578"/>
      <c r="L105" s="578"/>
      <c r="M105" s="578"/>
      <c r="N105" s="578"/>
      <c r="O105" s="578"/>
      <c r="P105" s="562"/>
      <c r="Q105" s="562"/>
      <c r="R105" s="721"/>
      <c r="S105" s="721"/>
      <c r="U105" s="721"/>
      <c r="V105" s="721"/>
      <c r="X105" s="721"/>
      <c r="Y105" s="721"/>
    </row>
    <row r="106" spans="2:25" s="558" customFormat="1" ht="45" customHeight="1">
      <c r="B106" s="565"/>
      <c r="C106" s="565"/>
      <c r="D106" s="1062" t="s">
        <v>226</v>
      </c>
      <c r="E106" s="1062"/>
      <c r="F106" s="1062"/>
      <c r="G106" s="1062"/>
      <c r="H106" s="1062"/>
      <c r="I106" s="1062"/>
      <c r="J106" s="1062"/>
      <c r="K106" s="1062"/>
      <c r="L106" s="1062"/>
      <c r="M106" s="1062"/>
      <c r="N106" s="1062"/>
      <c r="O106" s="1062"/>
      <c r="P106" s="561"/>
      <c r="Q106" s="561"/>
      <c r="R106" s="1061"/>
      <c r="S106" s="1060"/>
      <c r="U106" s="1061"/>
      <c r="V106" s="1060"/>
      <c r="X106" s="1061"/>
      <c r="Y106" s="1060"/>
    </row>
    <row r="107" spans="2:25" s="558" customFormat="1" ht="8.25" customHeight="1">
      <c r="B107" s="565"/>
      <c r="C107" s="565"/>
      <c r="D107" s="599"/>
      <c r="E107" s="599"/>
      <c r="F107" s="599"/>
      <c r="G107" s="599"/>
      <c r="H107" s="619"/>
      <c r="I107" s="599"/>
      <c r="J107" s="599"/>
      <c r="K107" s="599"/>
      <c r="L107" s="619"/>
      <c r="M107" s="599"/>
      <c r="N107" s="599"/>
      <c r="O107" s="599"/>
      <c r="P107" s="561"/>
      <c r="Q107" s="561"/>
      <c r="R107" s="720"/>
      <c r="S107" s="721"/>
      <c r="U107" s="720"/>
      <c r="V107" s="721"/>
      <c r="X107" s="720"/>
      <c r="Y107" s="721"/>
    </row>
    <row r="108" spans="2:25" ht="35.25" customHeight="1">
      <c r="B108" s="565"/>
      <c r="C108" s="565"/>
      <c r="D108" s="589" t="s">
        <v>211</v>
      </c>
      <c r="E108" s="536">
        <f>IF(E109="","NA",SUM(E109:E113))</f>
        <v>210613.66974788893</v>
      </c>
      <c r="F108" s="536" t="str">
        <f>IF(F109="","NA",SUM(F109:F113))</f>
        <v>NA</v>
      </c>
      <c r="G108" s="536" t="str">
        <f t="shared" ref="G108:O108" si="47">IF(G109="","NA",SUM(G109:G113))</f>
        <v>NA</v>
      </c>
      <c r="H108" s="625"/>
      <c r="I108" s="536">
        <f t="shared" si="47"/>
        <v>189552.54277310005</v>
      </c>
      <c r="J108" s="536" t="str">
        <f t="shared" si="47"/>
        <v>NA</v>
      </c>
      <c r="K108" s="536" t="str">
        <f t="shared" si="47"/>
        <v>NA</v>
      </c>
      <c r="L108" s="625"/>
      <c r="M108" s="536" t="str">
        <f t="shared" si="47"/>
        <v>NA</v>
      </c>
      <c r="N108" s="536" t="str">
        <f t="shared" si="47"/>
        <v>NA</v>
      </c>
      <c r="O108" s="536" t="str">
        <f t="shared" si="47"/>
        <v>NA</v>
      </c>
      <c r="P108" s="562"/>
      <c r="Q108" s="562"/>
      <c r="R108" s="549"/>
      <c r="S108" s="549"/>
      <c r="U108" s="534"/>
      <c r="V108" s="549"/>
      <c r="X108" s="534"/>
      <c r="Y108" s="549"/>
    </row>
    <row r="109" spans="2:25">
      <c r="B109" s="565"/>
      <c r="C109" s="565"/>
      <c r="D109" s="537">
        <f>'Model Inputs'!$E$26</f>
        <v>2025</v>
      </c>
      <c r="E109" s="553">
        <f>IFERROR(
E63*('Model Inputs'!$E83+'Model Inputs'!$E83*'Model Inputs'!$E$94+'Model Inputs'!$E83*'Model Inputs'!$E$95)
+(ROUNDUP(E27/'Model Inputs'!$E$97,0)*'Model Inputs'!$E$96),"")</f>
        <v>36893.333333333343</v>
      </c>
      <c r="F109" s="553" t="str">
        <f>IFERROR(
F63*('Model Inputs'!$F83+'Model Inputs'!$F83*'Model Inputs'!$F$94+'Model Inputs'!$F83*'Model Inputs'!$F$95)
+(ROUNDUP(F27/'Model Inputs'!$F$97,0)*'Model Inputs'!$F$96),"")</f>
        <v/>
      </c>
      <c r="G109" s="553" t="str">
        <f>IFERROR(
G63*('Model Inputs'!$G83+'Model Inputs'!$G83*'Model Inputs'!$G$94+'Model Inputs'!$G83*'Model Inputs'!$G$95)
+(ROUNDUP(G27/'Model Inputs'!$G$97,0)*'Model Inputs'!$G$96),"")</f>
        <v/>
      </c>
      <c r="H109" s="620"/>
      <c r="I109" s="553">
        <f>IFERROR(
I63*('Model Inputs'!$H83+'Model Inputs'!$H83*'Model Inputs'!$H$94+'Model Inputs'!$H83*'Model Inputs'!$H$95)
+(ROUNDUP(I27/'Model Inputs'!$H$97,0)*'Model Inputs'!$H$96),"")</f>
        <v>33204</v>
      </c>
      <c r="J109" s="553" t="str">
        <f>IFERROR(
J63*('Model Inputs'!$I83+'Model Inputs'!$I83*'Model Inputs'!$I$94+'Model Inputs'!$I83*'Model Inputs'!$I$95)
+(ROUNDUP(J27/'Model Inputs'!$I$97,0)*'Model Inputs'!$I$96),"")</f>
        <v/>
      </c>
      <c r="K109" s="553" t="str">
        <f>IFERROR(
K63*('Model Inputs'!$J83+'Model Inputs'!$J83*'Model Inputs'!$J$94+'Model Inputs'!$J83*'Model Inputs'!$J$95)
+(ROUNDUP(K27/'Model Inputs'!$J$97,0)*'Model Inputs'!$J$96),"")</f>
        <v/>
      </c>
      <c r="L109" s="620"/>
      <c r="M109" s="553" t="str">
        <f>IFERROR(N109+O109,"")</f>
        <v/>
      </c>
      <c r="N109" s="553" t="str">
        <f>IFERROR(
N63*('Model Inputs'!$K83+'Model Inputs'!$K83*'Model Inputs'!$K$94+'Model Inputs'!$K83*'Model Inputs'!$K$95)
+(ROUNDUP(N27/'Model Inputs'!$L$97,0)*'Model Inputs'!$K$96),"")</f>
        <v/>
      </c>
      <c r="O109" s="553" t="str">
        <f>IFERROR(
O63*('Model Inputs'!$L83+'Model Inputs'!$L83*'Model Inputs'!$L$94+'Model Inputs'!$L83*'Model Inputs'!$L$95)
+(ROUNDUP(O27/'Model Inputs'!$L$97,0)*'Model Inputs'!$L$96),"")</f>
        <v/>
      </c>
      <c r="P109" s="562"/>
      <c r="Q109" s="562"/>
      <c r="R109" s="550"/>
      <c r="S109" s="557"/>
      <c r="U109" s="534"/>
      <c r="V109" s="551"/>
      <c r="X109" s="534"/>
      <c r="Y109" s="551"/>
    </row>
    <row r="110" spans="2:25">
      <c r="B110" s="565"/>
      <c r="C110" s="565"/>
      <c r="D110" s="537">
        <f>'Model Inputs'!$E$26+1</f>
        <v>2026</v>
      </c>
      <c r="E110" s="553">
        <f>IFERROR(
E64*('Model Inputs'!$E84+'Model Inputs'!$E84*'Model Inputs'!$E$94+'Model Inputs'!$E84*'Model Inputs'!$E$95)
+(ROUNDUP(E28/'Model Inputs'!$E$97,0)*'Model Inputs'!$E$96),"")</f>
        <v>37733.488888888889</v>
      </c>
      <c r="F110" s="553" t="str">
        <f>IFERROR(
F64*('Model Inputs'!$F84+'Model Inputs'!$F84*'Model Inputs'!$F$94+'Model Inputs'!$F84*'Model Inputs'!$F$95)
+(ROUNDUP(F28/'Model Inputs'!$F$97,0)*'Model Inputs'!$F$96),"")</f>
        <v/>
      </c>
      <c r="G110" s="553" t="str">
        <f>IFERROR(
G64*('Model Inputs'!$G84+'Model Inputs'!$G84*'Model Inputs'!$G$94+'Model Inputs'!$G84*'Model Inputs'!$G$95)
+(ROUNDUP(G28/'Model Inputs'!$G$97,0)*'Model Inputs'!$G$96),"")</f>
        <v/>
      </c>
      <c r="H110" s="620"/>
      <c r="I110" s="553">
        <f>IFERROR(
I64*('Model Inputs'!$H84+'Model Inputs'!$H84*'Model Inputs'!$H$94+'Model Inputs'!$H84*'Model Inputs'!$H$95)
+(ROUNDUP(I28/'Model Inputs'!$H$97,0)*'Model Inputs'!$H$96),"")</f>
        <v>33960.300000000003</v>
      </c>
      <c r="J110" s="553" t="str">
        <f>IFERROR(
J64*('Model Inputs'!$I84+'Model Inputs'!$I84*'Model Inputs'!$I$94+'Model Inputs'!$I84*'Model Inputs'!$I$95)
+(ROUNDUP(J28/'Model Inputs'!$I$97,0)*'Model Inputs'!$I$96),"")</f>
        <v/>
      </c>
      <c r="K110" s="553" t="str">
        <f>IFERROR(
K64*('Model Inputs'!$J84+'Model Inputs'!$J84*'Model Inputs'!$J$94+'Model Inputs'!$J84*'Model Inputs'!$J$95)
+(ROUNDUP(K28/'Model Inputs'!$J$97,0)*'Model Inputs'!$J$96),"")</f>
        <v/>
      </c>
      <c r="L110" s="620"/>
      <c r="M110" s="553" t="str">
        <f t="shared" ref="M110:M113" si="48">IFERROR(N110+O110,"")</f>
        <v/>
      </c>
      <c r="N110" s="553" t="str">
        <f>IFERROR(N64*('Model Inputs'!$K84+'Model Inputs'!$K84*'Model Inputs'!$K$94+'Model Inputs'!$K84*'Model Inputs'!$K$95)+((ROUNDUP(N28/'Model Inputs'!$K$97,0)*'Model Inputs'!$K$96)),"")</f>
        <v/>
      </c>
      <c r="O110" s="553" t="str">
        <f>IFERROR(
O64*('Model Inputs'!$L84+'Model Inputs'!$L84*'Model Inputs'!$L$94+'Model Inputs'!$L84*'Model Inputs'!$L$95)
+(ROUNDUP(O28/'Model Inputs'!$L$97,0)*'Model Inputs'!$L$96),"")</f>
        <v/>
      </c>
      <c r="P110" s="562"/>
      <c r="Q110" s="562"/>
      <c r="R110" s="534"/>
      <c r="S110" s="551"/>
      <c r="U110" s="534"/>
      <c r="V110" s="551"/>
      <c r="X110" s="534"/>
      <c r="Y110" s="551"/>
    </row>
    <row r="111" spans="2:25">
      <c r="B111" s="565"/>
      <c r="C111" s="565"/>
      <c r="D111" s="537">
        <f>'Model Inputs'!$E$26+2</f>
        <v>2027</v>
      </c>
      <c r="E111" s="553">
        <f>IFERROR(
E65*('Model Inputs'!$E85+'Model Inputs'!$E85*'Model Inputs'!$E$94+'Model Inputs'!$E85*'Model Inputs'!$E$95)
+(ROUNDUP(E29/'Model Inputs'!$E$97,0)*'Model Inputs'!$E$96),"")</f>
        <v>37733.085555555568</v>
      </c>
      <c r="F111" s="553" t="str">
        <f>IFERROR(
F65*('Model Inputs'!$F85+'Model Inputs'!$F85*'Model Inputs'!$F$94+'Model Inputs'!$F85*'Model Inputs'!$F$95)
+(ROUNDUP(F29/'Model Inputs'!$F$97,0)*'Model Inputs'!$F$96),"")</f>
        <v/>
      </c>
      <c r="G111" s="553" t="str">
        <f>IFERROR(
G65*('Model Inputs'!$G85+'Model Inputs'!$G85*'Model Inputs'!$G$94+'Model Inputs'!$G85*'Model Inputs'!$G$95)
+(ROUNDUP(G29/'Model Inputs'!$G$97,0)*'Model Inputs'!$G$96),"")</f>
        <v/>
      </c>
      <c r="H111" s="620"/>
      <c r="I111" s="553">
        <f>IFERROR(
I65*('Model Inputs'!$H85+'Model Inputs'!$H85*'Model Inputs'!$H$94+'Model Inputs'!$H85*'Model Inputs'!$H$95)
+(ROUNDUP(I29/'Model Inputs'!$H$97,0)*'Model Inputs'!$H$96),"")</f>
        <v>33959.457000000002</v>
      </c>
      <c r="J111" s="553" t="str">
        <f>IFERROR(
J65*('Model Inputs'!$I85+'Model Inputs'!$I85*'Model Inputs'!$I$94+'Model Inputs'!$I85*'Model Inputs'!$I$95)
+(ROUNDUP(J29/'Model Inputs'!$I$97,0)*'Model Inputs'!$I$96),"")</f>
        <v/>
      </c>
      <c r="K111" s="553" t="str">
        <f>IFERROR(
K65*('Model Inputs'!$J85+'Model Inputs'!$J85*'Model Inputs'!$J$94+'Model Inputs'!$J85*'Model Inputs'!$J$95)
+(ROUNDUP(K29/'Model Inputs'!$J$97,0)*'Model Inputs'!$J$96),"")</f>
        <v/>
      </c>
      <c r="L111" s="620"/>
      <c r="M111" s="553" t="str">
        <f t="shared" si="48"/>
        <v/>
      </c>
      <c r="N111" s="553" t="str">
        <f>IFERROR(N65*('Model Inputs'!$K85+'Model Inputs'!$K85*'Model Inputs'!$K$94+'Model Inputs'!$K85*'Model Inputs'!$K$95)+((ROUNDUP(N29/'Model Inputs'!$K$97,0)*'Model Inputs'!$K$96)),"")</f>
        <v/>
      </c>
      <c r="O111" s="553" t="str">
        <f>IFERROR(
O65*('Model Inputs'!$L85+'Model Inputs'!$L85*'Model Inputs'!$L$94+'Model Inputs'!$L85*'Model Inputs'!$L$95)
+(ROUNDUP(O29/'Model Inputs'!$L$97,0)*'Model Inputs'!$L$96),"")</f>
        <v/>
      </c>
      <c r="P111" s="562"/>
      <c r="Q111" s="562"/>
      <c r="R111" s="534"/>
      <c r="S111" s="551"/>
      <c r="U111" s="534"/>
      <c r="V111" s="551"/>
      <c r="X111" s="534"/>
      <c r="Y111" s="551"/>
    </row>
    <row r="112" spans="2:25">
      <c r="B112" s="565"/>
      <c r="C112" s="565"/>
      <c r="D112" s="537">
        <f>'Model Inputs'!$E$26+3</f>
        <v>2028</v>
      </c>
      <c r="E112" s="553">
        <f>IFERROR(
E66*('Model Inputs'!$E86+'Model Inputs'!$E86*'Model Inputs'!$E$94+'Model Inputs'!$E86*'Model Inputs'!$E$95)
+(ROUNDUP(E30/'Model Inputs'!$E$97,0)*'Model Inputs'!$E$96),"")</f>
        <v>45584.034711111119</v>
      </c>
      <c r="F112" s="553" t="str">
        <f>IFERROR(
F66*('Model Inputs'!$F86+'Model Inputs'!$F86*'Model Inputs'!$F$94+'Model Inputs'!$F86*'Model Inputs'!$F$95)
+(ROUNDUP(F30/'Model Inputs'!$F$97,0)*'Model Inputs'!$F$96),"")</f>
        <v/>
      </c>
      <c r="G112" s="553" t="str">
        <f>IFERROR(
G66*('Model Inputs'!$G86+'Model Inputs'!$G86*'Model Inputs'!$G$94+'Model Inputs'!$G86*'Model Inputs'!$G$95)
+(ROUNDUP(G30/'Model Inputs'!$G$97,0)*'Model Inputs'!$G$96),"")</f>
        <v/>
      </c>
      <c r="H112" s="620"/>
      <c r="I112" s="553">
        <f>IFERROR(
I66*('Model Inputs'!$H86+'Model Inputs'!$H86*'Model Inputs'!$H$94+'Model Inputs'!$H86*'Model Inputs'!$H$95)
+(ROUNDUP(I30/'Model Inputs'!$H$97,0)*'Model Inputs'!$H$96),"")</f>
        <v>41025.551240000015</v>
      </c>
      <c r="J112" s="553" t="str">
        <f>IFERROR(
J66*('Model Inputs'!$I86+'Model Inputs'!$I86*'Model Inputs'!$I$94+'Model Inputs'!$I86*'Model Inputs'!$I$95)
+(ROUNDUP(J30/'Model Inputs'!$I$97,0)*'Model Inputs'!$I$96),"")</f>
        <v/>
      </c>
      <c r="K112" s="553" t="str">
        <f>IFERROR(
K66*('Model Inputs'!$J86+'Model Inputs'!$J86*'Model Inputs'!$J$94+'Model Inputs'!$J86*'Model Inputs'!$J$95)
+(ROUNDUP(K30/'Model Inputs'!$J$97,0)*'Model Inputs'!$J$96),"")</f>
        <v/>
      </c>
      <c r="L112" s="620"/>
      <c r="M112" s="553" t="str">
        <f t="shared" si="48"/>
        <v/>
      </c>
      <c r="N112" s="553" t="str">
        <f>IFERROR(N66*('Model Inputs'!$K86+'Model Inputs'!$K86*'Model Inputs'!$K$94+'Model Inputs'!$K86*'Model Inputs'!$K$95)+((ROUNDUP(N30/'Model Inputs'!$K$97,0)*'Model Inputs'!$K$96)),"")</f>
        <v/>
      </c>
      <c r="O112" s="553" t="str">
        <f>IFERROR(
O66*('Model Inputs'!$L86+'Model Inputs'!$L86*'Model Inputs'!$L$94+'Model Inputs'!$L86*'Model Inputs'!$L$95)
+(ROUNDUP(O30/'Model Inputs'!$L$97,0)*'Model Inputs'!$L$96),"")</f>
        <v/>
      </c>
      <c r="P112" s="562"/>
      <c r="Q112" s="562"/>
      <c r="R112" s="534"/>
      <c r="S112" s="551"/>
      <c r="U112" s="534"/>
      <c r="V112" s="551"/>
      <c r="X112" s="534"/>
      <c r="Y112" s="551"/>
    </row>
    <row r="113" spans="2:25" s="558" customFormat="1" ht="16" customHeight="1">
      <c r="B113" s="565"/>
      <c r="C113" s="565"/>
      <c r="D113" s="552">
        <f>'Model Inputs'!$E$26+4</f>
        <v>2029</v>
      </c>
      <c r="E113" s="553">
        <f>IFERROR(
E67*('Model Inputs'!$E87+'Model Inputs'!$E87*'Model Inputs'!$E$94+'Model Inputs'!$E87*'Model Inputs'!$E$95)
+(ROUNDUP(E31/'Model Inputs'!$E$97,0)*'Model Inputs'!$E$96),"")</f>
        <v>52669.727259000014</v>
      </c>
      <c r="F113" s="553" t="str">
        <f>IFERROR(
F67*('Model Inputs'!$F87+'Model Inputs'!$F87*'Model Inputs'!$F$94+'Model Inputs'!$F87*'Model Inputs'!$F$95)
+(ROUNDUP(F31/'Model Inputs'!$F$97,0)*'Model Inputs'!$F$96),"")</f>
        <v/>
      </c>
      <c r="G113" s="553" t="str">
        <f>IFERROR(
G67*('Model Inputs'!$G87+'Model Inputs'!$G87*'Model Inputs'!$G$94+'Model Inputs'!$G87*'Model Inputs'!$G$95)
+(ROUNDUP(G31/'Model Inputs'!$G$97,0)*'Model Inputs'!$G$96),"")</f>
        <v/>
      </c>
      <c r="H113" s="620"/>
      <c r="I113" s="553">
        <f>IFERROR(
I67*('Model Inputs'!$H87+'Model Inputs'!$H87*'Model Inputs'!$H$94+'Model Inputs'!$H87*'Model Inputs'!$H$95)
+(ROUNDUP(I31/'Model Inputs'!$H$97,0)*'Model Inputs'!$H$96),"")</f>
        <v>47403.234533100003</v>
      </c>
      <c r="J113" s="553" t="str">
        <f>IFERROR(
J67*('Model Inputs'!$I87+'Model Inputs'!$I87*'Model Inputs'!$I$94+'Model Inputs'!$I87*'Model Inputs'!$I$95)
+(ROUNDUP(J31/'Model Inputs'!$I$97,0)*'Model Inputs'!$I$96),"")</f>
        <v/>
      </c>
      <c r="K113" s="553" t="str">
        <f>IFERROR(
K67*('Model Inputs'!$J87+'Model Inputs'!$J87*'Model Inputs'!$J$94+'Model Inputs'!$J87*'Model Inputs'!$J$95)
+(ROUNDUP(K31/'Model Inputs'!$J$97,0)*'Model Inputs'!$J$96),"")</f>
        <v/>
      </c>
      <c r="L113" s="620"/>
      <c r="M113" s="553" t="str">
        <f t="shared" si="48"/>
        <v/>
      </c>
      <c r="N113" s="553" t="str">
        <f>IFERROR(N67*('Model Inputs'!$K87+'Model Inputs'!$K87*'Model Inputs'!$K$94+'Model Inputs'!$K87*'Model Inputs'!$K$95)+((ROUNDUP(N31/'Model Inputs'!$K$97,0)*'Model Inputs'!$K$96)),"")</f>
        <v/>
      </c>
      <c r="O113" s="553" t="str">
        <f>IFERROR(
O67*('Model Inputs'!$L87+'Model Inputs'!$L87*'Model Inputs'!$L$94+'Model Inputs'!$L87*'Model Inputs'!$L$95)
+(ROUNDUP(O31/'Model Inputs'!$L$97,0)*'Model Inputs'!$L$96),"")</f>
        <v/>
      </c>
      <c r="P113" s="561"/>
      <c r="Q113" s="561"/>
      <c r="R113" s="534"/>
      <c r="S113" s="551"/>
      <c r="U113" s="534"/>
      <c r="V113" s="551"/>
      <c r="X113" s="534"/>
      <c r="Y113" s="551"/>
    </row>
    <row r="114" spans="2:25" s="558" customFormat="1" ht="8.25" customHeight="1">
      <c r="B114" s="565"/>
      <c r="C114" s="565"/>
      <c r="D114" s="613"/>
      <c r="E114" s="616"/>
      <c r="F114" s="616"/>
      <c r="G114" s="616"/>
      <c r="H114" s="635"/>
      <c r="I114" s="616"/>
      <c r="J114" s="616"/>
      <c r="K114" s="616"/>
      <c r="L114" s="635"/>
      <c r="M114" s="616"/>
      <c r="N114" s="616"/>
      <c r="O114" s="616"/>
      <c r="P114" s="561"/>
      <c r="Q114" s="561"/>
      <c r="R114" s="534"/>
      <c r="S114" s="551"/>
      <c r="U114" s="534"/>
      <c r="V114" s="551"/>
      <c r="X114" s="534"/>
      <c r="Y114" s="551"/>
    </row>
    <row r="115" spans="2:25" ht="45" customHeight="1">
      <c r="B115" s="565"/>
      <c r="C115" s="565"/>
      <c r="D115" s="1062" t="s">
        <v>227</v>
      </c>
      <c r="E115" s="1062"/>
      <c r="F115" s="1062"/>
      <c r="G115" s="1062"/>
      <c r="H115" s="1062"/>
      <c r="I115" s="1062"/>
      <c r="J115" s="1062"/>
      <c r="K115" s="1062"/>
      <c r="L115" s="1062"/>
      <c r="M115" s="1062"/>
      <c r="N115" s="1062"/>
      <c r="O115" s="1062"/>
      <c r="P115" s="562"/>
      <c r="Q115" s="562"/>
      <c r="R115" s="1061"/>
      <c r="S115" s="1060"/>
      <c r="U115" s="1061"/>
      <c r="V115" s="1060"/>
      <c r="X115" s="1061"/>
      <c r="Y115" s="1060"/>
    </row>
    <row r="116" spans="2:25" ht="8.25" customHeight="1">
      <c r="B116" s="565"/>
      <c r="C116" s="565"/>
      <c r="D116" s="599"/>
      <c r="E116" s="599"/>
      <c r="F116" s="599"/>
      <c r="G116" s="599"/>
      <c r="H116" s="619"/>
      <c r="I116" s="599"/>
      <c r="J116" s="599"/>
      <c r="K116" s="599"/>
      <c r="L116" s="619"/>
      <c r="M116" s="599"/>
      <c r="N116" s="599"/>
      <c r="O116" s="599"/>
      <c r="P116" s="562"/>
      <c r="Q116" s="562"/>
      <c r="R116" s="720"/>
      <c r="S116" s="721"/>
      <c r="U116" s="720"/>
      <c r="V116" s="721"/>
      <c r="X116" s="720"/>
      <c r="Y116" s="721"/>
    </row>
    <row r="117" spans="2:25" ht="35.25" customHeight="1">
      <c r="B117" s="565"/>
      <c r="C117" s="565"/>
      <c r="D117" s="589" t="s">
        <v>211</v>
      </c>
      <c r="E117" s="536">
        <f>IF(E118="","NA",SUM(E118:E122))</f>
        <v>1253616.8254038889</v>
      </c>
      <c r="F117" s="536" t="str">
        <f>IF(F118="","NA",SUM(F118:F122))</f>
        <v>NA</v>
      </c>
      <c r="G117" s="536" t="str">
        <f t="shared" ref="G117" si="49">IF(G118="","NA",SUM(G118:G122))</f>
        <v>NA</v>
      </c>
      <c r="H117" s="625"/>
      <c r="I117" s="536">
        <f t="shared" ref="I117" si="50">IF(I118="","NA",SUM(I118:I122))</f>
        <v>1064252.9164936999</v>
      </c>
      <c r="J117" s="536" t="str">
        <f t="shared" ref="J117" si="51">IF(J118="","NA",SUM(J118:J122))</f>
        <v>NA</v>
      </c>
      <c r="K117" s="536" t="str">
        <f t="shared" ref="K117" si="52">IF(K118="","NA",SUM(K118:K122))</f>
        <v>NA</v>
      </c>
      <c r="L117" s="625"/>
      <c r="M117" s="536" t="str">
        <f t="shared" ref="M117" si="53">IF(M118="","NA",SUM(M118:M122))</f>
        <v>NA</v>
      </c>
      <c r="N117" s="536" t="str">
        <f t="shared" ref="N117" si="54">IF(N118="","NA",SUM(N118:N122))</f>
        <v>NA</v>
      </c>
      <c r="O117" s="536" t="str">
        <f t="shared" ref="O117" si="55">IF(O118="","NA",SUM(O118:O122))</f>
        <v>NA</v>
      </c>
      <c r="P117" s="562"/>
      <c r="Q117" s="562"/>
      <c r="R117" s="534"/>
      <c r="S117" s="549"/>
      <c r="U117" s="534"/>
      <c r="V117" s="549"/>
      <c r="X117" s="534"/>
      <c r="Y117" s="549"/>
    </row>
    <row r="118" spans="2:25">
      <c r="B118" s="565"/>
      <c r="C118" s="565"/>
      <c r="D118" s="537">
        <f>'Model Inputs'!$E$26</f>
        <v>2025</v>
      </c>
      <c r="E118" s="553">
        <f>IFERROR(E109+(E27*'Model Inputs'!E$103),"")</f>
        <v>195293.33333333334</v>
      </c>
      <c r="F118" s="553" t="str">
        <f>IFERROR(F109+(F27*'Model Inputs'!F$103),"")</f>
        <v/>
      </c>
      <c r="G118" s="553" t="str">
        <f>IFERROR(G109+(G27*'Model Inputs'!G$103),"")</f>
        <v/>
      </c>
      <c r="H118" s="620"/>
      <c r="I118" s="553">
        <f>IFERROR(I109+(I27*'Model Inputs'!H$103),"")</f>
        <v>166044</v>
      </c>
      <c r="J118" s="553" t="str">
        <f>IFERROR(J109+(J27*'Model Inputs'!I$103),"")</f>
        <v/>
      </c>
      <c r="K118" s="553" t="str">
        <f>IFERROR(K109+(K27*'Model Inputs'!J$103),"")</f>
        <v/>
      </c>
      <c r="L118" s="620"/>
      <c r="M118" s="553" t="str">
        <f>IFERROR(N118+O118,"")</f>
        <v/>
      </c>
      <c r="N118" s="553" t="str">
        <f>IFERROR(N109+(N27*'Model Inputs'!K$103),"")</f>
        <v/>
      </c>
      <c r="O118" s="553" t="str">
        <f>IFERROR(O109+(O27*'Model Inputs'!L$103),"")</f>
        <v/>
      </c>
      <c r="P118" s="562"/>
      <c r="Q118" s="562"/>
      <c r="R118" s="550"/>
      <c r="U118" s="534"/>
      <c r="V118" s="549"/>
      <c r="X118" s="534"/>
      <c r="Y118" s="549"/>
    </row>
    <row r="119" spans="2:25">
      <c r="B119" s="565"/>
      <c r="C119" s="565"/>
      <c r="D119" s="537">
        <f>'Model Inputs'!$E$26+1</f>
        <v>2026</v>
      </c>
      <c r="E119" s="553">
        <f>IFERROR(E110+(E28*'Model Inputs'!E$103),"")</f>
        <v>228077.48888888888</v>
      </c>
      <c r="F119" s="553" t="str">
        <f>IFERROR(F110+(F28*'Model Inputs'!F$103),"")</f>
        <v/>
      </c>
      <c r="G119" s="553" t="str">
        <f>IFERROR(G110+(G28*'Model Inputs'!G$103),"")</f>
        <v/>
      </c>
      <c r="H119" s="620"/>
      <c r="I119" s="553">
        <f>IFERROR(I110+(I28*'Model Inputs'!H$103),"")</f>
        <v>193589.7</v>
      </c>
      <c r="J119" s="553" t="str">
        <f>IFERROR(J110+(J28*'Model Inputs'!I$103),"")</f>
        <v/>
      </c>
      <c r="K119" s="553" t="str">
        <f>IFERROR(K110+(K28*'Model Inputs'!J$103),"")</f>
        <v/>
      </c>
      <c r="L119" s="620"/>
      <c r="M119" s="553" t="str">
        <f t="shared" ref="M119:M121" si="56">IFERROR(N119+O119,"")</f>
        <v/>
      </c>
      <c r="N119" s="553" t="str">
        <f>IFERROR(N110+(N28*'Model Inputs'!K$103),"")</f>
        <v/>
      </c>
      <c r="O119" s="553" t="str">
        <f>IFERROR(O110+(O28*'Model Inputs'!L$103),"")</f>
        <v/>
      </c>
      <c r="P119" s="562"/>
      <c r="Q119" s="562"/>
      <c r="R119" s="534"/>
      <c r="S119" s="549"/>
      <c r="U119" s="534"/>
      <c r="V119" s="549"/>
      <c r="X119" s="534"/>
      <c r="Y119" s="549"/>
    </row>
    <row r="120" spans="2:25">
      <c r="B120" s="565"/>
      <c r="C120" s="565"/>
      <c r="D120" s="537">
        <f>'Model Inputs'!$E$26+2</f>
        <v>2027</v>
      </c>
      <c r="E120" s="553">
        <f>IFERROR(E111+(E29*'Model Inputs'!E$103),"")</f>
        <v>233787.40555555557</v>
      </c>
      <c r="F120" s="553" t="str">
        <f>IFERROR(F111+(F29*'Model Inputs'!F$103),"")</f>
        <v/>
      </c>
      <c r="G120" s="553" t="str">
        <f>IFERROR(G111+(G29*'Model Inputs'!G$103),"")</f>
        <v/>
      </c>
      <c r="H120" s="620"/>
      <c r="I120" s="553">
        <f>IFERROR(I111+(I29*'Model Inputs'!H$103),"")</f>
        <v>198377.73899999997</v>
      </c>
      <c r="J120" s="553" t="str">
        <f>IFERROR(J111+(J29*'Model Inputs'!I$103),"")</f>
        <v/>
      </c>
      <c r="K120" s="553" t="str">
        <f>IFERROR(K111+(K29*'Model Inputs'!J$103),"")</f>
        <v/>
      </c>
      <c r="L120" s="620"/>
      <c r="M120" s="553" t="str">
        <f t="shared" si="56"/>
        <v/>
      </c>
      <c r="N120" s="553" t="str">
        <f>IFERROR(N111+(N29*'Model Inputs'!K$103),"")</f>
        <v/>
      </c>
      <c r="O120" s="553" t="str">
        <f>IFERROR(O111+(O29*'Model Inputs'!L$103),"")</f>
        <v/>
      </c>
      <c r="P120" s="562"/>
      <c r="Q120" s="562"/>
      <c r="R120" s="534"/>
      <c r="S120" s="549"/>
      <c r="U120" s="534"/>
      <c r="V120" s="549"/>
      <c r="X120" s="534"/>
      <c r="Y120" s="549"/>
    </row>
    <row r="121" spans="2:25">
      <c r="B121" s="565"/>
      <c r="C121" s="565"/>
      <c r="D121" s="537">
        <f>'Model Inputs'!$E$26+3</f>
        <v>2028</v>
      </c>
      <c r="E121" s="553">
        <f>IFERROR(E112+(E30*'Model Inputs'!E$103),"")</f>
        <v>276367.97711111116</v>
      </c>
      <c r="F121" s="553" t="str">
        <f>IFERROR(F112+(F30*'Model Inputs'!F$103),"")</f>
        <v/>
      </c>
      <c r="G121" s="553" t="str">
        <f>IFERROR(G112+(G30*'Model Inputs'!G$103),"")</f>
        <v/>
      </c>
      <c r="H121" s="620"/>
      <c r="I121" s="553">
        <f>IFERROR(I112+(I30*'Model Inputs'!H$103),"")</f>
        <v>234569.35748000006</v>
      </c>
      <c r="J121" s="553" t="str">
        <f>IFERROR(J112+(J30*'Model Inputs'!I$103),"")</f>
        <v/>
      </c>
      <c r="K121" s="553" t="str">
        <f>IFERROR(K112+(K30*'Model Inputs'!J$103),"")</f>
        <v/>
      </c>
      <c r="L121" s="620"/>
      <c r="M121" s="553" t="str">
        <f t="shared" si="56"/>
        <v/>
      </c>
      <c r="N121" s="553" t="str">
        <f>IFERROR(N112+(N30*'Model Inputs'!K$103),"")</f>
        <v/>
      </c>
      <c r="O121" s="553" t="str">
        <f>IFERROR(O112+(O30*'Model Inputs'!L$103),"")</f>
        <v/>
      </c>
      <c r="P121" s="562"/>
      <c r="Q121" s="562"/>
      <c r="R121" s="534"/>
      <c r="S121" s="549"/>
      <c r="U121" s="534"/>
      <c r="V121" s="549"/>
      <c r="X121" s="534"/>
      <c r="Y121" s="549"/>
    </row>
    <row r="122" spans="2:25" s="558" customFormat="1">
      <c r="B122" s="565"/>
      <c r="C122" s="565"/>
      <c r="D122" s="552">
        <f>'Model Inputs'!$E$26+4</f>
        <v>2029</v>
      </c>
      <c r="E122" s="553">
        <f>IFERROR(E113+(E31*'Model Inputs'!E$103),"")</f>
        <v>320090.62051500002</v>
      </c>
      <c r="F122" s="553" t="str">
        <f>IFERROR(F113+(F31*'Model Inputs'!F$103),"")</f>
        <v/>
      </c>
      <c r="G122" s="553" t="str">
        <f>IFERROR(G113+(G31*'Model Inputs'!G$103),"")</f>
        <v/>
      </c>
      <c r="H122" s="620"/>
      <c r="I122" s="553">
        <f>IFERROR(I113+(I31*'Model Inputs'!H$103),"")</f>
        <v>271672.12001369998</v>
      </c>
      <c r="J122" s="553" t="str">
        <f>IFERROR(J113+(J31*'Model Inputs'!I$103),"")</f>
        <v/>
      </c>
      <c r="K122" s="553" t="str">
        <f>IFERROR(K113+(K31*'Model Inputs'!J$103),"")</f>
        <v/>
      </c>
      <c r="L122" s="620"/>
      <c r="M122" s="553" t="str">
        <f>IFERROR(N122+O122,"")</f>
        <v/>
      </c>
      <c r="N122" s="553" t="str">
        <f>IFERROR(N113+(N31*'Model Inputs'!K$103),"")</f>
        <v/>
      </c>
      <c r="O122" s="553" t="str">
        <f>IFERROR(O113+(O31*'Model Inputs'!L$103),"")</f>
        <v/>
      </c>
      <c r="P122" s="561"/>
      <c r="Q122" s="561"/>
      <c r="R122" s="534"/>
      <c r="S122" s="549"/>
      <c r="U122" s="534"/>
      <c r="V122" s="549"/>
      <c r="X122" s="534"/>
      <c r="Y122" s="549"/>
    </row>
    <row r="123" spans="2:25" s="558" customFormat="1" ht="12" customHeight="1">
      <c r="B123" s="565"/>
      <c r="C123" s="565"/>
      <c r="D123" s="613"/>
      <c r="E123" s="617"/>
      <c r="F123" s="617"/>
      <c r="G123" s="617"/>
      <c r="H123" s="620"/>
      <c r="I123" s="617"/>
      <c r="J123" s="617"/>
      <c r="K123" s="617"/>
      <c r="L123" s="620"/>
      <c r="M123" s="616"/>
      <c r="N123" s="617"/>
      <c r="O123" s="617"/>
      <c r="P123" s="561"/>
      <c r="Q123" s="561"/>
      <c r="R123" s="534"/>
      <c r="S123" s="549"/>
      <c r="U123" s="534"/>
      <c r="V123" s="549"/>
      <c r="X123" s="534"/>
      <c r="Y123" s="549"/>
    </row>
    <row r="124" spans="2:25" ht="55" customHeight="1">
      <c r="B124" s="565"/>
      <c r="C124" s="565"/>
      <c r="D124" s="1063" t="s">
        <v>228</v>
      </c>
      <c r="E124" s="1063"/>
      <c r="F124" s="1063"/>
      <c r="G124" s="1063"/>
      <c r="H124" s="1063"/>
      <c r="I124" s="1063"/>
      <c r="J124" s="1063"/>
      <c r="K124" s="1063"/>
      <c r="L124" s="1063"/>
      <c r="M124" s="1063"/>
      <c r="N124" s="1063"/>
      <c r="O124" s="1063"/>
      <c r="P124" s="562"/>
      <c r="Q124" s="562"/>
      <c r="R124" s="1060"/>
      <c r="S124" s="1060"/>
      <c r="U124" s="1060"/>
      <c r="V124" s="1060"/>
      <c r="X124" s="1060"/>
      <c r="Y124" s="1060"/>
    </row>
    <row r="125" spans="2:25" ht="8.25" customHeight="1">
      <c r="B125" s="565"/>
      <c r="C125" s="565"/>
      <c r="D125" s="580"/>
      <c r="E125" s="580"/>
      <c r="F125" s="580"/>
      <c r="G125" s="580"/>
      <c r="H125" s="580"/>
      <c r="I125" s="580"/>
      <c r="J125" s="580"/>
      <c r="K125" s="580"/>
      <c r="L125" s="580"/>
      <c r="M125" s="580"/>
      <c r="N125" s="580"/>
      <c r="O125" s="580"/>
      <c r="P125" s="562"/>
      <c r="Q125" s="562"/>
      <c r="R125" s="721"/>
      <c r="S125" s="721"/>
      <c r="U125" s="721"/>
      <c r="V125" s="721"/>
      <c r="X125" s="721"/>
      <c r="Y125" s="721"/>
    </row>
    <row r="126" spans="2:25" ht="45" customHeight="1">
      <c r="B126" s="565"/>
      <c r="C126" s="565"/>
      <c r="D126" s="1062" t="s">
        <v>226</v>
      </c>
      <c r="E126" s="1062"/>
      <c r="F126" s="1062"/>
      <c r="G126" s="1062"/>
      <c r="H126" s="1062"/>
      <c r="I126" s="1062"/>
      <c r="J126" s="1062"/>
      <c r="K126" s="1062"/>
      <c r="L126" s="1062"/>
      <c r="M126" s="1062"/>
      <c r="N126" s="1062"/>
      <c r="O126" s="1062"/>
      <c r="P126" s="562"/>
      <c r="Q126" s="562"/>
      <c r="R126" s="1061"/>
      <c r="S126" s="1060"/>
      <c r="U126" s="1061"/>
      <c r="V126" s="1061"/>
      <c r="X126" s="1061"/>
      <c r="Y126" s="1061"/>
    </row>
    <row r="127" spans="2:25" ht="8.25" customHeight="1">
      <c r="B127" s="565"/>
      <c r="C127" s="565"/>
      <c r="D127" s="618"/>
      <c r="E127" s="618"/>
      <c r="F127" s="618"/>
      <c r="G127" s="618"/>
      <c r="H127" s="618"/>
      <c r="I127" s="618"/>
      <c r="J127" s="618"/>
      <c r="K127" s="618"/>
      <c r="L127" s="618"/>
      <c r="M127" s="618"/>
      <c r="N127" s="618"/>
      <c r="O127" s="618"/>
      <c r="P127" s="562"/>
      <c r="Q127" s="562"/>
      <c r="R127" s="720"/>
      <c r="S127" s="721"/>
      <c r="U127" s="720"/>
      <c r="V127" s="720"/>
      <c r="X127" s="720"/>
      <c r="Y127" s="720"/>
    </row>
    <row r="128" spans="2:25" ht="35.25" customHeight="1">
      <c r="B128" s="565"/>
      <c r="C128" s="565"/>
      <c r="D128" s="589" t="s">
        <v>211</v>
      </c>
      <c r="E128" s="536">
        <f>IF(E129="","NA",SUM(E129:E133))</f>
        <v>3581419.6205880558</v>
      </c>
      <c r="F128" s="536" t="str">
        <f>IF(F129="","NA",SUM(F129:F133))</f>
        <v>NA</v>
      </c>
      <c r="G128" s="536" t="str">
        <f t="shared" ref="G128" si="57">IF(G129="","NA",SUM(G129:G133))</f>
        <v>NA</v>
      </c>
      <c r="H128" s="625"/>
      <c r="I128" s="536">
        <f t="shared" ref="I128" si="58">IF(I129="","NA",SUM(I129:I133))</f>
        <v>18391904.677310001</v>
      </c>
      <c r="J128" s="536" t="str">
        <f t="shared" ref="J128" si="59">IF(J129="","NA",SUM(J129:J133))</f>
        <v>NA</v>
      </c>
      <c r="K128" s="536" t="str">
        <f t="shared" ref="K128" si="60">IF(K129="","NA",SUM(K129:K133))</f>
        <v>NA</v>
      </c>
      <c r="L128" s="625"/>
      <c r="M128" s="536" t="str">
        <f t="shared" ref="M128" si="61">IF(M129="","NA",SUM(M129:M133))</f>
        <v>NA</v>
      </c>
      <c r="N128" s="536" t="str">
        <f t="shared" ref="N128" si="62">IF(N129="","NA",SUM(N129:N133))</f>
        <v>NA</v>
      </c>
      <c r="O128" s="536" t="str">
        <f t="shared" ref="O128" si="63">IF(O129="","NA",SUM(O129:O133))</f>
        <v>NA</v>
      </c>
      <c r="P128" s="562"/>
      <c r="Q128" s="562"/>
      <c r="R128" s="554"/>
      <c r="S128" s="549"/>
      <c r="U128" s="534"/>
      <c r="V128" s="549"/>
      <c r="X128" s="534"/>
      <c r="Y128" s="549"/>
    </row>
    <row r="129" spans="2:25">
      <c r="B129" s="565"/>
      <c r="C129" s="565"/>
      <c r="D129" s="537">
        <f>'Model Inputs'!$E$26</f>
        <v>2025</v>
      </c>
      <c r="E129" s="553">
        <f>IFERROR(E63*('Model Inputs'!E$80+'Model Inputs'!E$80*'Model Inputs'!E$94+'Model Inputs'!E$80*'Model Inputs'!E$95)+((ROUNDUP(E27/'Model Inputs'!$E$97,0)*'Model Inputs'!$E$96)),"")</f>
        <v>629793.33333333337</v>
      </c>
      <c r="F129" s="553" t="str">
        <f>IFERROR(F63*('Model Inputs'!F$80+'Model Inputs'!F$80*'Model Inputs'!F$94+'Model Inputs'!F$80*'Model Inputs'!F$95)+((ROUNDUP(F27/'Model Inputs'!$E$97,0)*'Model Inputs'!$E$96)),"")</f>
        <v/>
      </c>
      <c r="G129" s="553" t="str">
        <f>IFERROR(G63*('Model Inputs'!G$80+'Model Inputs'!G$80*'Model Inputs'!G$94+'Model Inputs'!G$80*'Model Inputs'!G$95)+((ROUNDUP(G27/'Model Inputs'!$E$97,0)*'Model Inputs'!$E$96)),"")</f>
        <v/>
      </c>
      <c r="H129" s="620"/>
      <c r="I129" s="553">
        <f>IFERROR(I63*('Model Inputs'!H$80+'Model Inputs'!H$80*'Model Inputs'!H$94+'Model Inputs'!H$80*'Model Inputs'!H$95)+((ROUNDUP(I27/'Model Inputs'!$H$97,0)*'Model Inputs'!$H$96)),"")</f>
        <v>3234864</v>
      </c>
      <c r="J129" s="553" t="str">
        <f>IFERROR(J63*('Model Inputs'!I$80+'Model Inputs'!I$80*'Model Inputs'!I$94+'Model Inputs'!I$80*'Model Inputs'!I$95)+((ROUNDUP(J27/'Model Inputs'!$H$97,0)*'Model Inputs'!$H$96)),"")</f>
        <v/>
      </c>
      <c r="K129" s="553" t="str">
        <f>IFERROR(K63*('Model Inputs'!J$80+'Model Inputs'!J$80*'Model Inputs'!J$94+'Model Inputs'!J$80*'Model Inputs'!J$95)+((ROUNDUP(K27/'Model Inputs'!$H$97,0)*'Model Inputs'!$H$96)),"")</f>
        <v/>
      </c>
      <c r="L129" s="620"/>
      <c r="M129" s="553" t="str">
        <f>IFERROR(N129+O129,"")</f>
        <v/>
      </c>
      <c r="N129" s="553" t="str">
        <f>IFERROR(N63*('Model Inputs'!K$80+'Model Inputs'!K$80*'Model Inputs'!K$94+'Model Inputs'!K$80*'Model Inputs'!K$95)+((ROUNDUP(N27/'Model Inputs'!$K$97,0)*'Model Inputs'!$K$96)),"")</f>
        <v/>
      </c>
      <c r="O129" s="553" t="str">
        <f>IFERROR(O63*('Model Inputs'!L$80+'Model Inputs'!L$80*'Model Inputs'!L$94+'Model Inputs'!L$80*'Model Inputs'!L$95)+((ROUNDUP(O27/'Model Inputs'!$K$97,0)*'Model Inputs'!$K$96)),"")</f>
        <v/>
      </c>
      <c r="P129" s="562"/>
      <c r="Q129" s="562"/>
      <c r="R129" s="550"/>
      <c r="S129" s="557"/>
      <c r="U129" s="534"/>
      <c r="V129" s="549"/>
      <c r="X129" s="534"/>
      <c r="Y129" s="549"/>
    </row>
    <row r="130" spans="2:25">
      <c r="B130" s="565"/>
      <c r="C130" s="565"/>
      <c r="D130" s="537">
        <f>'Model Inputs'!$E$26+1</f>
        <v>2026</v>
      </c>
      <c r="E130" s="553">
        <f>IFERROR(E64*('Model Inputs'!E$80+'Model Inputs'!E$80*'Model Inputs'!E$94+'Model Inputs'!E$80*'Model Inputs'!E$95)+((ROUNDUP(E28/'Model Inputs'!$E$97,0)*'Model Inputs'!$E$96)),"")</f>
        <v>641301.65555555548</v>
      </c>
      <c r="F130" s="553" t="str">
        <f>IFERROR(F64*('Model Inputs'!F$80+'Model Inputs'!F$80*'Model Inputs'!F$94+'Model Inputs'!F$80*'Model Inputs'!F$95)+((ROUNDUP(F28/'Model Inputs'!$E$97,0)*'Model Inputs'!$E$96)),"")</f>
        <v/>
      </c>
      <c r="G130" s="553" t="str">
        <f>IFERROR(G64*('Model Inputs'!G$80+'Model Inputs'!G$80*'Model Inputs'!G$94+'Model Inputs'!G$80*'Model Inputs'!G$95)+((ROUNDUP(G28/'Model Inputs'!$E$97,0)*'Model Inputs'!$E$96)),"")</f>
        <v/>
      </c>
      <c r="H130" s="620"/>
      <c r="I130" s="553">
        <f>IFERROR(I64*('Model Inputs'!H$80+'Model Inputs'!H$80*'Model Inputs'!H$94+'Model Inputs'!H$80*'Model Inputs'!H$95)+((ROUNDUP(I28/'Model Inputs'!$H$97,0)*'Model Inputs'!$H$96)),"")</f>
        <v>3293228.4</v>
      </c>
      <c r="J130" s="553" t="str">
        <f>IFERROR(J64*('Model Inputs'!I$80+'Model Inputs'!I$80*'Model Inputs'!I$94+'Model Inputs'!I$80*'Model Inputs'!I$95)+((ROUNDUP(J28/'Model Inputs'!$H$97,0)*'Model Inputs'!$H$96)),"")</f>
        <v/>
      </c>
      <c r="K130" s="553" t="str">
        <f>IFERROR(K64*('Model Inputs'!J$80+'Model Inputs'!J$80*'Model Inputs'!J$94+'Model Inputs'!J$80*'Model Inputs'!J$95)+((ROUNDUP(K28/'Model Inputs'!$H$97,0)*'Model Inputs'!$H$96)),"")</f>
        <v/>
      </c>
      <c r="L130" s="620"/>
      <c r="M130" s="553" t="str">
        <f t="shared" ref="M130:M133" si="64">IFERROR(N130+O130,"")</f>
        <v/>
      </c>
      <c r="N130" s="553" t="str">
        <f>IFERROR(N64*('Model Inputs'!K$80+'Model Inputs'!K$80*'Model Inputs'!K$94+'Model Inputs'!K$80*'Model Inputs'!K$95)+((ROUNDUP(N28/'Model Inputs'!$K$97,0)*'Model Inputs'!$K$96)),"")</f>
        <v/>
      </c>
      <c r="O130" s="553" t="str">
        <f>IFERROR(O64*('Model Inputs'!L$80+'Model Inputs'!L$80*'Model Inputs'!L$94+'Model Inputs'!L$80*'Model Inputs'!L$95)+((ROUNDUP(O28/'Model Inputs'!$K$97,0)*'Model Inputs'!$K$96)),"")</f>
        <v/>
      </c>
      <c r="P130" s="562"/>
      <c r="Q130" s="562"/>
      <c r="R130" s="534"/>
      <c r="S130" s="549"/>
      <c r="U130" s="534"/>
      <c r="V130" s="549"/>
      <c r="X130" s="534"/>
      <c r="Y130" s="549"/>
    </row>
    <row r="131" spans="2:25">
      <c r="B131" s="565"/>
      <c r="C131" s="565"/>
      <c r="D131" s="537">
        <f>'Model Inputs'!$E$26+2</f>
        <v>2027</v>
      </c>
      <c r="E131" s="553">
        <f>IFERROR(E65*('Model Inputs'!E$80+'Model Inputs'!E$80*'Model Inputs'!E$94+'Model Inputs'!E$80*'Model Inputs'!E$95)+((ROUNDUP(E29/'Model Inputs'!$E$97,0)*'Model Inputs'!$E$96)),"")</f>
        <v>640713.79722222232</v>
      </c>
      <c r="F131" s="553" t="str">
        <f>IFERROR(F65*('Model Inputs'!F$80+'Model Inputs'!F$80*'Model Inputs'!F$94+'Model Inputs'!F$80*'Model Inputs'!F$95)+((ROUNDUP(F29/'Model Inputs'!$E$97,0)*'Model Inputs'!$E$96)),"")</f>
        <v/>
      </c>
      <c r="G131" s="553" t="str">
        <f>IFERROR(G65*('Model Inputs'!G$80+'Model Inputs'!G$80*'Model Inputs'!G$94+'Model Inputs'!G$80*'Model Inputs'!G$95)+((ROUNDUP(G29/'Model Inputs'!$E$97,0)*'Model Inputs'!$E$96)),"")</f>
        <v/>
      </c>
      <c r="H131" s="620"/>
      <c r="I131" s="553">
        <f>IFERROR(I65*('Model Inputs'!H$80+'Model Inputs'!H$80*'Model Inputs'!H$94+'Model Inputs'!H$80*'Model Inputs'!H$95)+((ROUNDUP(I29/'Model Inputs'!$H$97,0)*'Model Inputs'!$H$96)),"")</f>
        <v>3290055.3000000003</v>
      </c>
      <c r="J131" s="553" t="str">
        <f>IFERROR(J65*('Model Inputs'!I$80+'Model Inputs'!I$80*'Model Inputs'!I$94+'Model Inputs'!I$80*'Model Inputs'!I$95)+((ROUNDUP(J29/'Model Inputs'!$H$97,0)*'Model Inputs'!$H$96)),"")</f>
        <v/>
      </c>
      <c r="K131" s="553" t="str">
        <f>IFERROR(K65*('Model Inputs'!J$80+'Model Inputs'!J$80*'Model Inputs'!J$94+'Model Inputs'!J$80*'Model Inputs'!J$95)+((ROUNDUP(K29/'Model Inputs'!$H$97,0)*'Model Inputs'!$H$96)),"")</f>
        <v/>
      </c>
      <c r="L131" s="620"/>
      <c r="M131" s="553" t="str">
        <f t="shared" si="64"/>
        <v/>
      </c>
      <c r="N131" s="553" t="str">
        <f>IFERROR(N65*('Model Inputs'!K$80+'Model Inputs'!K$80*'Model Inputs'!K$94+'Model Inputs'!K$80*'Model Inputs'!K$95)+((ROUNDUP(N29/'Model Inputs'!$K$97,0)*'Model Inputs'!$K$96)),"")</f>
        <v/>
      </c>
      <c r="O131" s="553" t="str">
        <f>IFERROR(O65*('Model Inputs'!L$80+'Model Inputs'!L$80*'Model Inputs'!L$94+'Model Inputs'!L$80*'Model Inputs'!L$95)+((ROUNDUP(O29/'Model Inputs'!$K$97,0)*'Model Inputs'!$K$96)),"")</f>
        <v/>
      </c>
      <c r="P131" s="562"/>
      <c r="Q131" s="562"/>
      <c r="R131" s="534"/>
      <c r="S131" s="549"/>
      <c r="U131" s="534"/>
      <c r="V131" s="549"/>
      <c r="X131" s="534"/>
      <c r="Y131" s="549"/>
    </row>
    <row r="132" spans="2:25">
      <c r="B132" s="565"/>
      <c r="C132" s="565"/>
      <c r="D132" s="537">
        <f>'Model Inputs'!$E$26+3</f>
        <v>2028</v>
      </c>
      <c r="E132" s="553">
        <f>IFERROR(E66*('Model Inputs'!E$80+'Model Inputs'!E$80*'Model Inputs'!E$94+'Model Inputs'!E$80*'Model Inputs'!E$95)+((ROUNDUP(E30/'Model Inputs'!$E$97,0)*'Model Inputs'!$E$96)),"")</f>
        <v>774633.80744444451</v>
      </c>
      <c r="F132" s="553" t="str">
        <f>IFERROR(F66*('Model Inputs'!F$80+'Model Inputs'!F$80*'Model Inputs'!F$94+'Model Inputs'!F$80*'Model Inputs'!F$95)+((ROUNDUP(F30/'Model Inputs'!$E$97,0)*'Model Inputs'!$E$96)),"")</f>
        <v/>
      </c>
      <c r="G132" s="553" t="str">
        <f>IFERROR(G66*('Model Inputs'!G$80+'Model Inputs'!G$80*'Model Inputs'!G$94+'Model Inputs'!G$80*'Model Inputs'!G$95)+((ROUNDUP(G30/'Model Inputs'!$E$97,0)*'Model Inputs'!$E$96)),"")</f>
        <v/>
      </c>
      <c r="H132" s="620"/>
      <c r="I132" s="553">
        <f>IFERROR(I66*('Model Inputs'!H$80+'Model Inputs'!H$80*'Model Inputs'!H$94+'Model Inputs'!H$80*'Model Inputs'!H$95)+((ROUNDUP(I30/'Model Inputs'!$H$97,0)*'Model Inputs'!$H$96)),"")</f>
        <v>3977894.3240000014</v>
      </c>
      <c r="J132" s="553" t="str">
        <f>IFERROR(J66*('Model Inputs'!I$80+'Model Inputs'!I$80*'Model Inputs'!I$94+'Model Inputs'!I$80*'Model Inputs'!I$95)+((ROUNDUP(J30/'Model Inputs'!$H$97,0)*'Model Inputs'!$H$96)),"")</f>
        <v/>
      </c>
      <c r="K132" s="553" t="str">
        <f>IFERROR(K66*('Model Inputs'!J$80+'Model Inputs'!J$80*'Model Inputs'!J$94+'Model Inputs'!J$80*'Model Inputs'!J$95)+((ROUNDUP(K30/'Model Inputs'!$H$97,0)*'Model Inputs'!$H$96)),"")</f>
        <v/>
      </c>
      <c r="L132" s="620"/>
      <c r="M132" s="553" t="str">
        <f t="shared" si="64"/>
        <v/>
      </c>
      <c r="N132" s="553" t="str">
        <f>IFERROR(N66*('Model Inputs'!K$80+'Model Inputs'!K$80*'Model Inputs'!K$94+'Model Inputs'!K$80*'Model Inputs'!K$95)+((ROUNDUP(N30/'Model Inputs'!$K$97,0)*'Model Inputs'!$K$96)),"")</f>
        <v/>
      </c>
      <c r="O132" s="553" t="str">
        <f>IFERROR(O66*('Model Inputs'!L$80+'Model Inputs'!L$80*'Model Inputs'!L$94+'Model Inputs'!L$80*'Model Inputs'!L$95)+((ROUNDUP(O30/'Model Inputs'!$K$97,0)*'Model Inputs'!$K$96)),"")</f>
        <v/>
      </c>
      <c r="P132" s="562"/>
      <c r="Q132" s="562"/>
      <c r="R132" s="534"/>
      <c r="S132" s="549"/>
      <c r="U132" s="534"/>
      <c r="V132" s="549"/>
      <c r="X132" s="534"/>
      <c r="Y132" s="549"/>
    </row>
    <row r="133" spans="2:25" ht="16" customHeight="1">
      <c r="B133" s="565"/>
      <c r="C133" s="565"/>
      <c r="D133" s="537">
        <f>'Model Inputs'!$E$26+4</f>
        <v>2029</v>
      </c>
      <c r="E133" s="553">
        <f>IFERROR(E67*('Model Inputs'!E$80+'Model Inputs'!E$80*'Model Inputs'!E$94+'Model Inputs'!E$80*'Model Inputs'!E$95)+((ROUNDUP(E31/'Model Inputs'!$E$97,0)*'Model Inputs'!$E$96)),"")</f>
        <v>894977.02703250013</v>
      </c>
      <c r="F133" s="553" t="str">
        <f>IFERROR(F67*('Model Inputs'!F$80+'Model Inputs'!F$80*'Model Inputs'!F$94+'Model Inputs'!F$80*'Model Inputs'!F$95)+((ROUNDUP(F31/'Model Inputs'!$E$97,0)*'Model Inputs'!$E$96)),"")</f>
        <v/>
      </c>
      <c r="G133" s="553" t="str">
        <f>IFERROR(G67*('Model Inputs'!G$80+'Model Inputs'!G$80*'Model Inputs'!G$94+'Model Inputs'!G$80*'Model Inputs'!G$95)+((ROUNDUP(G31/'Model Inputs'!$E$97,0)*'Model Inputs'!$E$96)),"")</f>
        <v/>
      </c>
      <c r="H133" s="620"/>
      <c r="I133" s="553">
        <f>IFERROR(I67*('Model Inputs'!H$80+'Model Inputs'!H$80*'Model Inputs'!H$94+'Model Inputs'!H$80*'Model Inputs'!H$95)+((ROUNDUP(I31/'Model Inputs'!$H$97,0)*'Model Inputs'!$H$96)),"")</f>
        <v>4595862.65331</v>
      </c>
      <c r="J133" s="553" t="str">
        <f>IFERROR(J67*('Model Inputs'!I$80+'Model Inputs'!I$80*'Model Inputs'!I$94+'Model Inputs'!I$80*'Model Inputs'!I$95)+((ROUNDUP(J31/'Model Inputs'!$H$97,0)*'Model Inputs'!$H$96)),"")</f>
        <v/>
      </c>
      <c r="K133" s="553" t="str">
        <f>IFERROR(K67*('Model Inputs'!J$80+'Model Inputs'!J$80*'Model Inputs'!J$94+'Model Inputs'!J$80*'Model Inputs'!J$95)+((ROUNDUP(K31/'Model Inputs'!$H$97,0)*'Model Inputs'!$H$96)),"")</f>
        <v/>
      </c>
      <c r="L133" s="620"/>
      <c r="M133" s="553" t="str">
        <f t="shared" si="64"/>
        <v/>
      </c>
      <c r="N133" s="553" t="str">
        <f>IFERROR(N67*('Model Inputs'!K$80+'Model Inputs'!K$80*'Model Inputs'!K$94+'Model Inputs'!K$80*'Model Inputs'!K$95)+((ROUNDUP(N31/'Model Inputs'!$K$97,0)*'Model Inputs'!$K$96)),"")</f>
        <v/>
      </c>
      <c r="O133" s="553" t="str">
        <f>IFERROR(O67*('Model Inputs'!L$80+'Model Inputs'!L$80*'Model Inputs'!L$94+'Model Inputs'!L$80*'Model Inputs'!L$95)+((ROUNDUP(O31/'Model Inputs'!$K$97,0)*'Model Inputs'!$K$96)),"")</f>
        <v/>
      </c>
      <c r="P133" s="562"/>
      <c r="Q133" s="562"/>
      <c r="R133" s="534"/>
      <c r="S133" s="549"/>
      <c r="U133" s="534"/>
      <c r="V133" s="549"/>
      <c r="X133" s="534"/>
      <c r="Y133" s="549"/>
    </row>
    <row r="134" spans="2:25" ht="8.25" customHeight="1">
      <c r="B134" s="565"/>
      <c r="C134" s="565"/>
      <c r="D134" s="587"/>
      <c r="E134" s="620"/>
      <c r="F134" s="620"/>
      <c r="G134" s="620"/>
      <c r="H134" s="620"/>
      <c r="I134" s="620"/>
      <c r="J134" s="620"/>
      <c r="K134" s="620"/>
      <c r="L134" s="620"/>
      <c r="M134" s="620"/>
      <c r="N134" s="620"/>
      <c r="O134" s="620"/>
      <c r="P134" s="562"/>
      <c r="Q134" s="562"/>
      <c r="R134" s="534"/>
      <c r="S134" s="549"/>
      <c r="U134" s="534"/>
      <c r="V134" s="549"/>
      <c r="X134" s="534"/>
      <c r="Y134" s="549"/>
    </row>
    <row r="135" spans="2:25" ht="45" customHeight="1">
      <c r="B135" s="565"/>
      <c r="C135" s="565"/>
      <c r="D135" s="1062" t="s">
        <v>227</v>
      </c>
      <c r="E135" s="1062"/>
      <c r="F135" s="1062"/>
      <c r="G135" s="1062"/>
      <c r="H135" s="1062"/>
      <c r="I135" s="1062"/>
      <c r="J135" s="1062"/>
      <c r="K135" s="1062"/>
      <c r="L135" s="1062"/>
      <c r="M135" s="1062"/>
      <c r="N135" s="1062"/>
      <c r="O135" s="1062"/>
      <c r="P135" s="562"/>
      <c r="Q135" s="562"/>
      <c r="R135" s="1061"/>
      <c r="S135" s="1060"/>
      <c r="U135" s="1061"/>
      <c r="V135" s="1061"/>
      <c r="X135" s="1061"/>
      <c r="Y135" s="1061"/>
    </row>
    <row r="136" spans="2:25" ht="8.25" customHeight="1">
      <c r="B136" s="565"/>
      <c r="C136" s="565"/>
      <c r="D136" s="619"/>
      <c r="E136" s="619"/>
      <c r="F136" s="619"/>
      <c r="G136" s="619"/>
      <c r="H136" s="619"/>
      <c r="I136" s="619"/>
      <c r="J136" s="619"/>
      <c r="K136" s="619"/>
      <c r="L136" s="619"/>
      <c r="M136" s="619"/>
      <c r="N136" s="619"/>
      <c r="O136" s="619"/>
      <c r="P136" s="562"/>
      <c r="Q136" s="562"/>
      <c r="R136" s="720"/>
      <c r="S136" s="721"/>
      <c r="U136" s="720"/>
      <c r="V136" s="720"/>
      <c r="X136" s="720"/>
      <c r="Y136" s="720"/>
    </row>
    <row r="137" spans="2:25" ht="35.25" customHeight="1">
      <c r="B137" s="565"/>
      <c r="C137" s="565"/>
      <c r="D137" s="589" t="s">
        <v>211</v>
      </c>
      <c r="E137" s="536">
        <f>IF(E138="","NA",SUM(E138:E142))</f>
        <v>4789422.7762440555</v>
      </c>
      <c r="F137" s="536" t="str">
        <f>IF(F138="","NA",SUM(F138:F142))</f>
        <v>NA</v>
      </c>
      <c r="G137" s="536" t="str">
        <f t="shared" ref="G137" si="65">IF(G138="","NA",SUM(G138:G142))</f>
        <v>NA</v>
      </c>
      <c r="H137" s="625"/>
      <c r="I137" s="536">
        <f t="shared" ref="I137" si="66">IF(I138="","NA",SUM(I138:I142))</f>
        <v>19415605.051030599</v>
      </c>
      <c r="J137" s="536" t="str">
        <f t="shared" ref="J137" si="67">IF(J138="","NA",SUM(J138:J142))</f>
        <v>NA</v>
      </c>
      <c r="K137" s="536" t="str">
        <f t="shared" ref="K137" si="68">IF(K138="","NA",SUM(K138:K142))</f>
        <v>NA</v>
      </c>
      <c r="L137" s="625"/>
      <c r="M137" s="536" t="str">
        <f t="shared" ref="M137" si="69">IF(M138="","NA",SUM(M138:M142))</f>
        <v>NA</v>
      </c>
      <c r="N137" s="536" t="str">
        <f t="shared" ref="N137" si="70">IF(N138="","NA",SUM(N138:N142))</f>
        <v>NA</v>
      </c>
      <c r="O137" s="536" t="str">
        <f t="shared" ref="O137" si="71">IF(O138="","NA",SUM(O138:O142))</f>
        <v>NA</v>
      </c>
      <c r="P137" s="562"/>
      <c r="Q137" s="562"/>
      <c r="R137" s="532"/>
      <c r="S137" s="549"/>
      <c r="U137" s="534"/>
      <c r="V137" s="549"/>
      <c r="X137" s="534"/>
      <c r="Y137" s="549"/>
    </row>
    <row r="138" spans="2:25">
      <c r="B138" s="565"/>
      <c r="C138" s="565"/>
      <c r="D138" s="537">
        <f>'Model Inputs'!$E$26</f>
        <v>2025</v>
      </c>
      <c r="E138" s="555">
        <f>IFERROR(E129+(E27*'Model Inputs'!E$103)+'Model Inputs'!E$101+(E18*'Model Inputs'!E$102),"")</f>
        <v>953193.33333333337</v>
      </c>
      <c r="F138" s="555" t="str">
        <f>IFERROR(F129+(F27*'Model Inputs'!F$103)+'Model Inputs'!F$101+(F18*'Model Inputs'!F$102),"")</f>
        <v/>
      </c>
      <c r="G138" s="555" t="str">
        <f>IFERROR(G129+(G27*'Model Inputs'!G$103)+'Model Inputs'!G$101+(G18*'Model Inputs'!G$102),"")</f>
        <v/>
      </c>
      <c r="H138" s="620"/>
      <c r="I138" s="555">
        <f>IFERROR(I129+(I27*'Model Inputs'!H$103)+'Model Inputs'!H$101+(I18*'Model Inputs'!H$102),"")</f>
        <v>3516704</v>
      </c>
      <c r="J138" s="555" t="str">
        <f>IFERROR(J129+(J27*'Model Inputs'!I$103)+'Model Inputs'!I$101+(J18*'Model Inputs'!I$102),"")</f>
        <v/>
      </c>
      <c r="K138" s="555" t="str">
        <f>IFERROR(K129+(K27*'Model Inputs'!J$103)+'Model Inputs'!J$101+(K18*'Model Inputs'!J$102),"")</f>
        <v/>
      </c>
      <c r="L138" s="620"/>
      <c r="M138" s="553" t="str">
        <f>IFERROR(N138+O138,"")</f>
        <v/>
      </c>
      <c r="N138" s="555" t="str">
        <f>IFERROR(N129+(N27*'Model Inputs'!K$103)+'Model Inputs'!K$101+(N18*'Model Inputs'!K$102),"")</f>
        <v/>
      </c>
      <c r="O138" s="555" t="str">
        <f>IFERROR(O129+(O27*'Model Inputs'!L$103)+'Model Inputs'!L$101+(O18*'Model Inputs'!L$102),"")</f>
        <v/>
      </c>
      <c r="P138" s="562"/>
      <c r="Q138" s="562"/>
      <c r="R138" s="556"/>
      <c r="S138" s="557"/>
      <c r="U138" s="534"/>
      <c r="V138" s="549"/>
      <c r="X138" s="534"/>
      <c r="Y138" s="549"/>
    </row>
    <row r="139" spans="2:25">
      <c r="B139" s="565"/>
      <c r="C139" s="565"/>
      <c r="D139" s="537">
        <f>'Model Inputs'!$E$26+1</f>
        <v>2026</v>
      </c>
      <c r="E139" s="555">
        <f>IFERROR(E130+(E28*'Model Inputs'!E$103),"")</f>
        <v>831645.65555555548</v>
      </c>
      <c r="F139" s="555" t="str">
        <f>IFERROR(F130+(F28*'Model Inputs'!F$103),"")</f>
        <v/>
      </c>
      <c r="G139" s="555" t="str">
        <f>IFERROR(G130+(G28*'Model Inputs'!G$103),"")</f>
        <v/>
      </c>
      <c r="H139" s="620"/>
      <c r="I139" s="555">
        <f>IFERROR(I130+(I28*'Model Inputs'!H$103),"")</f>
        <v>3452857.8</v>
      </c>
      <c r="J139" s="555" t="str">
        <f>IFERROR(J130+(J28*'Model Inputs'!I$103),"")</f>
        <v/>
      </c>
      <c r="K139" s="555" t="str">
        <f>IFERROR(K130+(K28*'Model Inputs'!J$103),"")</f>
        <v/>
      </c>
      <c r="L139" s="620"/>
      <c r="M139" s="553" t="str">
        <f t="shared" ref="M139:M142" si="72">IFERROR(N139+O139,"")</f>
        <v/>
      </c>
      <c r="N139" s="555" t="str">
        <f>IFERROR(N130+(N28*'Model Inputs'!K$103),"")</f>
        <v/>
      </c>
      <c r="O139" s="555" t="str">
        <f>IFERROR(O130+(O28*'Model Inputs'!L$103),"")</f>
        <v/>
      </c>
      <c r="P139" s="562"/>
      <c r="Q139" s="562"/>
      <c r="R139" s="532"/>
      <c r="S139" s="532"/>
      <c r="U139" s="534"/>
      <c r="V139" s="549"/>
      <c r="X139" s="534"/>
      <c r="Y139" s="549"/>
    </row>
    <row r="140" spans="2:25">
      <c r="B140" s="565"/>
      <c r="C140" s="565"/>
      <c r="D140" s="537">
        <f>'Model Inputs'!$E$26+2</f>
        <v>2027</v>
      </c>
      <c r="E140" s="555">
        <f>IFERROR(E131+(E29*'Model Inputs'!E$103),"")</f>
        <v>836768.11722222227</v>
      </c>
      <c r="F140" s="555" t="str">
        <f>IFERROR(F131+(F29*'Model Inputs'!F$103),"")</f>
        <v/>
      </c>
      <c r="G140" s="555" t="str">
        <f>IFERROR(G131+(G29*'Model Inputs'!G$103),"")</f>
        <v/>
      </c>
      <c r="H140" s="620"/>
      <c r="I140" s="555">
        <f>IFERROR(I131+(I29*'Model Inputs'!H$103),"")</f>
        <v>3454473.5820000004</v>
      </c>
      <c r="J140" s="555" t="str">
        <f>IFERROR(J131+(J29*'Model Inputs'!I$103),"")</f>
        <v/>
      </c>
      <c r="K140" s="555" t="str">
        <f>IFERROR(K131+(K29*'Model Inputs'!J$103),"")</f>
        <v/>
      </c>
      <c r="L140" s="620"/>
      <c r="M140" s="553" t="str">
        <f t="shared" si="72"/>
        <v/>
      </c>
      <c r="N140" s="555" t="str">
        <f>IFERROR(N131+(N29*'Model Inputs'!K$103),"")</f>
        <v/>
      </c>
      <c r="O140" s="555" t="str">
        <f>IFERROR(O131+(O29*'Model Inputs'!L$103),"")</f>
        <v/>
      </c>
      <c r="P140" s="562"/>
      <c r="Q140" s="562"/>
      <c r="R140" s="534"/>
      <c r="S140" s="549"/>
      <c r="U140" s="534"/>
      <c r="V140" s="549"/>
      <c r="X140" s="534"/>
      <c r="Y140" s="549"/>
    </row>
    <row r="141" spans="2:25">
      <c r="B141" s="565"/>
      <c r="C141" s="565"/>
      <c r="D141" s="537">
        <f>'Model Inputs'!$E$26+3</f>
        <v>2028</v>
      </c>
      <c r="E141" s="555">
        <f>IFERROR(E132+(E30*'Model Inputs'!E$103),"")</f>
        <v>1005417.7498444446</v>
      </c>
      <c r="F141" s="555" t="str">
        <f>IFERROR(F132+(F30*'Model Inputs'!F$103),"")</f>
        <v/>
      </c>
      <c r="G141" s="555" t="str">
        <f>IFERROR(G132+(G30*'Model Inputs'!G$103),"")</f>
        <v/>
      </c>
      <c r="H141" s="620"/>
      <c r="I141" s="555">
        <f>IFERROR(I132+(I30*'Model Inputs'!H$103),"")</f>
        <v>4171438.1302400013</v>
      </c>
      <c r="J141" s="555" t="str">
        <f>IFERROR(J132+(J30*'Model Inputs'!I$103),"")</f>
        <v/>
      </c>
      <c r="K141" s="555" t="str">
        <f>IFERROR(K132+(K30*'Model Inputs'!J$103),"")</f>
        <v/>
      </c>
      <c r="L141" s="620"/>
      <c r="M141" s="553" t="str">
        <f t="shared" si="72"/>
        <v/>
      </c>
      <c r="N141" s="555" t="str">
        <f>IFERROR(N132+(N30*'Model Inputs'!K$103),"")</f>
        <v/>
      </c>
      <c r="O141" s="555" t="str">
        <f>IFERROR(O132+(O30*'Model Inputs'!L$103),"")</f>
        <v/>
      </c>
      <c r="P141" s="562"/>
      <c r="Q141" s="562"/>
      <c r="R141" s="534"/>
      <c r="S141" s="549"/>
      <c r="U141" s="534"/>
      <c r="V141" s="549"/>
      <c r="X141" s="534"/>
      <c r="Y141" s="549"/>
    </row>
    <row r="142" spans="2:25">
      <c r="B142" s="565"/>
      <c r="C142" s="565"/>
      <c r="D142" s="537">
        <f>'Model Inputs'!$E$26+4</f>
        <v>2029</v>
      </c>
      <c r="E142" s="555">
        <f>IFERROR(E133+(E31*'Model Inputs'!E$103),"")</f>
        <v>1162397.9202885001</v>
      </c>
      <c r="F142" s="555" t="str">
        <f>IFERROR(F133+(F31*'Model Inputs'!F$103),"")</f>
        <v/>
      </c>
      <c r="G142" s="555" t="str">
        <f>IFERROR(G133+(G31*'Model Inputs'!G$103),"")</f>
        <v/>
      </c>
      <c r="H142" s="620"/>
      <c r="I142" s="555">
        <f>IFERROR(I133+(I31*'Model Inputs'!H$103),"")</f>
        <v>4820131.5387906004</v>
      </c>
      <c r="J142" s="555" t="str">
        <f>IFERROR(J133+(J31*'Model Inputs'!I$103),"")</f>
        <v/>
      </c>
      <c r="K142" s="555" t="str">
        <f>IFERROR(K133+(K31*'Model Inputs'!J$103),"")</f>
        <v/>
      </c>
      <c r="L142" s="620"/>
      <c r="M142" s="553" t="str">
        <f t="shared" si="72"/>
        <v/>
      </c>
      <c r="N142" s="555" t="str">
        <f>IFERROR(N133+(N31*'Model Inputs'!K$103),"")</f>
        <v/>
      </c>
      <c r="O142" s="555" t="str">
        <f>IFERROR(O133+(O31*'Model Inputs'!L$103),"")</f>
        <v/>
      </c>
      <c r="P142" s="562"/>
      <c r="Q142" s="562"/>
      <c r="R142" s="534"/>
      <c r="S142" s="549"/>
      <c r="U142" s="534"/>
      <c r="V142" s="549"/>
      <c r="X142" s="534"/>
      <c r="Y142" s="549"/>
    </row>
    <row r="143" spans="2:25" ht="10.5" customHeight="1">
      <c r="B143" s="565"/>
      <c r="C143" s="565"/>
      <c r="D143" s="565"/>
      <c r="E143" s="565"/>
      <c r="F143" s="565"/>
      <c r="G143" s="565"/>
      <c r="H143" s="565"/>
      <c r="I143" s="565"/>
      <c r="J143" s="565"/>
      <c r="K143" s="565"/>
      <c r="L143" s="565"/>
      <c r="M143" s="561"/>
      <c r="N143" s="565"/>
      <c r="O143" s="565"/>
      <c r="P143" s="562"/>
      <c r="Q143" s="562"/>
    </row>
    <row r="150" spans="4:4">
      <c r="D150" s="560"/>
    </row>
  </sheetData>
  <sheetProtection algorithmName="SHA-512" hashValue="Gpq1wgBJLS6ilOhZ3yo2FShYU4aAahicMVsNYtR6rkub4nnRCfld5tSyPyXfNEMFd4VwU3paweQtUlu/ro+EcQ==" saltValue="hFG2/kA0v22UcTyzeoTEeg==" spinCount="100000" sheet="1" formatCells="0" formatColumns="0" formatRows="0" insertColumns="0" insertRows="0" insertHyperlinks="0" deleteColumns="0" deleteRows="0" sort="0" autoFilter="0" pivotTables="0"/>
  <mergeCells count="58">
    <mergeCell ref="B2:Q2"/>
    <mergeCell ref="D4:O4"/>
    <mergeCell ref="D13:O13"/>
    <mergeCell ref="D24:O24"/>
    <mergeCell ref="D60:O60"/>
    <mergeCell ref="D15:O15"/>
    <mergeCell ref="D33:O33"/>
    <mergeCell ref="D42:O42"/>
    <mergeCell ref="D51:O51"/>
    <mergeCell ref="D106:O106"/>
    <mergeCell ref="D115:O115"/>
    <mergeCell ref="D69:O69"/>
    <mergeCell ref="D78:O78"/>
    <mergeCell ref="D87:O87"/>
    <mergeCell ref="D96:O96"/>
    <mergeCell ref="D104:O104"/>
    <mergeCell ref="U135:V135"/>
    <mergeCell ref="X135:Y135"/>
    <mergeCell ref="D126:O126"/>
    <mergeCell ref="D135:O135"/>
    <mergeCell ref="R124:S124"/>
    <mergeCell ref="U124:V124"/>
    <mergeCell ref="X124:Y124"/>
    <mergeCell ref="R126:S126"/>
    <mergeCell ref="U126:V126"/>
    <mergeCell ref="X126:Y126"/>
    <mergeCell ref="D124:O124"/>
    <mergeCell ref="R135:S135"/>
    <mergeCell ref="U106:V106"/>
    <mergeCell ref="X106:Y106"/>
    <mergeCell ref="R115:S115"/>
    <mergeCell ref="U115:V115"/>
    <mergeCell ref="X115:Y115"/>
    <mergeCell ref="R106:S106"/>
    <mergeCell ref="U96:V96"/>
    <mergeCell ref="X96:Y96"/>
    <mergeCell ref="R104:S104"/>
    <mergeCell ref="U104:V104"/>
    <mergeCell ref="X104:Y104"/>
    <mergeCell ref="U24:V24"/>
    <mergeCell ref="X24:Y24"/>
    <mergeCell ref="R60:S60"/>
    <mergeCell ref="U60:V60"/>
    <mergeCell ref="X60:Y60"/>
    <mergeCell ref="R26:S26"/>
    <mergeCell ref="X9:Y9"/>
    <mergeCell ref="U9:V9"/>
    <mergeCell ref="U13:V13"/>
    <mergeCell ref="X13:Y13"/>
    <mergeCell ref="U11:V11"/>
    <mergeCell ref="X11:Y11"/>
    <mergeCell ref="R20:S20"/>
    <mergeCell ref="E8:G8"/>
    <mergeCell ref="I8:K8"/>
    <mergeCell ref="M8:O8"/>
    <mergeCell ref="E7:G7"/>
    <mergeCell ref="I7:K7"/>
    <mergeCell ref="M7:O7"/>
  </mergeCells>
  <conditionalFormatting sqref="E17:L17">
    <cfRule type="colorScale" priority="12">
      <colorScale>
        <cfvo type="min"/>
        <cfvo type="percentile" val="50"/>
        <cfvo type="max"/>
        <color theme="6"/>
        <color rgb="FFE2E278"/>
        <color theme="3"/>
      </colorScale>
    </cfRule>
  </conditionalFormatting>
  <conditionalFormatting sqref="E26:M26">
    <cfRule type="colorScale" priority="11">
      <colorScale>
        <cfvo type="min"/>
        <cfvo type="percentile" val="50"/>
        <cfvo type="max"/>
        <color theme="6"/>
        <color rgb="FFE2E278"/>
        <color theme="3"/>
      </colorScale>
    </cfRule>
  </conditionalFormatting>
  <conditionalFormatting sqref="E108:M108">
    <cfRule type="colorScale" priority="7">
      <colorScale>
        <cfvo type="min"/>
        <cfvo type="percentile" val="50"/>
        <cfvo type="max"/>
        <color theme="6"/>
        <color rgb="FFE2E278"/>
        <color theme="3"/>
      </colorScale>
    </cfRule>
  </conditionalFormatting>
  <conditionalFormatting sqref="E117:M117">
    <cfRule type="colorScale" priority="4">
      <colorScale>
        <cfvo type="min"/>
        <cfvo type="percentile" val="50"/>
        <cfvo type="max"/>
        <color theme="6"/>
        <color rgb="FFE2E278"/>
        <color theme="3"/>
      </colorScale>
    </cfRule>
  </conditionalFormatting>
  <conditionalFormatting sqref="E128:M128">
    <cfRule type="colorScale" priority="3">
      <colorScale>
        <cfvo type="min"/>
        <cfvo type="percentile" val="50"/>
        <cfvo type="max"/>
        <color theme="6"/>
        <color rgb="FFE2E278"/>
        <color theme="3"/>
      </colorScale>
    </cfRule>
  </conditionalFormatting>
  <conditionalFormatting sqref="E137:M137">
    <cfRule type="colorScale" priority="2">
      <colorScale>
        <cfvo type="min"/>
        <cfvo type="percentile" val="50"/>
        <cfvo type="max"/>
        <color theme="6"/>
        <color rgb="FFE2E278"/>
        <color theme="3"/>
      </colorScale>
    </cfRule>
  </conditionalFormatting>
  <conditionalFormatting sqref="E62:O62">
    <cfRule type="colorScale" priority="5">
      <colorScale>
        <cfvo type="min"/>
        <cfvo type="percentile" val="50"/>
        <cfvo type="max"/>
        <color theme="6"/>
        <color rgb="FFE2E278"/>
        <color theme="3"/>
      </colorScale>
    </cfRule>
  </conditionalFormatting>
  <conditionalFormatting sqref="G62:H62">
    <cfRule type="colorScale" priority="6">
      <colorScale>
        <cfvo type="min"/>
        <cfvo type="percentile" val="50"/>
        <cfvo type="max"/>
        <color theme="6"/>
        <color rgb="FFE2E278"/>
        <color theme="3"/>
      </colorScale>
    </cfRule>
    <cfRule type="colorScale" priority="10">
      <colorScale>
        <cfvo type="min"/>
        <cfvo type="percentile" val="50"/>
        <cfvo type="max"/>
        <color theme="6"/>
        <color rgb="FFE2E278"/>
        <color theme="3"/>
      </colorScale>
    </cfRule>
  </conditionalFormatting>
  <conditionalFormatting sqref="J62">
    <cfRule type="colorScale" priority="9">
      <colorScale>
        <cfvo type="min"/>
        <cfvo type="percentile" val="50"/>
        <cfvo type="max"/>
        <color theme="6"/>
        <color rgb="FFE2E278"/>
        <color theme="3"/>
      </colorScale>
    </cfRule>
  </conditionalFormatting>
  <conditionalFormatting sqref="M17">
    <cfRule type="colorScale" priority="1">
      <colorScale>
        <cfvo type="min"/>
        <cfvo type="percentile" val="50"/>
        <cfvo type="max"/>
        <color theme="6"/>
        <color rgb="FFE2E278"/>
        <color theme="3"/>
      </colorScale>
    </cfRule>
  </conditionalFormatting>
  <conditionalFormatting sqref="S117">
    <cfRule type="colorScale" priority="42">
      <colorScale>
        <cfvo type="min"/>
        <cfvo type="max"/>
        <color theme="6"/>
        <color rgb="FFE2E278"/>
      </colorScale>
    </cfRule>
    <cfRule type="colorScale" priority="43">
      <colorScale>
        <cfvo type="min"/>
        <cfvo type="max"/>
        <color rgb="FFE2E278"/>
        <color rgb="FFFFC000"/>
      </colorScale>
    </cfRule>
    <cfRule type="colorScale" priority="44">
      <colorScale>
        <cfvo type="min"/>
        <cfvo type="percentile" val="50"/>
        <cfvo type="max"/>
        <color theme="6"/>
        <color theme="3"/>
        <color theme="3"/>
      </colorScale>
    </cfRule>
    <cfRule type="colorScale" priority="41">
      <colorScale>
        <cfvo type="min"/>
        <cfvo type="max"/>
        <color theme="6"/>
        <color rgb="FFE2E278"/>
      </colorScale>
    </cfRule>
  </conditionalFormatting>
  <conditionalFormatting sqref="S137">
    <cfRule type="colorScale" priority="37">
      <colorScale>
        <cfvo type="min"/>
        <cfvo type="max"/>
        <color theme="6"/>
        <color rgb="FFE2E278"/>
      </colorScale>
    </cfRule>
    <cfRule type="colorScale" priority="38">
      <colorScale>
        <cfvo type="min"/>
        <cfvo type="percentile" val="50"/>
        <cfvo type="max"/>
        <color theme="6"/>
        <color theme="3"/>
        <color theme="3"/>
      </colorScale>
    </cfRule>
    <cfRule type="colorScale" priority="39">
      <colorScale>
        <cfvo type="min"/>
        <cfvo type="percentile" val="50"/>
        <cfvo type="max"/>
        <color theme="3"/>
        <color theme="3"/>
        <color theme="6"/>
      </colorScale>
    </cfRule>
    <cfRule type="colorScale" priority="40">
      <colorScale>
        <cfvo type="min"/>
        <cfvo type="percentile" val="50"/>
        <cfvo type="max"/>
        <color theme="6"/>
        <color rgb="FFE2E278"/>
        <color theme="3"/>
      </colorScale>
    </cfRule>
  </conditionalFormatting>
  <conditionalFormatting sqref="V117">
    <cfRule type="colorScale" priority="33">
      <colorScale>
        <cfvo type="min"/>
        <cfvo type="max"/>
        <color theme="6"/>
        <color rgb="FFE2E278"/>
      </colorScale>
    </cfRule>
    <cfRule type="colorScale" priority="34">
      <colorScale>
        <cfvo type="min"/>
        <cfvo type="max"/>
        <color theme="6"/>
        <color rgb="FFE2E278"/>
      </colorScale>
    </cfRule>
    <cfRule type="colorScale" priority="35">
      <colorScale>
        <cfvo type="min"/>
        <cfvo type="max"/>
        <color rgb="FFE2E278"/>
        <color rgb="FFFFC000"/>
      </colorScale>
    </cfRule>
    <cfRule type="colorScale" priority="36">
      <colorScale>
        <cfvo type="min"/>
        <cfvo type="percentile" val="50"/>
        <cfvo type="max"/>
        <color theme="6"/>
        <color theme="3"/>
        <color theme="3"/>
      </colorScale>
    </cfRule>
  </conditionalFormatting>
  <conditionalFormatting sqref="V137">
    <cfRule type="colorScale" priority="31">
      <colorScale>
        <cfvo type="min"/>
        <cfvo type="percentile" val="50"/>
        <cfvo type="max"/>
        <color theme="3"/>
        <color theme="3"/>
        <color theme="6"/>
      </colorScale>
    </cfRule>
    <cfRule type="colorScale" priority="32">
      <colorScale>
        <cfvo type="min"/>
        <cfvo type="percentile" val="50"/>
        <cfvo type="max"/>
        <color theme="6"/>
        <color rgb="FFE2E278"/>
        <color theme="3"/>
      </colorScale>
    </cfRule>
    <cfRule type="colorScale" priority="29">
      <colorScale>
        <cfvo type="min"/>
        <cfvo type="max"/>
        <color theme="6"/>
        <color rgb="FFE2E278"/>
      </colorScale>
    </cfRule>
    <cfRule type="colorScale" priority="30">
      <colorScale>
        <cfvo type="min"/>
        <cfvo type="percentile" val="50"/>
        <cfvo type="max"/>
        <color theme="6"/>
        <color theme="3"/>
        <color theme="3"/>
      </colorScale>
    </cfRule>
  </conditionalFormatting>
  <conditionalFormatting sqref="Y117">
    <cfRule type="colorScale" priority="25">
      <colorScale>
        <cfvo type="min"/>
        <cfvo type="max"/>
        <color theme="6"/>
        <color rgb="FFE2E278"/>
      </colorScale>
    </cfRule>
    <cfRule type="colorScale" priority="26">
      <colorScale>
        <cfvo type="min"/>
        <cfvo type="max"/>
        <color theme="6"/>
        <color rgb="FFE2E278"/>
      </colorScale>
    </cfRule>
    <cfRule type="colorScale" priority="28">
      <colorScale>
        <cfvo type="min"/>
        <cfvo type="percentile" val="50"/>
        <cfvo type="max"/>
        <color theme="6"/>
        <color theme="3"/>
        <color theme="3"/>
      </colorScale>
    </cfRule>
    <cfRule type="colorScale" priority="27">
      <colorScale>
        <cfvo type="min"/>
        <cfvo type="max"/>
        <color rgb="FFE2E278"/>
        <color rgb="FFFFC000"/>
      </colorScale>
    </cfRule>
  </conditionalFormatting>
  <conditionalFormatting sqref="Y137">
    <cfRule type="colorScale" priority="21">
      <colorScale>
        <cfvo type="min"/>
        <cfvo type="max"/>
        <color theme="6"/>
        <color rgb="FFE2E278"/>
      </colorScale>
    </cfRule>
    <cfRule type="colorScale" priority="22">
      <colorScale>
        <cfvo type="min"/>
        <cfvo type="percentile" val="50"/>
        <cfvo type="max"/>
        <color theme="6"/>
        <color theme="3"/>
        <color theme="3"/>
      </colorScale>
    </cfRule>
    <cfRule type="colorScale" priority="23">
      <colorScale>
        <cfvo type="min"/>
        <cfvo type="percentile" val="50"/>
        <cfvo type="max"/>
        <color theme="3"/>
        <color theme="3"/>
        <color theme="6"/>
      </colorScale>
    </cfRule>
    <cfRule type="colorScale" priority="24">
      <colorScale>
        <cfvo type="min"/>
        <cfvo type="percentile" val="50"/>
        <cfvo type="max"/>
        <color theme="6"/>
        <color rgb="FFE2E278"/>
        <color theme="3"/>
      </colorScale>
    </cfRule>
  </conditionalFormatting>
  <printOptions horizontalCentered="1" verticalCentered="1"/>
  <pageMargins left="0.25" right="0.25" top="0.5" bottom="0.5" header="0" footer="0"/>
  <pageSetup paperSize="9" scale="47" orientation="portrait" r:id="rId1"/>
  <headerFooter>
    <oddHeader>&amp;L&amp;"Calibri"&amp;10&amp;K000000Classified as Internal&amp;1#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heetViews>
  <sheetFormatPr defaultColWidth="8.81640625" defaultRowHeight="14"/>
  <cols>
    <col min="1" max="1" width="4.453125" style="568" customWidth="1"/>
    <col min="2" max="2" width="4.1796875" style="568" customWidth="1"/>
    <col min="3" max="16384" width="8.81640625" style="568"/>
  </cols>
  <sheetData>
    <row r="1" spans="2:26" ht="8.25" customHeight="1">
      <c r="B1" s="640"/>
      <c r="C1" s="640"/>
      <c r="D1" s="640"/>
      <c r="E1" s="640"/>
      <c r="F1" s="640"/>
      <c r="G1" s="640"/>
      <c r="H1" s="640"/>
      <c r="I1" s="640"/>
      <c r="J1" s="640"/>
      <c r="K1" s="640"/>
      <c r="L1" s="640"/>
      <c r="M1" s="640"/>
      <c r="N1" s="640"/>
      <c r="O1" s="640"/>
      <c r="P1" s="640"/>
      <c r="Q1" s="640"/>
      <c r="R1" s="640"/>
      <c r="S1" s="640"/>
      <c r="T1" s="640"/>
      <c r="U1" s="640"/>
      <c r="V1" s="640"/>
      <c r="W1" s="640"/>
      <c r="X1" s="640"/>
      <c r="Y1" s="640"/>
      <c r="Z1" s="640"/>
    </row>
    <row r="2" spans="2:26" ht="20.25" customHeight="1">
      <c r="B2" s="1073" t="s">
        <v>229</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row>
    <row r="3" spans="2:26">
      <c r="B3" s="569"/>
      <c r="C3" s="569"/>
      <c r="D3" s="569"/>
      <c r="E3" s="569"/>
      <c r="F3" s="569"/>
      <c r="G3" s="569"/>
      <c r="H3" s="569"/>
      <c r="I3" s="569"/>
      <c r="J3" s="569"/>
      <c r="K3" s="569"/>
      <c r="L3" s="569"/>
      <c r="M3" s="569"/>
      <c r="N3" s="569"/>
      <c r="O3" s="569"/>
      <c r="P3" s="569"/>
      <c r="Q3" s="569"/>
      <c r="R3" s="569"/>
      <c r="S3" s="569"/>
      <c r="T3" s="569"/>
      <c r="U3" s="569"/>
      <c r="V3" s="569"/>
      <c r="W3" s="569"/>
      <c r="X3" s="569"/>
      <c r="Y3" s="569"/>
      <c r="Z3" s="569"/>
    </row>
    <row r="4" spans="2:26" ht="45" customHeight="1">
      <c r="B4" s="569"/>
      <c r="C4" s="567"/>
      <c r="D4" s="566"/>
      <c r="E4" s="1072" t="s">
        <v>225</v>
      </c>
      <c r="F4" s="1072"/>
      <c r="G4" s="1072"/>
      <c r="H4" s="1072"/>
      <c r="I4" s="1072"/>
      <c r="J4" s="1072"/>
      <c r="K4" s="1072"/>
      <c r="L4" s="1072"/>
      <c r="M4" s="1072"/>
      <c r="N4" s="1072"/>
      <c r="O4" s="1072"/>
      <c r="P4" s="1072"/>
      <c r="Q4" s="1072"/>
      <c r="R4" s="1072"/>
      <c r="S4" s="1072"/>
      <c r="T4" s="1072"/>
      <c r="U4" s="1072"/>
      <c r="V4" s="1072"/>
      <c r="W4" s="566"/>
      <c r="X4" s="566"/>
      <c r="Y4" s="566"/>
      <c r="Z4" s="569"/>
    </row>
    <row r="5" spans="2:26" ht="35.25" customHeight="1">
      <c r="B5" s="569"/>
      <c r="C5" s="571" t="s">
        <v>230</v>
      </c>
      <c r="D5" s="569"/>
      <c r="E5" s="569"/>
      <c r="F5" s="569"/>
      <c r="G5" s="569"/>
      <c r="H5" s="569"/>
      <c r="I5" s="569"/>
      <c r="J5" s="569"/>
      <c r="K5" s="569"/>
      <c r="L5" s="569"/>
      <c r="M5" s="569"/>
      <c r="N5" s="569"/>
      <c r="O5" s="569"/>
      <c r="P5" s="569"/>
      <c r="Q5" s="569"/>
      <c r="R5" s="569"/>
      <c r="S5" s="569"/>
      <c r="T5" s="569"/>
      <c r="U5" s="569"/>
      <c r="V5" s="569"/>
      <c r="W5" s="569"/>
      <c r="X5" s="569"/>
      <c r="Y5" s="569"/>
      <c r="Z5" s="569"/>
    </row>
    <row r="6" spans="2:26" ht="14.5">
      <c r="B6" s="569"/>
      <c r="C6" s="572" t="s">
        <v>231</v>
      </c>
      <c r="D6" s="569"/>
      <c r="E6" s="569"/>
      <c r="F6" s="569"/>
      <c r="G6" s="569"/>
      <c r="H6" s="569"/>
      <c r="I6" s="569"/>
      <c r="J6" s="569"/>
      <c r="K6" s="569"/>
      <c r="L6" s="569"/>
      <c r="M6" s="569"/>
      <c r="N6" s="569"/>
      <c r="O6" s="569"/>
      <c r="P6" s="569"/>
      <c r="Q6" s="569"/>
      <c r="R6" s="569"/>
      <c r="S6" s="569"/>
      <c r="T6" s="569"/>
      <c r="U6" s="569"/>
      <c r="V6" s="569"/>
      <c r="W6" s="569"/>
      <c r="X6" s="569"/>
      <c r="Y6" s="569"/>
      <c r="Z6" s="569"/>
    </row>
    <row r="7" spans="2:26">
      <c r="B7" s="569"/>
      <c r="C7" s="569"/>
      <c r="D7" s="569"/>
      <c r="E7" s="569"/>
      <c r="F7" s="569"/>
      <c r="G7" s="569"/>
      <c r="H7" s="569"/>
      <c r="I7" s="569"/>
      <c r="J7" s="569"/>
      <c r="K7" s="569"/>
      <c r="L7" s="569"/>
      <c r="M7" s="569"/>
      <c r="N7" s="569"/>
      <c r="O7" s="569"/>
      <c r="P7" s="569"/>
      <c r="Q7" s="569"/>
      <c r="R7" s="569"/>
      <c r="S7" s="569"/>
      <c r="T7" s="569"/>
      <c r="U7" s="569"/>
      <c r="V7" s="569"/>
      <c r="W7" s="569"/>
      <c r="X7" s="569"/>
      <c r="Y7" s="569"/>
      <c r="Z7" s="569"/>
    </row>
    <row r="8" spans="2:26">
      <c r="B8" s="569"/>
      <c r="C8" s="569"/>
      <c r="D8" s="569"/>
      <c r="E8" s="569"/>
      <c r="F8" s="569"/>
      <c r="G8" s="569"/>
      <c r="H8" s="569"/>
      <c r="I8" s="569"/>
      <c r="J8" s="569"/>
      <c r="K8" s="569"/>
      <c r="L8" s="569"/>
      <c r="M8" s="569"/>
      <c r="N8" s="569"/>
      <c r="O8" s="569"/>
      <c r="P8" s="569"/>
      <c r="Q8" s="569"/>
      <c r="R8" s="569"/>
      <c r="S8" s="569"/>
      <c r="T8" s="569"/>
      <c r="U8" s="569"/>
      <c r="V8" s="569"/>
      <c r="W8" s="569"/>
      <c r="X8" s="569"/>
      <c r="Y8" s="569"/>
      <c r="Z8" s="569"/>
    </row>
    <row r="9" spans="2:26">
      <c r="B9" s="569"/>
      <c r="C9" s="569"/>
      <c r="D9" s="569"/>
      <c r="E9" s="569"/>
      <c r="F9" s="569"/>
      <c r="G9" s="569"/>
      <c r="H9" s="569"/>
      <c r="I9" s="569"/>
      <c r="J9" s="569"/>
      <c r="K9" s="569"/>
      <c r="L9" s="569"/>
      <c r="M9" s="569"/>
      <c r="N9" s="569"/>
      <c r="O9" s="569"/>
      <c r="P9" s="569"/>
      <c r="Q9" s="569"/>
      <c r="R9" s="569"/>
      <c r="S9" s="569"/>
      <c r="T9" s="569"/>
      <c r="U9" s="569"/>
      <c r="V9" s="569"/>
      <c r="W9" s="569"/>
      <c r="X9" s="569"/>
      <c r="Y9" s="569"/>
      <c r="Z9" s="569"/>
    </row>
    <row r="10" spans="2:26">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row>
    <row r="11" spans="2:26">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row>
    <row r="12" spans="2:26">
      <c r="B12" s="569"/>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row>
    <row r="13" spans="2:26">
      <c r="B13" s="569"/>
      <c r="C13" s="569"/>
      <c r="D13" s="569"/>
      <c r="E13" s="569"/>
      <c r="F13" s="569"/>
      <c r="G13" s="569"/>
      <c r="H13" s="569"/>
      <c r="I13" s="569"/>
      <c r="J13" s="569"/>
      <c r="K13" s="569"/>
      <c r="L13" s="569"/>
      <c r="M13" s="569"/>
      <c r="N13" s="569"/>
      <c r="O13" s="569"/>
      <c r="P13" s="569"/>
      <c r="Q13" s="569"/>
      <c r="R13" s="569"/>
      <c r="S13" s="569"/>
      <c r="T13" s="569"/>
      <c r="U13" s="569"/>
      <c r="V13" s="569"/>
      <c r="W13" s="569"/>
      <c r="X13" s="569"/>
      <c r="Y13" s="569"/>
      <c r="Z13" s="569"/>
    </row>
    <row r="14" spans="2:26">
      <c r="B14" s="569"/>
      <c r="C14" s="569"/>
      <c r="D14" s="569"/>
      <c r="E14" s="569"/>
      <c r="F14" s="569"/>
      <c r="G14" s="569"/>
      <c r="H14" s="569"/>
      <c r="I14" s="569"/>
      <c r="J14" s="569"/>
      <c r="K14" s="569"/>
      <c r="L14" s="569"/>
      <c r="M14" s="569"/>
      <c r="N14" s="569"/>
      <c r="O14" s="569"/>
      <c r="P14" s="569"/>
      <c r="Q14" s="569"/>
      <c r="R14" s="569"/>
      <c r="S14" s="569"/>
      <c r="T14" s="569"/>
      <c r="U14" s="569"/>
      <c r="V14" s="569"/>
      <c r="W14" s="569"/>
      <c r="X14" s="569"/>
      <c r="Y14" s="569"/>
      <c r="Z14" s="569"/>
    </row>
    <row r="15" spans="2:26">
      <c r="B15" s="569"/>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row>
    <row r="16" spans="2:26">
      <c r="B16" s="569"/>
      <c r="C16" s="569"/>
      <c r="D16" s="569"/>
      <c r="E16" s="569"/>
      <c r="F16" s="569"/>
      <c r="G16" s="569"/>
      <c r="H16" s="569"/>
      <c r="I16" s="569"/>
      <c r="J16" s="569"/>
      <c r="K16" s="569"/>
      <c r="L16" s="569"/>
      <c r="M16" s="569"/>
      <c r="N16" s="569"/>
      <c r="O16" s="569"/>
      <c r="P16" s="569"/>
      <c r="Q16" s="569"/>
      <c r="R16" s="569"/>
      <c r="S16" s="569"/>
      <c r="T16" s="569"/>
      <c r="U16" s="569"/>
      <c r="V16" s="569"/>
      <c r="W16" s="569"/>
      <c r="X16" s="569"/>
      <c r="Y16" s="569"/>
      <c r="Z16" s="569"/>
    </row>
    <row r="17" spans="2:26">
      <c r="B17" s="569"/>
      <c r="C17" s="569"/>
      <c r="D17" s="569"/>
      <c r="E17" s="569"/>
      <c r="F17" s="569"/>
      <c r="G17" s="569"/>
      <c r="H17" s="569"/>
      <c r="I17" s="569"/>
      <c r="J17" s="569"/>
      <c r="K17" s="569"/>
      <c r="L17" s="569"/>
      <c r="M17" s="569"/>
      <c r="N17" s="569"/>
      <c r="O17" s="569"/>
      <c r="P17" s="569"/>
      <c r="Q17" s="569"/>
      <c r="R17" s="569"/>
      <c r="S17" s="569"/>
      <c r="T17" s="569"/>
      <c r="U17" s="569"/>
      <c r="V17" s="569"/>
      <c r="W17" s="569"/>
      <c r="X17" s="569"/>
      <c r="Y17" s="569"/>
      <c r="Z17" s="569"/>
    </row>
    <row r="18" spans="2:26">
      <c r="B18" s="569"/>
      <c r="C18" s="569"/>
      <c r="D18" s="569"/>
      <c r="E18" s="569"/>
      <c r="F18" s="569"/>
      <c r="G18" s="569"/>
      <c r="H18" s="569"/>
      <c r="I18" s="569"/>
      <c r="J18" s="569"/>
      <c r="K18" s="569"/>
      <c r="L18" s="569"/>
      <c r="M18" s="569"/>
      <c r="N18" s="569"/>
      <c r="O18" s="569"/>
      <c r="P18" s="569"/>
      <c r="Q18" s="569"/>
      <c r="R18" s="569"/>
      <c r="S18" s="569"/>
      <c r="T18" s="569"/>
      <c r="U18" s="569"/>
      <c r="V18" s="569"/>
      <c r="W18" s="569"/>
      <c r="X18" s="569"/>
      <c r="Y18" s="569"/>
      <c r="Z18" s="569"/>
    </row>
    <row r="19" spans="2:26">
      <c r="B19" s="569"/>
      <c r="C19" s="569"/>
      <c r="D19" s="569"/>
      <c r="E19" s="569"/>
      <c r="F19" s="569"/>
      <c r="G19" s="569"/>
      <c r="H19" s="569"/>
      <c r="I19" s="569"/>
      <c r="J19" s="569"/>
      <c r="K19" s="569"/>
      <c r="L19" s="569"/>
      <c r="M19" s="569"/>
      <c r="N19" s="569"/>
      <c r="O19" s="569"/>
      <c r="P19" s="569"/>
      <c r="Q19" s="569"/>
      <c r="R19" s="569"/>
      <c r="S19" s="569"/>
      <c r="T19" s="569"/>
      <c r="U19" s="569"/>
      <c r="V19" s="569"/>
      <c r="W19" s="569"/>
      <c r="X19" s="569"/>
      <c r="Y19" s="569"/>
      <c r="Z19" s="569"/>
    </row>
    <row r="20" spans="2:26">
      <c r="B20" s="569"/>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row>
    <row r="21" spans="2:26">
      <c r="B21" s="569"/>
      <c r="C21" s="569"/>
      <c r="D21" s="569"/>
      <c r="E21" s="569"/>
      <c r="F21" s="569"/>
      <c r="G21" s="569"/>
      <c r="H21" s="569"/>
      <c r="I21" s="569"/>
      <c r="J21" s="569"/>
      <c r="K21" s="569"/>
      <c r="L21" s="569"/>
      <c r="M21" s="569"/>
      <c r="N21" s="569"/>
      <c r="O21" s="569"/>
      <c r="P21" s="569"/>
      <c r="Q21" s="569"/>
      <c r="R21" s="569"/>
      <c r="S21" s="569"/>
      <c r="T21" s="569"/>
      <c r="U21" s="569"/>
      <c r="V21" s="569"/>
      <c r="W21" s="569"/>
      <c r="X21" s="569"/>
      <c r="Y21" s="569"/>
      <c r="Z21" s="569"/>
    </row>
    <row r="22" spans="2:26">
      <c r="B22" s="569"/>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row>
    <row r="23" spans="2:26">
      <c r="B23" s="569"/>
      <c r="C23" s="569"/>
      <c r="D23" s="569"/>
      <c r="E23" s="569"/>
      <c r="F23" s="569"/>
      <c r="G23" s="569"/>
      <c r="H23" s="569"/>
      <c r="I23" s="569"/>
      <c r="J23" s="569"/>
      <c r="K23" s="569"/>
      <c r="L23" s="569"/>
      <c r="M23" s="569"/>
      <c r="N23" s="569"/>
      <c r="O23" s="569"/>
      <c r="P23" s="569"/>
      <c r="Q23" s="569"/>
      <c r="R23" s="569"/>
      <c r="S23" s="569"/>
      <c r="T23" s="569"/>
      <c r="U23" s="569"/>
      <c r="V23" s="569"/>
      <c r="W23" s="569"/>
      <c r="X23" s="569"/>
      <c r="Y23" s="569"/>
      <c r="Z23" s="569"/>
    </row>
    <row r="24" spans="2:26">
      <c r="B24" s="569"/>
      <c r="C24" s="569"/>
      <c r="D24" s="569"/>
      <c r="E24" s="569"/>
      <c r="F24" s="569"/>
      <c r="G24" s="569"/>
      <c r="H24" s="569"/>
      <c r="I24" s="569"/>
      <c r="J24" s="569"/>
      <c r="K24" s="569"/>
      <c r="L24" s="569"/>
      <c r="M24" s="569"/>
      <c r="N24" s="569"/>
      <c r="O24" s="569"/>
      <c r="P24" s="569"/>
      <c r="Q24" s="569"/>
      <c r="R24" s="569"/>
      <c r="S24" s="569"/>
      <c r="T24" s="569"/>
      <c r="U24" s="569"/>
      <c r="V24" s="569"/>
      <c r="W24" s="569"/>
      <c r="X24" s="569"/>
      <c r="Y24" s="569"/>
      <c r="Z24" s="569"/>
    </row>
    <row r="25" spans="2:26" ht="35.25" customHeight="1">
      <c r="B25" s="569"/>
      <c r="C25" s="571" t="s">
        <v>232</v>
      </c>
      <c r="D25" s="569"/>
      <c r="E25" s="569"/>
      <c r="F25" s="569"/>
      <c r="G25" s="569"/>
      <c r="H25" s="569"/>
      <c r="I25" s="569"/>
      <c r="J25" s="569"/>
      <c r="K25" s="569"/>
      <c r="L25" s="569"/>
      <c r="M25" s="569"/>
      <c r="N25" s="569"/>
      <c r="O25" s="569"/>
      <c r="P25" s="569"/>
      <c r="Q25" s="569"/>
      <c r="R25" s="569"/>
      <c r="S25" s="569"/>
      <c r="T25" s="569"/>
      <c r="U25" s="569"/>
      <c r="V25" s="569"/>
      <c r="W25" s="569"/>
      <c r="X25" s="569"/>
      <c r="Y25" s="569"/>
      <c r="Z25" s="569"/>
    </row>
    <row r="26" spans="2:26" ht="14.5">
      <c r="B26" s="569"/>
      <c r="C26" s="572" t="s">
        <v>231</v>
      </c>
      <c r="D26" s="569"/>
      <c r="E26" s="569"/>
      <c r="F26" s="569"/>
      <c r="G26" s="569"/>
      <c r="H26" s="569"/>
      <c r="I26" s="569"/>
      <c r="J26" s="569"/>
      <c r="K26" s="569"/>
      <c r="L26" s="569"/>
      <c r="M26" s="569"/>
      <c r="N26" s="569"/>
      <c r="O26" s="569"/>
      <c r="P26" s="569"/>
      <c r="Q26" s="569"/>
      <c r="R26" s="569"/>
      <c r="S26" s="569"/>
      <c r="T26" s="569"/>
      <c r="U26" s="569"/>
      <c r="V26" s="569"/>
      <c r="W26" s="569"/>
      <c r="X26" s="569"/>
      <c r="Y26" s="569"/>
      <c r="Z26" s="569"/>
    </row>
    <row r="27" spans="2:26">
      <c r="B27" s="569"/>
      <c r="C27" s="569"/>
      <c r="D27" s="569"/>
      <c r="E27" s="569"/>
      <c r="F27" s="569"/>
      <c r="G27" s="569"/>
      <c r="H27" s="569"/>
      <c r="I27" s="569"/>
      <c r="J27" s="569"/>
      <c r="K27" s="569"/>
      <c r="L27" s="569"/>
      <c r="M27" s="569"/>
      <c r="N27" s="569"/>
      <c r="O27" s="569"/>
      <c r="P27" s="569"/>
      <c r="Q27" s="569"/>
      <c r="R27" s="569"/>
      <c r="S27" s="569"/>
      <c r="T27" s="569"/>
      <c r="U27" s="569"/>
      <c r="V27" s="569"/>
      <c r="W27" s="569"/>
      <c r="X27" s="569"/>
      <c r="Y27" s="569"/>
      <c r="Z27" s="569"/>
    </row>
    <row r="28" spans="2:26">
      <c r="B28" s="569"/>
      <c r="C28" s="569"/>
      <c r="D28" s="569"/>
      <c r="E28" s="569"/>
      <c r="F28" s="569"/>
      <c r="G28" s="569"/>
      <c r="H28" s="569"/>
      <c r="I28" s="569"/>
      <c r="J28" s="569"/>
      <c r="K28" s="569"/>
      <c r="L28" s="569"/>
      <c r="M28" s="569"/>
      <c r="N28" s="569"/>
      <c r="O28" s="569"/>
      <c r="P28" s="569"/>
      <c r="Q28" s="569"/>
      <c r="R28" s="569"/>
      <c r="S28" s="569"/>
      <c r="T28" s="569"/>
      <c r="U28" s="569"/>
      <c r="V28" s="569"/>
      <c r="W28" s="569"/>
      <c r="X28" s="569"/>
      <c r="Y28" s="569"/>
      <c r="Z28" s="569"/>
    </row>
    <row r="29" spans="2:26">
      <c r="B29" s="569"/>
      <c r="C29" s="569"/>
      <c r="D29" s="569"/>
      <c r="E29" s="569"/>
      <c r="F29" s="569"/>
      <c r="G29" s="569"/>
      <c r="H29" s="569"/>
      <c r="I29" s="569"/>
      <c r="J29" s="569"/>
      <c r="K29" s="569"/>
      <c r="L29" s="569"/>
      <c r="M29" s="569"/>
      <c r="N29" s="569"/>
      <c r="O29" s="569"/>
      <c r="P29" s="569"/>
      <c r="Q29" s="569"/>
      <c r="R29" s="569"/>
      <c r="S29" s="569"/>
      <c r="T29" s="569"/>
      <c r="U29" s="569"/>
      <c r="V29" s="569"/>
      <c r="W29" s="569"/>
      <c r="X29" s="569"/>
      <c r="Y29" s="569"/>
      <c r="Z29" s="569"/>
    </row>
    <row r="30" spans="2:26">
      <c r="B30" s="569"/>
      <c r="C30" s="569"/>
      <c r="D30" s="569"/>
      <c r="E30" s="569"/>
      <c r="F30" s="569"/>
      <c r="G30" s="569"/>
      <c r="H30" s="569"/>
      <c r="I30" s="569"/>
      <c r="J30" s="569"/>
      <c r="K30" s="569"/>
      <c r="L30" s="569"/>
      <c r="M30" s="569"/>
      <c r="N30" s="569"/>
      <c r="O30" s="569"/>
      <c r="P30" s="569"/>
      <c r="Q30" s="569"/>
      <c r="R30" s="569"/>
      <c r="S30" s="569"/>
      <c r="T30" s="569"/>
      <c r="U30" s="569"/>
      <c r="V30" s="569"/>
      <c r="W30" s="569"/>
      <c r="X30" s="569"/>
      <c r="Y30" s="569"/>
      <c r="Z30" s="569"/>
    </row>
    <row r="31" spans="2:26">
      <c r="B31" s="569"/>
      <c r="C31" s="569"/>
      <c r="D31" s="569"/>
      <c r="E31" s="569"/>
      <c r="F31" s="569"/>
      <c r="G31" s="569"/>
      <c r="H31" s="569"/>
      <c r="I31" s="569"/>
      <c r="J31" s="569"/>
      <c r="K31" s="569"/>
      <c r="L31" s="569"/>
      <c r="M31" s="569"/>
      <c r="N31" s="569"/>
      <c r="O31" s="569"/>
      <c r="P31" s="569"/>
      <c r="Q31" s="569"/>
      <c r="R31" s="569"/>
      <c r="S31" s="569"/>
      <c r="T31" s="569"/>
      <c r="U31" s="569"/>
      <c r="V31" s="569"/>
      <c r="W31" s="569"/>
      <c r="X31" s="569"/>
      <c r="Y31" s="569"/>
      <c r="Z31" s="569"/>
    </row>
    <row r="32" spans="2:26">
      <c r="B32" s="569"/>
      <c r="C32" s="569"/>
      <c r="D32" s="569"/>
      <c r="E32" s="569"/>
      <c r="F32" s="569"/>
      <c r="G32" s="569"/>
      <c r="H32" s="569"/>
      <c r="I32" s="569"/>
      <c r="J32" s="569"/>
      <c r="K32" s="569"/>
      <c r="L32" s="569"/>
      <c r="M32" s="569"/>
      <c r="N32" s="569"/>
      <c r="O32" s="569"/>
      <c r="P32" s="569"/>
      <c r="Q32" s="569"/>
      <c r="R32" s="569"/>
      <c r="S32" s="569"/>
      <c r="T32" s="569"/>
      <c r="U32" s="569"/>
      <c r="V32" s="569"/>
      <c r="W32" s="569"/>
      <c r="X32" s="569"/>
      <c r="Y32" s="569"/>
      <c r="Z32" s="569"/>
    </row>
    <row r="33" spans="2:26">
      <c r="B33" s="569"/>
      <c r="C33" s="569"/>
      <c r="D33" s="569"/>
      <c r="E33" s="569"/>
      <c r="F33" s="569"/>
      <c r="G33" s="569"/>
      <c r="H33" s="569"/>
      <c r="I33" s="569"/>
      <c r="J33" s="569"/>
      <c r="K33" s="569"/>
      <c r="L33" s="569"/>
      <c r="M33" s="569"/>
      <c r="N33" s="569"/>
      <c r="O33" s="569"/>
      <c r="P33" s="569"/>
      <c r="Q33" s="569"/>
      <c r="R33" s="569"/>
      <c r="S33" s="569"/>
      <c r="T33" s="569"/>
      <c r="U33" s="569"/>
      <c r="V33" s="569"/>
      <c r="W33" s="569"/>
      <c r="X33" s="569"/>
      <c r="Y33" s="569"/>
      <c r="Z33" s="569"/>
    </row>
    <row r="34" spans="2:26">
      <c r="B34" s="569"/>
      <c r="C34" s="569"/>
      <c r="D34" s="569"/>
      <c r="E34" s="569"/>
      <c r="F34" s="569"/>
      <c r="G34" s="569"/>
      <c r="H34" s="569"/>
      <c r="I34" s="569"/>
      <c r="J34" s="569"/>
      <c r="K34" s="569"/>
      <c r="L34" s="569"/>
      <c r="M34" s="569"/>
      <c r="N34" s="569"/>
      <c r="O34" s="569"/>
      <c r="P34" s="569"/>
      <c r="Q34" s="569"/>
      <c r="R34" s="569"/>
      <c r="S34" s="569"/>
      <c r="T34" s="569"/>
      <c r="U34" s="569"/>
      <c r="V34" s="569"/>
      <c r="W34" s="569"/>
      <c r="X34" s="569"/>
      <c r="Y34" s="569"/>
      <c r="Z34" s="569"/>
    </row>
    <row r="35" spans="2:26">
      <c r="B35" s="569"/>
      <c r="C35" s="569"/>
      <c r="D35" s="569"/>
      <c r="E35" s="569"/>
      <c r="F35" s="569"/>
      <c r="G35" s="569"/>
      <c r="H35" s="569"/>
      <c r="I35" s="569"/>
      <c r="J35" s="569"/>
      <c r="K35" s="569"/>
      <c r="L35" s="569"/>
      <c r="M35" s="569"/>
      <c r="N35" s="569"/>
      <c r="O35" s="569"/>
      <c r="P35" s="569"/>
      <c r="Q35" s="569"/>
      <c r="R35" s="569"/>
      <c r="S35" s="569"/>
      <c r="T35" s="569"/>
      <c r="U35" s="569"/>
      <c r="V35" s="569"/>
      <c r="W35" s="569"/>
      <c r="X35" s="569"/>
      <c r="Y35" s="569"/>
      <c r="Z35" s="569"/>
    </row>
    <row r="36" spans="2:26">
      <c r="B36" s="569"/>
      <c r="C36" s="569"/>
      <c r="D36" s="569"/>
      <c r="E36" s="569"/>
      <c r="F36" s="569"/>
      <c r="G36" s="569"/>
      <c r="H36" s="569"/>
      <c r="I36" s="569"/>
      <c r="J36" s="569"/>
      <c r="K36" s="569"/>
      <c r="L36" s="569"/>
      <c r="M36" s="569"/>
      <c r="N36" s="569"/>
      <c r="O36" s="569"/>
      <c r="P36" s="569"/>
      <c r="Q36" s="569"/>
      <c r="R36" s="569"/>
      <c r="S36" s="569"/>
      <c r="T36" s="569"/>
      <c r="U36" s="569"/>
      <c r="V36" s="569"/>
      <c r="W36" s="569"/>
      <c r="X36" s="569"/>
      <c r="Y36" s="569"/>
      <c r="Z36" s="569"/>
    </row>
    <row r="37" spans="2:26">
      <c r="B37" s="569"/>
      <c r="C37" s="569"/>
      <c r="D37" s="569"/>
      <c r="E37" s="569"/>
      <c r="F37" s="569"/>
      <c r="G37" s="569"/>
      <c r="H37" s="569"/>
      <c r="I37" s="569"/>
      <c r="J37" s="569"/>
      <c r="K37" s="569"/>
      <c r="L37" s="569"/>
      <c r="M37" s="569"/>
      <c r="N37" s="569"/>
      <c r="O37" s="569"/>
      <c r="P37" s="569"/>
      <c r="Q37" s="569"/>
      <c r="R37" s="569"/>
      <c r="S37" s="569"/>
      <c r="T37" s="569"/>
      <c r="U37" s="569"/>
      <c r="V37" s="569"/>
      <c r="W37" s="569"/>
      <c r="X37" s="569"/>
      <c r="Y37" s="569"/>
      <c r="Z37" s="569"/>
    </row>
    <row r="38" spans="2:26">
      <c r="B38" s="569"/>
      <c r="C38" s="569"/>
      <c r="D38" s="569"/>
      <c r="E38" s="569"/>
      <c r="F38" s="569"/>
      <c r="G38" s="569"/>
      <c r="H38" s="569"/>
      <c r="I38" s="569"/>
      <c r="J38" s="569"/>
      <c r="K38" s="569"/>
      <c r="L38" s="569"/>
      <c r="M38" s="569"/>
      <c r="N38" s="569"/>
      <c r="O38" s="569"/>
      <c r="P38" s="569"/>
      <c r="Q38" s="569"/>
      <c r="R38" s="569"/>
      <c r="S38" s="569"/>
      <c r="T38" s="569"/>
      <c r="U38" s="569"/>
      <c r="V38" s="569"/>
      <c r="W38" s="569"/>
      <c r="X38" s="569"/>
      <c r="Y38" s="569"/>
      <c r="Z38" s="569"/>
    </row>
    <row r="39" spans="2:26">
      <c r="B39" s="569"/>
      <c r="C39" s="569"/>
      <c r="D39" s="569"/>
      <c r="E39" s="569"/>
      <c r="F39" s="569"/>
      <c r="G39" s="569"/>
      <c r="H39" s="569"/>
      <c r="I39" s="569"/>
      <c r="J39" s="569"/>
      <c r="K39" s="569"/>
      <c r="L39" s="569"/>
      <c r="M39" s="569"/>
      <c r="N39" s="569"/>
      <c r="O39" s="569"/>
      <c r="P39" s="569"/>
      <c r="Q39" s="569"/>
      <c r="R39" s="569"/>
      <c r="S39" s="569"/>
      <c r="T39" s="569"/>
      <c r="U39" s="569"/>
      <c r="V39" s="569"/>
      <c r="W39" s="569"/>
      <c r="X39" s="569"/>
      <c r="Y39" s="569"/>
      <c r="Z39" s="569"/>
    </row>
    <row r="40" spans="2:26">
      <c r="B40" s="569"/>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row>
    <row r="41" spans="2:26">
      <c r="B41" s="569"/>
      <c r="C41" s="569"/>
      <c r="D41" s="569"/>
      <c r="E41" s="569"/>
      <c r="F41" s="569"/>
      <c r="G41" s="569"/>
      <c r="H41" s="569"/>
      <c r="I41" s="569"/>
      <c r="J41" s="569"/>
      <c r="K41" s="569"/>
      <c r="L41" s="569"/>
      <c r="M41" s="569"/>
      <c r="N41" s="569"/>
      <c r="O41" s="569"/>
      <c r="P41" s="569"/>
      <c r="Q41" s="569"/>
      <c r="R41" s="569"/>
      <c r="S41" s="569"/>
      <c r="T41" s="569"/>
      <c r="U41" s="569"/>
      <c r="V41" s="569"/>
      <c r="W41" s="569"/>
      <c r="X41" s="569"/>
      <c r="Y41" s="569"/>
      <c r="Z41" s="569"/>
    </row>
    <row r="42" spans="2:26">
      <c r="B42" s="569"/>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row>
    <row r="43" spans="2:26">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row>
    <row r="44" spans="2:26">
      <c r="B44" s="569"/>
      <c r="C44" s="569"/>
      <c r="D44" s="569"/>
      <c r="E44" s="569"/>
      <c r="F44" s="569"/>
      <c r="G44" s="569"/>
      <c r="H44" s="569"/>
      <c r="I44" s="569"/>
      <c r="J44" s="569"/>
      <c r="K44" s="569"/>
      <c r="L44" s="569"/>
      <c r="M44" s="569"/>
      <c r="N44" s="569"/>
      <c r="O44" s="569"/>
      <c r="P44" s="569"/>
      <c r="Q44" s="569"/>
      <c r="R44" s="569"/>
      <c r="S44" s="569"/>
      <c r="T44" s="569"/>
      <c r="U44" s="569"/>
      <c r="V44" s="569"/>
      <c r="W44" s="569"/>
      <c r="X44" s="569"/>
      <c r="Y44" s="569"/>
      <c r="Z44" s="569"/>
    </row>
    <row r="45" spans="2:26">
      <c r="B45" s="569"/>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row>
    <row r="46" spans="2:26">
      <c r="B46" s="569"/>
      <c r="C46" s="569"/>
      <c r="D46" s="569"/>
      <c r="E46" s="569"/>
      <c r="F46" s="569"/>
      <c r="G46" s="569"/>
      <c r="H46" s="569"/>
      <c r="I46" s="569"/>
      <c r="J46" s="569"/>
      <c r="K46" s="569"/>
      <c r="L46" s="569"/>
      <c r="M46" s="569"/>
      <c r="N46" s="569"/>
      <c r="O46" s="569"/>
      <c r="P46" s="569"/>
      <c r="Q46" s="569"/>
      <c r="R46" s="569"/>
      <c r="S46" s="569"/>
      <c r="T46" s="569"/>
      <c r="U46" s="569"/>
      <c r="V46" s="569"/>
      <c r="W46" s="569"/>
      <c r="X46" s="569"/>
      <c r="Y46" s="569"/>
      <c r="Z46" s="569"/>
    </row>
    <row r="47" spans="2:26">
      <c r="B47" s="569"/>
      <c r="C47" s="569"/>
      <c r="D47" s="569"/>
      <c r="E47" s="569"/>
      <c r="F47" s="569"/>
      <c r="G47" s="569"/>
      <c r="H47" s="569"/>
      <c r="I47" s="569"/>
      <c r="J47" s="569"/>
      <c r="K47" s="569"/>
      <c r="L47" s="569"/>
      <c r="M47" s="569"/>
      <c r="N47" s="569"/>
      <c r="O47" s="569"/>
      <c r="P47" s="569"/>
      <c r="Q47" s="569"/>
      <c r="R47" s="569"/>
      <c r="S47" s="569"/>
      <c r="T47" s="569"/>
      <c r="U47" s="569"/>
      <c r="V47" s="569"/>
      <c r="W47" s="569"/>
      <c r="X47" s="569"/>
      <c r="Y47" s="569"/>
      <c r="Z47" s="569"/>
    </row>
    <row r="48" spans="2:26">
      <c r="B48" s="569"/>
      <c r="C48" s="569"/>
      <c r="D48" s="569"/>
      <c r="E48" s="569"/>
      <c r="F48" s="569"/>
      <c r="G48" s="569"/>
      <c r="H48" s="569"/>
      <c r="I48" s="569"/>
      <c r="J48" s="569"/>
      <c r="K48" s="569"/>
      <c r="L48" s="569"/>
      <c r="M48" s="569"/>
      <c r="N48" s="569"/>
      <c r="O48" s="569"/>
      <c r="P48" s="569"/>
      <c r="Q48" s="569"/>
      <c r="R48" s="569"/>
      <c r="S48" s="569"/>
      <c r="T48" s="569"/>
      <c r="U48" s="569"/>
      <c r="V48" s="569"/>
      <c r="W48" s="569"/>
      <c r="X48" s="569"/>
      <c r="Y48" s="569"/>
      <c r="Z48" s="569"/>
    </row>
    <row r="49" spans="2:26" ht="41.25" customHeight="1">
      <c r="B49" s="569"/>
      <c r="C49" s="569"/>
      <c r="D49" s="569"/>
      <c r="E49" s="569"/>
      <c r="F49" s="569"/>
      <c r="G49" s="569"/>
      <c r="H49" s="569"/>
      <c r="I49" s="569"/>
      <c r="J49" s="569"/>
      <c r="K49" s="569"/>
      <c r="L49" s="569"/>
      <c r="M49" s="569"/>
      <c r="N49" s="569"/>
      <c r="O49" s="569"/>
      <c r="P49" s="569"/>
      <c r="Q49" s="569"/>
      <c r="R49" s="569"/>
      <c r="S49" s="569"/>
      <c r="T49" s="569"/>
      <c r="U49" s="569"/>
      <c r="V49" s="569"/>
      <c r="W49" s="569"/>
      <c r="X49" s="569"/>
      <c r="Y49" s="569"/>
      <c r="Z49" s="569"/>
    </row>
    <row r="50" spans="2:26" ht="45" customHeight="1">
      <c r="B50" s="569"/>
      <c r="C50" s="566"/>
      <c r="D50" s="566"/>
      <c r="E50" s="1072" t="s">
        <v>228</v>
      </c>
      <c r="F50" s="1072"/>
      <c r="G50" s="1072"/>
      <c r="H50" s="1072"/>
      <c r="I50" s="1072"/>
      <c r="J50" s="1072"/>
      <c r="K50" s="1072"/>
      <c r="L50" s="1072"/>
      <c r="M50" s="1072"/>
      <c r="N50" s="1072"/>
      <c r="O50" s="1072"/>
      <c r="P50" s="1072"/>
      <c r="Q50" s="1072"/>
      <c r="R50" s="1072"/>
      <c r="S50" s="1072"/>
      <c r="T50" s="1072"/>
      <c r="U50" s="1072"/>
      <c r="V50" s="1072"/>
      <c r="W50" s="566"/>
      <c r="X50" s="566"/>
      <c r="Y50" s="566"/>
      <c r="Z50" s="569"/>
    </row>
    <row r="51" spans="2:26" ht="35.25" customHeight="1">
      <c r="B51" s="569"/>
      <c r="C51" s="571" t="s">
        <v>230</v>
      </c>
      <c r="D51" s="569"/>
      <c r="E51" s="569"/>
      <c r="F51" s="569"/>
      <c r="G51" s="569"/>
      <c r="H51" s="569"/>
      <c r="I51" s="569"/>
      <c r="J51" s="569"/>
      <c r="K51" s="569"/>
      <c r="L51" s="569"/>
      <c r="M51" s="569"/>
      <c r="N51" s="569"/>
      <c r="O51" s="569"/>
      <c r="P51" s="569"/>
      <c r="Q51" s="569"/>
      <c r="R51" s="569"/>
      <c r="S51" s="569"/>
      <c r="T51" s="569"/>
      <c r="U51" s="569"/>
      <c r="V51" s="569"/>
      <c r="W51" s="569"/>
      <c r="X51" s="569"/>
      <c r="Y51" s="569"/>
      <c r="Z51" s="569"/>
    </row>
    <row r="52" spans="2:26" ht="14.5">
      <c r="B52" s="569"/>
      <c r="C52" s="570" t="s">
        <v>231</v>
      </c>
      <c r="D52" s="569"/>
      <c r="E52" s="569"/>
      <c r="F52" s="569"/>
      <c r="G52" s="569"/>
      <c r="H52" s="569"/>
      <c r="I52" s="569"/>
      <c r="J52" s="569"/>
      <c r="K52" s="569"/>
      <c r="L52" s="569"/>
      <c r="M52" s="569"/>
      <c r="N52" s="569"/>
      <c r="O52" s="569"/>
      <c r="P52" s="569"/>
      <c r="Q52" s="569"/>
      <c r="R52" s="569"/>
      <c r="S52" s="569"/>
      <c r="T52" s="569"/>
      <c r="U52" s="569"/>
      <c r="V52" s="569"/>
      <c r="W52" s="569"/>
      <c r="X52" s="569"/>
      <c r="Y52" s="569"/>
      <c r="Z52" s="569"/>
    </row>
    <row r="53" spans="2:26" ht="9" customHeight="1">
      <c r="B53" s="569"/>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row>
    <row r="54" spans="2:26">
      <c r="B54" s="569"/>
      <c r="C54" s="569"/>
      <c r="D54" s="569"/>
      <c r="E54" s="569"/>
      <c r="F54" s="569"/>
      <c r="G54" s="569"/>
      <c r="H54" s="569"/>
      <c r="I54" s="569"/>
      <c r="J54" s="569"/>
      <c r="K54" s="569"/>
      <c r="L54" s="569"/>
      <c r="M54" s="569"/>
      <c r="N54" s="569"/>
      <c r="O54" s="569"/>
      <c r="P54" s="569"/>
      <c r="Q54" s="569"/>
      <c r="R54" s="569"/>
      <c r="S54" s="569"/>
      <c r="T54" s="569"/>
      <c r="U54" s="569"/>
      <c r="V54" s="569"/>
      <c r="W54" s="569"/>
      <c r="X54" s="569"/>
      <c r="Y54" s="569"/>
      <c r="Z54" s="569"/>
    </row>
    <row r="55" spans="2:26">
      <c r="B55" s="569"/>
      <c r="C55" s="569"/>
      <c r="D55" s="569"/>
      <c r="E55" s="569"/>
      <c r="F55" s="569"/>
      <c r="G55" s="569"/>
      <c r="H55" s="569"/>
      <c r="I55" s="569"/>
      <c r="J55" s="569"/>
      <c r="K55" s="569"/>
      <c r="L55" s="569"/>
      <c r="M55" s="569"/>
      <c r="N55" s="569"/>
      <c r="O55" s="569"/>
      <c r="P55" s="569"/>
      <c r="Q55" s="569"/>
      <c r="R55" s="569"/>
      <c r="S55" s="569"/>
      <c r="T55" s="569"/>
      <c r="U55" s="569"/>
      <c r="V55" s="569"/>
      <c r="W55" s="569"/>
      <c r="X55" s="569"/>
      <c r="Y55" s="569"/>
      <c r="Z55" s="569"/>
    </row>
    <row r="56" spans="2:26">
      <c r="B56" s="569"/>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row>
    <row r="57" spans="2:26">
      <c r="B57" s="569"/>
      <c r="C57" s="569"/>
      <c r="D57" s="569"/>
      <c r="E57" s="569"/>
      <c r="F57" s="569"/>
      <c r="G57" s="569"/>
      <c r="H57" s="569"/>
      <c r="I57" s="569"/>
      <c r="J57" s="569"/>
      <c r="K57" s="569"/>
      <c r="L57" s="569"/>
      <c r="M57" s="569"/>
      <c r="N57" s="569"/>
      <c r="O57" s="569"/>
      <c r="P57" s="569"/>
      <c r="Q57" s="569"/>
      <c r="R57" s="569"/>
      <c r="S57" s="569"/>
      <c r="T57" s="569"/>
      <c r="U57" s="569"/>
      <c r="V57" s="569"/>
      <c r="W57" s="569"/>
      <c r="X57" s="569"/>
      <c r="Y57" s="569"/>
      <c r="Z57" s="569"/>
    </row>
    <row r="58" spans="2:26">
      <c r="B58" s="569"/>
      <c r="C58" s="569"/>
      <c r="D58" s="569"/>
      <c r="E58" s="569"/>
      <c r="F58" s="569"/>
      <c r="G58" s="569"/>
      <c r="H58" s="569"/>
      <c r="I58" s="569"/>
      <c r="J58" s="569"/>
      <c r="K58" s="569"/>
      <c r="L58" s="569"/>
      <c r="M58" s="569"/>
      <c r="N58" s="569"/>
      <c r="O58" s="569"/>
      <c r="P58" s="569"/>
      <c r="Q58" s="569"/>
      <c r="R58" s="569"/>
      <c r="S58" s="569"/>
      <c r="T58" s="569"/>
      <c r="U58" s="569"/>
      <c r="V58" s="569"/>
      <c r="W58" s="569"/>
      <c r="X58" s="569"/>
      <c r="Y58" s="569"/>
      <c r="Z58" s="569"/>
    </row>
    <row r="59" spans="2:26">
      <c r="B59" s="569"/>
      <c r="C59" s="569"/>
      <c r="D59" s="569"/>
      <c r="E59" s="569"/>
      <c r="F59" s="569"/>
      <c r="G59" s="569"/>
      <c r="H59" s="569"/>
      <c r="I59" s="569"/>
      <c r="J59" s="569"/>
      <c r="K59" s="569"/>
      <c r="L59" s="569"/>
      <c r="M59" s="569"/>
      <c r="N59" s="569"/>
      <c r="O59" s="569"/>
      <c r="P59" s="569"/>
      <c r="Q59" s="569"/>
      <c r="R59" s="569"/>
      <c r="S59" s="569"/>
      <c r="T59" s="569"/>
      <c r="U59" s="569"/>
      <c r="V59" s="569"/>
      <c r="W59" s="569"/>
      <c r="X59" s="569"/>
      <c r="Y59" s="569"/>
      <c r="Z59" s="569"/>
    </row>
    <row r="60" spans="2:26">
      <c r="B60" s="569"/>
      <c r="C60" s="569"/>
      <c r="D60" s="569"/>
      <c r="E60" s="569"/>
      <c r="F60" s="569"/>
      <c r="G60" s="569"/>
      <c r="H60" s="569"/>
      <c r="I60" s="569"/>
      <c r="J60" s="569"/>
      <c r="K60" s="569"/>
      <c r="L60" s="569"/>
      <c r="M60" s="569"/>
      <c r="N60" s="569"/>
      <c r="O60" s="569"/>
      <c r="P60" s="569"/>
      <c r="Q60" s="569"/>
      <c r="R60" s="569"/>
      <c r="S60" s="569"/>
      <c r="T60" s="569"/>
      <c r="U60" s="569"/>
      <c r="V60" s="569"/>
      <c r="W60" s="569"/>
      <c r="X60" s="569"/>
      <c r="Y60" s="569"/>
      <c r="Z60" s="569"/>
    </row>
    <row r="61" spans="2:26">
      <c r="B61" s="569"/>
      <c r="C61" s="569"/>
      <c r="D61" s="569"/>
      <c r="E61" s="569"/>
      <c r="F61" s="569"/>
      <c r="G61" s="569"/>
      <c r="H61" s="569"/>
      <c r="I61" s="569"/>
      <c r="J61" s="569"/>
      <c r="K61" s="569"/>
      <c r="L61" s="569"/>
      <c r="M61" s="569"/>
      <c r="N61" s="569"/>
      <c r="O61" s="569"/>
      <c r="P61" s="569"/>
      <c r="Q61" s="569"/>
      <c r="R61" s="569"/>
      <c r="S61" s="569"/>
      <c r="T61" s="569"/>
      <c r="U61" s="569"/>
      <c r="V61" s="569"/>
      <c r="W61" s="569"/>
      <c r="X61" s="569"/>
      <c r="Y61" s="569"/>
      <c r="Z61" s="569"/>
    </row>
    <row r="62" spans="2:26">
      <c r="B62" s="569"/>
      <c r="C62" s="569"/>
      <c r="D62" s="569"/>
      <c r="E62" s="569"/>
      <c r="F62" s="569"/>
      <c r="G62" s="569"/>
      <c r="H62" s="569"/>
      <c r="I62" s="569"/>
      <c r="J62" s="569"/>
      <c r="K62" s="569"/>
      <c r="L62" s="569"/>
      <c r="M62" s="569"/>
      <c r="N62" s="569"/>
      <c r="O62" s="569"/>
      <c r="P62" s="569"/>
      <c r="Q62" s="569"/>
      <c r="R62" s="569"/>
      <c r="S62" s="569"/>
      <c r="T62" s="569"/>
      <c r="U62" s="569"/>
      <c r="V62" s="569"/>
      <c r="W62" s="569"/>
      <c r="X62" s="569"/>
      <c r="Y62" s="569"/>
      <c r="Z62" s="569"/>
    </row>
    <row r="63" spans="2:26">
      <c r="B63" s="569"/>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row>
    <row r="64" spans="2:26">
      <c r="B64" s="569"/>
      <c r="C64" s="569"/>
      <c r="D64" s="569"/>
      <c r="E64" s="569"/>
      <c r="F64" s="569"/>
      <c r="G64" s="569"/>
      <c r="H64" s="569"/>
      <c r="I64" s="569"/>
      <c r="J64" s="569"/>
      <c r="K64" s="569"/>
      <c r="L64" s="569"/>
      <c r="M64" s="569"/>
      <c r="N64" s="569"/>
      <c r="O64" s="569"/>
      <c r="P64" s="569"/>
      <c r="Q64" s="569"/>
      <c r="R64" s="569"/>
      <c r="S64" s="569"/>
      <c r="T64" s="569"/>
      <c r="U64" s="569"/>
      <c r="V64" s="569"/>
      <c r="W64" s="569"/>
      <c r="X64" s="569"/>
      <c r="Y64" s="569"/>
      <c r="Z64" s="569"/>
    </row>
    <row r="65" spans="2:26">
      <c r="B65" s="569"/>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row>
    <row r="66" spans="2:26">
      <c r="B66" s="569"/>
      <c r="C66" s="569"/>
      <c r="D66" s="569"/>
      <c r="E66" s="569"/>
      <c r="F66" s="569"/>
      <c r="G66" s="569"/>
      <c r="H66" s="569"/>
      <c r="I66" s="569"/>
      <c r="J66" s="569"/>
      <c r="K66" s="569"/>
      <c r="L66" s="569"/>
      <c r="M66" s="569"/>
      <c r="N66" s="569"/>
      <c r="O66" s="569"/>
      <c r="P66" s="569"/>
      <c r="Q66" s="569"/>
      <c r="R66" s="569"/>
      <c r="S66" s="569"/>
      <c r="T66" s="569"/>
      <c r="U66" s="569"/>
      <c r="V66" s="569"/>
      <c r="W66" s="569"/>
      <c r="X66" s="569"/>
      <c r="Y66" s="569"/>
      <c r="Z66" s="569"/>
    </row>
    <row r="67" spans="2:26">
      <c r="B67" s="569"/>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row>
    <row r="68" spans="2:26">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row>
    <row r="69" spans="2:26">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row>
    <row r="70" spans="2:26">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row>
    <row r="71" spans="2:26">
      <c r="B71" s="569"/>
      <c r="C71" s="569"/>
      <c r="D71" s="569"/>
      <c r="E71" s="569"/>
      <c r="F71" s="569"/>
      <c r="G71" s="569"/>
      <c r="H71" s="569"/>
      <c r="I71" s="569"/>
      <c r="J71" s="569"/>
      <c r="K71" s="569"/>
      <c r="L71" s="569"/>
      <c r="M71" s="569"/>
      <c r="N71" s="569"/>
      <c r="O71" s="569"/>
      <c r="P71" s="569"/>
      <c r="Q71" s="569"/>
      <c r="R71" s="569"/>
      <c r="S71" s="569"/>
      <c r="T71" s="569"/>
      <c r="U71" s="569"/>
      <c r="V71" s="569"/>
      <c r="W71" s="569"/>
      <c r="X71" s="569"/>
      <c r="Y71" s="569"/>
      <c r="Z71" s="569"/>
    </row>
    <row r="72" spans="2:26" ht="35.25" customHeight="1">
      <c r="B72" s="569"/>
      <c r="C72" s="571" t="s">
        <v>232</v>
      </c>
      <c r="D72" s="569"/>
      <c r="E72" s="569"/>
      <c r="F72" s="569"/>
      <c r="G72" s="569"/>
      <c r="H72" s="569"/>
      <c r="I72" s="569"/>
      <c r="J72" s="569"/>
      <c r="K72" s="569"/>
      <c r="L72" s="569"/>
      <c r="M72" s="569"/>
      <c r="N72" s="569"/>
      <c r="O72" s="569"/>
      <c r="P72" s="569"/>
      <c r="Q72" s="569"/>
      <c r="R72" s="569"/>
      <c r="S72" s="569"/>
      <c r="T72" s="569"/>
      <c r="U72" s="569"/>
      <c r="V72" s="569"/>
      <c r="W72" s="569"/>
      <c r="X72" s="569"/>
      <c r="Y72" s="569"/>
      <c r="Z72" s="569"/>
    </row>
    <row r="73" spans="2:26" ht="14.5">
      <c r="B73" s="569"/>
      <c r="C73" s="572" t="s">
        <v>231</v>
      </c>
      <c r="D73" s="569"/>
      <c r="E73" s="569"/>
      <c r="F73" s="569"/>
      <c r="G73" s="569"/>
      <c r="H73" s="569"/>
      <c r="I73" s="569"/>
      <c r="J73" s="569"/>
      <c r="K73" s="569"/>
      <c r="L73" s="569"/>
      <c r="M73" s="569"/>
      <c r="N73" s="569"/>
      <c r="O73" s="569"/>
      <c r="P73" s="569"/>
      <c r="Q73" s="569"/>
      <c r="R73" s="569"/>
      <c r="S73" s="569"/>
      <c r="T73" s="569"/>
      <c r="U73" s="569"/>
      <c r="V73" s="569"/>
      <c r="W73" s="569"/>
      <c r="X73" s="569"/>
      <c r="Y73" s="569"/>
      <c r="Z73" s="569"/>
    </row>
    <row r="74" spans="2:26">
      <c r="B74" s="569"/>
      <c r="C74" s="569"/>
      <c r="D74" s="569"/>
      <c r="E74" s="569"/>
      <c r="F74" s="569"/>
      <c r="G74" s="569"/>
      <c r="H74" s="569"/>
      <c r="I74" s="569"/>
      <c r="J74" s="569"/>
      <c r="K74" s="569"/>
      <c r="L74" s="569"/>
      <c r="M74" s="569"/>
      <c r="N74" s="569"/>
      <c r="O74" s="569"/>
      <c r="P74" s="569"/>
      <c r="Q74" s="569"/>
      <c r="R74" s="569"/>
      <c r="S74" s="569"/>
      <c r="T74" s="569"/>
      <c r="U74" s="569"/>
      <c r="V74" s="569"/>
      <c r="W74" s="569"/>
      <c r="X74" s="569"/>
      <c r="Y74" s="569"/>
      <c r="Z74" s="569"/>
    </row>
    <row r="75" spans="2:26">
      <c r="B75" s="569"/>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row>
    <row r="76" spans="2:26">
      <c r="B76" s="569"/>
      <c r="C76" s="569"/>
      <c r="D76" s="569"/>
      <c r="E76" s="569"/>
      <c r="F76" s="569"/>
      <c r="G76" s="569"/>
      <c r="H76" s="569"/>
      <c r="I76" s="569"/>
      <c r="J76" s="569"/>
      <c r="K76" s="569"/>
      <c r="L76" s="569"/>
      <c r="M76" s="569"/>
      <c r="N76" s="569"/>
      <c r="O76" s="569"/>
      <c r="P76" s="569"/>
      <c r="Q76" s="569"/>
      <c r="R76" s="569"/>
      <c r="S76" s="569"/>
      <c r="T76" s="569"/>
      <c r="U76" s="569"/>
      <c r="V76" s="569"/>
      <c r="W76" s="569"/>
      <c r="X76" s="569"/>
      <c r="Y76" s="569"/>
      <c r="Z76" s="569"/>
    </row>
    <row r="77" spans="2:26">
      <c r="B77" s="569"/>
      <c r="C77" s="569"/>
      <c r="D77" s="569"/>
      <c r="E77" s="569"/>
      <c r="F77" s="569"/>
      <c r="G77" s="569"/>
      <c r="H77" s="569"/>
      <c r="I77" s="569"/>
      <c r="J77" s="569"/>
      <c r="K77" s="569"/>
      <c r="L77" s="569"/>
      <c r="M77" s="569"/>
      <c r="N77" s="569"/>
      <c r="O77" s="569"/>
      <c r="P77" s="569"/>
      <c r="Q77" s="569"/>
      <c r="R77" s="569"/>
      <c r="S77" s="569"/>
      <c r="T77" s="569"/>
      <c r="U77" s="569"/>
      <c r="V77" s="569"/>
      <c r="W77" s="569"/>
      <c r="X77" s="569"/>
      <c r="Y77" s="569"/>
      <c r="Z77" s="569"/>
    </row>
    <row r="78" spans="2:26">
      <c r="B78" s="569"/>
      <c r="C78" s="569"/>
      <c r="D78" s="569"/>
      <c r="E78" s="569"/>
      <c r="F78" s="569"/>
      <c r="G78" s="569"/>
      <c r="H78" s="569"/>
      <c r="I78" s="569"/>
      <c r="J78" s="569"/>
      <c r="K78" s="569"/>
      <c r="L78" s="569"/>
      <c r="M78" s="569"/>
      <c r="N78" s="569"/>
      <c r="O78" s="569"/>
      <c r="P78" s="569"/>
      <c r="Q78" s="569"/>
      <c r="R78" s="569"/>
      <c r="S78" s="569"/>
      <c r="T78" s="569"/>
      <c r="U78" s="569"/>
      <c r="V78" s="569"/>
      <c r="W78" s="569"/>
      <c r="X78" s="569"/>
      <c r="Y78" s="569"/>
      <c r="Z78" s="569"/>
    </row>
    <row r="79" spans="2:26">
      <c r="B79" s="569"/>
      <c r="C79" s="569"/>
      <c r="D79" s="569"/>
      <c r="E79" s="569"/>
      <c r="F79" s="569"/>
      <c r="G79" s="569"/>
      <c r="H79" s="569"/>
      <c r="I79" s="569"/>
      <c r="J79" s="569"/>
      <c r="K79" s="569"/>
      <c r="L79" s="569"/>
      <c r="M79" s="569"/>
      <c r="N79" s="569"/>
      <c r="O79" s="569"/>
      <c r="P79" s="569"/>
      <c r="Q79" s="569"/>
      <c r="R79" s="569"/>
      <c r="S79" s="569"/>
      <c r="T79" s="569"/>
      <c r="U79" s="569"/>
      <c r="V79" s="569"/>
      <c r="W79" s="569"/>
      <c r="X79" s="569"/>
      <c r="Y79" s="569"/>
      <c r="Z79" s="569"/>
    </row>
    <row r="80" spans="2:26">
      <c r="B80" s="569"/>
      <c r="C80" s="569"/>
      <c r="D80" s="569"/>
      <c r="E80" s="569"/>
      <c r="F80" s="569"/>
      <c r="G80" s="569"/>
      <c r="H80" s="569"/>
      <c r="I80" s="569"/>
      <c r="J80" s="569"/>
      <c r="K80" s="569"/>
      <c r="L80" s="569"/>
      <c r="M80" s="569"/>
      <c r="N80" s="569"/>
      <c r="O80" s="569"/>
      <c r="P80" s="569"/>
      <c r="Q80" s="569"/>
      <c r="R80" s="569"/>
      <c r="S80" s="569"/>
      <c r="T80" s="569"/>
      <c r="U80" s="569"/>
      <c r="V80" s="569"/>
      <c r="W80" s="569"/>
      <c r="X80" s="569"/>
      <c r="Y80" s="569"/>
      <c r="Z80" s="569"/>
    </row>
    <row r="81" spans="2:26">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row>
    <row r="82" spans="2:26">
      <c r="B82" s="569"/>
      <c r="C82" s="569"/>
      <c r="D82" s="569"/>
      <c r="E82" s="569"/>
      <c r="F82" s="569"/>
      <c r="G82" s="569"/>
      <c r="H82" s="569"/>
      <c r="I82" s="569"/>
      <c r="J82" s="569"/>
      <c r="K82" s="569"/>
      <c r="L82" s="569"/>
      <c r="M82" s="569"/>
      <c r="N82" s="569"/>
      <c r="O82" s="569"/>
      <c r="P82" s="569"/>
      <c r="Q82" s="569"/>
      <c r="R82" s="569"/>
      <c r="S82" s="569"/>
      <c r="T82" s="569"/>
      <c r="U82" s="569"/>
      <c r="V82" s="569"/>
      <c r="W82" s="569"/>
      <c r="X82" s="569"/>
      <c r="Y82" s="569"/>
      <c r="Z82" s="569"/>
    </row>
    <row r="83" spans="2:26">
      <c r="B83" s="569"/>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row>
    <row r="84" spans="2:26">
      <c r="B84" s="569"/>
      <c r="C84" s="569"/>
      <c r="D84" s="569"/>
      <c r="E84" s="569"/>
      <c r="F84" s="569"/>
      <c r="G84" s="569"/>
      <c r="H84" s="569"/>
      <c r="I84" s="569"/>
      <c r="J84" s="569"/>
      <c r="K84" s="569"/>
      <c r="L84" s="569"/>
      <c r="M84" s="569"/>
      <c r="N84" s="569"/>
      <c r="O84" s="569"/>
      <c r="P84" s="569"/>
      <c r="Q84" s="569"/>
      <c r="R84" s="569"/>
      <c r="S84" s="569"/>
      <c r="T84" s="569"/>
      <c r="U84" s="569"/>
      <c r="V84" s="569"/>
      <c r="W84" s="569"/>
      <c r="X84" s="569"/>
      <c r="Y84" s="569"/>
      <c r="Z84" s="569"/>
    </row>
    <row r="85" spans="2:26">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row>
    <row r="86" spans="2:26">
      <c r="B86" s="569"/>
      <c r="C86" s="569"/>
      <c r="D86" s="569"/>
      <c r="E86" s="569"/>
      <c r="F86" s="569"/>
      <c r="G86" s="569"/>
      <c r="H86" s="569"/>
      <c r="I86" s="569"/>
      <c r="J86" s="569"/>
      <c r="K86" s="569"/>
      <c r="L86" s="569"/>
      <c r="M86" s="569"/>
      <c r="N86" s="569"/>
      <c r="O86" s="569"/>
      <c r="P86" s="569"/>
      <c r="Q86" s="569"/>
      <c r="R86" s="569"/>
      <c r="S86" s="569"/>
      <c r="T86" s="569"/>
      <c r="U86" s="569"/>
      <c r="V86" s="569"/>
      <c r="W86" s="569"/>
      <c r="X86" s="569"/>
      <c r="Y86" s="569"/>
      <c r="Z86" s="569"/>
    </row>
    <row r="87" spans="2:26">
      <c r="B87" s="569"/>
      <c r="C87" s="569"/>
      <c r="D87" s="569"/>
      <c r="E87" s="569"/>
      <c r="F87" s="569"/>
      <c r="G87" s="569"/>
      <c r="H87" s="569"/>
      <c r="I87" s="569"/>
      <c r="J87" s="569"/>
      <c r="K87" s="569"/>
      <c r="L87" s="569"/>
      <c r="M87" s="569"/>
      <c r="N87" s="569"/>
      <c r="O87" s="569"/>
      <c r="P87" s="569"/>
      <c r="Q87" s="569"/>
      <c r="R87" s="569"/>
      <c r="S87" s="569"/>
      <c r="T87" s="569"/>
      <c r="U87" s="569"/>
      <c r="V87" s="569"/>
      <c r="W87" s="569"/>
      <c r="X87" s="569"/>
      <c r="Y87" s="569"/>
      <c r="Z87" s="569"/>
    </row>
    <row r="88" spans="2:26">
      <c r="B88" s="569"/>
      <c r="C88" s="569"/>
      <c r="D88" s="569"/>
      <c r="E88" s="569"/>
      <c r="F88" s="569"/>
      <c r="G88" s="569"/>
      <c r="H88" s="569"/>
      <c r="I88" s="569"/>
      <c r="J88" s="569"/>
      <c r="K88" s="569"/>
      <c r="L88" s="569"/>
      <c r="M88" s="569"/>
      <c r="N88" s="569"/>
      <c r="O88" s="569"/>
      <c r="P88" s="569"/>
      <c r="Q88" s="569"/>
      <c r="R88" s="569"/>
      <c r="S88" s="569"/>
      <c r="T88" s="569"/>
      <c r="U88" s="569"/>
      <c r="V88" s="569"/>
      <c r="W88" s="569"/>
      <c r="X88" s="569"/>
      <c r="Y88" s="569"/>
      <c r="Z88" s="569"/>
    </row>
    <row r="89" spans="2:26">
      <c r="B89" s="569"/>
      <c r="C89" s="569"/>
      <c r="D89" s="569"/>
      <c r="E89" s="569"/>
      <c r="F89" s="569"/>
      <c r="G89" s="569"/>
      <c r="H89" s="569"/>
      <c r="I89" s="569"/>
      <c r="J89" s="569"/>
      <c r="K89" s="569"/>
      <c r="L89" s="569"/>
      <c r="M89" s="569"/>
      <c r="N89" s="569"/>
      <c r="O89" s="569"/>
      <c r="P89" s="569"/>
      <c r="Q89" s="569"/>
      <c r="R89" s="569"/>
      <c r="S89" s="569"/>
      <c r="T89" s="569"/>
      <c r="U89" s="569"/>
      <c r="V89" s="569"/>
      <c r="W89" s="569"/>
      <c r="X89" s="569"/>
      <c r="Y89" s="569"/>
      <c r="Z89" s="569"/>
    </row>
    <row r="90" spans="2:26">
      <c r="B90" s="569"/>
      <c r="C90" s="569"/>
      <c r="D90" s="569"/>
      <c r="E90" s="569"/>
      <c r="F90" s="569"/>
      <c r="G90" s="569"/>
      <c r="H90" s="569"/>
      <c r="I90" s="569"/>
      <c r="J90" s="569"/>
      <c r="K90" s="569"/>
      <c r="L90" s="569"/>
      <c r="M90" s="569"/>
      <c r="N90" s="569"/>
      <c r="O90" s="569"/>
      <c r="P90" s="569"/>
      <c r="Q90" s="569"/>
      <c r="R90" s="569"/>
      <c r="S90" s="569"/>
      <c r="T90" s="569"/>
      <c r="U90" s="569"/>
      <c r="V90" s="569"/>
      <c r="W90" s="569"/>
      <c r="X90" s="569"/>
      <c r="Y90" s="569"/>
      <c r="Z90" s="569"/>
    </row>
    <row r="91" spans="2:26">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row>
    <row r="92" spans="2:26">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row>
    <row r="93" spans="2:26">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row>
    <row r="94" spans="2:26">
      <c r="B94" s="569"/>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row>
    <row r="95" spans="2:26">
      <c r="B95" s="569"/>
      <c r="C95" s="569"/>
      <c r="D95" s="569"/>
      <c r="E95" s="569"/>
      <c r="F95" s="569"/>
      <c r="G95" s="569"/>
      <c r="H95" s="569"/>
      <c r="I95" s="569"/>
      <c r="J95" s="569"/>
      <c r="K95" s="569"/>
      <c r="L95" s="569"/>
      <c r="M95" s="569"/>
      <c r="N95" s="569"/>
      <c r="O95" s="569"/>
      <c r="P95" s="569"/>
      <c r="Q95" s="569"/>
      <c r="R95" s="569"/>
      <c r="S95" s="569"/>
      <c r="T95" s="569"/>
      <c r="U95" s="569"/>
      <c r="V95" s="569"/>
      <c r="W95" s="569"/>
      <c r="X95" s="569"/>
      <c r="Y95" s="569"/>
      <c r="Z95" s="569"/>
    </row>
    <row r="96" spans="2:26">
      <c r="B96" s="569"/>
      <c r="C96" s="569"/>
      <c r="D96" s="569"/>
      <c r="E96" s="569"/>
      <c r="F96" s="569"/>
      <c r="G96" s="569"/>
      <c r="H96" s="569"/>
      <c r="I96" s="569"/>
      <c r="J96" s="569"/>
      <c r="K96" s="569"/>
      <c r="L96" s="569"/>
      <c r="M96" s="569"/>
      <c r="N96" s="569"/>
      <c r="O96" s="569"/>
      <c r="P96" s="569"/>
      <c r="Q96" s="569"/>
      <c r="R96" s="569"/>
      <c r="S96" s="569"/>
      <c r="T96" s="569"/>
      <c r="U96" s="569"/>
      <c r="V96" s="569"/>
      <c r="W96" s="569"/>
      <c r="X96" s="569"/>
      <c r="Y96" s="569"/>
      <c r="Z96" s="569"/>
    </row>
    <row r="97" spans="2:26">
      <c r="B97" s="569"/>
      <c r="C97" s="569"/>
      <c r="D97" s="569"/>
      <c r="E97" s="569"/>
      <c r="F97" s="569"/>
      <c r="G97" s="569"/>
      <c r="H97" s="569"/>
      <c r="I97" s="569"/>
      <c r="J97" s="569"/>
      <c r="K97" s="569"/>
      <c r="L97" s="569"/>
      <c r="M97" s="569"/>
      <c r="N97" s="569"/>
      <c r="O97" s="569"/>
      <c r="P97" s="569"/>
      <c r="Q97" s="569"/>
      <c r="R97" s="569"/>
      <c r="S97" s="569"/>
      <c r="T97" s="569"/>
      <c r="U97" s="569"/>
      <c r="V97" s="569"/>
      <c r="W97" s="569"/>
      <c r="X97" s="569"/>
      <c r="Y97" s="569"/>
      <c r="Z97" s="569"/>
    </row>
    <row r="98" spans="2:26">
      <c r="B98" s="569"/>
      <c r="C98" s="569"/>
      <c r="D98" s="569"/>
      <c r="E98" s="569"/>
      <c r="F98" s="569"/>
      <c r="G98" s="569"/>
      <c r="H98" s="569"/>
      <c r="I98" s="569"/>
      <c r="J98" s="569"/>
      <c r="K98" s="569"/>
      <c r="L98" s="569"/>
      <c r="M98" s="569"/>
      <c r="N98" s="569"/>
      <c r="O98" s="569"/>
      <c r="P98" s="569"/>
      <c r="Q98" s="569"/>
      <c r="R98" s="569"/>
      <c r="S98" s="569"/>
      <c r="T98" s="569"/>
      <c r="U98" s="569"/>
      <c r="V98" s="569"/>
      <c r="W98" s="569"/>
      <c r="X98" s="569"/>
      <c r="Y98" s="569"/>
      <c r="Z98" s="569"/>
    </row>
    <row r="99" spans="2:26">
      <c r="B99" s="569"/>
      <c r="C99" s="569"/>
      <c r="D99" s="569"/>
      <c r="E99" s="569"/>
      <c r="F99" s="569"/>
      <c r="G99" s="569"/>
      <c r="H99" s="569"/>
      <c r="I99" s="569"/>
      <c r="J99" s="569"/>
      <c r="K99" s="569"/>
      <c r="L99" s="569"/>
      <c r="M99" s="569"/>
      <c r="N99" s="569"/>
      <c r="O99" s="569"/>
      <c r="P99" s="569"/>
      <c r="Q99" s="569"/>
      <c r="R99" s="569"/>
      <c r="S99" s="569"/>
      <c r="T99" s="569"/>
      <c r="U99" s="569"/>
      <c r="V99" s="569"/>
      <c r="W99" s="569"/>
      <c r="X99" s="569"/>
      <c r="Y99" s="569"/>
      <c r="Z99" s="569"/>
    </row>
  </sheetData>
  <sheetProtection algorithmName="SHA-512" hashValue="12z400eFZFur0ZgmFwUQthsWm03ACmMFzRxFZeQikz723mks8nOY/uRCk+o8hqwKwNcDB4ZRzzi0ippOMgbiQA==" saltValue="8uTa19MXyMfjZB3f20lJ1w=="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&amp;L&amp;"Calibri"&amp;10&amp;K000000Classified as Internal&amp;1#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1640625" defaultRowHeight="14.5"/>
  <cols>
    <col min="1" max="1" width="4.1796875" style="82" customWidth="1"/>
    <col min="2" max="16384" width="8.81640625" style="82"/>
  </cols>
  <sheetData>
    <row r="1" spans="2:21" ht="15" thickBot="1"/>
    <row r="2" spans="2:21" ht="24" thickBot="1">
      <c r="B2" s="81"/>
      <c r="D2" s="1074" t="s">
        <v>225</v>
      </c>
      <c r="E2" s="1075"/>
      <c r="F2" s="1075"/>
      <c r="G2" s="1075"/>
      <c r="H2" s="1075"/>
      <c r="I2" s="1075"/>
      <c r="J2" s="1075"/>
      <c r="K2" s="1075"/>
      <c r="L2" s="1075"/>
      <c r="M2" s="1075"/>
      <c r="N2" s="1075"/>
      <c r="O2" s="1075"/>
      <c r="P2" s="1075"/>
      <c r="Q2" s="1075"/>
      <c r="R2" s="1075"/>
      <c r="S2" s="1075"/>
      <c r="T2" s="1075"/>
      <c r="U2" s="1076"/>
    </row>
    <row r="3" spans="2:21" ht="18.5">
      <c r="B3" s="84" t="s">
        <v>230</v>
      </c>
    </row>
    <row r="22" spans="2:2" ht="18.5">
      <c r="B22" s="84" t="s">
        <v>232</v>
      </c>
    </row>
    <row r="23" spans="2:2">
      <c r="B23" s="83" t="s">
        <v>233</v>
      </c>
    </row>
    <row r="46" spans="2:21" ht="15" thickBot="1"/>
    <row r="47" spans="2:21" ht="19" thickBot="1">
      <c r="D47" s="1074" t="s">
        <v>234</v>
      </c>
      <c r="E47" s="1075"/>
      <c r="F47" s="1075"/>
      <c r="G47" s="1075"/>
      <c r="H47" s="1075"/>
      <c r="I47" s="1075"/>
      <c r="J47" s="1075"/>
      <c r="K47" s="1075"/>
      <c r="L47" s="1075"/>
      <c r="M47" s="1075"/>
      <c r="N47" s="1075"/>
      <c r="O47" s="1075"/>
      <c r="P47" s="1075"/>
      <c r="Q47" s="1075"/>
      <c r="R47" s="1075"/>
      <c r="S47" s="1075"/>
      <c r="T47" s="1075"/>
      <c r="U47" s="1076"/>
    </row>
    <row r="48" spans="2:21" ht="18.5">
      <c r="B48" s="84" t="s">
        <v>230</v>
      </c>
    </row>
    <row r="68" spans="2:2" ht="18.5">
      <c r="B68" s="84" t="s">
        <v>232</v>
      </c>
    </row>
    <row r="69" spans="2:2">
      <c r="B69" s="83" t="s">
        <v>235</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zoomScaleNormal="100" workbookViewId="0"/>
  </sheetViews>
  <sheetFormatPr defaultColWidth="8.81640625" defaultRowHeight="15.5"/>
  <cols>
    <col min="1" max="1" width="2.453125" style="476" customWidth="1"/>
    <col min="2" max="2" width="5" style="476" customWidth="1"/>
    <col min="3" max="3" width="9" style="476" bestFit="1" customWidth="1"/>
    <col min="4" max="4" width="1.453125" style="476" customWidth="1"/>
    <col min="5" max="5" width="11.453125" style="476" customWidth="1"/>
    <col min="6" max="6" width="8.81640625" style="476"/>
    <col min="7" max="7" width="57.81640625" style="476" customWidth="1"/>
    <col min="8" max="8" width="12.1796875" style="476" bestFit="1" customWidth="1"/>
    <col min="9" max="9" width="11.453125" style="476" bestFit="1" customWidth="1"/>
    <col min="10" max="10" width="5.81640625" style="476" customWidth="1"/>
    <col min="11" max="16384" width="8.81640625" style="476"/>
  </cols>
  <sheetData>
    <row r="1" spans="2:10" ht="8.25" customHeight="1">
      <c r="B1" s="528"/>
      <c r="C1" s="528"/>
      <c r="D1" s="528"/>
      <c r="E1" s="528"/>
      <c r="F1" s="528"/>
      <c r="G1" s="528"/>
      <c r="H1" s="528"/>
      <c r="I1" s="528"/>
      <c r="J1" s="528"/>
    </row>
    <row r="2" spans="2:10" ht="20.25" customHeight="1">
      <c r="B2" s="1039" t="s">
        <v>236</v>
      </c>
      <c r="C2" s="1080"/>
      <c r="D2" s="1080"/>
      <c r="E2" s="1080"/>
      <c r="F2" s="1080"/>
      <c r="G2" s="1080"/>
      <c r="H2" s="1080"/>
      <c r="I2" s="1080"/>
      <c r="J2" s="1080"/>
    </row>
    <row r="3" spans="2:10">
      <c r="B3" s="641"/>
      <c r="C3" s="641"/>
      <c r="D3" s="641"/>
      <c r="E3" s="641"/>
      <c r="F3" s="641"/>
      <c r="G3" s="641"/>
      <c r="H3" s="641"/>
      <c r="I3" s="641"/>
      <c r="J3" s="641"/>
    </row>
    <row r="4" spans="2:10" ht="45" customHeight="1">
      <c r="B4" s="641"/>
      <c r="C4" s="1082" t="s">
        <v>237</v>
      </c>
      <c r="D4" s="1082"/>
      <c r="E4" s="1082"/>
      <c r="F4" s="1082"/>
      <c r="G4" s="1082"/>
      <c r="H4" s="1082"/>
      <c r="I4" s="1082"/>
      <c r="J4" s="641"/>
    </row>
    <row r="5" spans="2:10" ht="8.25" customHeight="1">
      <c r="B5" s="641"/>
      <c r="C5" s="641"/>
      <c r="D5" s="641"/>
      <c r="E5" s="642"/>
      <c r="F5" s="641"/>
      <c r="G5" s="641"/>
      <c r="H5" s="641"/>
      <c r="I5" s="641"/>
      <c r="J5" s="641"/>
    </row>
    <row r="6" spans="2:10" ht="43" customHeight="1">
      <c r="B6" s="641"/>
      <c r="C6" s="791" t="s">
        <v>238</v>
      </c>
      <c r="D6" s="791"/>
      <c r="E6" s="791"/>
      <c r="F6" s="791"/>
      <c r="G6" s="791"/>
      <c r="H6" s="791"/>
      <c r="I6" s="791"/>
      <c r="J6" s="641"/>
    </row>
    <row r="7" spans="2:10">
      <c r="B7" s="641"/>
      <c r="C7" s="641"/>
      <c r="D7" s="641"/>
      <c r="E7" s="641"/>
      <c r="F7" s="641"/>
      <c r="G7" s="641"/>
      <c r="H7" s="641"/>
      <c r="I7" s="641"/>
      <c r="J7" s="641"/>
    </row>
    <row r="8" spans="2:10" ht="30" customHeight="1">
      <c r="B8" s="641"/>
      <c r="C8" s="646">
        <v>1</v>
      </c>
      <c r="D8" s="646"/>
      <c r="E8" s="647" t="s">
        <v>239</v>
      </c>
      <c r="F8" s="646"/>
      <c r="G8" s="646"/>
      <c r="H8" s="646"/>
      <c r="I8" s="646"/>
      <c r="J8" s="641"/>
    </row>
    <row r="9" spans="2:10" ht="54" customHeight="1">
      <c r="B9" s="641"/>
      <c r="C9" s="641"/>
      <c r="D9" s="641"/>
      <c r="E9" s="791" t="s">
        <v>240</v>
      </c>
      <c r="F9" s="791"/>
      <c r="G9" s="791"/>
      <c r="H9" s="791"/>
      <c r="I9" s="641"/>
      <c r="J9" s="641"/>
    </row>
    <row r="10" spans="2:10" ht="10" customHeight="1">
      <c r="B10" s="641"/>
      <c r="C10" s="641"/>
      <c r="D10" s="641"/>
      <c r="E10" s="641"/>
      <c r="F10" s="641"/>
      <c r="G10" s="641"/>
      <c r="H10" s="641"/>
      <c r="I10" s="641"/>
      <c r="J10" s="641"/>
    </row>
    <row r="11" spans="2:10" ht="40" customHeight="1">
      <c r="B11" s="641"/>
      <c r="C11" s="641"/>
      <c r="D11" s="641"/>
      <c r="E11" s="641"/>
      <c r="F11" s="648" t="s">
        <v>241</v>
      </c>
      <c r="G11" s="649" t="s">
        <v>242</v>
      </c>
      <c r="H11" s="648" t="s">
        <v>243</v>
      </c>
      <c r="I11" s="650">
        <v>100000</v>
      </c>
      <c r="J11" s="641"/>
    </row>
    <row r="12" spans="2:10" ht="40" customHeight="1" thickBot="1">
      <c r="B12" s="641"/>
      <c r="C12" s="641"/>
      <c r="D12" s="641"/>
      <c r="E12" s="641"/>
      <c r="F12" s="648" t="s">
        <v>244</v>
      </c>
      <c r="G12" s="649" t="s">
        <v>245</v>
      </c>
      <c r="H12" s="648" t="s">
        <v>243</v>
      </c>
      <c r="I12" s="657">
        <v>6</v>
      </c>
      <c r="J12" s="641"/>
    </row>
    <row r="13" spans="2:10" ht="40" customHeight="1" thickBot="1">
      <c r="B13" s="641"/>
      <c r="C13" s="641"/>
      <c r="D13" s="641"/>
      <c r="E13" s="641"/>
      <c r="F13" s="648" t="s">
        <v>246</v>
      </c>
      <c r="G13" s="649" t="s">
        <v>247</v>
      </c>
      <c r="H13" s="656" t="s">
        <v>243</v>
      </c>
      <c r="I13" s="658">
        <f>$I$11*($I$12/12)</f>
        <v>50000</v>
      </c>
      <c r="J13" s="641"/>
    </row>
    <row r="14" spans="2:10" ht="27.75" customHeight="1">
      <c r="B14" s="641"/>
      <c r="C14" s="641"/>
      <c r="D14" s="641"/>
      <c r="E14" s="641"/>
      <c r="F14" s="643"/>
      <c r="G14" s="645"/>
      <c r="H14" s="643"/>
      <c r="I14" s="644"/>
      <c r="J14" s="641"/>
    </row>
    <row r="15" spans="2:10" s="652" customFormat="1" ht="45" customHeight="1">
      <c r="B15" s="653"/>
      <c r="C15" s="646">
        <v>2</v>
      </c>
      <c r="D15" s="646"/>
      <c r="E15" s="1081" t="s">
        <v>248</v>
      </c>
      <c r="F15" s="1081"/>
      <c r="G15" s="1081"/>
      <c r="H15" s="646"/>
      <c r="I15" s="646"/>
      <c r="J15" s="653"/>
    </row>
    <row r="16" spans="2:10" ht="53.25" customHeight="1">
      <c r="B16" s="641"/>
      <c r="C16" s="651"/>
      <c r="D16" s="651"/>
      <c r="E16" s="791" t="s">
        <v>249</v>
      </c>
      <c r="F16" s="791"/>
      <c r="G16" s="791"/>
      <c r="H16" s="791"/>
      <c r="I16" s="651"/>
      <c r="J16" s="641"/>
    </row>
    <row r="17" spans="2:10" s="652" customFormat="1" ht="40" customHeight="1" thickBot="1">
      <c r="B17" s="653"/>
      <c r="C17" s="653"/>
      <c r="D17" s="653"/>
      <c r="E17" s="653"/>
      <c r="F17" s="648" t="s">
        <v>241</v>
      </c>
      <c r="G17" s="649" t="s">
        <v>250</v>
      </c>
      <c r="H17" s="648" t="s">
        <v>243</v>
      </c>
      <c r="I17" s="659">
        <v>0.75</v>
      </c>
      <c r="J17" s="653"/>
    </row>
    <row r="18" spans="2:10" s="652" customFormat="1" ht="40" customHeight="1" thickBot="1">
      <c r="B18" s="653"/>
      <c r="C18" s="653"/>
      <c r="D18" s="653"/>
      <c r="E18" s="653"/>
      <c r="F18" s="648" t="s">
        <v>246</v>
      </c>
      <c r="G18" s="649" t="s">
        <v>251</v>
      </c>
      <c r="H18" s="656" t="s">
        <v>243</v>
      </c>
      <c r="I18" s="658">
        <f>$I$13*$I$17</f>
        <v>37500</v>
      </c>
      <c r="J18" s="653"/>
    </row>
    <row r="19" spans="2:10" s="652" customFormat="1" ht="40" customHeight="1" thickBot="1">
      <c r="B19" s="653"/>
      <c r="C19" s="653"/>
      <c r="D19" s="653"/>
      <c r="E19" s="653"/>
      <c r="F19" s="643"/>
      <c r="G19" s="654"/>
      <c r="H19" s="643"/>
      <c r="I19" s="655"/>
      <c r="J19" s="653"/>
    </row>
    <row r="20" spans="2:10" ht="44.25" customHeight="1" thickBot="1">
      <c r="B20" s="641"/>
      <c r="C20" s="1077" t="s">
        <v>252</v>
      </c>
      <c r="D20" s="1078"/>
      <c r="E20" s="1078"/>
      <c r="F20" s="1078"/>
      <c r="G20" s="1078"/>
      <c r="H20" s="1078"/>
      <c r="I20" s="1079"/>
      <c r="J20" s="641"/>
    </row>
    <row r="21" spans="2:10">
      <c r="B21" s="641"/>
      <c r="C21" s="641"/>
      <c r="D21" s="641"/>
      <c r="E21" s="641"/>
      <c r="F21" s="641"/>
      <c r="G21" s="641"/>
      <c r="H21" s="641"/>
      <c r="I21" s="641"/>
      <c r="J21" s="641"/>
    </row>
    <row r="22" spans="2:10">
      <c r="B22" s="641"/>
      <c r="C22" s="641"/>
      <c r="D22" s="641"/>
      <c r="E22" s="641"/>
      <c r="F22" s="641"/>
      <c r="G22" s="641"/>
      <c r="H22" s="641"/>
      <c r="I22" s="641"/>
      <c r="J22" s="641"/>
    </row>
  </sheetData>
  <sheetProtection sheet="1" objects="1" scenarios="1"/>
  <mergeCells count="7">
    <mergeCell ref="E16:H16"/>
    <mergeCell ref="C20:I20"/>
    <mergeCell ref="B2:J2"/>
    <mergeCell ref="E15:G15"/>
    <mergeCell ref="C4:I4"/>
    <mergeCell ref="C6:I6"/>
    <mergeCell ref="E9:H9"/>
  </mergeCells>
  <pageMargins left="0.7" right="0.7" top="0.75" bottom="0.75" header="0.3" footer="0.3"/>
  <pageSetup scale="67"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564C82-A93A-469E-A667-E6054C7D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5cbcc-075a-4232-9296-e9bac03f9e0c"/>
    <ds:schemaRef ds:uri="6f211968-1ce9-4ce8-bc32-9c87e03ae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9E5AC5-64B2-4B7B-9D75-A7C00E9C1AC0}">
  <ds:schemaRefs>
    <ds:schemaRef ds:uri="http://schemas.microsoft.com/sharepoint/v3/contenttype/forms"/>
  </ds:schemaRefs>
</ds:datastoreItem>
</file>

<file path=customXml/itemProps3.xml><?xml version="1.0" encoding="utf-8"?>
<ds:datastoreItem xmlns:ds="http://schemas.openxmlformats.org/officeDocument/2006/customXml" ds:itemID="{56C1983F-F266-4005-8EC6-D5065FD7537B}">
  <ds:schemaRefs>
    <ds:schemaRef ds:uri="http://purl.org/dc/dcmitype/"/>
    <ds:schemaRef ds:uri="6825cbcc-075a-4232-9296-e9bac03f9e0c"/>
    <ds:schemaRef ds:uri="http://purl.org/dc/terms/"/>
    <ds:schemaRef ds:uri="6f211968-1ce9-4ce8-bc32-9c87e03ae60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Model inputs (2)</vt:lpstr>
      <vt:lpstr>Model inputs (3)</vt:lpstr>
      <vt:lpstr>READ ME FIRST</vt:lpstr>
      <vt:lpstr>Model Inputs</vt:lpstr>
      <vt:lpstr>Dashboard</vt:lpstr>
      <vt:lpstr>Results</vt:lpstr>
      <vt:lpstr>Charts</vt:lpstr>
      <vt:lpstr>Charts_full options</vt:lpstr>
      <vt:lpstr>Target pop calculation eg.</vt:lpstr>
      <vt:lpstr>Data</vt:lpstr>
      <vt:lpstr>Sheet1</vt:lpstr>
      <vt:lpstr>Charts (2)</vt:lpstr>
      <vt:lpstr>DPP</vt:lpstr>
      <vt:lpstr>'Model Inputs'!Print_Area</vt:lpstr>
      <vt:lpstr>'Model inputs (2)'!Print_Area</vt:lpstr>
      <vt:lpstr>'Model inputs (3)'!Print_Area</vt:lpstr>
      <vt:lpstr>Results!Print_Area</vt:lpstr>
    </vt:vector>
  </TitlesOfParts>
  <Manager/>
  <Company>PATH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Tara Petronio</cp:lastModifiedBy>
  <cp:revision/>
  <dcterms:created xsi:type="dcterms:W3CDTF">2018-05-24T13:25:57Z</dcterms:created>
  <dcterms:modified xsi:type="dcterms:W3CDTF">2026-07-23T14:54:56Z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