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6.xml" ContentType="application/vnd.openxmlformats-officedocument.drawingml.chartshapes+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7.xml" ContentType="application/vnd.openxmlformats-officedocument.drawingml.chartshapes+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8.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9.xml" ContentType="application/vnd.openxmlformats-officedocument.drawingml.chartshapes+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10.xml" ContentType="application/vnd.openxmlformats-officedocument.drawingml.chartshapes+xml"/>
  <Override PartName="/xl/drawings/drawing11.xml" ContentType="application/vnd.openxmlformats-officedocument.drawing+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mc:AlternateContent xmlns:mc="http://schemas.openxmlformats.org/markup-compatibility/2006">
    <mc:Choice Requires="x15">
      <x15ac:absPath xmlns:x15ac="http://schemas.microsoft.com/office/spreadsheetml/2010/11/ac" url="https://api.box.com/wopi/files/2267086108342/WOPIServiceId_TP_BOX_2/WOPIUserId_-/"/>
    </mc:Choice>
  </mc:AlternateContent>
  <xr:revisionPtr revIDLastSave="416" documentId="13_ncr:1_{BCD593B0-DD2F-4A73-86C7-610E0AC63967}" xr6:coauthVersionLast="47" xr6:coauthVersionMax="47" xr10:uidLastSave="{CF297DDC-FA54-48BB-B2EF-2F637DCC3D0E}"/>
  <bookViews>
    <workbookView xWindow="-28920" yWindow="1815" windowWidth="29040" windowHeight="15720" tabRatio="1000" firstSheet="2" activeTab="2" xr2:uid="{873B6932-8996-406C-928F-F4A569F03DA8}"/>
  </bookViews>
  <sheets>
    <sheet name="Model inputs (2)" sheetId="21" state="hidden" r:id="rId1"/>
    <sheet name="Model inputs (3)" sheetId="22" state="hidden" r:id="rId2"/>
    <sheet name="LEER ANTES DE EMPEZAR" sheetId="19" r:id="rId3"/>
    <sheet name="Datos del modelo" sheetId="2" r:id="rId4"/>
    <sheet name="Panel" sheetId="11" r:id="rId5"/>
    <sheet name="Resultados" sheetId="12" r:id="rId6"/>
    <sheet name="Gráficos" sheetId="15" r:id="rId7"/>
    <sheet name="Charts_full options" sheetId="14" state="hidden" r:id="rId8"/>
    <sheet name="Ej. cálculo pob destinataria" sheetId="20" r:id="rId9"/>
    <sheet name="Datos" sheetId="3" state="hidden" r:id="rId10"/>
    <sheet name="Charts (2)" sheetId="23" state="hidden" r:id="rId11"/>
    <sheet name="DPP" sheetId="5" state="hidden" r:id="rId12"/>
  </sheets>
  <definedNames>
    <definedName name="_xlnm.Print_Area" localSheetId="3">'Datos del modelo'!$B$3:$S$104</definedName>
    <definedName name="_xlnm.Print_Area" localSheetId="0">'Model inputs (2)'!$A$1:$V$89</definedName>
    <definedName name="_xlnm.Print_Area" localSheetId="1">'Model inputs (3)'!$A$1:$V$88</definedName>
    <definedName name="_xlnm.Print_Area" localSheetId="5">Resultados!$B$4:$O$143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11" l="1"/>
  <c r="L25" i="11"/>
  <c r="L23" i="11"/>
  <c r="L22" i="11"/>
  <c r="L20" i="11"/>
  <c r="L19" i="11"/>
  <c r="L17" i="11"/>
  <c r="L16" i="11"/>
  <c r="L14" i="11"/>
  <c r="C32" i="3" l="1" a="1"/>
  <c r="C24" i="3"/>
  <c r="F14" i="3"/>
  <c r="F15" i="3" s="1"/>
  <c r="J79" i="2"/>
  <c r="I79" i="2"/>
  <c r="H79" i="2"/>
  <c r="G79" i="2"/>
  <c r="F79" i="2"/>
  <c r="E79" i="2"/>
  <c r="L81" i="2"/>
  <c r="R8" i="11" l="1"/>
  <c r="R9" i="11" s="1"/>
  <c r="M11" i="12" l="1"/>
  <c r="F92" i="2" l="1"/>
  <c r="G92" i="2"/>
  <c r="H92" i="2" l="1"/>
  <c r="I92" i="2"/>
  <c r="J92" i="2"/>
  <c r="K92" i="2"/>
  <c r="L92" i="2"/>
  <c r="E92" i="2"/>
  <c r="F88" i="2"/>
  <c r="G88" i="2"/>
  <c r="H88" i="2"/>
  <c r="I88" i="2"/>
  <c r="J88" i="2"/>
  <c r="K88" i="2"/>
  <c r="L88" i="2"/>
  <c r="E88" i="2"/>
  <c r="D53" i="2"/>
  <c r="D52" i="2"/>
  <c r="D51" i="2"/>
  <c r="D50" i="2"/>
  <c r="D49" i="2"/>
  <c r="D47" i="2"/>
  <c r="D46" i="2"/>
  <c r="D45" i="2"/>
  <c r="D44" i="2"/>
  <c r="D43" i="2"/>
  <c r="D37" i="2"/>
  <c r="D41" i="2"/>
  <c r="D40" i="2"/>
  <c r="D39" i="2"/>
  <c r="D38" i="2"/>
  <c r="D58" i="12" l="1"/>
  <c r="D57" i="12"/>
  <c r="D56" i="12"/>
  <c r="D55" i="12"/>
  <c r="D54" i="12"/>
  <c r="D49" i="12"/>
  <c r="D48" i="12"/>
  <c r="D47" i="12"/>
  <c r="D46" i="12"/>
  <c r="D45" i="12"/>
  <c r="D40" i="12"/>
  <c r="D39" i="12"/>
  <c r="D38" i="12"/>
  <c r="D37" i="12"/>
  <c r="D36" i="12"/>
  <c r="I13" i="20" l="1"/>
  <c r="I18" i="20" s="1"/>
  <c r="L91" i="2"/>
  <c r="L30" i="2" l="1"/>
  <c r="D22" i="12"/>
  <c r="D21" i="12"/>
  <c r="D20" i="12"/>
  <c r="D19" i="12"/>
  <c r="D18" i="12"/>
  <c r="K77" i="22"/>
  <c r="J77" i="22"/>
  <c r="I77" i="22"/>
  <c r="H77" i="22"/>
  <c r="G77" i="22"/>
  <c r="F77" i="22"/>
  <c r="E77" i="22"/>
  <c r="D77" i="22"/>
  <c r="K76" i="22"/>
  <c r="J76" i="22"/>
  <c r="I76" i="22"/>
  <c r="H76" i="22"/>
  <c r="G76" i="22"/>
  <c r="F76" i="22"/>
  <c r="E76" i="22"/>
  <c r="D76" i="22"/>
  <c r="K74" i="22"/>
  <c r="J74" i="22"/>
  <c r="I74" i="22"/>
  <c r="H74" i="22"/>
  <c r="G74" i="22"/>
  <c r="F74" i="22"/>
  <c r="E74" i="22"/>
  <c r="D74" i="22"/>
  <c r="K72" i="22"/>
  <c r="J72" i="22"/>
  <c r="I72" i="22"/>
  <c r="H72" i="22"/>
  <c r="G72" i="22"/>
  <c r="F72" i="22"/>
  <c r="E72" i="22"/>
  <c r="D72" i="22"/>
  <c r="C72" i="22"/>
  <c r="K71" i="22"/>
  <c r="J71" i="22"/>
  <c r="I71" i="22"/>
  <c r="H71" i="22"/>
  <c r="G71" i="22"/>
  <c r="F71" i="22"/>
  <c r="E71" i="22"/>
  <c r="D71" i="22"/>
  <c r="C71" i="22"/>
  <c r="K70" i="22"/>
  <c r="J70" i="22"/>
  <c r="I70" i="22"/>
  <c r="H70" i="22"/>
  <c r="G70" i="22"/>
  <c r="F70" i="22"/>
  <c r="E70" i="22"/>
  <c r="D70" i="22"/>
  <c r="C70" i="22"/>
  <c r="K69" i="22"/>
  <c r="J69" i="22"/>
  <c r="I69" i="22"/>
  <c r="H69" i="22"/>
  <c r="G69" i="22"/>
  <c r="F69" i="22"/>
  <c r="E69" i="22"/>
  <c r="D69" i="22"/>
  <c r="C69" i="22"/>
  <c r="K68" i="22"/>
  <c r="J68" i="22"/>
  <c r="I68" i="22"/>
  <c r="H68" i="22"/>
  <c r="G68" i="22"/>
  <c r="F68" i="22"/>
  <c r="E68" i="22"/>
  <c r="D68" i="22"/>
  <c r="C68" i="22"/>
  <c r="K66" i="22"/>
  <c r="J66" i="22"/>
  <c r="I66" i="22"/>
  <c r="H66" i="22"/>
  <c r="G66" i="22"/>
  <c r="F66" i="22"/>
  <c r="E66" i="22"/>
  <c r="D66" i="22"/>
  <c r="I64" i="22"/>
  <c r="H64" i="22"/>
  <c r="G64" i="22"/>
  <c r="F64" i="22"/>
  <c r="E64" i="22"/>
  <c r="D64" i="22"/>
  <c r="C53" i="22"/>
  <c r="C52" i="22"/>
  <c r="C51" i="22"/>
  <c r="C50" i="22"/>
  <c r="C49" i="22"/>
  <c r="G33" i="22"/>
  <c r="D33" i="22"/>
  <c r="K32" i="22"/>
  <c r="J32" i="22"/>
  <c r="K31" i="22"/>
  <c r="J31" i="22"/>
  <c r="J30" i="22"/>
  <c r="J33" i="22" l="1"/>
  <c r="K30" i="22"/>
  <c r="K33" i="22" s="1"/>
  <c r="K78" i="21" l="1"/>
  <c r="J78" i="21"/>
  <c r="I78" i="21"/>
  <c r="H78" i="21"/>
  <c r="G78" i="21"/>
  <c r="F78" i="21"/>
  <c r="E78" i="21"/>
  <c r="D78" i="21"/>
  <c r="K77" i="21"/>
  <c r="J77" i="21"/>
  <c r="I77" i="21"/>
  <c r="H77" i="21"/>
  <c r="G77" i="21"/>
  <c r="F77" i="21"/>
  <c r="E77" i="21"/>
  <c r="D77" i="21"/>
  <c r="K75" i="21"/>
  <c r="J75" i="21"/>
  <c r="I75" i="21"/>
  <c r="H75" i="21"/>
  <c r="G75" i="21"/>
  <c r="F75" i="21"/>
  <c r="E75" i="21"/>
  <c r="D75" i="21"/>
  <c r="K73" i="21"/>
  <c r="J73" i="21"/>
  <c r="I73" i="21"/>
  <c r="H73" i="21"/>
  <c r="G73" i="21"/>
  <c r="F73" i="21"/>
  <c r="E73" i="21"/>
  <c r="D73" i="21"/>
  <c r="C73" i="21"/>
  <c r="K72" i="21"/>
  <c r="J72" i="21"/>
  <c r="I72" i="21"/>
  <c r="H72" i="21"/>
  <c r="G72" i="21"/>
  <c r="F72" i="21"/>
  <c r="E72" i="21"/>
  <c r="D72" i="21"/>
  <c r="C72" i="21"/>
  <c r="K71" i="21"/>
  <c r="J71" i="21"/>
  <c r="I71" i="21"/>
  <c r="H71" i="21"/>
  <c r="G71" i="21"/>
  <c r="F71" i="21"/>
  <c r="E71" i="21"/>
  <c r="D71" i="21"/>
  <c r="C71" i="21"/>
  <c r="K70" i="21"/>
  <c r="J70" i="21"/>
  <c r="I70" i="21"/>
  <c r="H70" i="21"/>
  <c r="G70" i="21"/>
  <c r="F70" i="21"/>
  <c r="E70" i="21"/>
  <c r="D70" i="21"/>
  <c r="C70" i="21"/>
  <c r="K69" i="21"/>
  <c r="J69" i="21"/>
  <c r="I69" i="21"/>
  <c r="H69" i="21"/>
  <c r="G69" i="21"/>
  <c r="F69" i="21"/>
  <c r="E69" i="21"/>
  <c r="D69" i="21"/>
  <c r="C69" i="21"/>
  <c r="K67" i="21"/>
  <c r="J67" i="21"/>
  <c r="I67" i="21"/>
  <c r="H67" i="21"/>
  <c r="G67" i="21"/>
  <c r="F67" i="21"/>
  <c r="E67" i="21"/>
  <c r="D67" i="21"/>
  <c r="I65" i="21"/>
  <c r="H65" i="21"/>
  <c r="G65" i="21"/>
  <c r="F65" i="21"/>
  <c r="E65" i="21"/>
  <c r="D65" i="21"/>
  <c r="C54" i="21"/>
  <c r="C53" i="21"/>
  <c r="C52" i="21"/>
  <c r="C51" i="21"/>
  <c r="C50" i="21"/>
  <c r="G34" i="21"/>
  <c r="D34" i="21"/>
  <c r="K33" i="21"/>
  <c r="J33" i="21"/>
  <c r="K32" i="21"/>
  <c r="J32" i="21"/>
  <c r="J31" i="21"/>
  <c r="J34" i="21" l="1"/>
  <c r="K31" i="21"/>
  <c r="K34" i="21" s="1"/>
  <c r="K81" i="2" l="1"/>
  <c r="J81" i="2"/>
  <c r="I81" i="2"/>
  <c r="G81" i="2"/>
  <c r="F81" i="2"/>
  <c r="H81" i="2"/>
  <c r="E81" i="2"/>
  <c r="D94" i="12"/>
  <c r="D93" i="12"/>
  <c r="D92" i="12"/>
  <c r="D91" i="12"/>
  <c r="D90" i="12"/>
  <c r="D85" i="12"/>
  <c r="D84" i="12"/>
  <c r="D83" i="12"/>
  <c r="D82" i="12"/>
  <c r="D81" i="12"/>
  <c r="D76" i="12" l="1"/>
  <c r="D75" i="12"/>
  <c r="D74" i="12"/>
  <c r="D73" i="12"/>
  <c r="D72" i="12"/>
  <c r="L32" i="2"/>
  <c r="L31" i="2"/>
  <c r="K32" i="2"/>
  <c r="K31" i="2"/>
  <c r="H33" i="2"/>
  <c r="E33" i="2"/>
  <c r="K33" i="2" l="1"/>
  <c r="L33" i="2" l="1"/>
  <c r="N9" i="12" l="1"/>
  <c r="O9" i="12"/>
  <c r="O11" i="12" s="1"/>
  <c r="I9" i="12"/>
  <c r="J9" i="12"/>
  <c r="K9" i="12"/>
  <c r="E9" i="12"/>
  <c r="F9" i="12"/>
  <c r="G9" i="12"/>
  <c r="K89" i="2"/>
  <c r="L89" i="2"/>
  <c r="K91" i="2"/>
  <c r="K11" i="12" l="1"/>
  <c r="K56" i="12"/>
  <c r="K48" i="12"/>
  <c r="K40" i="12"/>
  <c r="K36" i="12"/>
  <c r="K19" i="12"/>
  <c r="K55" i="12"/>
  <c r="K39" i="12"/>
  <c r="K18" i="12"/>
  <c r="K17" i="12" s="1"/>
  <c r="K47" i="12"/>
  <c r="K22" i="12"/>
  <c r="K58" i="12"/>
  <c r="K54" i="12"/>
  <c r="K46" i="12"/>
  <c r="K38" i="12"/>
  <c r="K21" i="12"/>
  <c r="K57" i="12"/>
  <c r="K49" i="12"/>
  <c r="K45" i="12"/>
  <c r="K37" i="12"/>
  <c r="K20" i="12"/>
  <c r="G11" i="12"/>
  <c r="G49" i="12"/>
  <c r="G45" i="12"/>
  <c r="G37" i="12"/>
  <c r="G40" i="12"/>
  <c r="G36" i="12"/>
  <c r="G47" i="12"/>
  <c r="G39" i="12"/>
  <c r="G22" i="12"/>
  <c r="G18" i="12"/>
  <c r="G17" i="12" s="1"/>
  <c r="G48" i="12"/>
  <c r="G19" i="12"/>
  <c r="G55" i="12"/>
  <c r="G56" i="12"/>
  <c r="G58" i="12"/>
  <c r="G54" i="12"/>
  <c r="G46" i="12"/>
  <c r="G38" i="12"/>
  <c r="G21" i="12"/>
  <c r="G57" i="12"/>
  <c r="G20" i="12"/>
  <c r="E58" i="12"/>
  <c r="E56" i="12"/>
  <c r="E55" i="12"/>
  <c r="E48" i="12"/>
  <c r="E47" i="12"/>
  <c r="E46" i="12"/>
  <c r="E57" i="12"/>
  <c r="E54" i="12"/>
  <c r="E45" i="12"/>
  <c r="E49" i="12"/>
  <c r="J11" i="12"/>
  <c r="J57" i="12"/>
  <c r="J49" i="12"/>
  <c r="J45" i="12"/>
  <c r="J37" i="12"/>
  <c r="J20" i="12"/>
  <c r="J55" i="12"/>
  <c r="J22" i="12"/>
  <c r="J56" i="12"/>
  <c r="J48" i="12"/>
  <c r="J40" i="12"/>
  <c r="J36" i="12"/>
  <c r="J19" i="12"/>
  <c r="J47" i="12"/>
  <c r="J18" i="12"/>
  <c r="J17" i="12" s="1"/>
  <c r="J39" i="12"/>
  <c r="J58" i="12"/>
  <c r="J54" i="12"/>
  <c r="J46" i="12"/>
  <c r="J38" i="12"/>
  <c r="J21" i="12"/>
  <c r="I54" i="12"/>
  <c r="I49" i="12"/>
  <c r="I48" i="12"/>
  <c r="I47" i="12"/>
  <c r="I46" i="12"/>
  <c r="I45" i="12"/>
  <c r="I55" i="12"/>
  <c r="I58" i="12"/>
  <c r="I57" i="12"/>
  <c r="I56" i="12"/>
  <c r="N11" i="12"/>
  <c r="N56" i="12"/>
  <c r="N55" i="12"/>
  <c r="N54" i="12"/>
  <c r="N49" i="12"/>
  <c r="N48" i="12"/>
  <c r="N47" i="12"/>
  <c r="N46" i="12"/>
  <c r="N45" i="12"/>
  <c r="N58" i="12"/>
  <c r="N57" i="12"/>
  <c r="N18" i="12"/>
  <c r="N19" i="12"/>
  <c r="N37" i="12" s="1"/>
  <c r="N20" i="12"/>
  <c r="N38" i="12" s="1"/>
  <c r="N21" i="12"/>
  <c r="N39" i="12" s="1"/>
  <c r="N22" i="12"/>
  <c r="N40" i="12" s="1"/>
  <c r="F21" i="12"/>
  <c r="F18" i="12"/>
  <c r="F36" i="12" s="1"/>
  <c r="F45" i="12" s="1"/>
  <c r="F39" i="12"/>
  <c r="F48" i="12" s="1"/>
  <c r="F57" i="12" s="1"/>
  <c r="F20" i="12"/>
  <c r="F38" i="12" s="1"/>
  <c r="F47" i="12" s="1"/>
  <c r="F56" i="12"/>
  <c r="F54" i="12"/>
  <c r="F22" i="12"/>
  <c r="F40" i="12" s="1"/>
  <c r="F49" i="12" s="1"/>
  <c r="F58" i="12" s="1"/>
  <c r="F19" i="12"/>
  <c r="F37" i="12" s="1"/>
  <c r="F46" i="12" s="1"/>
  <c r="F55" i="12" s="1"/>
  <c r="I11" i="12"/>
  <c r="I22" i="12"/>
  <c r="I40" i="12" s="1"/>
  <c r="I18" i="12"/>
  <c r="I36" i="12" s="1"/>
  <c r="I21" i="12"/>
  <c r="I39" i="12" s="1"/>
  <c r="I19" i="12"/>
  <c r="I37" i="12" s="1"/>
  <c r="I20" i="12"/>
  <c r="I38" i="12" s="1"/>
  <c r="E11" i="12"/>
  <c r="E22" i="12"/>
  <c r="E40" i="12" s="1"/>
  <c r="E20" i="12"/>
  <c r="E38" i="12" s="1"/>
  <c r="E18" i="12"/>
  <c r="E36" i="12" s="1"/>
  <c r="E21" i="12"/>
  <c r="E39" i="12" s="1"/>
  <c r="E19" i="12"/>
  <c r="E37" i="12" s="1"/>
  <c r="F11" i="12"/>
  <c r="H8" i="11"/>
  <c r="H9" i="11" s="1"/>
  <c r="N8" i="11"/>
  <c r="N9" i="11" s="1"/>
  <c r="J8" i="11"/>
  <c r="J9" i="11" s="1"/>
  <c r="L8" i="11"/>
  <c r="L9" i="11" s="1"/>
  <c r="F9" i="11"/>
  <c r="P8" i="11"/>
  <c r="P9" i="11" s="1"/>
  <c r="D142" i="12"/>
  <c r="D141" i="12"/>
  <c r="D140" i="12"/>
  <c r="D139" i="12"/>
  <c r="D138" i="12"/>
  <c r="D133" i="12"/>
  <c r="D132" i="12"/>
  <c r="D131" i="12"/>
  <c r="D130" i="12"/>
  <c r="D129" i="12"/>
  <c r="D122" i="12"/>
  <c r="D121" i="12"/>
  <c r="D120" i="12"/>
  <c r="D119" i="12"/>
  <c r="D118" i="12"/>
  <c r="D113" i="12"/>
  <c r="D112" i="12"/>
  <c r="D111" i="12"/>
  <c r="D110" i="12"/>
  <c r="D109" i="12"/>
  <c r="D102" i="12"/>
  <c r="D101" i="12"/>
  <c r="D100" i="12"/>
  <c r="D99" i="12"/>
  <c r="D98" i="12"/>
  <c r="D67" i="12"/>
  <c r="D66" i="12"/>
  <c r="D65" i="12"/>
  <c r="D64" i="12"/>
  <c r="D63" i="12"/>
  <c r="D31" i="12"/>
  <c r="D30" i="12"/>
  <c r="D29" i="12"/>
  <c r="D28" i="12"/>
  <c r="D27" i="12"/>
  <c r="N36" i="12" l="1"/>
  <c r="N17" i="12"/>
  <c r="O22" i="12"/>
  <c r="O40" i="12" s="1"/>
  <c r="O21" i="12"/>
  <c r="O39" i="12" s="1"/>
  <c r="O20" i="12"/>
  <c r="O38" i="12" s="1"/>
  <c r="O19" i="12"/>
  <c r="M19" i="12" s="1"/>
  <c r="F17" i="12"/>
  <c r="I17" i="12"/>
  <c r="E17" i="12"/>
  <c r="G30" i="12"/>
  <c r="N31" i="12"/>
  <c r="N76" i="12" s="1"/>
  <c r="G53" i="12"/>
  <c r="G29" i="12"/>
  <c r="K30" i="12"/>
  <c r="J35" i="12"/>
  <c r="J30" i="12"/>
  <c r="G31" i="12"/>
  <c r="G76" i="12" s="1"/>
  <c r="G44" i="12"/>
  <c r="G28" i="12"/>
  <c r="G35" i="12"/>
  <c r="G27" i="12"/>
  <c r="F35" i="12"/>
  <c r="O18" i="12"/>
  <c r="O17" i="12" s="1"/>
  <c r="I28" i="12"/>
  <c r="I30" i="12"/>
  <c r="M22" i="12"/>
  <c r="N28" i="12"/>
  <c r="N73" i="12" s="1"/>
  <c r="N30" i="12"/>
  <c r="N75" i="12" s="1"/>
  <c r="N29" i="12"/>
  <c r="N74" i="12" s="1"/>
  <c r="I35" i="12"/>
  <c r="E35" i="12"/>
  <c r="K28" i="12"/>
  <c r="K31" i="12"/>
  <c r="K76" i="12" s="1"/>
  <c r="O47" i="12" l="1"/>
  <c r="O56" i="12" s="1"/>
  <c r="M56" i="12" s="1"/>
  <c r="O48" i="12"/>
  <c r="O57" i="12" s="1"/>
  <c r="M57" i="12" s="1"/>
  <c r="O49" i="12"/>
  <c r="O58" i="12" s="1"/>
  <c r="M58" i="12" s="1"/>
  <c r="O37" i="12"/>
  <c r="M37" i="12" s="1"/>
  <c r="M20" i="12"/>
  <c r="M21" i="12"/>
  <c r="K73" i="12"/>
  <c r="I75" i="12"/>
  <c r="I73" i="12"/>
  <c r="G26" i="12"/>
  <c r="G72" i="12"/>
  <c r="G71" i="12" s="1"/>
  <c r="G73" i="12"/>
  <c r="J75" i="12"/>
  <c r="K75" i="12"/>
  <c r="G74" i="12"/>
  <c r="G75" i="12"/>
  <c r="J31" i="12"/>
  <c r="J29" i="12"/>
  <c r="F31" i="12"/>
  <c r="F76" i="12" s="1"/>
  <c r="F28" i="12"/>
  <c r="F30" i="12"/>
  <c r="F29" i="12"/>
  <c r="M18" i="12"/>
  <c r="M17" i="12" s="1"/>
  <c r="O36" i="12"/>
  <c r="M47" i="12"/>
  <c r="K29" i="12"/>
  <c r="J44" i="12"/>
  <c r="J27" i="12"/>
  <c r="M39" i="12"/>
  <c r="N35" i="12"/>
  <c r="M38" i="12"/>
  <c r="M40" i="12"/>
  <c r="E28" i="12"/>
  <c r="E73" i="12" s="1"/>
  <c r="I44" i="12"/>
  <c r="I31" i="12"/>
  <c r="I29" i="12"/>
  <c r="E53" i="12"/>
  <c r="E44" i="12"/>
  <c r="E30" i="12"/>
  <c r="E75" i="12" s="1"/>
  <c r="E31" i="12"/>
  <c r="E76" i="12" s="1"/>
  <c r="E29" i="12"/>
  <c r="E74" i="12" s="1"/>
  <c r="K35" i="12"/>
  <c r="N27" i="12"/>
  <c r="N44" i="12"/>
  <c r="N84" i="12"/>
  <c r="N93" i="12" s="1"/>
  <c r="N85" i="12"/>
  <c r="N94" i="12" s="1"/>
  <c r="N83" i="12"/>
  <c r="N92" i="12" s="1"/>
  <c r="D65" i="2"/>
  <c r="B32" i="3" s="1"/>
  <c r="D69" i="2"/>
  <c r="B36" i="3" s="1"/>
  <c r="D68" i="2"/>
  <c r="B35" i="3" s="1"/>
  <c r="D67" i="2"/>
  <c r="B34" i="3" s="1"/>
  <c r="D66" i="2"/>
  <c r="B33" i="3" s="1"/>
  <c r="O29" i="12" l="1"/>
  <c r="M49" i="12"/>
  <c r="O31" i="12"/>
  <c r="O76" i="12" s="1"/>
  <c r="M76" i="12" s="1"/>
  <c r="O46" i="12"/>
  <c r="M48" i="12"/>
  <c r="O45" i="12"/>
  <c r="O54" i="12" s="1"/>
  <c r="M54" i="12" s="1"/>
  <c r="O30" i="12"/>
  <c r="M30" i="12" s="1"/>
  <c r="G90" i="12"/>
  <c r="G63" i="12" s="1"/>
  <c r="G62" i="12" s="1"/>
  <c r="N26" i="12"/>
  <c r="N72" i="12"/>
  <c r="N71" i="12" s="1"/>
  <c r="I74" i="12"/>
  <c r="I76" i="12"/>
  <c r="M29" i="12"/>
  <c r="O74" i="12"/>
  <c r="J26" i="12"/>
  <c r="J72" i="12"/>
  <c r="J71" i="12" s="1"/>
  <c r="K74" i="12"/>
  <c r="J74" i="12"/>
  <c r="J76" i="12"/>
  <c r="G85" i="12"/>
  <c r="G94" i="12" s="1"/>
  <c r="G67" i="12" s="1"/>
  <c r="G133" i="12" s="1"/>
  <c r="G142" i="12" s="1"/>
  <c r="G84" i="12"/>
  <c r="G93" i="12" s="1"/>
  <c r="G66" i="12" s="1"/>
  <c r="G132" i="12" s="1"/>
  <c r="G141" i="12" s="1"/>
  <c r="K85" i="12"/>
  <c r="K94" i="12" s="1"/>
  <c r="K67" i="12" s="1"/>
  <c r="K133" i="12" s="1"/>
  <c r="K142" i="12" s="1"/>
  <c r="J85" i="12"/>
  <c r="G83" i="12"/>
  <c r="G92" i="12" s="1"/>
  <c r="G65" i="12" s="1"/>
  <c r="G131" i="12" s="1"/>
  <c r="G140" i="12" s="1"/>
  <c r="I83" i="12"/>
  <c r="I85" i="12"/>
  <c r="K83" i="12"/>
  <c r="F74" i="12"/>
  <c r="F75" i="12"/>
  <c r="F73" i="12"/>
  <c r="O35" i="12"/>
  <c r="J53" i="12"/>
  <c r="J28" i="12"/>
  <c r="F53" i="12"/>
  <c r="M36" i="12"/>
  <c r="M35" i="12" s="1"/>
  <c r="F44" i="12"/>
  <c r="G82" i="12"/>
  <c r="E85" i="12"/>
  <c r="E94" i="12" s="1"/>
  <c r="E84" i="12"/>
  <c r="E93" i="12" s="1"/>
  <c r="E83" i="12"/>
  <c r="E92" i="12" s="1"/>
  <c r="E27" i="12"/>
  <c r="E72" i="12" s="1"/>
  <c r="E71" i="12" s="1"/>
  <c r="I27" i="12"/>
  <c r="I53" i="12"/>
  <c r="K44" i="12"/>
  <c r="N53" i="12"/>
  <c r="N65" i="12"/>
  <c r="N67" i="12"/>
  <c r="N102" i="12" s="1"/>
  <c r="N66" i="12"/>
  <c r="N101" i="12" s="1"/>
  <c r="J91" i="2"/>
  <c r="I91" i="2"/>
  <c r="H91" i="2"/>
  <c r="G91" i="2"/>
  <c r="F91" i="2"/>
  <c r="E91" i="2"/>
  <c r="M31" i="12" l="1"/>
  <c r="O44" i="12"/>
  <c r="O75" i="12"/>
  <c r="O85" i="12" s="1"/>
  <c r="O55" i="12"/>
  <c r="O53" i="12" s="1"/>
  <c r="M46" i="12"/>
  <c r="M45" i="12"/>
  <c r="G129" i="12"/>
  <c r="G128" i="12" s="1"/>
  <c r="I26" i="12"/>
  <c r="I72" i="12"/>
  <c r="I82" i="12" s="1"/>
  <c r="G80" i="12"/>
  <c r="G91" i="12"/>
  <c r="G64" i="12" s="1"/>
  <c r="J11" i="11" s="1"/>
  <c r="J73" i="12"/>
  <c r="J94" i="12"/>
  <c r="J67" i="12" s="1"/>
  <c r="J133" i="12" s="1"/>
  <c r="J142" i="12" s="1"/>
  <c r="J84" i="12"/>
  <c r="K92" i="12"/>
  <c r="K65" i="12" s="1"/>
  <c r="K131" i="12" s="1"/>
  <c r="K140" i="12" s="1"/>
  <c r="K84" i="12"/>
  <c r="M75" i="12"/>
  <c r="M85" i="12" s="1"/>
  <c r="M94" i="12" s="1"/>
  <c r="M74" i="12"/>
  <c r="M84" i="12" s="1"/>
  <c r="I94" i="12"/>
  <c r="I67" i="12" s="1"/>
  <c r="I133" i="12" s="1"/>
  <c r="I142" i="12" s="1"/>
  <c r="I92" i="12"/>
  <c r="I65" i="12" s="1"/>
  <c r="I131" i="12" s="1"/>
  <c r="I140" i="12" s="1"/>
  <c r="I84" i="12"/>
  <c r="F83" i="12"/>
  <c r="F92" i="12" s="1"/>
  <c r="F65" i="12" s="1"/>
  <c r="F131" i="12" s="1"/>
  <c r="F140" i="12" s="1"/>
  <c r="F85" i="12"/>
  <c r="F94" i="12" s="1"/>
  <c r="F84" i="12"/>
  <c r="F93" i="12" s="1"/>
  <c r="F66" i="12" s="1"/>
  <c r="F132" i="12" s="1"/>
  <c r="F141" i="12" s="1"/>
  <c r="J10" i="11"/>
  <c r="F27" i="12"/>
  <c r="E26" i="12"/>
  <c r="O27" i="12"/>
  <c r="O72" i="12" s="1"/>
  <c r="N100" i="12"/>
  <c r="J90" i="12"/>
  <c r="J82" i="12"/>
  <c r="E66" i="12"/>
  <c r="O84" i="12"/>
  <c r="E65" i="12"/>
  <c r="E67" i="12"/>
  <c r="E90" i="12"/>
  <c r="E63" i="12" s="1"/>
  <c r="K27" i="12"/>
  <c r="K53" i="12"/>
  <c r="N133" i="12"/>
  <c r="N131" i="12"/>
  <c r="N132" i="12"/>
  <c r="G89" i="2"/>
  <c r="M44" i="12" l="1"/>
  <c r="G138" i="12"/>
  <c r="G137" i="12" s="1"/>
  <c r="J22" i="11" s="1"/>
  <c r="I71" i="12"/>
  <c r="M55" i="12"/>
  <c r="M53" i="12" s="1"/>
  <c r="O28" i="12"/>
  <c r="G130" i="12"/>
  <c r="G139" i="12" s="1"/>
  <c r="J23" i="11" s="1"/>
  <c r="G89" i="12"/>
  <c r="K26" i="12"/>
  <c r="K72" i="12"/>
  <c r="K71" i="12" s="1"/>
  <c r="I80" i="12"/>
  <c r="I91" i="12"/>
  <c r="I64" i="12" s="1"/>
  <c r="I130" i="12" s="1"/>
  <c r="I139" i="12" s="1"/>
  <c r="O93" i="12"/>
  <c r="O66" i="12" s="1"/>
  <c r="O94" i="12"/>
  <c r="O67" i="12" s="1"/>
  <c r="M72" i="12"/>
  <c r="I93" i="12"/>
  <c r="I66" i="12" s="1"/>
  <c r="I132" i="12" s="1"/>
  <c r="I141" i="12" s="1"/>
  <c r="M93" i="12"/>
  <c r="K93" i="12"/>
  <c r="K66" i="12" s="1"/>
  <c r="K132" i="12" s="1"/>
  <c r="K141" i="12" s="1"/>
  <c r="J93" i="12"/>
  <c r="J66" i="12" s="1"/>
  <c r="J132" i="12" s="1"/>
  <c r="J141" i="12" s="1"/>
  <c r="J91" i="12"/>
  <c r="J64" i="12" s="1"/>
  <c r="J130" i="12" s="1"/>
  <c r="J139" i="12" s="1"/>
  <c r="J83" i="12"/>
  <c r="F26" i="12"/>
  <c r="F72" i="12"/>
  <c r="F71" i="12" s="1"/>
  <c r="O82" i="12"/>
  <c r="O26" i="12"/>
  <c r="M27" i="12"/>
  <c r="O90" i="12"/>
  <c r="O63" i="12" s="1"/>
  <c r="J19" i="11"/>
  <c r="J63" i="12"/>
  <c r="G101" i="12"/>
  <c r="G99" i="12"/>
  <c r="G102" i="12"/>
  <c r="G100" i="12"/>
  <c r="G98" i="12"/>
  <c r="I90" i="12"/>
  <c r="N140" i="12"/>
  <c r="N142" i="12"/>
  <c r="N141" i="12"/>
  <c r="E131" i="12"/>
  <c r="E140" i="12" s="1"/>
  <c r="E133" i="12"/>
  <c r="E142" i="12" s="1"/>
  <c r="E132" i="12"/>
  <c r="E141" i="12" s="1"/>
  <c r="E82" i="12"/>
  <c r="N90" i="12"/>
  <c r="N63" i="12" s="1"/>
  <c r="N82" i="12"/>
  <c r="E89" i="2"/>
  <c r="E102" i="12" s="1"/>
  <c r="M28" i="12" l="1"/>
  <c r="M26" i="12" s="1"/>
  <c r="O73" i="12"/>
  <c r="O71" i="12" s="1"/>
  <c r="J20" i="11"/>
  <c r="O132" i="12"/>
  <c r="O141" i="12" s="1"/>
  <c r="M141" i="12" s="1"/>
  <c r="O101" i="12"/>
  <c r="M101" i="12" s="1"/>
  <c r="M66" i="12"/>
  <c r="I89" i="12"/>
  <c r="M67" i="12"/>
  <c r="O133" i="12"/>
  <c r="O142" i="12" s="1"/>
  <c r="M142" i="12" s="1"/>
  <c r="O102" i="12"/>
  <c r="M102" i="12" s="1"/>
  <c r="N80" i="12"/>
  <c r="N91" i="12"/>
  <c r="N64" i="12" s="1"/>
  <c r="E80" i="12"/>
  <c r="E91" i="12"/>
  <c r="E89" i="12" s="1"/>
  <c r="O91" i="12"/>
  <c r="O64" i="12" s="1"/>
  <c r="O130" i="12" s="1"/>
  <c r="O139" i="12" s="1"/>
  <c r="J92" i="12"/>
  <c r="J80" i="12"/>
  <c r="J62" i="12"/>
  <c r="N10" i="11" s="1"/>
  <c r="E101" i="12"/>
  <c r="E98" i="12"/>
  <c r="E100" i="12"/>
  <c r="F82" i="12"/>
  <c r="F90" i="12"/>
  <c r="F63" i="12" s="1"/>
  <c r="O98" i="12"/>
  <c r="J25" i="11"/>
  <c r="O129" i="12"/>
  <c r="I63" i="12"/>
  <c r="I62" i="12" s="1"/>
  <c r="L10" i="11" s="1"/>
  <c r="J129" i="12"/>
  <c r="N98" i="12"/>
  <c r="M63" i="12"/>
  <c r="E129" i="12"/>
  <c r="K90" i="12"/>
  <c r="K82" i="12"/>
  <c r="M90" i="12"/>
  <c r="M82" i="12"/>
  <c r="J89" i="2"/>
  <c r="I89" i="2"/>
  <c r="H89" i="2"/>
  <c r="F89" i="2"/>
  <c r="D87" i="2"/>
  <c r="D86" i="2"/>
  <c r="D85" i="2"/>
  <c r="D84" i="2"/>
  <c r="D83" i="2"/>
  <c r="O41" i="5"/>
  <c r="O40" i="5"/>
  <c r="O39" i="5"/>
  <c r="O38" i="5"/>
  <c r="O37" i="5"/>
  <c r="K20" i="5"/>
  <c r="K23" i="5" s="1"/>
  <c r="J20" i="5"/>
  <c r="J23" i="5" s="1"/>
  <c r="I20" i="5"/>
  <c r="I23" i="5" s="1"/>
  <c r="H20" i="5"/>
  <c r="H23" i="5" s="1"/>
  <c r="G20" i="5"/>
  <c r="G23" i="5" s="1"/>
  <c r="F20" i="5"/>
  <c r="F23" i="5" s="1"/>
  <c r="E20" i="5"/>
  <c r="E23" i="5" s="1"/>
  <c r="D18" i="5"/>
  <c r="D20" i="5" s="1"/>
  <c r="D23" i="5" s="1"/>
  <c r="C18" i="5"/>
  <c r="C20" i="5" s="1"/>
  <c r="C23" i="5" s="1"/>
  <c r="O83" i="12" l="1"/>
  <c r="M73" i="12"/>
  <c r="N89" i="12"/>
  <c r="M132" i="12"/>
  <c r="E64" i="12"/>
  <c r="E62" i="12" s="1"/>
  <c r="F10" i="11" s="1"/>
  <c r="M64" i="12"/>
  <c r="N99" i="12"/>
  <c r="M133" i="12"/>
  <c r="N130" i="12"/>
  <c r="M130" i="12" s="1"/>
  <c r="O99" i="12"/>
  <c r="N62" i="12"/>
  <c r="K80" i="12"/>
  <c r="K91" i="12"/>
  <c r="K64" i="12" s="1"/>
  <c r="J89" i="12"/>
  <c r="J65" i="12"/>
  <c r="J100" i="12" s="1"/>
  <c r="F80" i="12"/>
  <c r="F91" i="12"/>
  <c r="F64" i="12" s="1"/>
  <c r="F130" i="12" s="1"/>
  <c r="F139" i="12" s="1"/>
  <c r="O138" i="12"/>
  <c r="J128" i="12"/>
  <c r="N19" i="11" s="1"/>
  <c r="F129" i="12"/>
  <c r="M98" i="12"/>
  <c r="I129" i="12"/>
  <c r="L11" i="11"/>
  <c r="J138" i="12"/>
  <c r="J137" i="12" s="1"/>
  <c r="J99" i="12"/>
  <c r="J101" i="12"/>
  <c r="J98" i="12"/>
  <c r="J102" i="12"/>
  <c r="E138" i="12"/>
  <c r="I102" i="12"/>
  <c r="I101" i="12"/>
  <c r="I100" i="12"/>
  <c r="I99" i="12"/>
  <c r="I98" i="12"/>
  <c r="K102" i="12"/>
  <c r="K101" i="12"/>
  <c r="K100" i="12"/>
  <c r="K63" i="12"/>
  <c r="N129" i="12"/>
  <c r="F100" i="12"/>
  <c r="F98" i="12"/>
  <c r="F101" i="12"/>
  <c r="M83" i="12" l="1"/>
  <c r="M92" i="12" s="1"/>
  <c r="M71" i="12"/>
  <c r="M99" i="12"/>
  <c r="F11" i="11"/>
  <c r="M91" i="12"/>
  <c r="M89" i="12" s="1"/>
  <c r="M80" i="12"/>
  <c r="O92" i="12"/>
  <c r="O80" i="12"/>
  <c r="E130" i="12"/>
  <c r="E139" i="12" s="1"/>
  <c r="F23" i="11" s="1"/>
  <c r="E99" i="12"/>
  <c r="F25" i="11" s="1"/>
  <c r="F99" i="12"/>
  <c r="N128" i="12"/>
  <c r="N139" i="12"/>
  <c r="M139" i="12" s="1"/>
  <c r="K99" i="12"/>
  <c r="K130" i="12"/>
  <c r="K139" i="12" s="1"/>
  <c r="K89" i="12"/>
  <c r="J131" i="12"/>
  <c r="N11" i="11"/>
  <c r="P11" i="11"/>
  <c r="K62" i="12"/>
  <c r="P10" i="11" s="1"/>
  <c r="F138" i="12"/>
  <c r="I138" i="12"/>
  <c r="I137" i="12" s="1"/>
  <c r="I128" i="12"/>
  <c r="N22" i="11"/>
  <c r="N25" i="11"/>
  <c r="M129" i="12"/>
  <c r="K129" i="12"/>
  <c r="K98" i="12"/>
  <c r="N138" i="12"/>
  <c r="N137" i="12" s="1"/>
  <c r="E137" i="12" l="1"/>
  <c r="F22" i="11" s="1"/>
  <c r="O65" i="12"/>
  <c r="O62" i="12" s="1"/>
  <c r="O89" i="12"/>
  <c r="F20" i="11"/>
  <c r="E128" i="12"/>
  <c r="F19" i="11" s="1"/>
  <c r="P25" i="11"/>
  <c r="J140" i="12"/>
  <c r="N23" i="11" s="1"/>
  <c r="N20" i="11"/>
  <c r="P20" i="11"/>
  <c r="K128" i="12"/>
  <c r="P19" i="11" s="1"/>
  <c r="M138" i="12"/>
  <c r="K138" i="12"/>
  <c r="K137" i="12" s="1"/>
  <c r="O131" i="12" l="1"/>
  <c r="O128" i="12" s="1"/>
  <c r="O100" i="12"/>
  <c r="M100" i="12" s="1"/>
  <c r="R25" i="11" s="1"/>
  <c r="S25" i="11" s="1"/>
  <c r="M65" i="12"/>
  <c r="P22" i="11"/>
  <c r="P23" i="11"/>
  <c r="Q19" i="11"/>
  <c r="M19" i="11"/>
  <c r="K19" i="11"/>
  <c r="O19" i="11"/>
  <c r="O25" i="11"/>
  <c r="Q25" i="11"/>
  <c r="M25" i="11"/>
  <c r="K25" i="11"/>
  <c r="R11" i="11" l="1"/>
  <c r="M62" i="12"/>
  <c r="R10" i="11" s="1"/>
  <c r="O140" i="12"/>
  <c r="M131" i="12"/>
  <c r="O22" i="11"/>
  <c r="M22" i="11"/>
  <c r="K22" i="11"/>
  <c r="Q22" i="11"/>
  <c r="M140" i="12" l="1"/>
  <c r="O137" i="12"/>
  <c r="R20" i="11"/>
  <c r="M128" i="12"/>
  <c r="R19" i="11" s="1"/>
  <c r="S19" i="11" s="1"/>
  <c r="F67" i="12"/>
  <c r="F62" i="12" s="1"/>
  <c r="F89" i="12"/>
  <c r="R23" i="11" l="1"/>
  <c r="M137" i="12"/>
  <c r="R22" i="11" s="1"/>
  <c r="S22" i="11" s="1"/>
  <c r="H11" i="11"/>
  <c r="H10" i="11"/>
  <c r="F133" i="12"/>
  <c r="F128" i="12" s="1"/>
  <c r="F102" i="12"/>
  <c r="H25" i="11" l="1"/>
  <c r="H19" i="11"/>
  <c r="H20" i="11"/>
  <c r="F142" i="12"/>
  <c r="F137" i="12" s="1"/>
  <c r="H22" i="11" l="1"/>
  <c r="H23" i="11"/>
  <c r="C32" i="3"/>
  <c r="C33" i="3" l="1"/>
  <c r="E65" i="2"/>
  <c r="L83" i="2" l="1"/>
  <c r="O109" i="12" s="1"/>
  <c r="O118" i="12" s="1"/>
  <c r="G83" i="2"/>
  <c r="G109" i="12" s="1"/>
  <c r="H83" i="2"/>
  <c r="I109" i="12" s="1"/>
  <c r="K83" i="2"/>
  <c r="N109" i="12" s="1"/>
  <c r="J83" i="2"/>
  <c r="K109" i="12" s="1"/>
  <c r="E83" i="2"/>
  <c r="E109" i="12" s="1"/>
  <c r="F83" i="2"/>
  <c r="F109" i="12" s="1"/>
  <c r="I83" i="2"/>
  <c r="J109" i="12" s="1"/>
  <c r="C34" i="3"/>
  <c r="E66" i="2"/>
  <c r="J108" i="12" l="1"/>
  <c r="N13" i="11" s="1"/>
  <c r="J118" i="12"/>
  <c r="E118" i="12"/>
  <c r="M109" i="12"/>
  <c r="N118" i="12"/>
  <c r="I118" i="12"/>
  <c r="F84" i="2"/>
  <c r="F110" i="12" s="1"/>
  <c r="F119" i="12" s="1"/>
  <c r="G84" i="2"/>
  <c r="G110" i="12" s="1"/>
  <c r="G119" i="12" s="1"/>
  <c r="H84" i="2"/>
  <c r="I110" i="12" s="1"/>
  <c r="I119" i="12" s="1"/>
  <c r="E84" i="2"/>
  <c r="E110" i="12" s="1"/>
  <c r="I84" i="2"/>
  <c r="J110" i="12" s="1"/>
  <c r="J119" i="12" s="1"/>
  <c r="J84" i="2"/>
  <c r="K110" i="12" s="1"/>
  <c r="K119" i="12" s="1"/>
  <c r="K84" i="2"/>
  <c r="N110" i="12" s="1"/>
  <c r="L84" i="2"/>
  <c r="O110" i="12" s="1"/>
  <c r="F118" i="12"/>
  <c r="K108" i="12"/>
  <c r="P13" i="11" s="1"/>
  <c r="K118" i="12"/>
  <c r="G108" i="12"/>
  <c r="J13" i="11" s="1"/>
  <c r="G118" i="12"/>
  <c r="C35" i="3"/>
  <c r="E67" i="2"/>
  <c r="O119" i="12" l="1"/>
  <c r="C36" i="3"/>
  <c r="E68" i="2"/>
  <c r="E119" i="12"/>
  <c r="K117" i="12"/>
  <c r="P16" i="11" s="1"/>
  <c r="M118" i="12"/>
  <c r="N119" i="12"/>
  <c r="M110" i="12"/>
  <c r="G117" i="12"/>
  <c r="J16" i="11" s="1"/>
  <c r="J117" i="12"/>
  <c r="N16" i="11" s="1"/>
  <c r="L85" i="2"/>
  <c r="O111" i="12" s="1"/>
  <c r="O120" i="12" s="1"/>
  <c r="F85" i="2"/>
  <c r="F111" i="12" s="1"/>
  <c r="F120" i="12" s="1"/>
  <c r="G85" i="2"/>
  <c r="G111" i="12" s="1"/>
  <c r="G120" i="12" s="1"/>
  <c r="H85" i="2"/>
  <c r="I111" i="12" s="1"/>
  <c r="E85" i="2"/>
  <c r="E111" i="12" s="1"/>
  <c r="I85" i="2"/>
  <c r="J111" i="12" s="1"/>
  <c r="J120" i="12" s="1"/>
  <c r="J85" i="2"/>
  <c r="K111" i="12" s="1"/>
  <c r="K85" i="2"/>
  <c r="N111" i="12" s="1"/>
  <c r="M119" i="12" l="1"/>
  <c r="N120" i="12"/>
  <c r="M120" i="12" s="1"/>
  <c r="M111" i="12"/>
  <c r="E120" i="12"/>
  <c r="I120" i="12"/>
  <c r="K120" i="12"/>
  <c r="I86" i="2"/>
  <c r="J112" i="12" s="1"/>
  <c r="J121" i="12" s="1"/>
  <c r="L86" i="2"/>
  <c r="O112" i="12" s="1"/>
  <c r="O121" i="12" s="1"/>
  <c r="G86" i="2"/>
  <c r="G112" i="12" s="1"/>
  <c r="J86" i="2"/>
  <c r="K112" i="12" s="1"/>
  <c r="K121" i="12" s="1"/>
  <c r="E86" i="2"/>
  <c r="E112" i="12" s="1"/>
  <c r="K86" i="2"/>
  <c r="N112" i="12" s="1"/>
  <c r="F86" i="2"/>
  <c r="F112" i="12" s="1"/>
  <c r="F121" i="12" s="1"/>
  <c r="H86" i="2"/>
  <c r="I112" i="12" s="1"/>
  <c r="I121" i="12" s="1"/>
  <c r="C37" i="3"/>
  <c r="C38" i="3" s="1"/>
  <c r="C39" i="3" s="1"/>
  <c r="C40" i="3" s="1"/>
  <c r="E69" i="2"/>
  <c r="E121" i="12" l="1"/>
  <c r="G121" i="12"/>
  <c r="N121" i="12"/>
  <c r="M121" i="12" s="1"/>
  <c r="M112" i="12"/>
  <c r="J87" i="2"/>
  <c r="K113" i="12" s="1"/>
  <c r="H87" i="2"/>
  <c r="I113" i="12" s="1"/>
  <c r="I122" i="12" s="1"/>
  <c r="I117" i="12" s="1"/>
  <c r="F87" i="2"/>
  <c r="F113" i="12" s="1"/>
  <c r="G87" i="2"/>
  <c r="G113" i="12" s="1"/>
  <c r="G122" i="12" s="1"/>
  <c r="K87" i="2"/>
  <c r="N113" i="12" s="1"/>
  <c r="N108" i="12" s="1"/>
  <c r="L87" i="2"/>
  <c r="O113" i="12" s="1"/>
  <c r="I87" i="2"/>
  <c r="J113" i="12" s="1"/>
  <c r="E87" i="2"/>
  <c r="E113" i="12" s="1"/>
  <c r="E122" i="12" s="1"/>
  <c r="E117" i="12" s="1"/>
  <c r="F16" i="11" s="1"/>
  <c r="O122" i="12" l="1"/>
  <c r="O117" i="12" s="1"/>
  <c r="O108" i="12"/>
  <c r="M16" i="11"/>
  <c r="J17" i="11"/>
  <c r="K16" i="11"/>
  <c r="O16" i="11"/>
  <c r="Q16" i="11"/>
  <c r="N122" i="12"/>
  <c r="M122" i="12" s="1"/>
  <c r="R17" i="11" s="1"/>
  <c r="M113" i="12"/>
  <c r="F17" i="11"/>
  <c r="J122" i="12"/>
  <c r="N17" i="11" s="1"/>
  <c r="N14" i="11"/>
  <c r="F108" i="12"/>
  <c r="H13" i="11" s="1"/>
  <c r="F122" i="12"/>
  <c r="H14" i="11"/>
  <c r="K122" i="12"/>
  <c r="P17" i="11" s="1"/>
  <c r="P14" i="11"/>
  <c r="F14" i="11"/>
  <c r="I108" i="12"/>
  <c r="L13" i="11" s="1"/>
  <c r="E108" i="12"/>
  <c r="F13" i="11" s="1"/>
  <c r="J14" i="11"/>
  <c r="R14" i="11" l="1"/>
  <c r="M108" i="12"/>
  <c r="R13" i="11" s="1"/>
  <c r="S13" i="11" s="1"/>
  <c r="N117" i="12"/>
  <c r="M117" i="12"/>
  <c r="R16" i="11" s="1"/>
  <c r="S16" i="11" s="1"/>
  <c r="F117" i="12"/>
  <c r="H16" i="11" s="1"/>
  <c r="H17" i="11"/>
  <c r="Q13" i="11"/>
  <c r="K13" i="11"/>
  <c r="O13" i="11"/>
  <c r="M13"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tc={07851929-3E44-4D70-AF82-8295D8EEEFD8}</author>
    <author>tc={65D9A249-4E07-4879-A9FA-982F4AF71666}</author>
  </authors>
  <commentList>
    <comment ref="B3" authorId="0" shapeId="0" xr:uid="{07851929-3E44-4D70-AF82-8295D8EEEFD8}">
      <text>
        <t>[Threaded comment]
Your version of Excel allows you to read this threaded comment; however, any edits to it will get removed if the file is opened in a newer version of Excel. Learn more: https://go.microsoft.com/fwlink/?linkid=870924
Comment:
    The labels on the charts are not very intuitive, as we've seen the options grouped by target population/scenario in prior tabs, and now we only see product name except for the gray bar (RSV intervention, both maternal vaccine and mAb). Recommend that labels better correspond with terminology on prior sheets, otherwise, it looks like you are comparing like with like, but you are comparing very different scenarios. Also, in current labeling, can't tell the difference between the two Pfizer products of the same name and the two AstraZeneca products of the same name.</t>
      </text>
    </comment>
    <comment ref="N71" authorId="1" shapeId="0" xr:uid="{65D9A249-4E07-4879-A9FA-982F4AF71666}">
      <text>
        <t>[Threaded comment]
Your version of Excel allows you to read this threaded comment; however, any edits to it will get removed if the file is opened in a newer version of Excel. Learn more: https://go.microsoft.com/fwlink/?linkid=870924
Comment:
    In this chart, labels of bars overlap with x-axis labels. Will need to be reformatted.</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G18" authorId="0" shapeId="0" xr:uid="{00000000-0006-0000-0500-000001000000}">
      <text>
        <r>
          <rPr>
            <b/>
            <sz val="12"/>
            <color rgb="FF000000"/>
            <rFont val="Tahoma"/>
            <family val="2"/>
          </rPr>
          <t>Author:</t>
        </r>
        <r>
          <rPr>
            <sz val="12"/>
            <color rgb="FF000000"/>
            <rFont val="Tahoma"/>
            <family val="2"/>
          </rPr>
          <t xml:space="preserve">
The price of this presentation is an indicative estimation for budgeting purposes. It will be updated once a public information is available.</t>
        </r>
      </text>
    </comment>
    <comment ref="H18" authorId="0" shapeId="0" xr:uid="{00000000-0006-0000-0500-000002000000}">
      <text>
        <r>
          <rPr>
            <b/>
            <sz val="12"/>
            <color rgb="FF000000"/>
            <rFont val="Tahoma"/>
            <family val="2"/>
          </rPr>
          <t>Author:</t>
        </r>
        <r>
          <rPr>
            <sz val="12"/>
            <color rgb="FF000000"/>
            <rFont val="Tahoma"/>
            <family val="2"/>
          </rPr>
          <t xml:space="preserve">
The price of this presentation is an indicative estimation for budgeting purposes. It will be updated once a public information is available.</t>
        </r>
      </text>
    </comment>
    <comment ref="K18" authorId="0" shapeId="0" xr:uid="{00000000-0006-0000-0500-000003000000}">
      <text>
        <r>
          <rPr>
            <b/>
            <sz val="12"/>
            <color rgb="FF000000"/>
            <rFont val="Tahoma"/>
            <family val="2"/>
          </rPr>
          <t>Author:</t>
        </r>
        <r>
          <rPr>
            <sz val="12"/>
            <color rgb="FF000000"/>
            <rFont val="Tahoma"/>
            <family val="2"/>
          </rPr>
          <t xml:space="preserve">
The price of this presentation is indicative, based on a public announcement by the manufacturer regarding the price of the lyophilized version of the same product</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<sst xmlns="http://schemas.openxmlformats.org/spreadsheetml/2006/main" count="852" uniqueCount="508">
  <si>
    <t>DRAFT - NOT FOR DISTRIBUTION</t>
  </si>
  <si>
    <t>Respiratory Syncytial Virus (RSV) Intervention Cost Calculator - Model Inputs</t>
  </si>
  <si>
    <t>The RSV intervention cost calculator is a tool that helps countries compare products and estimated vaccination program costs for different RSV interventions, including maternal vaccine, and monoclonal antiobodies. Costs are calculated annually and for a total period of 5 years. All boxes with a yellow background require user inputs and blue boxes require the user to select from a drop-down menu (click on the cell to activate the dropdown). When available, default data are already entered, with the source of information indicated; however, data should be updated to reflect the local program. Note that default data are for currently Gavi-eligible countries. Countries not eligible for Gavi support should confirm all data inputs individually. The tool generates projected costs based on the best currently available information for each vaccine. All cost data are in US$, and use of local currency requires separate currency conversion to US$ before inputing values in relevant fields.</t>
  </si>
  <si>
    <r>
      <rPr>
        <b/>
        <sz val="14"/>
        <color rgb="FFFF0000"/>
        <rFont val="Wingdings"/>
        <charset val="2"/>
      </rPr>
      <t>â</t>
    </r>
    <r>
      <rPr>
        <b/>
        <sz val="14"/>
        <color rgb="FFFF0000"/>
        <rFont val="Calibri"/>
        <family val="2"/>
        <scheme val="minor"/>
      </rPr>
      <t xml:space="preserve"> START HERE </t>
    </r>
    <r>
      <rPr>
        <b/>
        <sz val="14"/>
        <color rgb="FFFF0000"/>
        <rFont val="Wingdings"/>
        <charset val="2"/>
      </rPr>
      <t>â</t>
    </r>
  </si>
  <si>
    <r>
      <rPr>
        <b/>
        <sz val="16"/>
        <color rgb="FFFF0000"/>
        <rFont val="Calibri"/>
        <family val="2"/>
        <scheme val="minor"/>
      </rPr>
      <t>STEP 1</t>
    </r>
    <r>
      <rPr>
        <b/>
        <sz val="16"/>
        <color theme="1"/>
        <rFont val="Calibri"/>
        <family val="2"/>
        <scheme val="minor"/>
      </rPr>
      <t>: DEFINE THE TARGET POPULATION</t>
    </r>
  </si>
  <si>
    <t>Target population</t>
  </si>
  <si>
    <t>Included in the program</t>
  </si>
  <si>
    <t>Pregnant women</t>
  </si>
  <si>
    <t>Yes</t>
  </si>
  <si>
    <t>Newborns</t>
  </si>
  <si>
    <t>Both pregnant women and newborns</t>
  </si>
  <si>
    <r>
      <rPr>
        <b/>
        <sz val="16"/>
        <color rgb="FFFF0000"/>
        <rFont val="Calibri"/>
        <family val="2"/>
        <scheme val="minor"/>
      </rPr>
      <t>STEP 2</t>
    </r>
    <r>
      <rPr>
        <b/>
        <sz val="16"/>
        <color theme="1"/>
        <rFont val="Calibri"/>
        <family val="2"/>
        <scheme val="minor"/>
      </rPr>
      <t>: CHARACTERIZE THE IMMUNIZATION PROGRAM</t>
    </r>
  </si>
  <si>
    <t>RSV Intervention options→</t>
  </si>
  <si>
    <t>RSV vaccination to pregnant women (maternal vaccine)</t>
  </si>
  <si>
    <t>RSV monoclonal antibody to infants
 (mAb)</t>
  </si>
  <si>
    <t>RSV vaccination, both maternal vaccine and mAb</t>
  </si>
  <si>
    <t>COMMENTS</t>
  </si>
  <si>
    <t>Start year</t>
  </si>
  <si>
    <t>Year in which program starts</t>
  </si>
  <si>
    <t>Infants</t>
  </si>
  <si>
    <t>Pregnant population per year for maternal vaccine, and infant poulation for mAb. For the combined strategy, mAb target population includes only those not covered by maternal vaccine and is auto calculated</t>
  </si>
  <si>
    <t>Number of months per year for seasonal vaccination</t>
  </si>
  <si>
    <t>Include the number of months considered for vaccination. 12 months for year-round delivery</t>
  </si>
  <si>
    <t>% of target population expected to reach  during vaccination window</t>
  </si>
  <si>
    <t xml:space="preserve">Expected number of target population to be reached during vaccination window. </t>
  </si>
  <si>
    <t>Effective target population</t>
  </si>
  <si>
    <t>Annual population growth rate</t>
  </si>
  <si>
    <t>%</t>
  </si>
  <si>
    <t xml:space="preserve">Expected coverage </t>
  </si>
  <si>
    <t>Expected annual coverage (%)</t>
  </si>
  <si>
    <t xml:space="preserve">TD vaccine coverage or ANC 4 coverage may approximate maternal vaccine coverage. Birth dose coverage for another antigen such as HepB or BCG may be used to approximate mAb coverage.
</t>
  </si>
  <si>
    <r>
      <rPr>
        <b/>
        <sz val="16"/>
        <color rgb="FFFF0000"/>
        <rFont val="Calibri"/>
        <family val="2"/>
        <scheme val="minor"/>
      </rPr>
      <t>STEP 3</t>
    </r>
    <r>
      <rPr>
        <b/>
        <sz val="16"/>
        <color theme="1"/>
        <rFont val="Calibri"/>
        <family val="2"/>
        <scheme val="minor"/>
      </rPr>
      <t>: GAVI ELIGIBILITY AND CO-FINANCING</t>
    </r>
  </si>
  <si>
    <t xml:space="preserve">Is this country Gavi eligible?  </t>
  </si>
  <si>
    <t xml:space="preserve">If yes, there will be an opportunity to add co-financing and financial support information. 
If no, 100% of program and product costs will be assigned to country. </t>
  </si>
  <si>
    <t>Gavi transition phase - please select the appropriate option in drop-down menu to the right</t>
  </si>
  <si>
    <t>Other transition phase</t>
  </si>
  <si>
    <t>If you selected "Other transition phase", fill in the country co-financing share below*</t>
  </si>
  <si>
    <r>
      <t>Country co-finan</t>
    </r>
    <r>
      <rPr>
        <b/>
        <sz val="12"/>
        <rFont val="Calibri"/>
        <family val="2"/>
        <scheme val="minor"/>
      </rPr>
      <t>c</t>
    </r>
    <r>
      <rPr>
        <b/>
        <sz val="12"/>
        <color theme="1"/>
        <rFont val="Calibri"/>
        <family val="2"/>
        <scheme val="minor"/>
      </rPr>
      <t xml:space="preserve">ing share </t>
    </r>
  </si>
  <si>
    <t>% of vaccine/mAb price per dose or "price fraction"
Not used if you selected "Initial self-financing phase" above
If you don't know your country co-financing share, contact your SCM.
Non-Gavi countries should enter 100% for all years</t>
  </si>
  <si>
    <t>*If your country is scheduled to move from initial self-financing to Preparatory transition during the 10-year period, contact HEOR@path.org to discuss how to set up the model</t>
  </si>
  <si>
    <r>
      <rPr>
        <b/>
        <sz val="16"/>
        <color rgb="FFFF0000"/>
        <rFont val="Calibri"/>
        <family val="2"/>
        <scheme val="minor"/>
      </rPr>
      <t>STEP 4</t>
    </r>
    <r>
      <rPr>
        <b/>
        <sz val="16"/>
        <color theme="1"/>
        <rFont val="Calibri"/>
        <family val="2"/>
        <scheme val="minor"/>
      </rPr>
      <t xml:space="preserve">: RSV INTERVENTION OPTIONS                                                                               </t>
    </r>
  </si>
  <si>
    <t>For detailed vaccine profiles visit:</t>
  </si>
  <si>
    <t>Gavi website</t>
  </si>
  <si>
    <t>←To be updated when RSV product profile is available</t>
  </si>
  <si>
    <t>VACCINE/mAb COST</t>
  </si>
  <si>
    <t>RSV Intervention option</t>
  </si>
  <si>
    <t>RSV intervention to pregnant women
 (maternal vaccine)</t>
  </si>
  <si>
    <t>RSV  intervention to newborn
 (mAb)</t>
  </si>
  <si>
    <t>RSV intervention, both maternal vaccine and mAb</t>
  </si>
  <si>
    <t>Maternal Vaccine 1 (Preferred)</t>
  </si>
  <si>
    <t>Maternal Vaccine 2</t>
  </si>
  <si>
    <t>Maternal Vaccine 3</t>
  </si>
  <si>
    <t>Select vaccine and presentation &gt;&gt;&gt;</t>
  </si>
  <si>
    <t>Abrysvo, Pfizer</t>
  </si>
  <si>
    <t>RSV maternal vaccine_2</t>
  </si>
  <si>
    <t>RSV maternal vaccine_3</t>
  </si>
  <si>
    <t>Nirsevimab, AstraZeneca</t>
  </si>
  <si>
    <t>RSV monoclonal antibody_2</t>
  </si>
  <si>
    <t>RSV monoclonal antibody_3</t>
  </si>
  <si>
    <t>Product price per dose</t>
  </si>
  <si>
    <t>NA</t>
  </si>
  <si>
    <t>←Assumed price. To be updated when available</t>
  </si>
  <si>
    <t>Indicative price per dose</t>
  </si>
  <si>
    <t>Co-financing amount per dose</t>
  </si>
  <si>
    <t>Provide an option to overwrite</t>
  </si>
  <si>
    <t>Number of doses in schedule</t>
  </si>
  <si>
    <r>
      <t>Cold chain volume per dose (in cm</t>
    </r>
    <r>
      <rPr>
        <b/>
        <vertAlign val="superscript"/>
        <sz val="12"/>
        <color theme="1"/>
        <rFont val="Calibri"/>
        <family val="2"/>
        <scheme val="minor"/>
      </rPr>
      <t>3</t>
    </r>
    <r>
      <rPr>
        <b/>
        <sz val="12"/>
        <color theme="1"/>
        <rFont val="Calibri"/>
        <family val="2"/>
        <scheme val="minor"/>
      </rPr>
      <t>)</t>
    </r>
  </si>
  <si>
    <t>Wastage rate</t>
  </si>
  <si>
    <t>←To update with recommended values from Gavi DPP when available</t>
  </si>
  <si>
    <t>Dummy values included as filler</t>
  </si>
  <si>
    <t>Wastage factor</t>
  </si>
  <si>
    <t>-</t>
  </si>
  <si>
    <t>Buffer stock</t>
  </si>
  <si>
    <t>Buffer stock %</t>
  </si>
  <si>
    <t>International handling</t>
  </si>
  <si>
    <t>as a % of vaccine price</t>
  </si>
  <si>
    <t>International transportation</t>
  </si>
  <si>
    <t>Safety box/bag price</t>
  </si>
  <si>
    <t>Default: UNICEF</t>
  </si>
  <si>
    <t>Safety box/bag volume</t>
  </si>
  <si>
    <t>No. of doses per safety box/bag</t>
  </si>
  <si>
    <t>IMMUNIZATION PROGRAM COST</t>
  </si>
  <si>
    <t>One-time introduction support received by country from external sources</t>
  </si>
  <si>
    <t>lump sum or budget in first year. (For e.g., Gavi Vaccine introduction support grant)</t>
  </si>
  <si>
    <t>Incremental cost of delivery per dose</t>
  </si>
  <si>
    <t xml:space="preserve">$ per dose delivered; potential source of data: the immunization delivery cost catalogue linked below </t>
  </si>
  <si>
    <t>IDCC</t>
  </si>
  <si>
    <t>Model inputs</t>
  </si>
  <si>
    <t>Both pregnant women and infants</t>
  </si>
  <si>
    <t>Pregnant population per year for maternal vaccine, and infant poulation per year for mAb. For the combined strategy, mAb target population includes only those not covered by maternal vaccine and is auto-calculated.</t>
  </si>
  <si>
    <t>RSV vaccination  to pregnant women
 (maternal vaccine)</t>
  </si>
  <si>
    <t>RSV  monoclonal antibody to infants
 (mAb)</t>
  </si>
  <si>
    <t>Product price. Indicative prices provided below in the absence of data.</t>
  </si>
  <si>
    <t>These are assumed prices. Needs update when data is available.</t>
  </si>
  <si>
    <t>Indicative wastage rate</t>
  </si>
  <si>
    <t>These are assumed values. Needs update when data is available.</t>
  </si>
  <si>
    <r>
      <rPr>
        <b/>
        <sz val="30"/>
        <color rgb="FF3F4856"/>
        <rFont val="Arial"/>
        <family val="2"/>
      </rPr>
      <t>Intervención contra el virus sincicial respiratorio (VSR)</t>
    </r>
    <r>
      <rPr>
        <b/>
        <sz val="30"/>
        <color rgb="FF000000"/>
        <rFont val="Arial"/>
        <family val="2"/>
      </rPr>
      <t xml:space="preserve"> 
</t>
    </r>
    <r>
      <rPr>
        <sz val="24"/>
        <color rgb="FF20242B"/>
        <rFont val="Arial"/>
        <family val="2"/>
      </rPr>
      <t xml:space="preserve">Calculadora de costos </t>
    </r>
  </si>
  <si>
    <t>Para países, elegibles o no, de Gavi</t>
  </si>
  <si>
    <r>
      <rPr>
        <sz val="12"/>
        <color rgb="FF000000"/>
        <rFont val="Arial"/>
        <family val="2"/>
      </rPr>
      <t>Si tiene dudas o necesita asistencia, póngase en contacto con el equipo de Health Economics &amp; Outcomes Research de PATH:</t>
    </r>
    <r>
      <rPr>
        <sz val="12"/>
        <color rgb="FF000000"/>
        <rFont val="Arial"/>
        <family val="2"/>
      </rPr>
      <t xml:space="preserve"> </t>
    </r>
    <r>
      <rPr>
        <u/>
        <sz val="12"/>
        <color rgb="FF000000"/>
        <rFont val="Arial"/>
        <family val="2"/>
      </rPr>
      <t>HEOR@path.org</t>
    </r>
  </si>
  <si>
    <t>Perspectiva general</t>
  </si>
  <si>
    <r>
      <rPr>
        <b/>
        <i/>
        <sz val="12"/>
        <color rgb="FF20242B"/>
        <rFont val="Arial"/>
        <family val="2"/>
      </rPr>
      <t xml:space="preserve">Descargo de responsabilidad: </t>
    </r>
    <r>
      <rPr>
        <i/>
        <sz val="12"/>
        <color rgb="FF20242B"/>
        <rFont val="Arial"/>
        <family val="2"/>
      </rPr>
      <t xml:space="preserve">La calculadora de costos de la intervención contra el VSR es una herramienta cuyo objetivo es fundamentar la toma de decisiones sobre la introducción de vacunas y la selección de productos. Cabe destacar que el costo es tan solo una única consideración, y que los responsables de la toma de decisiones relativas a la introducción de nuevas vacunas y de seleccionar productos también deben tener en cuenta otros aspectos. La finalidad de este modelo es ofrecer información sobre los </t>
    </r>
    <r>
      <rPr>
        <b/>
        <i/>
        <sz val="12"/>
        <color rgb="FF20242B"/>
        <rFont val="Arial"/>
        <family val="2"/>
      </rPr>
      <t>posibles</t>
    </r>
    <r>
      <rPr>
        <i/>
        <sz val="12"/>
        <color rgb="FF20242B"/>
        <rFont val="Arial"/>
        <family val="2"/>
      </rPr>
      <t xml:space="preserve"> costos de las alternativas de productos o administración y no debe reemplazar la planificación presupuestaria detallada una vez que se ha seleccionado el producto en cuestión.</t>
    </r>
  </si>
  <si>
    <t>Guía del usuario</t>
  </si>
  <si>
    <r>
      <rPr>
        <b/>
        <sz val="16"/>
        <color theme="0"/>
        <rFont val="Arial"/>
        <family val="2"/>
      </rPr>
      <t>Hoja de datos del modelo</t>
    </r>
    <r>
      <rPr>
        <sz val="16"/>
        <color theme="0"/>
        <rFont val="Arial"/>
        <family val="2"/>
      </rPr>
      <t xml:space="preserve"> </t>
    </r>
  </si>
  <si>
    <t>Las casillas moradas indican un menú desplegable en el que el usuario puede seleccionar una opción preestablecida. Haga clic en la casilla morada y aparecerá una flecha desplegable. Al hacer clic en la flecha, el usuario podrá seleccionar una de las opciones del menú.</t>
  </si>
  <si>
    <t>Las casillas verdes requieren que el usuario ingrese datos. En el modelo se incluyen datos de ejemplo, pero esta información debe revisarse para reflejar los datos y el programa del VSR local.</t>
  </si>
  <si>
    <t>Las celdas blancas incluyen información fija que el usuario no puede modificar.</t>
  </si>
  <si>
    <t xml:space="preserve">Programa 
de vacunación </t>
  </si>
  <si>
    <t xml:space="preserve">Si se tienen en cuenta estrategias de vacunación alternativas (por ejemplo, una estrategia de vacunación de temporada), consulte la pestaña "Ej. cálculo pob destinataria" para obtener sugerencias sobre cálculos relevantes de la población destinataria. </t>
  </si>
  <si>
    <t>Tenga en cuenta que la vacuna materna y los AcM contra el VSR solo requieren una dosis para un ciclo completo Sin embargo, la herramienta permite incluir esquemas de hasta tres dosis, de cara a cualquier producto futuro que pueda requerir varias dosis.</t>
  </si>
  <si>
    <t>Elegibilidad y cofinanciación 
para los países 
que cumplen 
los requisitos de Gavi</t>
  </si>
  <si>
    <t>Opciones de intervención contra el VSR</t>
  </si>
  <si>
    <r>
      <rPr>
        <b/>
        <i/>
        <u/>
        <sz val="12"/>
        <color theme="1" tint="-0.499984740745262"/>
        <rFont val="Arial"/>
        <family val="2"/>
      </rPr>
      <t>Costos de la vacuna/AcM</t>
    </r>
    <r>
      <rPr>
        <i/>
        <u/>
        <sz val="12"/>
        <color theme="1" tint="-0.499984740745262"/>
        <rFont val="Arial"/>
        <family val="2"/>
      </rPr>
      <t xml:space="preserve">
</t>
    </r>
    <r>
      <rPr>
        <sz val="12"/>
        <color theme="1" tint="-0.499984740745262"/>
        <rFont val="Arial"/>
        <family val="2"/>
      </rPr>
      <t>Utilice el menú desplegable para seleccionar el producto para cada grupo destinatario.</t>
    </r>
    <r>
      <rPr>
        <sz val="12"/>
        <color theme="1" tint="-0.499984740745262"/>
        <rFont val="Arial"/>
        <family val="2"/>
      </rPr>
      <t xml:space="preserve"> </t>
    </r>
    <r>
      <rPr>
        <sz val="12"/>
        <color theme="1" tint="-0.499984740745262"/>
        <rFont val="Arial"/>
        <family val="2"/>
      </rPr>
      <t>Los datos predeterminados se rellenarán automáticamente en las filas situadas más adelante, que se pueden ajustar en función de la información local.</t>
    </r>
    <r>
      <rPr>
        <sz val="12"/>
        <color theme="1" tint="-0.499984740745262"/>
        <rFont val="Arial"/>
        <family val="2"/>
      </rPr>
      <t xml:space="preserve"> </t>
    </r>
    <r>
      <rPr>
        <sz val="12"/>
        <color theme="1" tint="-0.499984740745262"/>
        <rFont val="Arial"/>
        <family val="2"/>
      </rPr>
      <t>Todas las características de la vacuna proceden de los perfiles de productos detallados de Gavi.</t>
    </r>
    <r>
      <rPr>
        <i/>
        <u/>
        <sz val="12"/>
        <color theme="1" tint="-0.499984740745262"/>
        <rFont val="Arial"/>
        <family val="2"/>
      </rPr>
      <t xml:space="preserve">
</t>
    </r>
    <r>
      <rPr>
        <sz val="12"/>
        <color theme="1" tint="-0.499984740745262"/>
        <rFont val="Arial"/>
        <family val="2"/>
      </rPr>
      <t xml:space="preserve">
</t>
    </r>
    <r>
      <rPr>
        <sz val="12"/>
        <color theme="1" tint="-0.499984740745262"/>
        <rFont val="Arial"/>
        <family val="2"/>
      </rPr>
      <t>La cantidad de cofinanciación anual por dosis no se puede modificar puesto que se deriva de los cálculos basados en el precio de las vacunas y en la cuota de cofinanciación.</t>
    </r>
    <r>
      <rPr>
        <sz val="12"/>
        <color theme="1" tint="-0.499984740745262"/>
        <rFont val="Arial"/>
        <family val="2"/>
      </rPr>
      <t xml:space="preserve">
</t>
    </r>
    <r>
      <rPr>
        <sz val="12"/>
        <color theme="1" tint="-0.499984740745262"/>
        <rFont val="Arial"/>
        <family val="2"/>
      </rPr>
      <t>Los datos necesarios restantes están relacionados con las características del producto, como el requisito de espacio de la cadena de frío, la tasa de desperdicio prevista, las existencias de reserva, los costos de gestión, etc. Introduzca los datos según proceda.</t>
    </r>
    <r>
      <rPr>
        <sz val="12"/>
        <color theme="1" tint="-0.499984740745262"/>
        <rFont val="Arial"/>
        <family val="2"/>
      </rPr>
      <t xml:space="preserve"> </t>
    </r>
  </si>
  <si>
    <t>Recursos</t>
  </si>
  <si>
    <t xml:space="preserve">←El perfil detallado no está disponible para el producto contra el VSR. El enlace y las estimaciones se deben actualizar cuando estén disponibles. </t>
  </si>
  <si>
    <t>Características del producto: Perfiles de productos detallados de Gavi</t>
  </si>
  <si>
    <t>Tasas de tramitación: Sitio web de UNICEF: datos de precios</t>
  </si>
  <si>
    <t>Costos de los suministros: Sitio web de UNICEF: datos de precios</t>
  </si>
  <si>
    <r>
      <rPr>
        <b/>
        <i/>
        <u/>
        <sz val="12"/>
        <color rgb="FF20242B"/>
        <rFont val="Arial"/>
        <family val="2"/>
      </rPr>
      <t xml:space="preserve">Costos del programa de vacunación
</t>
    </r>
    <r>
      <rPr>
        <sz val="12"/>
        <color rgb="FF20242B"/>
        <rFont val="Arial"/>
        <family val="2"/>
      </rPr>
      <t xml:space="preserve">La herramienta permite a los usuarios considerar la ayuda de subvenciones para la introducción de la vacuna de fuentes externas, incluyendo la ayuda puntual para la introducción y los costos incrementales del sistema de salud. 
La ayuda puntual suele financiar los costos iniciales durante el primer año y excluye los gastos relacionados con actividades como la microplanificación, la capacitación o la comunicación. </t>
    </r>
    <r>
      <rPr>
        <b/>
        <i/>
        <sz val="12"/>
        <color rgb="FF20242B"/>
        <rFont val="Arial"/>
        <family val="2"/>
      </rPr>
      <t xml:space="preserve">Podría recibirse como una ayuda puntual para la introducción de una suma fija o ayuda puntual para la introducción específica en la población destinataria. </t>
    </r>
    <r>
      <rPr>
        <sz val="12"/>
        <color rgb="FF20242B"/>
        <rFont val="Arial"/>
        <family val="2"/>
      </rPr>
      <t xml:space="preserve">Las proyecciones de los costos totales del programa desde las perspectivas de los países no incluirán esos gastos financiados externamente para mostrar el verdadero costo para el país.
Para cada producto de VSR contemplado, introduzca el importe presupuestado para la ayuda puntual de introducción, si corresponde. 
Los costos incrementales del sistema de salud hacen referencia a todos los gastos adicionales necesarios para administrar las vacunas, excluyendo el costo directo de los productos básicos y la adquisición de vacunas/AcM. Estos podrían incluir los costos operativos, como los gastos de viaje, los equipos de la cadena de frío, los vehículos, el transporte y combustible, la gestión del programa, la capacitación, la movilización social y la promoción, la vigilancia de la enfermedad y las actividades relacionadas con los eventos adversos posteriores a la vacunación (ESAVIs) y la gestión de residuos.
Todos los costos operativos recurrentes deben reflejarse en el costo incremental de la administración por dosis para cada producto comparado. Tenga en cuenta que puede variar de un producto a otro en función de su presentación, requisitos de almacenamiento y facilidad de administración. </t>
    </r>
  </si>
  <si>
    <t>Costo incremental de la administración por dosis: Immunization Cost of Delivery Catalogue (IDCC)</t>
  </si>
  <si>
    <t>Hoja del panel</t>
  </si>
  <si>
    <r>
      <rPr>
        <sz val="12"/>
        <color theme="1" tint="-0.249977111117893"/>
        <rFont val="Arial"/>
        <family val="2"/>
      </rPr>
      <t>El panel ofrece datos resumidos de los resultados en términos de volumen de la cadena de frío por dosis en millones de cm</t>
    </r>
    <r>
      <rPr>
        <vertAlign val="superscript"/>
        <sz val="12"/>
        <color theme="1" tint="-0.249977111117893"/>
        <rFont val="Arial"/>
        <family val="2"/>
      </rPr>
      <t>3</t>
    </r>
    <r>
      <rPr>
        <sz val="12"/>
        <color theme="1" tint="-0.249977111117893"/>
        <rFont val="Arial"/>
        <family val="2"/>
      </rPr>
      <t>, costo de la vacuna para el país y número de dosis necesarias en millones para las situaciones analizadas.</t>
    </r>
    <r>
      <rPr>
        <sz val="12"/>
        <color theme="1" tint="-0.249977111117893"/>
        <rFont val="Arial"/>
        <family val="2"/>
      </rPr>
      <t xml:space="preserve"> </t>
    </r>
    <r>
      <rPr>
        <sz val="12"/>
        <color theme="1" tint="-0.249977111117893"/>
        <rFont val="Arial"/>
        <family val="2"/>
      </rPr>
      <t>El formato condicional destaca los posibles costos más bajos (color verde) y los posibles costos más elevados (color rojo).</t>
    </r>
  </si>
  <si>
    <t>Hoja de resultados</t>
  </si>
  <si>
    <r>
      <rPr>
        <sz val="12"/>
        <color theme="1" tint="-0.499984740745262"/>
        <rFont val="Arial"/>
        <family val="2"/>
      </rPr>
      <t>La hoja de resultados presenta la información de los costos anuales y totales en un periodo de cinco años desde</t>
    </r>
    <r>
      <rPr>
        <sz val="12"/>
        <color rgb="FFFF0000"/>
        <rFont val="Arial"/>
        <family val="2"/>
      </rPr>
      <t xml:space="preserve"> </t>
    </r>
    <r>
      <rPr>
        <sz val="12"/>
        <color theme="1" tint="-0.499984740745262"/>
        <rFont val="Arial"/>
        <family val="2"/>
      </rPr>
      <t>la perspectiva de los países y la perspectiva conjunta de los países y el donante/Gavi para cada opción de producto.</t>
    </r>
  </si>
  <si>
    <r>
      <rPr>
        <sz val="12"/>
        <color rgb="FF20242B"/>
        <rFont val="Arial"/>
        <family val="2"/>
      </rPr>
      <t xml:space="preserve">Los resultados se muestran en tres subsecciones:
</t>
    </r>
    <r>
      <rPr>
        <b/>
        <sz val="12"/>
        <color rgb="FF20242B"/>
        <rFont val="Arial"/>
        <family val="2"/>
      </rPr>
      <t xml:space="preserve">1.      Programa de vacunación
</t>
    </r>
    <r>
      <rPr>
        <sz val="12"/>
        <color rgb="FF20242B"/>
        <rFont val="Arial"/>
        <family val="2"/>
      </rPr>
      <t xml:space="preserve">Esta sección presenta los resultados en términos del número de dosis administradas y del número de dosis necesarias para el programa de vacunación. El número de dosis necesarias es igual al número de dosis administradas más el número de dosis desperdiciadas y las existencias de reserva necesarias. Esta sección también calcula los requisitos anuales y para cinco años en términos del volumen de la cadena de frío, teniendo en cuenta el volumen por dosis de la cadena de frío de cada producto multiplicado por el número total de dosis necesarias. Este volumen total solo debe utilizarse como una estimación, ya que variará en función del número de envíos de vacunas por año y del sistema de distribución del país. Además, algunos productos requieren una cadena de frío negativo a nivel central y que otras incluyen componentes que pueden almacenarse fuera de la cadena de frío positivo.
</t>
    </r>
    <r>
      <rPr>
        <b/>
        <sz val="12"/>
        <color rgb="FF20242B"/>
        <rFont val="Arial"/>
        <family val="2"/>
      </rPr>
      <t xml:space="preserve">2.      Costo para el país
</t>
    </r>
    <r>
      <rPr>
        <sz val="12"/>
        <color rgb="FF20242B"/>
        <rFont val="Arial"/>
        <family val="2"/>
      </rPr>
      <t xml:space="preserve">Esta sección facilita los costos únicamente desde la perspectiva del país. Los costos del producto, correspondiente a la adquisición de la vacuna/AcM y de los productos básicos, se presentan por separado del costo total del programa de vacunación, que incluye tanto los costos de la vacuna/AcM como los costos adicionales del sistema sanitario.
</t>
    </r>
    <r>
      <rPr>
        <b/>
        <sz val="12"/>
        <color rgb="FF20242B"/>
        <rFont val="Arial"/>
        <family val="2"/>
      </rPr>
      <t xml:space="preserve">3.      Costo de los países y del donante/Gavi
</t>
    </r>
    <r>
      <rPr>
        <sz val="12"/>
        <color rgb="FF20242B"/>
        <rFont val="Arial"/>
        <family val="2"/>
      </rPr>
      <t xml:space="preserve">Esta sección presenta los costos tanto desde la perspectiva del país como del donante/Gavi (solo es aplicable a los países elegibles de Gavi). Las subcategorías son las mismas que figuran en la subsección de costos para el país.
</t>
    </r>
    <r>
      <rPr>
        <i/>
        <sz val="12"/>
        <color rgb="FF20242B"/>
        <rFont val="Arial"/>
        <family val="2"/>
      </rPr>
      <t>Nota: En esta hoja se utiliza un formato condicional para destacar las celdas de volumen y costo a 5 años para las opciones del producto menos costoso/volumen bajo (color verde oscuro) al producto más costoso/volumen elevado (color roja).</t>
    </r>
  </si>
  <si>
    <t>Hoja de gráficos</t>
  </si>
  <si>
    <t>La hoja de gráficos ofrece una representación gráfica de los mismos resultados que se muestran en la hoja previa. Se presentan las mismas perspectivas y subcategorías. Una vez que finalice su primer análisis, si realiza cambios en la hoja de datos del modelo, las hojas de resultados y gráficos se actualizarán automáticamente para mostrar los nuevos resultados.</t>
  </si>
  <si>
    <t>Fórmulas de cálculo utilizadas en la calculadora de costos*†</t>
  </si>
  <si>
    <r>
      <rPr>
        <u/>
        <sz val="12"/>
        <color theme="1" tint="-0.499984740745262"/>
        <rFont val="Arial"/>
        <family val="2"/>
      </rPr>
      <t>Número de dosis administradas</t>
    </r>
    <r>
      <rPr>
        <sz val="12"/>
        <color theme="1" tint="-0.499984740745262"/>
        <rFont val="Arial"/>
        <family val="2"/>
      </rPr>
      <t> = población destinataria x cobertura</t>
    </r>
  </si>
  <si>
    <r>
      <rPr>
        <u/>
        <sz val="12"/>
        <color theme="1" tint="-0.499984740745262"/>
        <rFont val="Arial"/>
        <family val="2"/>
      </rPr>
      <t>Total de dosis necesarias</t>
    </r>
    <r>
      <rPr>
        <sz val="12"/>
        <color theme="1" tint="-0.499984740745262"/>
        <rFont val="Arial"/>
        <family val="2"/>
      </rPr>
      <t> = número de dosis administradas x factor de desperdicio + existencias de reserva</t>
    </r>
    <r>
      <rPr>
        <sz val="12"/>
        <color theme="1" tint="-0.499984740745262"/>
        <rFont val="Arial"/>
        <family val="2"/>
      </rPr>
      <t xml:space="preserve"> </t>
    </r>
  </si>
  <si>
    <r>
      <rPr>
        <u/>
        <sz val="12"/>
        <color theme="1" tint="-0.499984740745262"/>
        <rFont val="Arial"/>
        <family val="2"/>
      </rPr>
      <t>Volumen total de la cadena de frío necesario</t>
    </r>
    <r>
      <rPr>
        <sz val="12"/>
        <color theme="1" tint="-0.499984740745262"/>
        <rFont val="Arial"/>
        <family val="2"/>
      </rPr>
      <t> = volumen de la cadena de frío por dosis en cm</t>
    </r>
    <r>
      <rPr>
        <vertAlign val="superscript"/>
        <sz val="12"/>
        <color theme="1" tint="-0.499984740745262"/>
        <rFont val="Arial"/>
        <family val="2"/>
      </rPr>
      <t>3</t>
    </r>
    <r>
      <rPr>
        <sz val="12"/>
        <color theme="1" tint="-0.499984740745262"/>
        <rFont val="Arial"/>
        <family val="2"/>
      </rPr>
      <t> x total de dosis necesarias</t>
    </r>
  </si>
  <si>
    <r>
      <rPr>
        <u/>
        <sz val="12"/>
        <color theme="1" tint="-0.499984740745262"/>
        <rFont val="Arial"/>
        <family val="2"/>
      </rPr>
      <t>Factor de desperdicio </t>
    </r>
    <r>
      <rPr>
        <sz val="12"/>
        <color theme="1" tint="-0.499984740745262"/>
        <rFont val="Arial"/>
        <family val="2"/>
      </rPr>
      <t>= (1 / (1 - tasa de desperdicio))</t>
    </r>
  </si>
  <si>
    <r>
      <rPr>
        <u/>
        <sz val="12"/>
        <color theme="1" tint="-0.499984740745262"/>
        <rFont val="Arial"/>
        <family val="2"/>
      </rPr>
      <t>Existencias de reserva</t>
    </r>
    <r>
      <rPr>
        <sz val="12"/>
        <color theme="1" tint="-0.499984740745262"/>
        <rFont val="Arial"/>
        <family val="2"/>
      </rPr>
      <t xml:space="preserve"> = porcentaje de existencias de reserva x número de dosis administradas</t>
    </r>
  </si>
  <si>
    <r>
      <rPr>
        <u/>
        <sz val="12"/>
        <color theme="1" tint="-0.499984740745262"/>
        <rFont val="Arial"/>
        <family val="2"/>
      </rPr>
      <t>Costo de la vacuna (costo para el país)</t>
    </r>
    <r>
      <rPr>
        <sz val="12"/>
        <color theme="1" tint="-0.499984740745262"/>
        <rFont val="Arial"/>
        <family val="2"/>
      </rPr>
      <t> = total de dosis necesarias x (cantidad de cofinanciación por dosis + cantidad de cofinanciación por dosis x tramitación internacional + cantidad de cofinanciación por dosis x transporte internacional) + (número de dosis administradas / volumen de caja de seguridad x precio por caja de seguridad)**</t>
    </r>
  </si>
  <si>
    <r>
      <rPr>
        <u/>
        <sz val="12"/>
        <color theme="1" tint="-0.499984740745262"/>
        <rFont val="Arial"/>
        <family val="2"/>
      </rPr>
      <t>Costo del programa de vacunación (costo para el país)</t>
    </r>
    <r>
      <rPr>
        <sz val="12"/>
        <color theme="1" tint="-0.499984740745262"/>
        <rFont val="Arial"/>
        <family val="2"/>
      </rPr>
      <t> = costo de la vacuna/AcM + número de dosis administradas x costo incremental de la administración por dosis</t>
    </r>
  </si>
  <si>
    <r>
      <rPr>
        <u/>
        <sz val="12"/>
        <color theme="1" tint="-0.499984740745262"/>
        <rFont val="Arial"/>
        <family val="2"/>
      </rPr>
      <t>Costo de la vacuna (costo para el país + Gavi/donante)</t>
    </r>
    <r>
      <rPr>
        <sz val="12"/>
        <color theme="1" tint="-0.499984740745262"/>
        <rFont val="Arial"/>
        <family val="2"/>
      </rPr>
      <t> = total de dosis necesarias x (precio de la vacuna por dosis + precio de la vacuna por dosis x tramitación internacional + precio de la vacuna por dosis x transporte internacional) + (número de dosis administradas / volumen de caja de seguridad x precio por caja de seguridad)**</t>
    </r>
  </si>
  <si>
    <r>
      <rPr>
        <u/>
        <sz val="12"/>
        <color theme="1" tint="-0.499984740745262"/>
        <rFont val="Arial"/>
        <family val="2"/>
      </rPr>
      <t>Costo del programa de vacunación (costo para el país + Gavi/donante)</t>
    </r>
    <r>
      <rPr>
        <sz val="12"/>
        <color theme="1" tint="-0.499984740745262"/>
        <rFont val="Arial"/>
        <family val="2"/>
      </rPr>
      <t> = costo de la vacuna/AcM + número de dosis administradas x costo incremental de la administración por dosis + ayuda de suma fija para la introducción recibida de fuentes externas (solo el año 1) + subvención para la introducción de la vacuna específica en la población destinataria de fuentes externas (solo el año 1)</t>
    </r>
  </si>
  <si>
    <t>* x = multiplicar 
** número de cajas/bolsas de seguridad necesarias redondeado al número entero más cercano</t>
  </si>
  <si>
    <r>
      <rPr>
        <sz val="11"/>
        <color rgb="FF3F4856"/>
        <rFont val="Arial"/>
        <family val="2"/>
      </rPr>
      <t xml:space="preserve">Calculadora de costos de la </t>
    </r>
    <r>
      <rPr>
        <b/>
        <sz val="11"/>
        <color rgb="FF3F4856"/>
        <rFont val="Arial"/>
        <family val="2"/>
      </rPr>
      <t>intervención contra el virus sincicial respiratorio (VSR) para los países, elegibles o no, de Gavi</t>
    </r>
  </si>
  <si>
    <t>Datos del modelo</t>
  </si>
  <si>
    <r>
      <rPr>
        <b/>
        <sz val="16"/>
        <color theme="0"/>
        <rFont val="Wingdings"/>
        <charset val="2"/>
      </rPr>
      <t>â</t>
    </r>
    <r>
      <rPr>
        <b/>
        <sz val="16"/>
        <color theme="0"/>
        <rFont val="Arial"/>
        <family val="2"/>
      </rPr>
      <t xml:space="preserve"> </t>
    </r>
    <r>
      <rPr>
        <b/>
        <sz val="16"/>
        <color theme="0"/>
        <rFont val="Arial"/>
        <family val="2"/>
      </rPr>
      <t xml:space="preserve">COMENZAR AQUÍ </t>
    </r>
    <r>
      <rPr>
        <b/>
        <sz val="16"/>
        <color theme="0"/>
        <rFont val="Wingdings"/>
        <charset val="2"/>
      </rPr>
      <t>â</t>
    </r>
  </si>
  <si>
    <t>PROGRAMA DE VACUNACIÓN</t>
  </si>
  <si>
    <t>Población destinataria</t>
  </si>
  <si>
    <t>Incluido en el programa</t>
  </si>
  <si>
    <r>
      <rPr>
        <b/>
        <i/>
        <u/>
        <sz val="12"/>
        <color theme="1"/>
        <rFont val="Arial"/>
        <family val="2"/>
      </rPr>
      <t>Situación A</t>
    </r>
    <r>
      <rPr>
        <b/>
        <sz val="12"/>
        <color theme="1"/>
        <rFont val="Arial"/>
        <family val="2"/>
      </rPr>
      <t>:</t>
    </r>
    <r>
      <rPr>
        <b/>
        <sz val="12"/>
        <color theme="1"/>
        <rFont val="Arial"/>
        <family val="2"/>
      </rPr>
      <t xml:space="preserve"> </t>
    </r>
    <r>
      <rPr>
        <b/>
        <sz val="12"/>
        <color theme="1"/>
        <rFont val="Arial"/>
        <family val="2"/>
      </rPr>
      <t>Solo mujeres embarazadas</t>
    </r>
  </si>
  <si>
    <t>Sí</t>
  </si>
  <si>
    <r>
      <rPr>
        <b/>
        <i/>
        <u/>
        <sz val="12"/>
        <color theme="1"/>
        <rFont val="Arial"/>
        <family val="2"/>
      </rPr>
      <t>Situación B</t>
    </r>
    <r>
      <rPr>
        <b/>
        <sz val="12"/>
        <color theme="1"/>
        <rFont val="Arial"/>
        <family val="2"/>
      </rPr>
      <t>:</t>
    </r>
    <r>
      <rPr>
        <b/>
        <sz val="12"/>
        <color theme="1"/>
        <rFont val="Arial"/>
        <family val="2"/>
      </rPr>
      <t xml:space="preserve"> </t>
    </r>
    <r>
      <rPr>
        <b/>
        <sz val="12"/>
        <color theme="1"/>
        <rFont val="Arial"/>
        <family val="2"/>
      </rPr>
      <t>Solo bebés</t>
    </r>
  </si>
  <si>
    <r>
      <rPr>
        <b/>
        <i/>
        <u/>
        <sz val="12"/>
        <color theme="1"/>
        <rFont val="Arial"/>
        <family val="2"/>
      </rPr>
      <t>Situación C</t>
    </r>
    <r>
      <rPr>
        <b/>
        <sz val="12"/>
        <color theme="1"/>
        <rFont val="Arial"/>
        <family val="2"/>
      </rPr>
      <t>:</t>
    </r>
    <r>
      <rPr>
        <b/>
        <sz val="12"/>
        <color theme="1"/>
        <rFont val="Arial"/>
        <family val="2"/>
      </rPr>
      <t xml:space="preserve"> </t>
    </r>
    <r>
      <rPr>
        <b/>
        <sz val="12"/>
        <color theme="1"/>
        <rFont val="Arial"/>
        <family val="2"/>
      </rPr>
      <t>Mujeres embarazadas y bebés</t>
    </r>
  </si>
  <si>
    <r>
      <rPr>
        <b/>
        <i/>
        <u/>
        <sz val="12"/>
        <color theme="1"/>
        <rFont val="Arial"/>
        <family val="2"/>
      </rPr>
      <t xml:space="preserve">Situación A
</t>
    </r>
    <r>
      <rPr>
        <b/>
        <i/>
        <sz val="12"/>
        <color theme="1"/>
        <rFont val="Arial"/>
        <family val="2"/>
      </rPr>
      <t>↓</t>
    </r>
  </si>
  <si>
    <r>
      <rPr>
        <b/>
        <i/>
        <u/>
        <sz val="12"/>
        <color theme="1"/>
        <rFont val="Arial"/>
        <family val="2"/>
      </rPr>
      <t xml:space="preserve">Situación B
</t>
    </r>
    <r>
      <rPr>
        <b/>
        <i/>
        <sz val="12"/>
        <color theme="1"/>
        <rFont val="Arial"/>
        <family val="2"/>
      </rPr>
      <t>↓</t>
    </r>
  </si>
  <si>
    <r>
      <rPr>
        <b/>
        <i/>
        <u/>
        <sz val="12"/>
        <color theme="1"/>
        <rFont val="Arial"/>
        <family val="2"/>
      </rPr>
      <t xml:space="preserve">Situación C
</t>
    </r>
    <r>
      <rPr>
        <b/>
        <i/>
        <sz val="12"/>
        <color theme="1"/>
        <rFont val="Arial"/>
        <family val="2"/>
      </rPr>
      <t>↓</t>
    </r>
  </si>
  <si>
    <t>Opciones de intervención del VSR→</t>
  </si>
  <si>
    <t>Vacunación contra el VSR para embarazadas 
(vacuna materna)</t>
  </si>
  <si>
    <t>Anticuerpo monoclonal contra el VSR para los bebés
 (AcM)</t>
  </si>
  <si>
    <t>Vacunas contra el VSR para mujeres embarazadas y AcM contra el VSR para bebés 
(Vacuna materna y AcM)</t>
  </si>
  <si>
    <t>COMENTARIOS</t>
  </si>
  <si>
    <t>Año de inicio</t>
  </si>
  <si>
    <t>Año en el que empieza el programa</t>
  </si>
  <si>
    <t>Tamaño de la población destinataria en el año de inicio</t>
  </si>
  <si>
    <t>Mujeres 
embarazadas</t>
  </si>
  <si>
    <t>Bebés</t>
  </si>
  <si>
    <t>Mujeres embarazadas</t>
  </si>
  <si>
    <t>Población de embarazadas por año para la vacuna materna y población de bebés por año para el AcM. Para la estrategia conjunta, la población destinataria del AcM solo incluye a quienes no están cubiertos por la vacuna materna y se calcula automáticamente.</t>
  </si>
  <si>
    <t>Índice anual de crecimiento de la población</t>
  </si>
  <si>
    <t>Cobertura prevista (dosis 1)</t>
  </si>
  <si>
    <t>Cobertura anual prevista (%)</t>
  </si>
  <si>
    <t xml:space="preserve">La cobertura de la vacuna contra Td o cobertura de APN 4 puede aproximarse a la cobertura de la vacuna materna. En el ANEXO, en la pestaña "Ej.cálculo pob destinataria" (Cálculo de la población destinataria), se incluye un cálculo de ejemplo para la administración por temporada o la estimación de cobertura para la ventana de edad gestacional. Se puede utilizar la cobertura de dosis de nacimiento para otro antígeno, como HepB o BCG, para aproximar la cobertura del AcM.
Los productos actuales del VSR (vacuna materna y AcM de acción prolongada) solo requieren una dosis para un ciclo completo. Si se contemplan productos con más de una dosis, complete también la cobertura prevista para la dosis 2 y la dosis 3, según corresponda. </t>
  </si>
  <si>
    <t>Cobertura prevista (dosis 2), si aplica</t>
  </si>
  <si>
    <t>Cobertura anual prevista (%) de la dosis 2</t>
  </si>
  <si>
    <t>Introduzca la cobertura prevista para la dosis 2 si alguno de los productos en una situación determinada incluye más de un esquema de dosis.</t>
  </si>
  <si>
    <t>Cobertura prevista (dosis 3), si aplica</t>
  </si>
  <si>
    <t>Cobertura anual prevista (%) de la dosis 3</t>
  </si>
  <si>
    <t>Introduzca la cobertura prevista para la dosis 3 si alguno de los productos en una situación determinada incluye más de un esquema de dosis.</t>
  </si>
  <si>
    <t>ELEGIBILIDAD Y COFINANCIACIÓN PARA LOS PAÍSES QUE CUMPLEN LOS REQUISITOS DE GAVI</t>
  </si>
  <si>
    <t>Fase de transición de Gavi: seleccione la opción que corresponda en el menú desplegable a la derecha</t>
  </si>
  <si>
    <t xml:space="preserve">Cuota de cofinanciación del país </t>
  </si>
  <si>
    <t xml:space="preserve">OPCIONES DE INTERVENCIÓN CONTRA EL VSR                                                                               </t>
  </si>
  <si>
    <t>Para consultar los perfiles detallados de las vacunas, visite:</t>
  </si>
  <si>
    <t>sitio web de Gavi</t>
  </si>
  <si>
    <t>←Se debe actualizar cuando esté disponible el perfil de los productos contra el VSR</t>
  </si>
  <si>
    <t>COSTO DE LA VACUNA/AcM</t>
  </si>
  <si>
    <r>
      <rPr>
        <b/>
        <sz val="12"/>
        <color rgb="FF3F4856"/>
        <rFont val="Arial"/>
        <family val="2"/>
      </rPr>
      <t xml:space="preserve">Opción de intervención del VSR
</t>
    </r>
    <r>
      <rPr>
        <i/>
        <sz val="12"/>
        <color rgb="FF00747D"/>
        <rFont val="Arial"/>
        <family val="2"/>
      </rPr>
      <t>Nota: En el caso de las situaciones A (solo vacuna materna) y B (solo AcM), la herramienta permite comparar varias opciones de productos. Estos productos no están disponibles actualmente. Tales análisis pueden ser de utilidad en el futuro cuando estos productos estén disponibles en el mercado.</t>
    </r>
  </si>
  <si>
    <t>Vacunación contra el VSR para embarazadas
 (vacuna materna)</t>
  </si>
  <si>
    <t>Vacunas contra el VSR para mujeres embarazadas y AcM contra el VSR para bebés (Vacuna materna y AcM)</t>
  </si>
  <si>
    <t>Seleccionar vacuna y presentación &gt;&gt;&gt;</t>
  </si>
  <si>
    <t>Vacuna materna contra el VSR_2</t>
  </si>
  <si>
    <t>Ninguno</t>
  </si>
  <si>
    <t>Seleccione "Ninguno" para todas las opciones de producto en la situaciones A y B si se ha seleccionado "No" en el paso 1.</t>
  </si>
  <si>
    <t>Precio del producto por dosis</t>
  </si>
  <si>
    <t>Precio del producto. En ausencia de datos, más adelante se proporcionan precios indicativos.</t>
  </si>
  <si>
    <t>Precio indicativo por dosis</t>
  </si>
  <si>
    <t>Cantidad de cofinanciación por dosis</t>
  </si>
  <si>
    <t>Número de dosis en el calendario</t>
  </si>
  <si>
    <r>
      <rPr>
        <b/>
        <sz val="12"/>
        <color theme="1"/>
        <rFont val="Arial"/>
        <family val="2"/>
      </rPr>
      <t>Volumen de la cadena de frío por dosis (en cm</t>
    </r>
    <r>
      <rPr>
        <b/>
        <vertAlign val="superscript"/>
        <sz val="12"/>
        <color theme="1"/>
        <rFont val="Arial"/>
        <family val="2"/>
      </rPr>
      <t>3</t>
    </r>
    <r>
      <rPr>
        <b/>
        <sz val="12"/>
        <color theme="1"/>
        <rFont val="Arial"/>
        <family val="2"/>
      </rPr>
      <t>)</t>
    </r>
  </si>
  <si>
    <t>Tasa de desperdicio</t>
  </si>
  <si>
    <t>←Se debe actualizar con los valores recomendados de los perfiles de productos detallados cuando estén disponibles</t>
  </si>
  <si>
    <t>Tasa de desperdicio indicativa</t>
  </si>
  <si>
    <t>Factor de desperdicio</t>
  </si>
  <si>
    <t>Existencias de reserva</t>
  </si>
  <si>
    <t>Porcentaje de existencias de reserva</t>
  </si>
  <si>
    <t>Tramitación internacional</t>
  </si>
  <si>
    <t>Como porcentaje del precio de la vacuna</t>
  </si>
  <si>
    <t>Transporte internacional</t>
  </si>
  <si>
    <t>Precio del volumen de caja/bolsa de seguridad</t>
  </si>
  <si>
    <t>Predeterminado: UNICEF</t>
  </si>
  <si>
    <t>Volumen de caja/bolsa de seguridad</t>
  </si>
  <si>
    <t>N.º de dosis por volumen de caja/bolsa de seguridad</t>
  </si>
  <si>
    <t xml:space="preserve">COSTOS DEL PROGRAMA DE VACUNACIÓN </t>
  </si>
  <si>
    <t>Ayuda puntual de una suma fija para la introducción recibida por país de fuentes externas</t>
  </si>
  <si>
    <t>Suma fija o presupuesto en el primer año, si procede.</t>
  </si>
  <si>
    <t xml:space="preserve">Subvención puntual para la introducción de la vacuna </t>
  </si>
  <si>
    <t>Subvención de ayuda para la introducción específica en la población destinataria recibida en el primer año (p. ej., subvención de ayuda para la introducción de la vacuna de Gavi), si procede.</t>
  </si>
  <si>
    <t>Costo incremental de la administración por dosis</t>
  </si>
  <si>
    <t xml:space="preserve">Dólares por dosis administrada; posible fuente de datos: el catálogo de costos de administración de las vacunas cuyo enlace se encuentra a continuación </t>
  </si>
  <si>
    <r>
      <rPr>
        <sz val="11"/>
        <color rgb="FF3F4856"/>
        <rFont val="Arial"/>
        <family val="2"/>
      </rPr>
      <t xml:space="preserve">Calculadora de costos de la </t>
    </r>
    <r>
      <rPr>
        <b/>
        <sz val="11"/>
        <color rgb="FF3F4856"/>
        <rFont val="Arial"/>
        <family val="2"/>
      </rPr>
      <t>intervención contra el virus sincicial respiratorio (VSR)</t>
    </r>
    <r>
      <rPr>
        <sz val="11"/>
        <color rgb="FF3F4856"/>
        <rFont val="Arial"/>
        <family val="2"/>
      </rPr>
      <t xml:space="preserve"> </t>
    </r>
    <r>
      <rPr>
        <b/>
        <sz val="11"/>
        <color rgb="FF3F4856"/>
        <rFont val="Arial"/>
        <family val="2"/>
      </rPr>
      <t xml:space="preserve">para los países, elegibles o no, de Gavi </t>
    </r>
  </si>
  <si>
    <t>PANEL</t>
  </si>
  <si>
    <t>Situación A: 
Vacuna materna</t>
  </si>
  <si>
    <t>Situación B: 
AcM</t>
  </si>
  <si>
    <t>Situación C</t>
  </si>
  <si>
    <t>Millones de dosis necesarias</t>
  </si>
  <si>
    <t>Los 5 años</t>
  </si>
  <si>
    <t>Media anual</t>
  </si>
  <si>
    <t>Costo del producto para el país (millones de dólares)</t>
  </si>
  <si>
    <t>Costo total del programa para el país (millones de dólares)</t>
  </si>
  <si>
    <t>Costo total del producto
País + Gavi/donante
 (millones de dólares)</t>
  </si>
  <si>
    <t>Costo total del programa
País + Gavi/donante
(millones de dólares)</t>
  </si>
  <si>
    <r>
      <rPr>
        <b/>
        <sz val="12"/>
        <color theme="1"/>
        <rFont val="Arial"/>
        <family val="2"/>
      </rPr>
      <t>Volumen de la cadena de frío por dosis (en millones de cm</t>
    </r>
    <r>
      <rPr>
        <b/>
        <vertAlign val="superscript"/>
        <sz val="12"/>
        <color theme="1"/>
        <rFont val="Arial"/>
        <family val="2"/>
      </rPr>
      <t>3</t>
    </r>
    <r>
      <rPr>
        <b/>
        <sz val="12"/>
        <color theme="1"/>
        <rFont val="Arial"/>
        <family val="2"/>
      </rPr>
      <t>)</t>
    </r>
  </si>
  <si>
    <t>NOTAS:</t>
  </si>
  <si>
    <t>El costo del producto incluye la adquisición de las vacunas/AcM, los suministros, la tramitación y el transporte. No incluye el costo incremental de la administración de vacunas/AcM.</t>
  </si>
  <si>
    <t xml:space="preserve">El costo para el país puede compensarse en parte mediante la ayuda económica que Gavi puede proporcionar en forma de subvenciones para la introducción de vacunas y subvenciones puntuales de otros donantes. </t>
  </si>
  <si>
    <t>RESULTADOS</t>
  </si>
  <si>
    <t>Intervención contra el VSR para embarazadas
 (vacuna materna)</t>
  </si>
  <si>
    <t>Intervención contra el VSR para bebés
 (AcM)</t>
  </si>
  <si>
    <t>Intervención contra el VSR, tanto la vacuna materna como el AcM</t>
  </si>
  <si>
    <t>Situación C: 
Vacuna materna y AcM</t>
  </si>
  <si>
    <t>Los dos, total</t>
  </si>
  <si>
    <t>Situación A: Vacuna materna</t>
  </si>
  <si>
    <t>Situación B: AcM</t>
  </si>
  <si>
    <t>Situación C: Vacuna materna y AcM</t>
  </si>
  <si>
    <t>Tamaño previsto de la población destinataria</t>
  </si>
  <si>
    <t>Total
para 5 años</t>
  </si>
  <si>
    <t>Número de dosis administradas</t>
  </si>
  <si>
    <t>Número de dosis administradas de la dosis 1</t>
  </si>
  <si>
    <t>Población ajustada al crecimiento de un año determinado * cobertura</t>
  </si>
  <si>
    <t>Número de dosis administradas de la dosis 2</t>
  </si>
  <si>
    <t>Receptor de la dosis 1 * cobertura de la dosis 2</t>
  </si>
  <si>
    <t>Número de dosis administradas de la dosis 3</t>
  </si>
  <si>
    <t>Receptor de la dosis 2 * cobertura de la dosis 3</t>
  </si>
  <si>
    <r>
      <rPr>
        <b/>
        <sz val="16"/>
        <color theme="0"/>
        <rFont val="Arial"/>
        <family val="2"/>
      </rPr>
      <t xml:space="preserve">Número total de dosis necesarias
</t>
    </r>
    <r>
      <rPr>
        <i/>
        <sz val="12"/>
        <color theme="0"/>
        <rFont val="Arial"/>
        <family val="2"/>
      </rPr>
      <t>incluye las dosis desperdiciadas y las dosis necesarias para mantener las existencias de reserva</t>
    </r>
  </si>
  <si>
    <t>Cantidad total de dosis de reserva necesarias</t>
  </si>
  <si>
    <t>Número de dosis administradas * % de existencias de reserva</t>
  </si>
  <si>
    <t xml:space="preserve">Cantidad total de dosis de reserva del año anterior </t>
  </si>
  <si>
    <t>Cantidad total de dosis de reserva necesarias para mantener las existencias de reserva</t>
  </si>
  <si>
    <r>
      <rPr>
        <b/>
        <sz val="16"/>
        <color theme="0"/>
        <rFont val="Arial"/>
        <family val="2"/>
      </rPr>
      <t>Volumen total de la cadena de frío necesario</t>
    </r>
    <r>
      <rPr>
        <b/>
        <sz val="12"/>
        <color theme="0"/>
        <rFont val="Arial"/>
        <family val="2"/>
      </rPr>
      <t xml:space="preserve">
</t>
    </r>
    <r>
      <rPr>
        <i/>
        <sz val="12"/>
        <color theme="0"/>
        <rFont val="Arial"/>
        <family val="2"/>
      </rPr>
      <t>en cm</t>
    </r>
    <r>
      <rPr>
        <i/>
        <vertAlign val="superscript"/>
        <sz val="12"/>
        <color theme="0"/>
        <rFont val="Arial"/>
        <family val="2"/>
      </rPr>
      <t>3</t>
    </r>
  </si>
  <si>
    <t>COSTO PARA EL PAÍS</t>
  </si>
  <si>
    <r>
      <rPr>
        <b/>
        <sz val="16"/>
        <color theme="0"/>
        <rFont val="Arial"/>
        <family val="2"/>
      </rPr>
      <t>Costo de la vacuna/AcM</t>
    </r>
    <r>
      <rPr>
        <b/>
        <sz val="12"/>
        <color theme="0"/>
        <rFont val="Arial"/>
        <family val="2"/>
      </rPr>
      <t xml:space="preserve">
</t>
    </r>
    <r>
      <rPr>
        <i/>
        <sz val="12"/>
        <color theme="0"/>
        <rFont val="Arial"/>
        <family val="2"/>
      </rPr>
      <t>Costo de la adquisición de las vacunas/AcM y de los suministros</t>
    </r>
  </si>
  <si>
    <r>
      <rPr>
        <b/>
        <sz val="16"/>
        <color theme="0"/>
        <rFont val="Arial"/>
        <family val="2"/>
      </rPr>
      <t>Costo del programa de vacunación</t>
    </r>
    <r>
      <rPr>
        <b/>
        <sz val="12"/>
        <color theme="0"/>
        <rFont val="Arial"/>
        <family val="2"/>
      </rPr>
      <t xml:space="preserve">
</t>
    </r>
    <r>
      <rPr>
        <i/>
        <sz val="12"/>
        <color theme="0"/>
        <rFont val="Arial"/>
        <family val="2"/>
      </rPr>
      <t>Costo de la vacuna/AcM + costos incrementales del sistema de salud</t>
    </r>
  </si>
  <si>
    <t>COSTO PARA EL PAÍS + GAVI/DONANTE</t>
  </si>
  <si>
    <r>
      <rPr>
        <sz val="10"/>
        <color rgb="FF3F4856"/>
        <rFont val="Arial"/>
        <family val="2"/>
      </rPr>
      <t xml:space="preserve">Calculadora de costos de la </t>
    </r>
    <r>
      <rPr>
        <b/>
        <sz val="10"/>
        <color rgb="FF3F4856"/>
        <rFont val="Arial"/>
        <family val="2"/>
      </rPr>
      <t>intervención contra el virus sincicial respiratorio (VSR)</t>
    </r>
    <r>
      <rPr>
        <sz val="10"/>
        <color rgb="FF3F4856"/>
        <rFont val="Arial"/>
        <family val="2"/>
      </rPr>
      <t xml:space="preserve"> </t>
    </r>
    <r>
      <rPr>
        <b/>
        <sz val="10"/>
        <color rgb="FF3F4856"/>
        <rFont val="Arial"/>
        <family val="2"/>
      </rPr>
      <t xml:space="preserve">para los países, elegibles o no, de Gavi </t>
    </r>
  </si>
  <si>
    <t>Resumen de resultados para 5 años</t>
  </si>
  <si>
    <t>Tenga en cuenta que las cifras de las escalas de los ejes horizontales/verticales son diferentes</t>
  </si>
  <si>
    <t>Resultados anuales</t>
  </si>
  <si>
    <t>COUNTRY COST</t>
  </si>
  <si>
    <t>5-year summary results</t>
  </si>
  <si>
    <t>Annual results</t>
  </si>
  <si>
    <t>Note that vertical axis scales are different by figure</t>
  </si>
  <si>
    <t>COUNTRY + GAVI COST</t>
  </si>
  <si>
    <t>Note that vertical axis scales are different by figure.</t>
  </si>
  <si>
    <t>Ejemplo de cálculo de población destinataria</t>
  </si>
  <si>
    <t xml:space="preserve">En este ejemplo se incluye la vacunación de temporada (parte 1) y los ajustes para tener en cuenta las ventanas de edad gestacional (parte 2). Estos cálculos se pueden completar de forma independiente. </t>
  </si>
  <si>
    <t>Países con transmisión por temporadas que están considerando recurrir a la vacunación de temporada.</t>
  </si>
  <si>
    <t>Si su país considera recurrir a la vacunación de temporada, será necesario proyectar una población destinataria para ésta. Para ello se requerirán datos claros que indiquen el patrón de transmisión de temporada.</t>
  </si>
  <si>
    <t>Si</t>
  </si>
  <si>
    <t xml:space="preserve">la población de mujeres embarazadas en un año determinado </t>
  </si>
  <si>
    <t>=</t>
  </si>
  <si>
    <t>Y</t>
  </si>
  <si>
    <t xml:space="preserve">el número de meses en el que se realizaría la vacunación de temporada contra el VSR </t>
  </si>
  <si>
    <t>Entonces</t>
  </si>
  <si>
    <t>la población destinataria aproximada en la temporada</t>
  </si>
  <si>
    <t>La ventana de vacunación para una vacuna materna probablemente se vea influida por el periodo gestacional recomendado.</t>
  </si>
  <si>
    <t xml:space="preserve"> Los países que también consideren recurrir a la vacunación dentro de una ventana gestacional restringida pueden plantearse ajustar la población destinataria como se indica a continuación.</t>
  </si>
  <si>
    <t>la proporción de población destinataria a la que se espera llegar durante una ventana de vacunación</t>
  </si>
  <si>
    <t xml:space="preserve">
 la población destinataria aproximada en la temporada
</t>
  </si>
  <si>
    <t>Los cálculos de ejemplo como estos se pueden utilizar con el fin de encontrar la "población destinataria" para la vacunación materna para transmisión de temporada o una ventana de edad gestacional en la pestaña "Datos del modelo".</t>
  </si>
  <si>
    <t>Producto y presentación</t>
  </si>
  <si>
    <t>Precio por dosis</t>
  </si>
  <si>
    <t>Dosis en el esquema</t>
  </si>
  <si>
    <t>Desperdicio</t>
  </si>
  <si>
    <t>Vacuna materna contra el VSR_3</t>
  </si>
  <si>
    <t>N.A.</t>
  </si>
  <si>
    <t>Anticuerpo monoclonal contra el VSR_2</t>
  </si>
  <si>
    <t>Anticuerpo monoclonal contra el VSR_3</t>
  </si>
  <si>
    <t>Fase de transición de Gavi</t>
  </si>
  <si>
    <t>Fase inicial de autofinanciación</t>
  </si>
  <si>
    <t>Intervenciones contra el VSR</t>
  </si>
  <si>
    <t>Note that horizontal/vertical axis scales are different by figure</t>
  </si>
  <si>
    <r>
      <t>COUNTRY + GAVI</t>
    </r>
    <r>
      <rPr>
        <b/>
        <sz val="14"/>
        <color rgb="FF0070C0"/>
        <rFont val="Calibri"/>
        <family val="2"/>
        <scheme val="minor"/>
      </rPr>
      <t>/DONOR</t>
    </r>
    <r>
      <rPr>
        <b/>
        <sz val="14"/>
        <rFont val="Calibri"/>
        <family val="2"/>
        <scheme val="minor"/>
      </rPr>
      <t xml:space="preserve"> COST</t>
    </r>
  </si>
  <si>
    <t>ON THE                              MENU</t>
  </si>
  <si>
    <t>OTHER PREQUALIFIED VACCINES NOT ON THE GAVI MENU</t>
  </si>
  <si>
    <t>The vaccines listed below are not offered by Gavi and are not listed in the country application portal.   The vaccines listed in this section are provided for information only.   The DPPs will be updated on a fixed schedule (approximately every 6 months) or with more frequency if required.</t>
  </si>
  <si>
    <t xml:space="preserve">The vaccines listed below are currently offered by Gavi and listed in the country application portal.   
</t>
  </si>
  <si>
    <r>
      <t>Vaccine group</t>
    </r>
    <r>
      <rPr>
        <vertAlign val="superscript"/>
        <sz val="14"/>
        <color rgb="FF000000"/>
        <rFont val="Calibri"/>
        <family val="2"/>
      </rPr>
      <t xml:space="preserve">1 </t>
    </r>
  </si>
  <si>
    <t>Rotavirus</t>
  </si>
  <si>
    <r>
      <t>Vaccine type</t>
    </r>
    <r>
      <rPr>
        <vertAlign val="superscript"/>
        <sz val="14"/>
        <color rgb="FF000000"/>
        <rFont val="Calibri"/>
        <family val="2"/>
      </rPr>
      <t xml:space="preserve">1 </t>
    </r>
  </si>
  <si>
    <t>RV1 (monovalent human rotavirus vaccine)</t>
  </si>
  <si>
    <t xml:space="preserve">RV5 (pentavalent human-bovine rotavirus vaccines) </t>
  </si>
  <si>
    <t>RV5 (pentavalent human-bovine reassortant rotavirus vaccine)</t>
  </si>
  <si>
    <r>
      <t>Serotypes</t>
    </r>
    <r>
      <rPr>
        <vertAlign val="superscript"/>
        <sz val="14"/>
        <color rgb="FF000000"/>
        <rFont val="Calibri"/>
        <family val="2"/>
      </rPr>
      <t>1</t>
    </r>
  </si>
  <si>
    <t>RIX4414</t>
  </si>
  <si>
    <t>116 E</t>
  </si>
  <si>
    <t>G1, G2, G3, G4, G9</t>
  </si>
  <si>
    <t>W179, SC2, W178, BrB, WC3</t>
  </si>
  <si>
    <r>
      <t>WHO recommended vaccine schedule</t>
    </r>
    <r>
      <rPr>
        <vertAlign val="superscript"/>
        <sz val="14"/>
        <color rgb="FF000000"/>
        <rFont val="Calibri"/>
        <family val="2"/>
      </rPr>
      <t>3</t>
    </r>
  </si>
  <si>
    <t>To be administered at the time of DTP1, DTP2 with an interval of at least 4 weeks between doses (2 doses)</t>
  </si>
  <si>
    <t>To be administered at the time of DTP1, DTP2 and DTP3 with an interval of at least 4 weeks between doses (3 doses)</t>
  </si>
  <si>
    <r>
      <t>Manufacturer</t>
    </r>
    <r>
      <rPr>
        <b/>
        <vertAlign val="superscript"/>
        <sz val="14"/>
        <color rgb="FF000000"/>
        <rFont val="Calibri"/>
        <family val="2"/>
      </rPr>
      <t>1</t>
    </r>
  </si>
  <si>
    <t>GlaxoSmithKline</t>
  </si>
  <si>
    <t>Bharat Biotech International</t>
  </si>
  <si>
    <t>Serum Institute of India Pvt Ltd</t>
  </si>
  <si>
    <t>Merck &amp; Co.</t>
  </si>
  <si>
    <r>
      <t>Vaccine trade name</t>
    </r>
    <r>
      <rPr>
        <b/>
        <vertAlign val="superscript"/>
        <sz val="14"/>
        <color rgb="FF000000"/>
        <rFont val="Calibri"/>
        <family val="2"/>
      </rPr>
      <t>1</t>
    </r>
  </si>
  <si>
    <r>
      <t>Rotarix</t>
    </r>
    <r>
      <rPr>
        <b/>
        <sz val="14"/>
        <color rgb="FF000000"/>
        <rFont val="Calibri"/>
        <family val="2"/>
      </rPr>
      <t>⁶</t>
    </r>
  </si>
  <si>
    <t>Rotavac</t>
  </si>
  <si>
    <t>Rotavac 5D</t>
  </si>
  <si>
    <t>Rotasiil</t>
  </si>
  <si>
    <t>Rotarix</t>
  </si>
  <si>
    <t>RotaTeq</t>
  </si>
  <si>
    <r>
      <t>Country of manufacture</t>
    </r>
    <r>
      <rPr>
        <vertAlign val="superscript"/>
        <sz val="14"/>
        <color rgb="FF000000"/>
        <rFont val="Calibri"/>
        <family val="2"/>
      </rPr>
      <t>1</t>
    </r>
  </si>
  <si>
    <t>Belgium</t>
  </si>
  <si>
    <t>India</t>
  </si>
  <si>
    <t>USA</t>
  </si>
  <si>
    <r>
      <t>National regulatory agency</t>
    </r>
    <r>
      <rPr>
        <vertAlign val="superscript"/>
        <sz val="14"/>
        <color rgb="FF000000"/>
        <rFont val="Calibri"/>
        <family val="2"/>
      </rPr>
      <t>1</t>
    </r>
  </si>
  <si>
    <t>FAMHP (Belgium)</t>
  </si>
  <si>
    <t>DCGI (India)</t>
  </si>
  <si>
    <t>DCGI  (India)</t>
  </si>
  <si>
    <t>FDA (USA)</t>
  </si>
  <si>
    <r>
      <t>Presentation (doses per container, primary container type, pharmaceutical form)</t>
    </r>
    <r>
      <rPr>
        <b/>
        <vertAlign val="superscript"/>
        <sz val="14"/>
        <color rgb="FF000000"/>
        <rFont val="Calibri"/>
        <family val="2"/>
      </rPr>
      <t>1</t>
    </r>
  </si>
  <si>
    <t>RV1, 1 dose/plastic tube, liquid</t>
  </si>
  <si>
    <t>RV1, 1 dose/plastic tube, liquid 
(multi-monodose presentation with 5 single tubes connected by a bar)</t>
  </si>
  <si>
    <t>RV1, 5 doses/vial, frozen</t>
  </si>
  <si>
    <t>RV1, 10 doses/vial, frozen</t>
  </si>
  <si>
    <r>
      <t>RV1, 1 dose/vial, liquid</t>
    </r>
    <r>
      <rPr>
        <b/>
        <sz val="14"/>
        <color rgb="FF000000"/>
        <rFont val="Calibri"/>
        <family val="2"/>
      </rPr>
      <t>⁷</t>
    </r>
  </si>
  <si>
    <r>
      <t>RV1, 5 doses/vial, liquid</t>
    </r>
    <r>
      <rPr>
        <b/>
        <sz val="14"/>
        <color rgb="FF000000"/>
        <rFont val="Calibri"/>
        <family val="2"/>
      </rPr>
      <t>⁷</t>
    </r>
  </si>
  <si>
    <t>RV5, 1 dose/vial, lyophilised</t>
  </si>
  <si>
    <t xml:space="preserve">RV5, 2 doses/vial, lyophilised </t>
  </si>
  <si>
    <r>
      <t>RV5, 1 dose/plastic tube, liquid
(strip of 5 tubes)</t>
    </r>
    <r>
      <rPr>
        <b/>
        <sz val="14"/>
        <color rgb="FF000000"/>
        <rFont val="Calibri"/>
        <family val="2"/>
      </rPr>
      <t>⁸</t>
    </r>
  </si>
  <si>
    <t>1 dose applicator and vial, liquid</t>
  </si>
  <si>
    <t>RV5, 1 dose/plastic tube, liquid</t>
  </si>
  <si>
    <r>
      <t>Product availability 2020</t>
    </r>
    <r>
      <rPr>
        <vertAlign val="superscript"/>
        <sz val="14"/>
        <color rgb="FF000000"/>
        <rFont val="Calibri"/>
        <family val="2"/>
      </rPr>
      <t>2</t>
    </r>
  </si>
  <si>
    <t>needs planning</t>
  </si>
  <si>
    <r>
      <t>limited supply</t>
    </r>
    <r>
      <rPr>
        <sz val="14"/>
        <rFont val="Calibri"/>
        <family val="2"/>
      </rPr>
      <t>⁹</t>
    </r>
  </si>
  <si>
    <t>TBD</t>
  </si>
  <si>
    <t>n/a</t>
  </si>
  <si>
    <t>Routine and/or campaign</t>
  </si>
  <si>
    <t>routine</t>
  </si>
  <si>
    <r>
      <t>2020 price per dose (USD/EUR)</t>
    </r>
    <r>
      <rPr>
        <vertAlign val="superscript"/>
        <sz val="14"/>
        <color rgb="FF000000"/>
        <rFont val="Calibri"/>
        <family val="2"/>
      </rPr>
      <t>4,6</t>
    </r>
  </si>
  <si>
    <r>
      <t>2020 price per dose (USD)</t>
    </r>
    <r>
      <rPr>
        <vertAlign val="superscript"/>
        <sz val="14"/>
        <color rgb="FF000000"/>
        <rFont val="Calibri"/>
        <family val="2"/>
      </rPr>
      <t>4</t>
    </r>
  </si>
  <si>
    <t>Doses per fully immunised person</t>
  </si>
  <si>
    <r>
      <t xml:space="preserve">2020 price per fully immunised person (USD) </t>
    </r>
    <r>
      <rPr>
        <vertAlign val="superscript"/>
        <sz val="14"/>
        <color rgb="FF000000"/>
        <rFont val="Calibri"/>
        <family val="2"/>
      </rPr>
      <t>4</t>
    </r>
  </si>
  <si>
    <r>
      <t>Indicative wastage rate</t>
    </r>
    <r>
      <rPr>
        <vertAlign val="superscript"/>
        <sz val="14"/>
        <color rgb="FF000000"/>
        <rFont val="Calibri"/>
        <family val="2"/>
      </rPr>
      <t>5</t>
    </r>
  </si>
  <si>
    <r>
      <t>Country specific actual wastage rate (</t>
    </r>
    <r>
      <rPr>
        <b/>
        <sz val="14"/>
        <color rgb="FF000000"/>
        <rFont val="Calibri"/>
        <family val="2"/>
      </rPr>
      <t>input required</t>
    </r>
    <r>
      <rPr>
        <sz val="14"/>
        <color rgb="FF000000"/>
        <rFont val="Calibri"/>
        <family val="2"/>
      </rPr>
      <t>)</t>
    </r>
    <r>
      <rPr>
        <vertAlign val="superscript"/>
        <sz val="14"/>
        <color rgb="FF000000"/>
        <rFont val="Calibri"/>
        <family val="2"/>
      </rPr>
      <t>4</t>
    </r>
  </si>
  <si>
    <r>
      <t>2020 wastage adjusted price per fully immunised person (USD)</t>
    </r>
    <r>
      <rPr>
        <sz val="14"/>
        <color rgb="FF000000"/>
        <rFont val="Calibri"/>
        <family val="2"/>
      </rPr>
      <t>⁴</t>
    </r>
    <r>
      <rPr>
        <vertAlign val="superscript"/>
        <sz val="14"/>
        <color rgb="FF000000"/>
        <rFont val="Calibri"/>
        <family val="2"/>
      </rPr>
      <t>,</t>
    </r>
    <r>
      <rPr>
        <sz val="14"/>
        <color rgb="FF000000"/>
        <rFont val="Calibri"/>
        <family val="2"/>
      </rPr>
      <t xml:space="preserve"> ⁵</t>
    </r>
  </si>
  <si>
    <r>
      <t>2020 wastage adjusted price per fully immunised person (USD)</t>
    </r>
    <r>
      <rPr>
        <vertAlign val="superscript"/>
        <sz val="14"/>
        <color rgb="FF000000"/>
        <rFont val="Calibri"/>
        <family val="2"/>
      </rPr>
      <t>4  ⁵</t>
    </r>
  </si>
  <si>
    <r>
      <t>WHO PQ-date</t>
    </r>
    <r>
      <rPr>
        <vertAlign val="superscript"/>
        <sz val="14"/>
        <color rgb="FF000000"/>
        <rFont val="Calibri"/>
        <family val="2"/>
      </rPr>
      <t>1</t>
    </r>
  </si>
  <si>
    <t>Prequalification expected in Q1 2020</t>
  </si>
  <si>
    <t>Prequalification expected in Q3 2020</t>
  </si>
  <si>
    <r>
      <t>Administration</t>
    </r>
    <r>
      <rPr>
        <vertAlign val="superscript"/>
        <sz val="14"/>
        <color rgb="FF000000"/>
        <rFont val="Calibri"/>
        <family val="2"/>
      </rPr>
      <t>1</t>
    </r>
  </si>
  <si>
    <t>Oral</t>
  </si>
  <si>
    <t>per oral</t>
  </si>
  <si>
    <r>
      <t>Secondary packaging</t>
    </r>
    <r>
      <rPr>
        <vertAlign val="superscript"/>
        <sz val="14"/>
        <color rgb="FF000000"/>
        <rFont val="Calibri"/>
        <family val="2"/>
      </rPr>
      <t>1</t>
    </r>
  </si>
  <si>
    <r>
      <rPr>
        <sz val="14"/>
        <color rgb="FF808080"/>
        <rFont val="Calibri"/>
        <family val="2"/>
      </rPr>
      <t xml:space="preserve">1, 10 </t>
    </r>
    <r>
      <rPr>
        <sz val="14"/>
        <color rgb="FF000000"/>
        <rFont val="Calibri"/>
        <family val="2"/>
      </rPr>
      <t>or 50 doses per carton*</t>
    </r>
  </si>
  <si>
    <t>50 doses per carton</t>
  </si>
  <si>
    <t>Carton of 25 vials (125 doses)</t>
  </si>
  <si>
    <t>Carton of 30 vials (300 doses)</t>
  </si>
  <si>
    <t>Carton of 36 vials (36 doses)</t>
  </si>
  <si>
    <t>Carton of 50 vials of lyophilized product (50 doses) + Carton of 50 vials of diluent</t>
  </si>
  <si>
    <t>Carton of 50 vials of lyophilized product (100 doses) + Carton of 50 vials of diluent (100 doses)</t>
  </si>
  <si>
    <t>Carton of 10 strips of 5 tubes each (50 doses)</t>
  </si>
  <si>
    <t>1 or 10 doses per carton</t>
  </si>
  <si>
    <r>
      <rPr>
        <sz val="14"/>
        <color rgb="FF808080"/>
        <rFont val="Calibri"/>
        <family val="2"/>
      </rPr>
      <t>10</t>
    </r>
    <r>
      <rPr>
        <sz val="14"/>
        <color rgb="FF000000"/>
        <rFont val="Calibri"/>
        <family val="2"/>
      </rPr>
      <t xml:space="preserve"> or 25 doses per carton*</t>
    </r>
  </si>
  <si>
    <r>
      <t>Shelf-life</t>
    </r>
    <r>
      <rPr>
        <vertAlign val="superscript"/>
        <sz val="14"/>
        <color rgb="FF000000"/>
        <rFont val="Calibri"/>
        <family val="2"/>
      </rPr>
      <t>1</t>
    </r>
  </si>
  <si>
    <t>24 months at 2 - 8 °C</t>
  </si>
  <si>
    <t xml:space="preserve">60 months at -20 °C, 6 months at 2-8 °C post thaw </t>
  </si>
  <si>
    <t>24 months at 2-8°C</t>
  </si>
  <si>
    <t xml:space="preserve">30 months at 2-8 °C </t>
  </si>
  <si>
    <t xml:space="preserve">24 months at 2-8 °C </t>
  </si>
  <si>
    <t>36 months at 2 - 8 °C</t>
  </si>
  <si>
    <r>
      <t>Cold chain volume per dose (cm</t>
    </r>
    <r>
      <rPr>
        <vertAlign val="superscript"/>
        <sz val="14"/>
        <color rgb="FF000000"/>
        <rFont val="Calibri"/>
        <family val="2"/>
      </rPr>
      <t>3</t>
    </r>
    <r>
      <rPr>
        <sz val="14"/>
        <color rgb="FF000000"/>
        <rFont val="Calibri"/>
        <family val="2"/>
      </rPr>
      <t>)</t>
    </r>
    <r>
      <rPr>
        <vertAlign val="superscript"/>
        <sz val="14"/>
        <color rgb="FF000000"/>
        <rFont val="Calibri"/>
        <family val="2"/>
      </rPr>
      <t>1</t>
    </r>
  </si>
  <si>
    <r>
      <rPr>
        <sz val="14"/>
        <color rgb="FF808080"/>
        <rFont val="Calibri"/>
        <family val="2"/>
      </rPr>
      <t>in one dose carton: 115.3 cm</t>
    </r>
    <r>
      <rPr>
        <vertAlign val="superscript"/>
        <sz val="14"/>
        <color rgb="FF808080"/>
        <rFont val="Calibri"/>
        <family val="2"/>
      </rPr>
      <t>3</t>
    </r>
    <r>
      <rPr>
        <sz val="14"/>
        <color rgb="FF808080"/>
        <rFont val="Calibri"/>
        <family val="2"/>
      </rPr>
      <t xml:space="preserve">
in 10 dose carton: 43.3 cm</t>
    </r>
    <r>
      <rPr>
        <vertAlign val="superscript"/>
        <sz val="14"/>
        <color rgb="FF808080"/>
        <rFont val="Calibri"/>
        <family val="2"/>
      </rPr>
      <t>3</t>
    </r>
    <r>
      <rPr>
        <sz val="14"/>
        <color rgb="FF000000"/>
        <rFont val="Calibri"/>
        <family val="2"/>
      </rPr>
      <t xml:space="preserve">
in 50 dose carton: 17.12 cm</t>
    </r>
    <r>
      <rPr>
        <vertAlign val="superscript"/>
        <sz val="14"/>
        <color rgb="FF000000"/>
        <rFont val="Calibri"/>
        <family val="2"/>
      </rPr>
      <t>3*</t>
    </r>
  </si>
  <si>
    <r>
      <t>in 50 dose carton: 11.8 cm</t>
    </r>
    <r>
      <rPr>
        <sz val="14"/>
        <color rgb="FF000000"/>
        <rFont val="Calibri"/>
        <family val="2"/>
      </rPr>
      <t>³</t>
    </r>
  </si>
  <si>
    <r>
      <rPr>
        <sz val="14"/>
        <color rgb="FF808080"/>
        <rFont val="Calibri"/>
        <family val="2"/>
      </rPr>
      <t xml:space="preserve">
</t>
    </r>
    <r>
      <rPr>
        <sz val="14"/>
        <color rgb="FF000000"/>
        <rFont val="Calibri"/>
        <family val="2"/>
      </rPr>
      <t xml:space="preserve">4.2 cm³
</t>
    </r>
  </si>
  <si>
    <t xml:space="preserve"> 3.2 cm³</t>
  </si>
  <si>
    <t>16 cm³</t>
  </si>
  <si>
    <t>17.6 cm³ [the diluent can be stored at ambient temperature; if the diluent is also stored in the cold chain volume per dose is 35.2 cm³]</t>
  </si>
  <si>
    <t>10.5 cm³ [the diluent can be stored at ambient temperature; if the diluent is also stored in the cold chain volume per dose is 21.1 cm³]</t>
  </si>
  <si>
    <r>
      <t>19.827cm</t>
    </r>
    <r>
      <rPr>
        <sz val="14"/>
        <color rgb="FF000000"/>
        <rFont val="Calibri"/>
        <family val="2"/>
      </rPr>
      <t>³</t>
    </r>
  </si>
  <si>
    <r>
      <t>in one dose carton 134 cm</t>
    </r>
    <r>
      <rPr>
        <vertAlign val="superscript"/>
        <sz val="14"/>
        <color rgb="FF000000"/>
        <rFont val="Calibri"/>
        <family val="2"/>
      </rPr>
      <t>3</t>
    </r>
    <r>
      <rPr>
        <sz val="14"/>
        <color rgb="FF000000"/>
        <rFont val="Calibri"/>
        <family val="2"/>
      </rPr>
      <t xml:space="preserve">
in ten dose carton 85.3 cm</t>
    </r>
    <r>
      <rPr>
        <vertAlign val="superscript"/>
        <sz val="14"/>
        <color rgb="FF000000"/>
        <rFont val="Calibri"/>
        <family val="2"/>
      </rPr>
      <t>3</t>
    </r>
  </si>
  <si>
    <r>
      <rPr>
        <sz val="14"/>
        <color rgb="FF808080"/>
        <rFont val="Calibri"/>
        <family val="2"/>
      </rPr>
      <t>in carton of 10 doses : 75.3 cm</t>
    </r>
    <r>
      <rPr>
        <vertAlign val="superscript"/>
        <sz val="14"/>
        <color rgb="FF808080"/>
        <rFont val="Calibri"/>
        <family val="2"/>
      </rPr>
      <t>3</t>
    </r>
    <r>
      <rPr>
        <sz val="14"/>
        <color rgb="FF000000"/>
        <rFont val="Calibri"/>
        <family val="2"/>
      </rPr>
      <t xml:space="preserve">
in carton of 25 doses : 46.3 cm</t>
    </r>
    <r>
      <rPr>
        <vertAlign val="superscript"/>
        <sz val="14"/>
        <color rgb="FF000000"/>
        <rFont val="Calibri"/>
        <family val="2"/>
      </rPr>
      <t>3*</t>
    </r>
  </si>
  <si>
    <r>
      <t>Cold chain volume per fully immunised person  (cm³)</t>
    </r>
    <r>
      <rPr>
        <sz val="14"/>
        <color rgb="FF000000"/>
        <rFont val="Calibri"/>
        <family val="2"/>
      </rPr>
      <t xml:space="preserve">¹ </t>
    </r>
  </si>
  <si>
    <t>In cartons of 50 doses: 34.2 cm³</t>
  </si>
  <si>
    <t>In cartons of 50 doses: 23.6 cm³</t>
  </si>
  <si>
    <r>
      <rPr>
        <sz val="14"/>
        <color rgb="FF808080"/>
        <rFont val="Calibri"/>
        <family val="2"/>
      </rPr>
      <t xml:space="preserve">
</t>
    </r>
    <r>
      <rPr>
        <sz val="14"/>
        <color rgb="FF000000"/>
        <rFont val="Calibri"/>
        <family val="2"/>
      </rPr>
      <t xml:space="preserve">12.6 cm³
</t>
    </r>
  </si>
  <si>
    <t>9.6 cm³</t>
  </si>
  <si>
    <t>48 cm³</t>
  </si>
  <si>
    <t>52.7 cm³ [the diluent can be stored at ambient temperature; if the diluent is also stored in the cold chain volume per dose is 105.5 cm³]</t>
  </si>
  <si>
    <t xml:space="preserve"> 31.6 cm³ [the diluent can be stored at ambient temperature; if the diluent is also stored in the cold chain volume per dose is 63.3 cm³]</t>
  </si>
  <si>
    <r>
      <t>59.481cm</t>
    </r>
    <r>
      <rPr>
        <sz val="14"/>
        <color rgb="FF000000"/>
        <rFont val="Calibri"/>
        <family val="2"/>
      </rPr>
      <t>³</t>
    </r>
  </si>
  <si>
    <r>
      <t>Cold chain volume per course  (cm³)</t>
    </r>
    <r>
      <rPr>
        <sz val="14"/>
        <color rgb="FF000000"/>
        <rFont val="Calibri"/>
        <family val="2"/>
      </rPr>
      <t xml:space="preserve">¹ </t>
    </r>
  </si>
  <si>
    <r>
      <t>in one dose carton 268 cm</t>
    </r>
    <r>
      <rPr>
        <vertAlign val="superscript"/>
        <sz val="14"/>
        <color rgb="FF000000"/>
        <rFont val="Calibri"/>
        <family val="2"/>
      </rPr>
      <t>3</t>
    </r>
    <r>
      <rPr>
        <sz val="14"/>
        <color rgb="FF000000"/>
        <rFont val="Calibri"/>
        <family val="2"/>
      </rPr>
      <t xml:space="preserve">
in ten dose carton 170.6 cm</t>
    </r>
    <r>
      <rPr>
        <vertAlign val="superscript"/>
        <sz val="14"/>
        <color rgb="FF000000"/>
        <rFont val="Calibri"/>
        <family val="2"/>
      </rPr>
      <t>3</t>
    </r>
  </si>
  <si>
    <t>In cartons of 25 doses: 138.9 cm³</t>
  </si>
  <si>
    <r>
      <t xml:space="preserve">Wastage adjusted cold chain volume per fully immunised person  (cm³)¹ </t>
    </r>
    <r>
      <rPr>
        <sz val="14"/>
        <color rgb="FF000000"/>
        <rFont val="Calibri"/>
        <family val="2"/>
      </rPr>
      <t>⁵</t>
    </r>
    <r>
      <rPr>
        <sz val="14"/>
        <color rgb="FF000000"/>
        <rFont val="Calibri"/>
        <family val="2"/>
      </rPr>
      <t xml:space="preserve"> </t>
    </r>
  </si>
  <si>
    <t>36.0 cm³</t>
  </si>
  <si>
    <t>24.8 cm³</t>
  </si>
  <si>
    <r>
      <rPr>
        <sz val="14"/>
        <color rgb="FF808080"/>
        <rFont val="Calibri"/>
        <family val="2"/>
      </rPr>
      <t xml:space="preserve">
</t>
    </r>
    <r>
      <rPr>
        <sz val="14"/>
        <color rgb="FF000000"/>
        <rFont val="Calibri"/>
        <family val="2"/>
      </rPr>
      <t xml:space="preserve">18 cm³
</t>
    </r>
  </si>
  <si>
    <t xml:space="preserve"> 19.2 cm³</t>
  </si>
  <si>
    <t>50.5 cm³</t>
  </si>
  <si>
    <t>14 cm³</t>
  </si>
  <si>
    <t>55.5 cm³ [the diluent can be stored at ambient temperature; if the diluent is also stored in the cold chain volume per dose is 111.0 cm³]</t>
  </si>
  <si>
    <t xml:space="preserve"> 35.2 cm³ [the diluent can be stored at ambient temperature; if the diluent is also stored in the cold chain volume per dose is 70.3 cm³]</t>
  </si>
  <si>
    <r>
      <t>62.61cm</t>
    </r>
    <r>
      <rPr>
        <sz val="14"/>
        <color rgb="FF000000"/>
        <rFont val="Calibri"/>
        <family val="2"/>
      </rPr>
      <t>³</t>
    </r>
  </si>
  <si>
    <t xml:space="preserve">Wastage adjusted cold chain volume per course  (cm³)¹ </t>
  </si>
  <si>
    <t>146.2 cm³</t>
  </si>
  <si>
    <r>
      <t>Vaccine vial monitor type</t>
    </r>
    <r>
      <rPr>
        <vertAlign val="superscript"/>
        <sz val="14"/>
        <color rgb="FF000000"/>
        <rFont val="Calibri"/>
        <family val="2"/>
      </rPr>
      <t>1</t>
    </r>
  </si>
  <si>
    <t>Type 7</t>
  </si>
  <si>
    <t>Type 2</t>
  </si>
  <si>
    <t>Type 30</t>
  </si>
  <si>
    <t>Type 14</t>
  </si>
  <si>
    <t xml:space="preserve">None </t>
  </si>
  <si>
    <r>
      <t>Handling open vials</t>
    </r>
    <r>
      <rPr>
        <vertAlign val="superscript"/>
        <sz val="14"/>
        <color rgb="FF000000"/>
        <rFont val="Calibri"/>
        <family val="2"/>
      </rPr>
      <t>1</t>
    </r>
  </si>
  <si>
    <t>WHO recommends that opened vials of this vaccine should be discarded 6 hours after opening or at the end of the immunization session, whichever comes first</t>
  </si>
  <si>
    <t>WHO recommends that opened vials of this vaccine should be discarded 6 hours after opening or at the end of the immunization session, whichever comes first.</t>
  </si>
  <si>
    <t>Opened vials of this vaccine should be discarded 6 hours after opening or at the end of the immunization session, whichever comes first.</t>
  </si>
  <si>
    <t>Controlled Temperature Chain (CTC)¹</t>
  </si>
  <si>
    <r>
      <t>WHO PQ link</t>
    </r>
    <r>
      <rPr>
        <vertAlign val="superscript"/>
        <sz val="14"/>
        <color rgb="FF000000"/>
        <rFont val="Calibri"/>
        <family val="2"/>
      </rPr>
      <t>1</t>
    </r>
  </si>
  <si>
    <t>https://extranet.who.int/gavi/PQ_Web/PreviewVaccine.aspx?nav=0&amp;ID=62</t>
  </si>
  <si>
    <t>https://extranet.who.int/gavi/PQ_Web/PreviewVaccine.aspx?nav=0&amp;ID=363</t>
  </si>
  <si>
    <t>https://extranet.who.int/gavi/PQ_Web/PreviewVaccine.aspx?nav=0&amp;ID=314</t>
  </si>
  <si>
    <t>https://extranet.who.int/gavi/PQ_Web/PreviewVaccine.aspx?nav=0&amp;ID=343</t>
  </si>
  <si>
    <t>https://extranet.who.int/gavi/PQ_Web/PreviewVaccine.aspx?nav=0&amp;ID=323</t>
  </si>
  <si>
    <t>https://extranet.who.int/gavi/PQ_Web/PreviewVaccine.aspx?nav=0&amp;ID=355</t>
  </si>
  <si>
    <t>https://extranet.who.int/gavi/PQ_Web/PreviewVaccine.aspx?nav=0&amp;ID=173</t>
  </si>
  <si>
    <t>https://extranet.who.int/gavi/PQ_Web/PreviewVaccine.aspx?nav=0&amp;ID=166</t>
  </si>
  <si>
    <r>
      <t>Remarks WHO</t>
    </r>
    <r>
      <rPr>
        <vertAlign val="superscript"/>
        <sz val="14"/>
        <color rgb="FF000000"/>
        <rFont val="Calibri"/>
        <family val="2"/>
      </rPr>
      <t>1</t>
    </r>
  </si>
  <si>
    <t>Stability data indicates that vaccine can be stored at 2-8°C until discard point of VVM2. (at 5°C, the VVM2 discard point is 225 days). For the delivery to PAHO, without VVM, a maximum storage of 6 months at 2-8°C</t>
  </si>
  <si>
    <t xml:space="preserve">Stability data indicates that vaccine can be stored at 2-8°C until discard point of VVM2. (at 5°C, the VVM2 discard point is 225 days). For the delivery to PAHO, without VVM, a maximum storage of 6 months at 2-8°C </t>
  </si>
  <si>
    <t>Notes</t>
  </si>
  <si>
    <t>ROTAVAC® can be subjected to 6 freeze- thaw cycles</t>
  </si>
  <si>
    <r>
      <t xml:space="preserve">The shelf-life of diluent is 60 months at 2 to 8°C. The diluent should not be frozen.
</t>
    </r>
    <r>
      <rPr>
        <b/>
        <sz val="14"/>
        <color rgb="FF000000"/>
        <rFont val="Calibri"/>
        <family val="2"/>
      </rPr>
      <t>ROTASIIL vaccine, diluent, adapter and syringe (Applicator) will each be supplied in separate shippers.</t>
    </r>
  </si>
  <si>
    <r>
      <t xml:space="preserve">The shelf-life of diluent is 60 months at 2 to 8°C. The diluent should not be frozen.
</t>
    </r>
    <r>
      <rPr>
        <b/>
        <sz val="14"/>
        <color rgb="FF000000"/>
        <rFont val="Calibri"/>
        <family val="2"/>
      </rPr>
      <t>ROTASIIL vaccine, diluent, adapter and syringe (Applicator) will each be supplied in separate shippers.</t>
    </r>
    <r>
      <rPr>
        <sz val="14"/>
        <color rgb="FF000000"/>
        <rFont val="Calibri"/>
        <family val="2"/>
      </rPr>
      <t xml:space="preserve"> For dosage administration purpose of 2 dose presentation, the number of syringes (Applicators) supply will be 2400 in a shipment of 1200 vials.</t>
    </r>
  </si>
  <si>
    <t>1 Source: WHO PQ webpage: WHO updates these webpages as new information on products becomes available. Please refer to these pages (WHO PQ link) for the most up-to-date information. For presentations not yet WHO prequalified, data is based on discussions with manufacturers and partners in 2017.</t>
  </si>
  <si>
    <t>2 Source: UNICEF PRODUCT MENU FOR VACCINES SUPPLIED BY UNICEF FOR GAVI, THE VACCINE ALLIANCE (https://www.unicef.org/supply/files/Product_Menu_08_January_2018.pdf)</t>
  </si>
  <si>
    <t>3 Source: WHO position paper: http://www.who.int/immunization/documents/positionpapers/en/</t>
  </si>
  <si>
    <t xml:space="preserve">4 Source: Gavi Secretariat, see definitions tab for details </t>
  </si>
  <si>
    <t>5 Source: Review of WHO indicative vaccine wastage rate assumptions, 2017</t>
  </si>
  <si>
    <t>6 For products priced in EURO, the actual price to countries will be in US$ based on the UN exchange rate US$/EURO on the date of payment of supplier's invoice</t>
  </si>
  <si>
    <t>7 The price of this presentation is an indicative estimation for budgeting purposes. It will be updated once a public information is available.</t>
  </si>
  <si>
    <t>8 The price of this presentation is indicative, based on a public announcement by the manufacturer regarding the price of the lyophilized version of the same product. It is provided for budgeting purposes and it will be updated once a public information is available.</t>
  </si>
  <si>
    <t>9 Supply of this presentation will be available starting September 2019</t>
  </si>
  <si>
    <t>* This secondary packaging is procured for Gavi countries by UNICEF. For this presentation, the secondary packaging without an asterisk in grey font is not procured on behalf of Gavi.</t>
  </si>
  <si>
    <t>Disclaimer</t>
  </si>
  <si>
    <t>Latest info on maternal vaccine from Gavi (6 May 2026)</t>
  </si>
  <si>
    <t>Doses per vial</t>
  </si>
  <si>
    <t>3 doses/2ml vial (expected for the multi-dose vial)</t>
  </si>
  <si>
    <t>Cold chain volume per dose</t>
  </si>
  <si>
    <t>smallest cold chain per dose (2 separtate 25-packs):</t>
  </si>
  <si>
    <t>86X86X41 MM</t>
  </si>
  <si>
    <t>Accelerated transition</t>
  </si>
  <si>
    <t>Introduction or Switch</t>
  </si>
  <si>
    <t>Gavi guidance on introductory price fraction for AT</t>
  </si>
  <si>
    <t>Application year</t>
  </si>
  <si>
    <t>Introductory price fraction</t>
  </si>
  <si>
    <t>As applied to other vaccines</t>
  </si>
  <si>
    <t>7 and 8</t>
  </si>
  <si>
    <t>Fully Self finanicng</t>
  </si>
  <si>
    <t>Y1</t>
  </si>
  <si>
    <t>Y2</t>
  </si>
  <si>
    <t>Y3</t>
  </si>
  <si>
    <t>Y4</t>
  </si>
  <si>
    <t>Y5</t>
  </si>
  <si>
    <t>Y6</t>
  </si>
  <si>
    <t>Y7</t>
  </si>
  <si>
    <t>Y8</t>
  </si>
  <si>
    <t>Y9</t>
  </si>
  <si>
    <t>Transición preparatoria</t>
  </si>
  <si>
    <t>Transición acelerada</t>
  </si>
  <si>
    <t>Nueva introducción</t>
  </si>
  <si>
    <t>Cambio de producto</t>
  </si>
  <si>
    <t xml:space="preserve">► Seleccione la situación y la(s) población(es) destinataria(s) utilizando el menú desplegable. </t>
  </si>
  <si>
    <t>► Introduzca la información relacionada con el año inicial que quiere analizar, teniendo en cuenta que este será el primer año de un programa de 5 años.</t>
  </si>
  <si>
    <t xml:space="preserve">► Introduzca el tamaño de la población destinataria para la(s) intervención(es) seleccionada(s). Si solo se selecciona la situación A [vacuna materna], complete solo la columna E. Si solo se selecciona la situación B [AcM], complete solo la columna H. Si se selecciona la situación C [vacuna materna y AcM], complete solo la columna K. En el caso de la situación C, está previsto que solo cumplan los requisitos para AcM los bebés cuyas madres no están vacunadas, y la columna L se calculará automáticamente. </t>
  </si>
  <si>
    <t>► Introduzca la tasa anual de crecimiento de la población prevista durante el periodo de análisis.</t>
  </si>
  <si>
    <t xml:space="preserve">► Introduzca la cobertura de intervención prevista para cada año. Para aproximar la cobertura de la vacuna materna, utilice tasas basadas en la vacuna contra el tétanos y la difteria (Td) o APN 4. Para aproximar la cobertura de los AcM, utilice las tasas para otro antígeno de dosis de nacimiento como la hepatitis B o el bacilo de Calmette-Guérin. También puede utilizar objetivos de estimación de la cobertura o estimaciones previstas de la cobertura. Tenga en cuenta que esto afectará el número de dosis necesarias. </t>
  </si>
  <si>
    <t>Fracción del precio aplicada a otras vacunas de la cartera en el año de introducción.</t>
  </si>
  <si>
    <t>► Indique si su país reúne actualmente los requisitos para recibir financiación de Gavi utilizando el menú desplegable.
► Indique si su país se encuentra actualmente en la fase inicial de autofinanciación, en la fase de transición preparatoria o en la fase de transición acelerada de Gavi.
► Si su país se encuentra en la fase inicial de autofinanciación de Gavi, los cálculos de la cofinanciación se realizarán automáticamente y mostrarán el importe de cofinanciación por dosis conforme a la política ELTRACO de Gavi.
► Si su país se encuentra en la fase de transición preparatoria o de transición acelerada, indique el porcentaje de cofinanciación de su país aplicado a otras vacunas de la cartera durante el año de introducción o de cambio de producto. Si desconoce dicho porcentaje, póngase en contacto con su gerente nacional sénior (*Senior Country Manager*) de Gavi para obtener esta información.
► Si su país se encuentra en la fase de transición acelerada, indique si tiene previsto introducir una nueva vacuna o cambiar el producto utilizado en un programa de vacunación existente. A continuación, indique el año en que su país estará en la fase de transición acelerada al iniciar el nuevo programa de vacunación o al realizar el cambio de producto.</t>
  </si>
  <si>
    <r>
      <t xml:space="preserve">La </t>
    </r>
    <r>
      <rPr>
        <b/>
        <sz val="14"/>
        <color rgb="FF20242B"/>
        <rFont val="Arial"/>
        <family val="2"/>
      </rPr>
      <t>calculadora de costos de la intervención contra el VSR</t>
    </r>
    <r>
      <rPr>
        <sz val="14"/>
        <color rgb="FF20242B"/>
        <rFont val="Arial"/>
        <family val="2"/>
      </rPr>
      <t xml:space="preserve"> es una herramienta sencilla para evaluar y comparar los costos financieros de las intervenciones contra el VSR infantil. Su finalidad es ayudar a los responsables de formular políticas a nivel nacional a calcular los costos de los programas de vacunación y a comparar los productos para la vacuna materna contra el VSR (que se administra durante el embarazo) y los anticuerpos monoclonales (AcM) contra el VSR (que se administra a los bebés). Cualquier país puede utilizar la herramienta, independientemente de la elegibilidad de cofinanciación para los países que cumplen los requisitos de Gavi, la Alianza para la Vacunación. La herramienta puede explorar tres situaciones distintas: A) solo vacunas maternas; B) solo AcM; y C) vacuna materna y AcM. Para las situaciones A y B, los usuarios pueden elegir una o más opciones de productos. En el caso de la situación C, los usuarios pueden elegir una vacuna materna y un AcM. 
La herramienta calcula el volumen anticipado de la cadena de frío y los costos anuales y durante un periodo total de cinco años. Los cálculos de los costos de los productos (es decir, la adquisición de suministros y los envíos internacionales) y los costos de los programas de vacunación (por ejemplo, el costo de la administración) se proporcionan por separado para la perspectiva del país (solo representa lo que se paga del presupuesto del país) y la perspectiva conjunta de los países y el donante/Gavi (representa las subvenciones de cofinanciación y soporte de Gavi). Todos los datos de los costos se presentan en dólares. Si se desea utilizar la moneda local, la conversión de la divisa se deberá realizar de forma independiente antes de ingresar los valores en los campos correspondientes. </t>
    </r>
  </si>
  <si>
    <t>*Si está previsto que su país pase de la fase inicial de financiación a la fase de transición preparatoria durante el periodo de 5 años, póngase en contacto con HEOR@path.org para evaluar cómo ajustar el modelo.</t>
  </si>
  <si>
    <t>Indique si está planificando la introducción de una nueva vacuna contra el VSR o un cambio de producto en un programa de vacunación contra el VSR ya existente.</t>
  </si>
  <si>
    <t>¿Está planificando la introducción de una nueva vacuna contra el VSR o un cambio de producto?</t>
  </si>
  <si>
    <t>Si seleccionó "Transición acelerada", indique en qué año de esta fase se encontrará su país al iniciar el programa de vacunación contra el VSR o al cambiar de producto. Este valor debe estar comprendido entre 1 y 8.
NOTA: Este campo no se utiliza en los cálculos de resultados si seleccionó "Fase inicial de autofinanciación" o "Transición preparatoria" anteriormente.</t>
  </si>
  <si>
    <r>
      <t xml:space="preserve">Calculadora de costos de la </t>
    </r>
    <r>
      <rPr>
        <b/>
        <sz val="11"/>
        <color rgb="FF3F4856"/>
        <rFont val="Arial"/>
        <family val="2"/>
      </rPr>
      <t>intervención contra el virus sincitial respiratorio (VSR)</t>
    </r>
    <r>
      <rPr>
        <sz val="11"/>
        <color rgb="FF3F4856"/>
        <rFont val="Arial"/>
        <family val="2"/>
      </rPr>
      <t xml:space="preserve"> </t>
    </r>
    <r>
      <rPr>
        <b/>
        <sz val="11"/>
        <color rgb="FF3F4856"/>
        <rFont val="Arial"/>
        <family val="2"/>
      </rPr>
      <t>para los países, elegibles o no, de Gavi</t>
    </r>
  </si>
  <si>
    <t>Año de introducción/cambio en la fase de transición acelerada</t>
  </si>
  <si>
    <t>Si el país no es elegible para recibir apoyo de Gavi, seleccione "N.A.".
Para los países elegibles para recibir apoyo de Gavi, si seleccionó "Transición preparatoria" o "Transición acelerada",
por favor complete a continuación la cuota de cofinanciación del país*.</t>
  </si>
  <si>
    <t>En caso negativo, el 100% de los costos del programa y del producto se asignará al país, y las filas 65 a 69 que aparecen a continuación se configurarán automáticamente al 100%.</t>
  </si>
  <si>
    <t xml:space="preserve">¿Este país es elegible para recibir apoyo de Gavi?  </t>
  </si>
  <si>
    <r>
      <t xml:space="preserve">Ingrese el porcentaje del precio de la vacuna por dosis (o "fracción del precio") que se aplicó a otras vacunas de la cartera en el año de introducción o de cambio. Si desconoce la cuota de cofinanciación de su país, comuníquese con su gerente nacional sénior en Gavi.
</t>
    </r>
    <r>
      <rPr>
        <b/>
        <i/>
        <sz val="12"/>
        <rFont val="Arial"/>
        <family val="2"/>
      </rPr>
      <t>NOTA: Este campo no se utiliza en los cálculos de resultados si seleccionó "Autofinanciación inicial" anteriormente.</t>
    </r>
  </si>
  <si>
    <t>Precio y volumen indicativos estimados</t>
  </si>
  <si>
    <r>
      <t>Volumen de la cadena de frío (cm</t>
    </r>
    <r>
      <rPr>
        <b/>
        <vertAlign val="superscript"/>
        <sz val="11"/>
        <rFont val="Calibri"/>
        <family val="2"/>
        <scheme val="minor"/>
      </rPr>
      <t>3</t>
    </r>
    <r>
      <rPr>
        <b/>
        <sz val="11"/>
        <rFont val="Calibri"/>
        <family val="2"/>
        <scheme val="minor"/>
      </rPr>
      <t>) por dosis</t>
    </r>
  </si>
  <si>
    <t>No</t>
  </si>
  <si>
    <t>Versión 0.5/Agosto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</si>
</sst>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7" formatCode="&quot;$&quot;#,##0.00_);\(&quot;$&quot;#,##0.00\)"/>
    <numFmt numFmtId="44" formatCode="_(&quot;$&quot;* #,##0.00_);_(&quot;$&quot;* \(#,##0.00\);_(&quot;$&quot;* &quot;-&quot;??_);_(@_)"/>
    <numFmt numFmtId="43" formatCode="_(* #,##0.00_);_(* \(#,##0.00\);_(* &quot;-&quot;??_);_(@_)"/>
    <numFmt numFmtId="164" formatCode="&quot;$&quot;#,##0.00"/>
    <numFmt numFmtId="165" formatCode="&quot;$&quot;#,##0"/>
    <numFmt numFmtId="166" formatCode="[$$-409]#,##0.00"/>
    <numFmt numFmtId="167" formatCode="[$$-409]#,##0.00_ ;\-[$$-409]#,##0.00\ "/>
    <numFmt numFmtId="168" formatCode="0.0%"/>
    <numFmt numFmtId="169" formatCode="_(* #,##0_);_(* \(#,##0\);_(* &quot;-&quot;??_);_(@_)"/>
    <numFmt numFmtId="170" formatCode="&quot;$ &quot;#,##0.00"/>
    <numFmt numFmtId="171" formatCode="&quot;$ &quot;#,##0"/>
  </numFmts>
  <fonts count="155">
    <font>
      <sz val="11"/>
      <color theme="1"/>
      <name val="Calibri"/>
      <family val="2"/>
      <scheme val="minor"/>
    </font>
    <font>
      <sz val="11"/>
      <color theme="1"/>
      <name val="Calibri"/>
      <family val="2"/>
      <scheme val="minor"/>
    </font>
    <font>
      <b/>
      <sz val="14"/>
      <color theme="1"/>
      <name val="Calibri"/>
      <family val="2"/>
      <scheme val="minor"/>
    </font>
    <font>
      <b/>
      <sz val="20"/>
      <color theme="1"/>
      <name val="Calibri"/>
      <family val="2"/>
      <scheme val="minor"/>
    </font>
    <font>
      <b/>
      <sz val="24"/>
      <color rgb="FF00B050"/>
      <name val="Calibri"/>
      <family val="2"/>
    </font>
    <font>
      <b/>
      <sz val="24"/>
      <color rgb="FFFF0000"/>
      <name val="Calibri"/>
      <family val="2"/>
    </font>
    <font>
      <sz val="11"/>
      <color theme="1"/>
      <name val="Calibri"/>
      <family val="2"/>
    </font>
    <font>
      <sz val="14"/>
      <color rgb="FF000000"/>
      <name val="Calibri"/>
      <family val="2"/>
    </font>
    <font>
      <vertAlign val="superscript"/>
      <sz val="14"/>
      <color rgb="FF000000"/>
      <name val="Calibri"/>
      <family val="2"/>
    </font>
    <font>
      <sz val="14"/>
      <name val="Calibri"/>
      <family val="2"/>
    </font>
    <font>
      <b/>
      <sz val="14"/>
      <color rgb="FF000000"/>
      <name val="Calibri"/>
      <family val="2"/>
    </font>
    <font>
      <b/>
      <vertAlign val="superscript"/>
      <sz val="14"/>
      <color rgb="FF000000"/>
      <name val="Calibri"/>
      <family val="2"/>
    </font>
    <font>
      <sz val="14"/>
      <color rgb="FF808080"/>
      <name val="Calibri"/>
      <family val="2"/>
    </font>
    <font>
      <vertAlign val="superscript"/>
      <sz val="14"/>
      <color rgb="FF808080"/>
      <name val="Calibri"/>
      <family val="2"/>
    </font>
    <font>
      <u/>
      <sz val="11"/>
      <color rgb="FF0000FF"/>
      <name val="Calibri"/>
      <family val="2"/>
      <scheme val="minor"/>
    </font>
    <font>
      <u/>
      <sz val="11"/>
      <color rgb="FF0000FF"/>
      <name val="Calibri"/>
      <family val="2"/>
    </font>
    <font>
      <b/>
      <sz val="12"/>
      <color rgb="FF000000"/>
      <name val="Tahoma"/>
      <family val="2"/>
    </font>
    <font>
      <sz val="12"/>
      <color rgb="FF000000"/>
      <name val="Tahoma"/>
      <family val="2"/>
    </font>
    <font>
      <i/>
      <sz val="11"/>
      <color theme="1"/>
      <name val="Calibri"/>
      <family val="2"/>
      <scheme val="minor"/>
    </font>
    <font>
      <b/>
      <sz val="18"/>
      <color theme="1"/>
      <name val="Calibri"/>
      <family val="2"/>
      <scheme val="minor"/>
    </font>
    <font>
      <sz val="12"/>
      <color theme="1"/>
      <name val="Calibri"/>
      <family val="2"/>
      <scheme val="minor"/>
    </font>
    <font>
      <b/>
      <sz val="12"/>
      <color rgb="FFFF0000"/>
      <name val="Calibri"/>
      <family val="2"/>
      <scheme val="minor"/>
    </font>
    <font>
      <b/>
      <sz val="14"/>
      <color rgb="FFFF0000"/>
      <name val="Calibri"/>
      <family val="2"/>
      <scheme val="minor"/>
    </font>
    <font>
      <b/>
      <sz val="12"/>
      <color theme="1"/>
      <name val="Calibri"/>
      <family val="2"/>
      <scheme val="minor"/>
    </font>
    <font>
      <b/>
      <sz val="12"/>
      <name val="Calibri"/>
      <family val="2"/>
      <scheme val="minor"/>
    </font>
    <font>
      <b/>
      <sz val="14"/>
      <name val="Calibri"/>
      <family val="2"/>
      <scheme val="minor"/>
    </font>
    <font>
      <i/>
      <sz val="11"/>
      <name val="Calibri"/>
      <family val="2"/>
      <scheme val="minor"/>
    </font>
    <font>
      <b/>
      <sz val="16"/>
      <color theme="1"/>
      <name val="Calibri"/>
      <family val="2"/>
      <scheme val="minor"/>
    </font>
    <font>
      <b/>
      <sz val="16"/>
      <color rgb="FFFF0000"/>
      <name val="Calibri"/>
      <family val="2"/>
      <scheme val="minor"/>
    </font>
    <font>
      <i/>
      <sz val="12"/>
      <color theme="1"/>
      <name val="Calibri"/>
      <family val="2"/>
      <scheme val="minor"/>
    </font>
    <font>
      <sz val="12"/>
      <name val="Calibri"/>
      <family val="2"/>
      <scheme val="minor"/>
    </font>
    <font>
      <i/>
      <sz val="12"/>
      <name val="Calibri"/>
      <family val="2"/>
      <scheme val="minor"/>
    </font>
    <font>
      <i/>
      <sz val="14"/>
      <name val="Calibri"/>
      <family val="2"/>
      <scheme val="minor"/>
    </font>
    <font>
      <sz val="10"/>
      <color theme="1"/>
      <name val="Calibri"/>
      <family val="2"/>
      <scheme val="minor"/>
    </font>
    <font>
      <b/>
      <vertAlign val="superscript"/>
      <sz val="12"/>
      <color theme="1"/>
      <name val="Calibri"/>
      <family val="2"/>
      <scheme val="minor"/>
    </font>
    <font>
      <sz val="11"/>
      <color rgb="FFFF0000"/>
      <name val="Calibri"/>
      <family val="2"/>
      <scheme val="minor"/>
    </font>
    <font>
      <b/>
      <i/>
      <sz val="12"/>
      <color theme="1"/>
      <name val="Calibri"/>
      <family val="2"/>
      <scheme val="minor"/>
    </font>
    <font>
      <sz val="9"/>
      <color theme="1"/>
      <name val="Calibri"/>
      <family val="2"/>
      <scheme val="minor"/>
    </font>
    <font>
      <b/>
      <sz val="14"/>
      <color rgb="FFFF0000"/>
      <name val="Calibri"/>
      <family val="2"/>
      <charset val="2"/>
      <scheme val="minor"/>
    </font>
    <font>
      <b/>
      <sz val="14"/>
      <color rgb="FFFF0000"/>
      <name val="Wingdings"/>
      <charset val="2"/>
    </font>
    <font>
      <sz val="8"/>
      <name val="Calibri"/>
      <family val="2"/>
      <scheme val="minor"/>
    </font>
    <font>
      <i/>
      <sz val="12"/>
      <color theme="8"/>
      <name val="Calibri"/>
      <family val="2"/>
      <scheme val="minor"/>
    </font>
    <font>
      <sz val="11"/>
      <color theme="5"/>
      <name val="Calibri"/>
      <family val="2"/>
      <scheme val="minor"/>
    </font>
    <font>
      <sz val="12"/>
      <color theme="5"/>
      <name val="Calibri"/>
      <family val="2"/>
      <scheme val="minor"/>
    </font>
    <font>
      <i/>
      <sz val="12"/>
      <color rgb="FFFF0000"/>
      <name val="Calibri"/>
      <family val="2"/>
      <scheme val="minor"/>
    </font>
    <font>
      <i/>
      <sz val="9"/>
      <color theme="1"/>
      <name val="Calibri"/>
      <family val="2"/>
      <scheme val="minor"/>
    </font>
    <font>
      <i/>
      <sz val="11"/>
      <color rgb="FFFF0000"/>
      <name val="Calibri"/>
      <family val="2"/>
      <scheme val="minor"/>
    </font>
    <font>
      <b/>
      <sz val="20"/>
      <color rgb="FFFF0000"/>
      <name val="Calibri"/>
      <family val="2"/>
      <scheme val="minor"/>
    </font>
    <font>
      <sz val="8"/>
      <color theme="1"/>
      <name val="Calibri"/>
      <family val="2"/>
      <scheme val="minor"/>
    </font>
    <font>
      <i/>
      <sz val="8"/>
      <color theme="1"/>
      <name val="Calibri"/>
      <family val="2"/>
      <scheme val="minor"/>
    </font>
    <font>
      <b/>
      <sz val="14"/>
      <color rgb="FF0070C0"/>
      <name val="Calibri"/>
      <family val="2"/>
      <scheme val="minor"/>
    </font>
    <font>
      <b/>
      <sz val="11"/>
      <color theme="1"/>
      <name val="Arial"/>
      <family val="2"/>
    </font>
    <font>
      <sz val="12"/>
      <color theme="1"/>
      <name val="Arial"/>
      <family val="2"/>
    </font>
    <font>
      <b/>
      <sz val="12"/>
      <color rgb="FF000000"/>
      <name val="Arial"/>
      <family val="2"/>
    </font>
    <font>
      <sz val="12"/>
      <color rgb="FF000000"/>
      <name val="Arial"/>
      <family val="2"/>
    </font>
    <font>
      <u/>
      <sz val="12"/>
      <color rgb="FF000000"/>
      <name val="Arial"/>
      <family val="2"/>
    </font>
    <font>
      <b/>
      <sz val="12"/>
      <color theme="1"/>
      <name val="Arial"/>
      <family val="2"/>
    </font>
    <font>
      <b/>
      <sz val="12"/>
      <color rgb="FFFF0000"/>
      <name val="Arial"/>
      <family val="2"/>
    </font>
    <font>
      <b/>
      <u/>
      <sz val="12"/>
      <color theme="1"/>
      <name val="Arial"/>
      <family val="2"/>
    </font>
    <font>
      <u/>
      <sz val="12"/>
      <color rgb="FF0000FF"/>
      <name val="Arial"/>
      <family val="2"/>
    </font>
    <font>
      <sz val="12"/>
      <color rgb="FF0070C0"/>
      <name val="Arial"/>
      <family val="2"/>
    </font>
    <font>
      <b/>
      <sz val="16"/>
      <color theme="1"/>
      <name val="Arial"/>
      <family val="2"/>
    </font>
    <font>
      <b/>
      <sz val="22"/>
      <color theme="0"/>
      <name val="Arial"/>
      <family val="2"/>
    </font>
    <font>
      <sz val="14"/>
      <color theme="1" tint="-0.499984740745262"/>
      <name val="Arial"/>
      <family val="2"/>
    </font>
    <font>
      <b/>
      <sz val="14"/>
      <color theme="1" tint="-0.499984740745262"/>
      <name val="Arial"/>
      <family val="2"/>
    </font>
    <font>
      <sz val="12"/>
      <color theme="1" tint="-0.499984740745262"/>
      <name val="Arial"/>
      <family val="2"/>
    </font>
    <font>
      <b/>
      <i/>
      <sz val="12"/>
      <color theme="1" tint="-0.499984740745262"/>
      <name val="Arial"/>
      <family val="2"/>
    </font>
    <font>
      <sz val="16"/>
      <color theme="0"/>
      <name val="Arial"/>
      <family val="2"/>
    </font>
    <font>
      <b/>
      <sz val="16"/>
      <color theme="0"/>
      <name val="Arial"/>
      <family val="2"/>
    </font>
    <font>
      <i/>
      <u/>
      <sz val="12"/>
      <color theme="1" tint="-0.499984740745262"/>
      <name val="Arial"/>
      <family val="2"/>
    </font>
    <font>
      <b/>
      <sz val="12"/>
      <color theme="4"/>
      <name val="Arial"/>
      <family val="2"/>
    </font>
    <font>
      <b/>
      <i/>
      <u/>
      <sz val="12"/>
      <color theme="1" tint="-0.499984740745262"/>
      <name val="Arial"/>
      <family val="2"/>
    </font>
    <font>
      <i/>
      <sz val="11"/>
      <color theme="4" tint="-0.249977111117893"/>
      <name val="Arial"/>
      <family val="2"/>
    </font>
    <font>
      <sz val="12"/>
      <color theme="1" tint="-0.249977111117893"/>
      <name val="Arial"/>
      <family val="2"/>
    </font>
    <font>
      <u/>
      <sz val="12"/>
      <color theme="1" tint="-0.499984740745262"/>
      <name val="Arial"/>
      <family val="2"/>
    </font>
    <font>
      <vertAlign val="superscript"/>
      <sz val="12"/>
      <color theme="1" tint="-0.499984740745262"/>
      <name val="Arial"/>
      <family val="2"/>
    </font>
    <font>
      <b/>
      <sz val="12"/>
      <name val="Arial"/>
      <family val="2"/>
    </font>
    <font>
      <b/>
      <i/>
      <u/>
      <sz val="12"/>
      <color theme="1"/>
      <name val="Arial"/>
      <family val="2"/>
    </font>
    <font>
      <b/>
      <sz val="14"/>
      <color theme="1"/>
      <name val="Arial"/>
      <family val="2"/>
    </font>
    <font>
      <i/>
      <sz val="12"/>
      <color theme="1"/>
      <name val="Arial"/>
      <family val="2"/>
    </font>
    <font>
      <sz val="12"/>
      <name val="Arial"/>
      <family val="2"/>
    </font>
    <font>
      <i/>
      <sz val="12"/>
      <name val="Arial"/>
      <family val="2"/>
    </font>
    <font>
      <i/>
      <sz val="12"/>
      <color rgb="FFFF0000"/>
      <name val="Arial"/>
      <family val="2"/>
    </font>
    <font>
      <sz val="12"/>
      <color theme="5"/>
      <name val="Arial"/>
      <family val="2"/>
    </font>
    <font>
      <b/>
      <i/>
      <sz val="12"/>
      <color theme="1"/>
      <name val="Arial"/>
      <family val="2"/>
    </font>
    <font>
      <b/>
      <vertAlign val="superscript"/>
      <sz val="12"/>
      <color theme="1"/>
      <name val="Arial"/>
      <family val="2"/>
    </font>
    <font>
      <sz val="12"/>
      <color rgb="FFFF0000"/>
      <name val="Arial"/>
      <family val="2"/>
    </font>
    <font>
      <b/>
      <sz val="12"/>
      <color theme="4" tint="-0.249977111117893"/>
      <name val="Arial"/>
      <family val="2"/>
    </font>
    <font>
      <b/>
      <sz val="12"/>
      <color theme="0"/>
      <name val="Arial"/>
      <family val="2"/>
    </font>
    <font>
      <b/>
      <sz val="24"/>
      <color theme="0"/>
      <name val="Arial"/>
      <family val="2"/>
    </font>
    <font>
      <b/>
      <sz val="16"/>
      <color theme="0"/>
      <name val="Arial"/>
      <family val="2"/>
      <charset val="2"/>
    </font>
    <font>
      <b/>
      <sz val="16"/>
      <color theme="0"/>
      <name val="Wingdings"/>
      <charset val="2"/>
    </font>
    <font>
      <b/>
      <sz val="20"/>
      <color theme="0"/>
      <name val="Arial"/>
      <family val="2"/>
    </font>
    <font>
      <sz val="14"/>
      <color theme="1"/>
      <name val="Arial"/>
      <family val="2"/>
    </font>
    <font>
      <b/>
      <sz val="14"/>
      <color theme="4"/>
      <name val="Arial"/>
      <family val="2"/>
    </font>
    <font>
      <i/>
      <sz val="14"/>
      <color theme="1"/>
      <name val="Arial"/>
      <family val="2"/>
    </font>
    <font>
      <i/>
      <sz val="12"/>
      <color theme="4" tint="-0.249977111117893"/>
      <name val="Arial"/>
      <family val="2"/>
    </font>
    <font>
      <sz val="12"/>
      <color theme="4" tint="-0.249977111117893"/>
      <name val="Arial"/>
      <family val="2"/>
    </font>
    <font>
      <sz val="12"/>
      <color theme="0"/>
      <name val="Arial"/>
      <family val="2"/>
    </font>
    <font>
      <sz val="12"/>
      <color rgb="FF00B0F0"/>
      <name val="Arial"/>
      <family val="2"/>
    </font>
    <font>
      <sz val="12"/>
      <color rgb="FFE8ECEB"/>
      <name val="Arial"/>
      <family val="2"/>
    </font>
    <font>
      <sz val="11"/>
      <color theme="1"/>
      <name val="Arial"/>
      <family val="2"/>
    </font>
    <font>
      <sz val="10"/>
      <color theme="1"/>
      <name val="Arial"/>
      <family val="2"/>
    </font>
    <font>
      <b/>
      <sz val="10"/>
      <color theme="1"/>
      <name val="Arial"/>
      <family val="2"/>
    </font>
    <font>
      <i/>
      <sz val="12"/>
      <color rgb="FF00B0F0"/>
      <name val="Arial"/>
      <family val="2"/>
    </font>
    <font>
      <b/>
      <i/>
      <sz val="12"/>
      <color rgb="FF00B0F0"/>
      <name val="Arial"/>
      <family val="2"/>
    </font>
    <font>
      <b/>
      <i/>
      <sz val="12"/>
      <color rgb="FFFF0000"/>
      <name val="Arial"/>
      <family val="2"/>
    </font>
    <font>
      <b/>
      <sz val="12"/>
      <color theme="8"/>
      <name val="Arial"/>
      <family val="2"/>
    </font>
    <font>
      <b/>
      <i/>
      <sz val="12"/>
      <color theme="8"/>
      <name val="Arial"/>
      <family val="2"/>
    </font>
    <font>
      <i/>
      <sz val="12"/>
      <color theme="8"/>
      <name val="Arial"/>
      <family val="2"/>
    </font>
    <font>
      <sz val="12"/>
      <color theme="8"/>
      <name val="Arial"/>
      <family val="2"/>
    </font>
    <font>
      <b/>
      <sz val="12"/>
      <color rgb="FF00B050"/>
      <name val="Arial"/>
      <family val="2"/>
    </font>
    <font>
      <b/>
      <i/>
      <sz val="12"/>
      <color rgb="FF00B050"/>
      <name val="Arial"/>
      <family val="2"/>
    </font>
    <font>
      <i/>
      <sz val="12"/>
      <color rgb="FF00B050"/>
      <name val="Arial"/>
      <family val="2"/>
    </font>
    <font>
      <sz val="12"/>
      <color rgb="FF00B050"/>
      <name val="Arial"/>
      <family val="2"/>
    </font>
    <font>
      <b/>
      <sz val="14"/>
      <color theme="0"/>
      <name val="Arial"/>
      <family val="2"/>
    </font>
    <font>
      <sz val="18"/>
      <color theme="0"/>
      <name val="Arial"/>
      <family val="2"/>
    </font>
    <font>
      <b/>
      <sz val="18"/>
      <color theme="0"/>
      <name val="Arial"/>
      <family val="2"/>
    </font>
    <font>
      <i/>
      <sz val="11"/>
      <color theme="3" tint="-0.499984740745262"/>
      <name val="Arial"/>
      <family val="2"/>
    </font>
    <font>
      <b/>
      <sz val="14"/>
      <color theme="8"/>
      <name val="Arial"/>
      <family val="2"/>
    </font>
    <font>
      <i/>
      <sz val="11"/>
      <color theme="7" tint="-0.499984740745262"/>
      <name val="Arial"/>
      <family val="2"/>
    </font>
    <font>
      <b/>
      <i/>
      <sz val="12"/>
      <color theme="9"/>
      <name val="Arial"/>
      <family val="2"/>
    </font>
    <font>
      <i/>
      <sz val="12"/>
      <color theme="0"/>
      <name val="Arial"/>
      <family val="2"/>
    </font>
    <font>
      <i/>
      <vertAlign val="superscript"/>
      <sz val="12"/>
      <color theme="0"/>
      <name val="Arial"/>
      <family val="2"/>
    </font>
    <font>
      <b/>
      <sz val="12"/>
      <color theme="3" tint="-0.499984740745262"/>
      <name val="Arial"/>
      <family val="2"/>
    </font>
    <font>
      <sz val="14"/>
      <color theme="0"/>
      <name val="Arial"/>
      <family val="2"/>
    </font>
    <font>
      <b/>
      <sz val="14"/>
      <color theme="4" tint="-0.249977111117893"/>
      <name val="Arial"/>
      <family val="2"/>
    </font>
    <font>
      <b/>
      <sz val="11"/>
      <color theme="0"/>
      <name val="Arial"/>
      <family val="2"/>
    </font>
    <font>
      <vertAlign val="superscript"/>
      <sz val="12"/>
      <color theme="1" tint="-0.249977111117893"/>
      <name val="Arial"/>
      <family val="2"/>
    </font>
    <font>
      <sz val="11"/>
      <color rgb="FF3F4856"/>
      <name val="Arial"/>
      <family val="2"/>
    </font>
    <font>
      <b/>
      <sz val="11"/>
      <color rgb="FF3F4856"/>
      <name val="Arial"/>
      <family val="2"/>
    </font>
    <font>
      <sz val="8.5"/>
      <color theme="1"/>
      <name val="Arial"/>
      <family val="2"/>
    </font>
    <font>
      <b/>
      <sz val="12"/>
      <color rgb="FF3F4856"/>
      <name val="Arial"/>
      <family val="2"/>
    </font>
    <font>
      <i/>
      <sz val="12"/>
      <color rgb="FF00747D"/>
      <name val="Arial"/>
      <family val="2"/>
    </font>
    <font>
      <b/>
      <sz val="12"/>
      <color theme="1"/>
      <name val="Arial"/>
      <family val="2"/>
    </font>
    <font>
      <b/>
      <sz val="30"/>
      <color rgb="FF3F4856"/>
      <name val="Arial"/>
      <family val="2"/>
    </font>
    <font>
      <b/>
      <sz val="30"/>
      <color rgb="FF000000"/>
      <name val="Arial"/>
      <family val="2"/>
    </font>
    <font>
      <sz val="24"/>
      <color rgb="FF20242B"/>
      <name val="Arial"/>
      <family val="2"/>
    </font>
    <font>
      <b/>
      <sz val="12"/>
      <color rgb="FF000000"/>
      <name val="Arial"/>
      <family val="2"/>
    </font>
    <font>
      <sz val="14"/>
      <color rgb="FF20242B"/>
      <name val="Arial"/>
      <family val="2"/>
    </font>
    <font>
      <b/>
      <sz val="14"/>
      <color rgb="FF20242B"/>
      <name val="Arial"/>
      <family val="2"/>
    </font>
    <font>
      <b/>
      <i/>
      <sz val="12"/>
      <color rgb="FF20242B"/>
      <name val="Arial"/>
      <family val="2"/>
    </font>
    <font>
      <i/>
      <sz val="12"/>
      <color rgb="FF20242B"/>
      <name val="Arial"/>
      <family val="2"/>
    </font>
    <font>
      <sz val="12"/>
      <color rgb="FF20242B"/>
      <name val="Arial"/>
      <family val="2"/>
    </font>
    <font>
      <b/>
      <i/>
      <u/>
      <sz val="12"/>
      <color rgb="FF20242B"/>
      <name val="Arial"/>
      <family val="2"/>
    </font>
    <font>
      <i/>
      <u/>
      <sz val="12"/>
      <color rgb="FF20242B"/>
      <name val="Arial"/>
      <family val="2"/>
    </font>
    <font>
      <b/>
      <sz val="12"/>
      <color rgb="FF20242B"/>
      <name val="Arial"/>
      <family val="2"/>
    </font>
    <font>
      <sz val="10"/>
      <color rgb="FF3F4856"/>
      <name val="Arial"/>
      <family val="2"/>
    </font>
    <font>
      <b/>
      <sz val="10"/>
      <color rgb="FF3F4856"/>
      <name val="Arial"/>
      <family val="2"/>
    </font>
    <font>
      <i/>
      <sz val="9"/>
      <color theme="1"/>
      <name val="Arial"/>
      <family val="2"/>
    </font>
    <font>
      <b/>
      <i/>
      <sz val="12"/>
      <name val="Arial"/>
      <family val="2"/>
    </font>
    <font>
      <b/>
      <sz val="11"/>
      <name val="Calibri"/>
      <family val="2"/>
      <scheme val="minor"/>
    </font>
    <font>
      <b/>
      <vertAlign val="superscript"/>
      <sz val="11"/>
      <name val="Calibri"/>
      <family val="2"/>
      <scheme val="minor"/>
    </font>
    <font>
      <sz val="11"/>
      <name val="Calibri"/>
      <family val="2"/>
      <scheme val="minor"/>
    </font>
    <font>
      <sz val="12"/>
      <color rgb="FF3F4856"/>
      <name val="Arial"/>
      <family val="2"/>
    </font>
  </fonts>
  <fills count="29">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rgb="FF000000"/>
        <bgColor rgb="FF000000"/>
      </patternFill>
    </fill>
    <fill>
      <patternFill patternType="solid">
        <fgColor rgb="FFF2F2F2"/>
        <bgColor rgb="FF000000"/>
      </patternFill>
    </fill>
    <fill>
      <patternFill patternType="solid">
        <fgColor rgb="FFFFFF00"/>
        <bgColor rgb="FF000000"/>
      </patternFill>
    </fill>
    <fill>
      <patternFill patternType="solid">
        <fgColor theme="2"/>
        <bgColor indexed="64"/>
      </patternFill>
    </fill>
    <fill>
      <patternFill patternType="solid">
        <fgColor theme="7"/>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rgb="FFFFFF00"/>
        <bgColor indexed="64"/>
      </patternFill>
    </fill>
    <fill>
      <patternFill patternType="solid">
        <fgColor rgb="FFFFFFCC"/>
      </patternFill>
    </fill>
    <fill>
      <patternFill patternType="solid">
        <fgColor theme="3" tint="0.79998168889431442"/>
        <bgColor indexed="64"/>
      </patternFill>
    </fill>
    <fill>
      <patternFill patternType="solid">
        <fgColor theme="3" tint="0.59999389629810485"/>
        <bgColor indexed="64"/>
      </patternFill>
    </fill>
    <fill>
      <patternFill patternType="solid">
        <fgColor theme="3"/>
        <bgColor indexed="64"/>
      </patternFill>
    </fill>
    <fill>
      <patternFill patternType="solid">
        <fgColor theme="4" tint="-0.249977111117893"/>
        <bgColor indexed="64"/>
      </patternFill>
    </fill>
    <fill>
      <patternFill patternType="solid">
        <fgColor rgb="FFD4EBEC"/>
        <bgColor indexed="64"/>
      </patternFill>
    </fill>
    <fill>
      <patternFill patternType="solid">
        <fgColor rgb="FF64B7C0"/>
        <bgColor indexed="64"/>
      </patternFill>
    </fill>
    <fill>
      <patternFill patternType="solid">
        <fgColor rgb="FFD2F1DF"/>
        <bgColor indexed="64"/>
      </patternFill>
    </fill>
    <fill>
      <patternFill patternType="solid">
        <fgColor theme="1"/>
        <bgColor indexed="64"/>
      </patternFill>
    </fill>
    <fill>
      <patternFill patternType="solid">
        <fgColor rgb="FFE8ECEB"/>
        <bgColor indexed="64"/>
      </patternFill>
    </fill>
    <fill>
      <patternFill patternType="solid">
        <fgColor theme="9"/>
        <bgColor indexed="64"/>
      </patternFill>
    </fill>
    <fill>
      <patternFill patternType="solid">
        <fgColor rgb="FFE2E278"/>
        <bgColor indexed="64"/>
      </patternFill>
    </fill>
    <fill>
      <patternFill patternType="solid">
        <fgColor rgb="FF009BA8"/>
        <bgColor indexed="64"/>
      </patternFill>
    </fill>
    <fill>
      <patternFill patternType="solid">
        <fgColor theme="9" tint="0.39997558519241921"/>
        <bgColor indexed="64"/>
      </patternFill>
    </fill>
    <fill>
      <patternFill patternType="solid">
        <fgColor theme="3" tint="0.39997558519241921"/>
        <bgColor indexed="64"/>
      </patternFill>
    </fill>
    <fill>
      <patternFill patternType="solid">
        <fgColor rgb="FFD2F1DF"/>
        <bgColor rgb="FF000000"/>
      </patternFill>
    </fill>
  </fills>
  <borders count="11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rgb="FFD9D9D9"/>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rgb="FFD9D9D9"/>
      </top>
      <bottom style="thin">
        <color rgb="FFD9D9D9"/>
      </bottom>
      <diagonal/>
    </border>
    <border>
      <left style="thin">
        <color indexed="64"/>
      </left>
      <right/>
      <top style="thin">
        <color indexed="64"/>
      </top>
      <bottom style="thin">
        <color rgb="FFD9D9D9"/>
      </bottom>
      <diagonal/>
    </border>
    <border>
      <left/>
      <right style="thin">
        <color indexed="64"/>
      </right>
      <top style="thin">
        <color indexed="64"/>
      </top>
      <bottom style="thin">
        <color rgb="FFD9D9D9"/>
      </bottom>
      <diagonal/>
    </border>
    <border>
      <left/>
      <right/>
      <top style="thin">
        <color indexed="64"/>
      </top>
      <bottom style="thin">
        <color rgb="FFD9D9D9"/>
      </bottom>
      <diagonal/>
    </border>
    <border>
      <left style="thin">
        <color indexed="64"/>
      </left>
      <right/>
      <top style="thin">
        <color indexed="64"/>
      </top>
      <bottom style="thin">
        <color rgb="FFBFBFBF"/>
      </bottom>
      <diagonal/>
    </border>
    <border>
      <left/>
      <right/>
      <top style="thin">
        <color indexed="64"/>
      </top>
      <bottom style="thin">
        <color rgb="FFBFBFBF"/>
      </bottom>
      <diagonal/>
    </border>
    <border>
      <left/>
      <right style="thin">
        <color indexed="64"/>
      </right>
      <top style="thin">
        <color indexed="64"/>
      </top>
      <bottom style="thin">
        <color rgb="FFBFBFBF"/>
      </bottom>
      <diagonal/>
    </border>
    <border>
      <left style="medium">
        <color indexed="64"/>
      </left>
      <right style="medium">
        <color indexed="64"/>
      </right>
      <top style="thin">
        <color indexed="64"/>
      </top>
      <bottom style="thin">
        <color rgb="FFD9D9D9"/>
      </bottom>
      <diagonal/>
    </border>
    <border>
      <left style="medium">
        <color indexed="64"/>
      </left>
      <right/>
      <top style="thin">
        <color indexed="64"/>
      </top>
      <bottom style="thin">
        <color rgb="FFD9D9D9"/>
      </bottom>
      <diagonal/>
    </border>
    <border>
      <left style="thin">
        <color indexed="64"/>
      </left>
      <right/>
      <top style="thin">
        <color rgb="FFD9D9D9"/>
      </top>
      <bottom style="thin">
        <color rgb="FFD9D9D9"/>
      </bottom>
      <diagonal/>
    </border>
    <border>
      <left/>
      <right style="thin">
        <color indexed="64"/>
      </right>
      <top style="thin">
        <color rgb="FFD9D9D9"/>
      </top>
      <bottom style="thin">
        <color rgb="FFD9D9D9"/>
      </bottom>
      <diagonal/>
    </border>
    <border>
      <left/>
      <right/>
      <top style="thin">
        <color rgb="FFD9D9D9"/>
      </top>
      <bottom style="thin">
        <color rgb="FFD9D9D9"/>
      </bottom>
      <diagonal/>
    </border>
    <border>
      <left style="thin">
        <color indexed="64"/>
      </left>
      <right/>
      <top style="thin">
        <color rgb="FFBFBFBF"/>
      </top>
      <bottom style="thin">
        <color rgb="FFBFBFBF"/>
      </bottom>
      <diagonal/>
    </border>
    <border>
      <left/>
      <right/>
      <top style="thin">
        <color rgb="FFBFBFBF"/>
      </top>
      <bottom style="thin">
        <color rgb="FFBFBFBF"/>
      </bottom>
      <diagonal/>
    </border>
    <border>
      <left/>
      <right style="thin">
        <color indexed="64"/>
      </right>
      <top style="thin">
        <color rgb="FFBFBFBF"/>
      </top>
      <bottom style="thin">
        <color rgb="FFBFBFBF"/>
      </bottom>
      <diagonal/>
    </border>
    <border>
      <left style="medium">
        <color indexed="64"/>
      </left>
      <right style="medium">
        <color indexed="64"/>
      </right>
      <top style="thin">
        <color rgb="FFD9D9D9"/>
      </top>
      <bottom style="thin">
        <color rgb="FFD9D9D9"/>
      </bottom>
      <diagonal/>
    </border>
    <border>
      <left style="thin">
        <color indexed="64"/>
      </left>
      <right/>
      <top style="thin">
        <color rgb="FFD9D9D9"/>
      </top>
      <bottom/>
      <diagonal/>
    </border>
    <border>
      <left/>
      <right/>
      <top style="thin">
        <color rgb="FFD9D9D9"/>
      </top>
      <bottom/>
      <diagonal/>
    </border>
    <border>
      <left style="thin">
        <color indexed="64"/>
      </left>
      <right style="thin">
        <color indexed="64"/>
      </right>
      <top style="thin">
        <color indexed="64"/>
      </top>
      <bottom style="thin">
        <color rgb="FFBFBFBF"/>
      </bottom>
      <diagonal/>
    </border>
    <border>
      <left style="thin">
        <color indexed="64"/>
      </left>
      <right style="thin">
        <color indexed="64"/>
      </right>
      <top style="thin">
        <color rgb="FFBFBFBF"/>
      </top>
      <bottom style="thin">
        <color rgb="FFBFBFBF"/>
      </bottom>
      <diagonal/>
    </border>
    <border>
      <left style="thin">
        <color indexed="64"/>
      </left>
      <right/>
      <top style="thin">
        <color rgb="FFD9D9D9"/>
      </top>
      <bottom style="thin">
        <color indexed="64"/>
      </bottom>
      <diagonal/>
    </border>
    <border>
      <left/>
      <right style="thin">
        <color indexed="64"/>
      </right>
      <top style="thin">
        <color rgb="FFD9D9D9"/>
      </top>
      <bottom style="thin">
        <color indexed="64"/>
      </bottom>
      <diagonal/>
    </border>
    <border>
      <left style="thin">
        <color indexed="64"/>
      </left>
      <right/>
      <top style="thin">
        <color rgb="FFBFBFBF"/>
      </top>
      <bottom style="thin">
        <color indexed="64"/>
      </bottom>
      <diagonal/>
    </border>
    <border>
      <left/>
      <right style="thin">
        <color indexed="64"/>
      </right>
      <top style="thin">
        <color rgb="FFBFBFBF"/>
      </top>
      <bottom style="thin">
        <color indexed="64"/>
      </bottom>
      <diagonal/>
    </border>
    <border>
      <left/>
      <right/>
      <top style="thin">
        <color rgb="FFBFBFBF"/>
      </top>
      <bottom style="thin">
        <color indexed="64"/>
      </bottom>
      <diagonal/>
    </border>
    <border>
      <left style="thin">
        <color indexed="64"/>
      </left>
      <right/>
      <top/>
      <bottom style="thin">
        <color rgb="FFD9D9D9"/>
      </bottom>
      <diagonal/>
    </border>
    <border>
      <left style="thin">
        <color indexed="64"/>
      </left>
      <right style="thin">
        <color indexed="64"/>
      </right>
      <top style="thin">
        <color indexed="64"/>
      </top>
      <bottom style="thin">
        <color rgb="FFD9D9D9"/>
      </bottom>
      <diagonal/>
    </border>
    <border>
      <left style="thin">
        <color indexed="64"/>
      </left>
      <right style="thin">
        <color indexed="64"/>
      </right>
      <top style="thin">
        <color rgb="FFD9D9D9"/>
      </top>
      <bottom style="thin">
        <color rgb="FFD9D9D9"/>
      </bottom>
      <diagonal/>
    </border>
    <border>
      <left style="medium">
        <color indexed="64"/>
      </left>
      <right/>
      <top style="thin">
        <color rgb="FFD9D9D9"/>
      </top>
      <bottom/>
      <diagonal/>
    </border>
    <border>
      <left style="thin">
        <color indexed="64"/>
      </left>
      <right/>
      <top style="thin">
        <color rgb="FFD9D9D9"/>
      </top>
      <bottom style="medium">
        <color rgb="FFFFFF00"/>
      </bottom>
      <diagonal/>
    </border>
    <border>
      <left style="thin">
        <color indexed="64"/>
      </left>
      <right/>
      <top style="medium">
        <color rgb="FFFFFF00"/>
      </top>
      <bottom style="medium">
        <color rgb="FFFFFF00"/>
      </bottom>
      <diagonal/>
    </border>
    <border>
      <left style="thin">
        <color indexed="64"/>
      </left>
      <right/>
      <top style="medium">
        <color rgb="FFFFFF00"/>
      </top>
      <bottom style="thin">
        <color rgb="FFD9D9D9"/>
      </bottom>
      <diagonal/>
    </border>
    <border>
      <left style="thin">
        <color indexed="64"/>
      </left>
      <right style="thin">
        <color indexed="64"/>
      </right>
      <top style="thin">
        <color rgb="FFD9D9D9"/>
      </top>
      <bottom/>
      <diagonal/>
    </border>
    <border>
      <left style="medium">
        <color indexed="64"/>
      </left>
      <right/>
      <top style="thin">
        <color rgb="FFD9D9D9"/>
      </top>
      <bottom style="medium">
        <color indexed="64"/>
      </bottom>
      <diagonal/>
    </border>
    <border>
      <left style="thin">
        <color indexed="64"/>
      </left>
      <right/>
      <top style="thin">
        <color rgb="FFD9D9D9"/>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thin">
        <color rgb="FFD9D9D9"/>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top style="thin">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theme="1"/>
      </left>
      <right style="thin">
        <color theme="1"/>
      </right>
      <top style="thin">
        <color theme="1"/>
      </top>
      <bottom style="thin">
        <color theme="1"/>
      </bottom>
      <diagonal/>
    </border>
    <border>
      <left style="thin">
        <color theme="1"/>
      </left>
      <right/>
      <top/>
      <bottom style="thin">
        <color theme="1"/>
      </bottom>
      <diagonal/>
    </border>
    <border>
      <left/>
      <right style="thin">
        <color theme="1"/>
      </right>
      <top/>
      <bottom/>
      <diagonal/>
    </border>
    <border>
      <left/>
      <right style="thin">
        <color theme="1"/>
      </right>
      <top/>
      <bottom style="thin">
        <color theme="1"/>
      </bottom>
      <diagonal/>
    </border>
    <border>
      <left style="thin">
        <color theme="1"/>
      </left>
      <right style="thin">
        <color theme="1"/>
      </right>
      <top/>
      <bottom/>
      <diagonal/>
    </border>
    <border>
      <left style="thin">
        <color theme="1"/>
      </left>
      <right style="thin">
        <color theme="1"/>
      </right>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style="thin">
        <color theme="1"/>
      </right>
      <top style="thin">
        <color theme="1"/>
      </top>
      <bottom/>
      <diagonal/>
    </border>
    <border>
      <left style="thin">
        <color theme="1"/>
      </left>
      <right/>
      <top style="thin">
        <color theme="1"/>
      </top>
      <bottom/>
      <diagonal/>
    </border>
    <border>
      <left/>
      <right style="thin">
        <color theme="1"/>
      </right>
      <top style="thin">
        <color theme="1"/>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theme="1"/>
      </right>
      <top style="thin">
        <color indexed="64"/>
      </top>
      <bottom style="thin">
        <color indexed="64"/>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0" fontId="14" fillId="0" borderId="0" applyNumberFormat="0" applyFill="0" applyBorder="0" applyAlignment="0" applyProtection="0"/>
    <xf numFmtId="43" fontId="1" fillId="0" borderId="0" applyFont="0" applyFill="0" applyBorder="0" applyAlignment="0" applyProtection="0"/>
    <xf numFmtId="0" fontId="1" fillId="13" borderId="103" applyNumberFormat="0" applyFont="0" applyAlignment="0" applyProtection="0"/>
  </cellStyleXfs>
  <cellXfs count="1146">
    <xf numFmtId="0" fontId="0" fillId="0" borderId="0" xfId="0"/>
    <xf numFmtId="0" fontId="4" fillId="0" borderId="0" xfId="0" applyFont="1"/>
    <xf numFmtId="0" fontId="4" fillId="5" borderId="0" xfId="0" applyFont="1" applyFill="1"/>
    <xf numFmtId="0" fontId="5" fillId="0" borderId="0" xfId="0" applyFont="1"/>
    <xf numFmtId="0" fontId="6" fillId="0" borderId="0" xfId="0" applyFont="1" applyAlignment="1">
      <alignment horizontal="center"/>
    </xf>
    <xf numFmtId="0" fontId="6" fillId="0" borderId="0" xfId="0" applyFont="1"/>
    <xf numFmtId="0" fontId="7" fillId="0" borderId="0" xfId="0" applyFont="1"/>
    <xf numFmtId="0" fontId="7" fillId="0" borderId="0" xfId="0" applyFont="1" applyAlignment="1">
      <alignment horizontal="center"/>
    </xf>
    <xf numFmtId="0" fontId="7" fillId="5" borderId="0" xfId="0" applyFont="1" applyFill="1"/>
    <xf numFmtId="0" fontId="7" fillId="0" borderId="0" xfId="0" applyFont="1" applyAlignment="1">
      <alignment horizontal="center" vertical="top" wrapText="1"/>
    </xf>
    <xf numFmtId="0" fontId="7" fillId="0" borderId="0" xfId="0" applyFont="1" applyAlignment="1">
      <alignment horizontal="center" wrapText="1"/>
    </xf>
    <xf numFmtId="0" fontId="7" fillId="0" borderId="0" xfId="0" applyFont="1" applyAlignment="1">
      <alignment wrapText="1"/>
    </xf>
    <xf numFmtId="0" fontId="7" fillId="0" borderId="6" xfId="0" applyFont="1" applyBorder="1" applyAlignment="1">
      <alignment horizontal="left" vertical="center"/>
    </xf>
    <xf numFmtId="0" fontId="7" fillId="6" borderId="6" xfId="0" applyFont="1" applyFill="1" applyBorder="1" applyAlignment="1">
      <alignment horizontal="left" vertical="center"/>
    </xf>
    <xf numFmtId="0" fontId="7" fillId="0" borderId="11" xfId="0" applyFont="1" applyBorder="1" applyAlignment="1">
      <alignment horizontal="left" vertical="center"/>
    </xf>
    <xf numFmtId="0" fontId="7" fillId="6" borderId="11" xfId="0" applyFont="1" applyFill="1" applyBorder="1" applyAlignment="1">
      <alignment horizontal="left" vertical="center"/>
    </xf>
    <xf numFmtId="0" fontId="7" fillId="6" borderId="18" xfId="0" applyFont="1" applyFill="1" applyBorder="1" applyAlignment="1">
      <alignment horizontal="center" vertical="center"/>
    </xf>
    <xf numFmtId="0" fontId="7" fillId="6" borderId="19" xfId="0" applyFont="1" applyFill="1" applyBorder="1" applyAlignment="1">
      <alignment horizontal="center" vertical="center" wrapText="1"/>
    </xf>
    <xf numFmtId="0" fontId="7" fillId="6" borderId="26" xfId="0" applyFont="1" applyFill="1" applyBorder="1" applyAlignment="1">
      <alignment horizontal="center" vertical="center"/>
    </xf>
    <xf numFmtId="0" fontId="7" fillId="0" borderId="11" xfId="0" applyFont="1" applyBorder="1" applyAlignment="1">
      <alignment horizontal="left" vertical="center" wrapText="1"/>
    </xf>
    <xf numFmtId="0" fontId="7" fillId="6" borderId="11" xfId="0" applyFont="1" applyFill="1" applyBorder="1" applyAlignment="1">
      <alignment horizontal="left" vertical="center" wrapText="1"/>
    </xf>
    <xf numFmtId="0" fontId="9" fillId="6" borderId="26" xfId="0" applyFont="1" applyFill="1" applyBorder="1" applyAlignment="1">
      <alignment horizontal="center" vertical="center" wrapText="1"/>
    </xf>
    <xf numFmtId="0" fontId="10" fillId="0" borderId="11" xfId="0" applyFont="1" applyBorder="1" applyAlignment="1">
      <alignment horizontal="left" vertical="center"/>
    </xf>
    <xf numFmtId="0" fontId="10" fillId="6" borderId="11" xfId="0" applyFont="1" applyFill="1" applyBorder="1" applyAlignment="1">
      <alignment horizontal="left" vertical="center"/>
    </xf>
    <xf numFmtId="2" fontId="10" fillId="6" borderId="26" xfId="0" applyNumberFormat="1" applyFont="1" applyFill="1" applyBorder="1" applyAlignment="1">
      <alignment horizontal="center" vertical="center"/>
    </xf>
    <xf numFmtId="0" fontId="10" fillId="6" borderId="26" xfId="0" applyFont="1" applyFill="1" applyBorder="1" applyAlignment="1">
      <alignment horizontal="center" vertical="center" wrapText="1"/>
    </xf>
    <xf numFmtId="0" fontId="10" fillId="0" borderId="11" xfId="0" applyFont="1" applyBorder="1" applyAlignment="1">
      <alignment horizontal="left" vertical="center" wrapText="1"/>
    </xf>
    <xf numFmtId="0" fontId="10" fillId="0" borderId="36" xfId="0" applyFont="1" applyBorder="1" applyAlignment="1">
      <alignment horizontal="center" vertical="center"/>
    </xf>
    <xf numFmtId="0" fontId="10" fillId="0" borderId="37" xfId="0" applyFont="1" applyBorder="1" applyAlignment="1">
      <alignment horizontal="center" vertical="center" wrapText="1"/>
    </xf>
    <xf numFmtId="0" fontId="10" fillId="6" borderId="11" xfId="0" applyFont="1" applyFill="1" applyBorder="1" applyAlignment="1">
      <alignment horizontal="left" vertical="center" wrapText="1"/>
    </xf>
    <xf numFmtId="0" fontId="10" fillId="6" borderId="26" xfId="0" applyFont="1" applyFill="1" applyBorder="1" applyAlignment="1">
      <alignment horizontal="center" vertical="center"/>
    </xf>
    <xf numFmtId="0" fontId="9" fillId="0" borderId="20" xfId="0" applyFont="1" applyBorder="1" applyAlignment="1">
      <alignment horizontal="center" vertical="center"/>
    </xf>
    <xf numFmtId="0" fontId="9" fillId="0" borderId="38" xfId="0" applyFont="1" applyBorder="1" applyAlignment="1">
      <alignment horizontal="center" vertical="center"/>
    </xf>
    <xf numFmtId="0" fontId="7" fillId="0" borderId="38" xfId="0" applyFont="1" applyBorder="1" applyAlignment="1">
      <alignment horizontal="center" vertical="center" wrapText="1"/>
    </xf>
    <xf numFmtId="0" fontId="7" fillId="0" borderId="39" xfId="0" applyFont="1" applyBorder="1" applyAlignment="1">
      <alignment horizontal="left" vertical="center" wrapText="1"/>
    </xf>
    <xf numFmtId="0" fontId="7" fillId="0" borderId="38" xfId="0" applyFont="1" applyBorder="1" applyAlignment="1">
      <alignment horizontal="center" vertical="center"/>
    </xf>
    <xf numFmtId="0" fontId="7" fillId="6" borderId="39" xfId="0" applyFont="1" applyFill="1" applyBorder="1" applyAlignment="1">
      <alignment horizontal="left" vertical="center" wrapText="1"/>
    </xf>
    <xf numFmtId="0" fontId="7" fillId="0" borderId="39" xfId="0" applyFont="1" applyBorder="1" applyAlignment="1">
      <alignment wrapText="1"/>
    </xf>
    <xf numFmtId="166" fontId="7" fillId="0" borderId="20" xfId="0" applyNumberFormat="1" applyFont="1" applyBorder="1" applyAlignment="1">
      <alignment horizontal="center" vertical="center"/>
    </xf>
    <xf numFmtId="167" fontId="7" fillId="0" borderId="38" xfId="0" applyNumberFormat="1" applyFont="1" applyBorder="1" applyAlignment="1">
      <alignment horizontal="center" vertical="center"/>
    </xf>
    <xf numFmtId="167" fontId="9" fillId="0" borderId="38" xfId="0" applyNumberFormat="1" applyFont="1" applyBorder="1" applyAlignment="1">
      <alignment horizontal="center" vertical="center"/>
    </xf>
    <xf numFmtId="0" fontId="7" fillId="6" borderId="39" xfId="0" applyFont="1" applyFill="1" applyBorder="1" applyAlignment="1">
      <alignment wrapText="1"/>
    </xf>
    <xf numFmtId="2" fontId="7" fillId="6" borderId="26" xfId="0" applyNumberFormat="1" applyFont="1" applyFill="1" applyBorder="1" applyAlignment="1">
      <alignment horizontal="center" vertical="center"/>
    </xf>
    <xf numFmtId="1" fontId="7" fillId="0" borderId="20" xfId="0" applyNumberFormat="1" applyFont="1" applyBorder="1" applyAlignment="1">
      <alignment horizontal="center" vertical="center"/>
    </xf>
    <xf numFmtId="1" fontId="7" fillId="6" borderId="26" xfId="0" applyNumberFormat="1" applyFont="1" applyFill="1" applyBorder="1" applyAlignment="1">
      <alignment horizontal="center" vertical="center"/>
    </xf>
    <xf numFmtId="12" fontId="7" fillId="0" borderId="11" xfId="0" applyNumberFormat="1" applyFont="1" applyBorder="1" applyAlignment="1">
      <alignment horizontal="left" vertical="center"/>
    </xf>
    <xf numFmtId="12" fontId="7" fillId="6" borderId="11" xfId="0" applyNumberFormat="1" applyFont="1" applyFill="1" applyBorder="1" applyAlignment="1">
      <alignment horizontal="left" vertical="center"/>
    </xf>
    <xf numFmtId="9" fontId="7" fillId="0" borderId="40" xfId="0" applyNumberFormat="1" applyFont="1" applyBorder="1" applyAlignment="1">
      <alignment horizontal="center" vertical="center"/>
    </xf>
    <xf numFmtId="9" fontId="7" fillId="0" borderId="38" xfId="2" applyFont="1" applyFill="1" applyBorder="1" applyAlignment="1">
      <alignment horizontal="center" vertical="center"/>
    </xf>
    <xf numFmtId="9" fontId="7" fillId="7" borderId="41" xfId="0" applyNumberFormat="1" applyFont="1" applyFill="1" applyBorder="1" applyAlignment="1" applyProtection="1">
      <alignment horizontal="center" vertical="center"/>
      <protection locked="0"/>
    </xf>
    <xf numFmtId="9" fontId="7" fillId="7" borderId="38" xfId="2" applyFont="1" applyFill="1" applyBorder="1" applyAlignment="1">
      <alignment horizontal="center" vertical="center"/>
    </xf>
    <xf numFmtId="9" fontId="7" fillId="6" borderId="26" xfId="0" applyNumberFormat="1" applyFont="1" applyFill="1" applyBorder="1" applyAlignment="1">
      <alignment horizontal="center" vertical="center"/>
    </xf>
    <xf numFmtId="166" fontId="7" fillId="0" borderId="42" xfId="0" applyNumberFormat="1" applyFont="1" applyBorder="1" applyAlignment="1">
      <alignment horizontal="center" vertical="center"/>
    </xf>
    <xf numFmtId="166" fontId="7" fillId="6" borderId="26" xfId="0" applyNumberFormat="1" applyFont="1" applyFill="1" applyBorder="1" applyAlignment="1">
      <alignment horizontal="center" vertical="center"/>
    </xf>
    <xf numFmtId="14" fontId="7" fillId="0" borderId="20" xfId="0" applyNumberFormat="1" applyFont="1" applyBorder="1" applyAlignment="1">
      <alignment horizontal="center" vertical="center"/>
    </xf>
    <xf numFmtId="14" fontId="7" fillId="0" borderId="38" xfId="0" applyNumberFormat="1" applyFont="1" applyBorder="1" applyAlignment="1">
      <alignment horizontal="center" vertical="center"/>
    </xf>
    <xf numFmtId="14" fontId="7" fillId="0" borderId="20" xfId="0" applyNumberFormat="1" applyFont="1" applyBorder="1" applyAlignment="1">
      <alignment horizontal="center" vertical="center" wrapText="1"/>
    </xf>
    <xf numFmtId="14" fontId="7" fillId="0" borderId="38" xfId="0" applyNumberFormat="1" applyFont="1" applyBorder="1" applyAlignment="1">
      <alignment horizontal="center" vertical="center" wrapText="1"/>
    </xf>
    <xf numFmtId="14" fontId="7" fillId="6" borderId="26" xfId="0" applyNumberFormat="1" applyFont="1" applyFill="1" applyBorder="1" applyAlignment="1">
      <alignment horizontal="center" vertical="center"/>
    </xf>
    <xf numFmtId="9" fontId="7" fillId="0" borderId="27" xfId="0" applyNumberFormat="1" applyFont="1" applyBorder="1" applyAlignment="1">
      <alignment horizontal="center" vertical="center"/>
    </xf>
    <xf numFmtId="9" fontId="7" fillId="0" borderId="43" xfId="0" applyNumberFormat="1" applyFont="1" applyBorder="1" applyAlignment="1">
      <alignment horizontal="center" vertical="center"/>
    </xf>
    <xf numFmtId="0" fontId="7" fillId="6" borderId="26" xfId="0" applyFont="1" applyFill="1" applyBorder="1" applyAlignment="1">
      <alignment horizontal="center" vertical="center" wrapText="1"/>
    </xf>
    <xf numFmtId="2" fontId="7" fillId="0" borderId="38" xfId="0" applyNumberFormat="1" applyFont="1" applyBorder="1" applyAlignment="1">
      <alignment horizontal="center" vertical="center" wrapText="1"/>
    </xf>
    <xf numFmtId="0" fontId="15" fillId="0" borderId="20" xfId="3" applyFont="1" applyFill="1" applyBorder="1" applyAlignment="1">
      <alignment horizontal="center" vertical="center" wrapText="1"/>
    </xf>
    <xf numFmtId="0" fontId="15" fillId="0" borderId="38" xfId="3" applyFont="1" applyFill="1" applyBorder="1" applyAlignment="1">
      <alignment horizontal="center" vertical="center" wrapText="1"/>
    </xf>
    <xf numFmtId="0" fontId="15" fillId="6" borderId="26" xfId="3" applyFont="1" applyFill="1" applyBorder="1" applyAlignment="1">
      <alignment horizontal="center" vertical="center" wrapText="1"/>
    </xf>
    <xf numFmtId="0" fontId="7" fillId="0" borderId="44" xfId="0" applyFont="1" applyBorder="1" applyAlignment="1">
      <alignment horizontal="left" vertical="center" wrapText="1"/>
    </xf>
    <xf numFmtId="0" fontId="7" fillId="0" borderId="45" xfId="0" applyFont="1" applyBorder="1" applyAlignment="1">
      <alignment horizontal="center" vertical="center" wrapText="1"/>
    </xf>
    <xf numFmtId="0" fontId="7" fillId="0" borderId="46" xfId="0" applyFont="1" applyBorder="1" applyAlignment="1">
      <alignment horizontal="center" vertical="center" wrapText="1"/>
    </xf>
    <xf numFmtId="0" fontId="7" fillId="6" borderId="44" xfId="0" applyFont="1" applyFill="1" applyBorder="1" applyAlignment="1">
      <alignment horizontal="left" vertical="center" wrapText="1"/>
    </xf>
    <xf numFmtId="0" fontId="7" fillId="6" borderId="47" xfId="0" applyFont="1" applyFill="1" applyBorder="1" applyAlignment="1">
      <alignment horizontal="center" vertical="center"/>
    </xf>
    <xf numFmtId="0" fontId="7" fillId="0" borderId="48" xfId="0" applyFont="1" applyBorder="1" applyAlignment="1">
      <alignment wrapText="1"/>
    </xf>
    <xf numFmtId="0" fontId="7" fillId="0" borderId="0" xfId="0" applyFont="1" applyAlignment="1">
      <alignment vertical="top"/>
    </xf>
    <xf numFmtId="0" fontId="9" fillId="0" borderId="0" xfId="0" applyFont="1" applyAlignment="1">
      <alignment horizontal="left"/>
    </xf>
    <xf numFmtId="0" fontId="6" fillId="0" borderId="0" xfId="0" applyFont="1" applyAlignment="1">
      <alignment horizontal="center" wrapText="1"/>
    </xf>
    <xf numFmtId="0" fontId="6" fillId="5" borderId="0" xfId="0" applyFont="1" applyFill="1"/>
    <xf numFmtId="0" fontId="19" fillId="4" borderId="0" xfId="0" applyFont="1" applyFill="1"/>
    <xf numFmtId="0" fontId="0" fillId="4" borderId="0" xfId="0" applyFill="1"/>
    <xf numFmtId="0" fontId="26" fillId="4" borderId="0" xfId="0" applyFont="1" applyFill="1" applyAlignment="1">
      <alignment vertical="center"/>
    </xf>
    <xf numFmtId="0" fontId="2" fillId="4" borderId="0" xfId="0" applyFont="1" applyFill="1"/>
    <xf numFmtId="0" fontId="0" fillId="8" borderId="0" xfId="0" applyFill="1" applyAlignment="1" applyProtection="1">
      <alignment horizontal="center" vertical="center"/>
      <protection hidden="1"/>
    </xf>
    <xf numFmtId="0" fontId="0" fillId="3" borderId="0" xfId="0" applyFill="1" applyAlignment="1" applyProtection="1">
      <alignment horizontal="center" vertical="center"/>
      <protection hidden="1"/>
    </xf>
    <xf numFmtId="0" fontId="20" fillId="3" borderId="1" xfId="0" applyFont="1" applyFill="1" applyBorder="1" applyAlignment="1" applyProtection="1">
      <alignment horizontal="center" vertical="center" wrapText="1"/>
      <protection hidden="1"/>
    </xf>
    <xf numFmtId="0" fontId="23" fillId="8" borderId="0" xfId="0" applyFont="1" applyFill="1" applyAlignment="1" applyProtection="1">
      <alignment horizontal="center" vertical="center" wrapText="1"/>
      <protection hidden="1"/>
    </xf>
    <xf numFmtId="0" fontId="0" fillId="8" borderId="0" xfId="0" applyFill="1" applyAlignment="1" applyProtection="1">
      <alignment horizontal="center" vertical="center" wrapText="1"/>
      <protection hidden="1"/>
    </xf>
    <xf numFmtId="0" fontId="2" fillId="8" borderId="0" xfId="0" applyFont="1" applyFill="1" applyAlignment="1" applyProtection="1">
      <alignment horizontal="center" vertical="center"/>
      <protection hidden="1"/>
    </xf>
    <xf numFmtId="164" fontId="20" fillId="2" borderId="51" xfId="0" applyNumberFormat="1" applyFont="1" applyFill="1" applyBorder="1" applyAlignment="1" applyProtection="1">
      <alignment horizontal="center" vertical="center"/>
      <protection hidden="1"/>
    </xf>
    <xf numFmtId="9" fontId="20" fillId="2" borderId="1" xfId="2" applyFont="1" applyFill="1" applyBorder="1" applyAlignment="1" applyProtection="1">
      <alignment horizontal="center" vertical="center"/>
      <protection locked="0"/>
    </xf>
    <xf numFmtId="168" fontId="20" fillId="2" borderId="1" xfId="2" applyNumberFormat="1" applyFont="1" applyFill="1" applyBorder="1" applyAlignment="1" applyProtection="1">
      <alignment horizontal="center" vertical="center"/>
      <protection locked="0"/>
    </xf>
    <xf numFmtId="164" fontId="20" fillId="2" borderId="1" xfId="2" applyNumberFormat="1" applyFont="1" applyFill="1" applyBorder="1" applyAlignment="1" applyProtection="1">
      <alignment horizontal="center" vertical="center"/>
      <protection locked="0"/>
    </xf>
    <xf numFmtId="1" fontId="20" fillId="2" borderId="1" xfId="2" applyNumberFormat="1" applyFont="1" applyFill="1" applyBorder="1" applyAlignment="1" applyProtection="1">
      <alignment horizontal="center" vertical="center"/>
      <protection locked="0"/>
    </xf>
    <xf numFmtId="165" fontId="20" fillId="2" borderId="49" xfId="0" applyNumberFormat="1" applyFont="1" applyFill="1" applyBorder="1" applyAlignment="1" applyProtection="1">
      <alignment horizontal="center" vertical="center" wrapText="1"/>
      <protection locked="0"/>
    </xf>
    <xf numFmtId="164" fontId="20" fillId="2" borderId="49" xfId="0" applyNumberFormat="1" applyFont="1" applyFill="1" applyBorder="1" applyAlignment="1" applyProtection="1">
      <alignment horizontal="center" vertical="center"/>
      <protection locked="0"/>
    </xf>
    <xf numFmtId="2" fontId="20" fillId="3" borderId="1" xfId="2" applyNumberFormat="1" applyFont="1" applyFill="1" applyBorder="1" applyAlignment="1" applyProtection="1">
      <alignment horizontal="center" vertical="center"/>
      <protection hidden="1"/>
    </xf>
    <xf numFmtId="9" fontId="20" fillId="2" borderId="49" xfId="2" applyFont="1" applyFill="1" applyBorder="1" applyAlignment="1" applyProtection="1">
      <alignment horizontal="center" vertical="center"/>
      <protection locked="0"/>
    </xf>
    <xf numFmtId="0" fontId="23" fillId="3" borderId="1" xfId="0" applyFont="1" applyFill="1" applyBorder="1" applyAlignment="1" applyProtection="1">
      <alignment horizontal="center" vertical="center" wrapText="1"/>
      <protection hidden="1"/>
    </xf>
    <xf numFmtId="165" fontId="20" fillId="2" borderId="1" xfId="0" applyNumberFormat="1" applyFont="1" applyFill="1" applyBorder="1" applyAlignment="1" applyProtection="1">
      <alignment horizontal="center" vertical="center" wrapText="1"/>
      <protection locked="0"/>
    </xf>
    <xf numFmtId="164" fontId="20" fillId="2" borderId="51" xfId="0" applyNumberFormat="1" applyFont="1" applyFill="1" applyBorder="1" applyAlignment="1" applyProtection="1">
      <alignment horizontal="center" vertical="center"/>
      <protection locked="0"/>
    </xf>
    <xf numFmtId="0" fontId="23" fillId="3" borderId="0" xfId="0" applyFont="1" applyFill="1" applyAlignment="1" applyProtection="1">
      <alignment vertical="center" wrapText="1"/>
      <protection hidden="1"/>
    </xf>
    <xf numFmtId="0" fontId="20" fillId="3" borderId="0" xfId="0" applyFont="1" applyFill="1" applyAlignment="1" applyProtection="1">
      <alignment horizontal="center" vertical="center" wrapText="1"/>
      <protection hidden="1"/>
    </xf>
    <xf numFmtId="0" fontId="14" fillId="3" borderId="0" xfId="3" applyFill="1" applyBorder="1" applyAlignment="1" applyProtection="1">
      <alignment horizontal="center" vertical="center" wrapText="1"/>
      <protection hidden="1"/>
    </xf>
    <xf numFmtId="0" fontId="0" fillId="8" borderId="0" xfId="0" applyFill="1" applyAlignment="1" applyProtection="1">
      <alignment horizontal="left" vertical="center"/>
      <protection hidden="1"/>
    </xf>
    <xf numFmtId="0" fontId="14" fillId="8" borderId="0" xfId="3" applyFill="1" applyBorder="1" applyAlignment="1" applyProtection="1">
      <alignment horizontal="left" vertical="center"/>
      <protection hidden="1"/>
    </xf>
    <xf numFmtId="0" fontId="3" fillId="8" borderId="0" xfId="0" applyFont="1" applyFill="1" applyAlignment="1" applyProtection="1">
      <alignment vertical="center"/>
      <protection hidden="1"/>
    </xf>
    <xf numFmtId="0" fontId="0" fillId="3" borderId="0" xfId="0" applyFill="1" applyAlignment="1" applyProtection="1">
      <alignment horizontal="center" vertical="center" wrapText="1"/>
      <protection hidden="1"/>
    </xf>
    <xf numFmtId="0" fontId="32" fillId="3" borderId="0" xfId="0" applyFont="1" applyFill="1" applyAlignment="1" applyProtection="1">
      <alignment horizontal="center" vertical="center" wrapText="1"/>
      <protection hidden="1"/>
    </xf>
    <xf numFmtId="4" fontId="20" fillId="3" borderId="51" xfId="2" applyNumberFormat="1" applyFont="1" applyFill="1" applyBorder="1" applyAlignment="1" applyProtection="1">
      <alignment horizontal="center" vertical="center"/>
      <protection hidden="1"/>
    </xf>
    <xf numFmtId="0" fontId="0" fillId="0" borderId="53" xfId="0" applyBorder="1" applyAlignment="1" applyProtection="1">
      <alignment horizontal="center" vertical="center"/>
      <protection hidden="1"/>
    </xf>
    <xf numFmtId="0" fontId="0" fillId="0" borderId="0" xfId="0" applyAlignment="1" applyProtection="1">
      <alignment horizontal="center" vertical="center"/>
      <protection hidden="1"/>
    </xf>
    <xf numFmtId="165" fontId="20" fillId="0" borderId="0" xfId="0" applyNumberFormat="1" applyFont="1" applyAlignment="1" applyProtection="1">
      <alignment horizontal="center" vertical="center" wrapText="1"/>
      <protection locked="0"/>
    </xf>
    <xf numFmtId="164" fontId="20" fillId="0" borderId="0" xfId="0" applyNumberFormat="1" applyFont="1" applyAlignment="1" applyProtection="1">
      <alignment horizontal="center" vertical="center"/>
      <protection locked="0"/>
    </xf>
    <xf numFmtId="9" fontId="20" fillId="3" borderId="0" xfId="2" applyFont="1" applyFill="1" applyBorder="1" applyAlignment="1" applyProtection="1">
      <alignment horizontal="center" vertical="center"/>
      <protection locked="0"/>
    </xf>
    <xf numFmtId="168" fontId="20" fillId="3" borderId="0" xfId="2" applyNumberFormat="1" applyFont="1" applyFill="1" applyBorder="1" applyAlignment="1" applyProtection="1">
      <alignment horizontal="center" vertical="center"/>
      <protection locked="0"/>
    </xf>
    <xf numFmtId="9" fontId="20" fillId="3" borderId="0" xfId="2" applyFont="1" applyFill="1" applyBorder="1" applyAlignment="1" applyProtection="1">
      <alignment vertical="center"/>
      <protection locked="0"/>
    </xf>
    <xf numFmtId="0" fontId="29" fillId="3" borderId="0" xfId="0" applyFont="1" applyFill="1" applyAlignment="1" applyProtection="1">
      <alignment horizontal="right" vertical="center" wrapText="1"/>
      <protection hidden="1"/>
    </xf>
    <xf numFmtId="0" fontId="21" fillId="8" borderId="0" xfId="0" applyFont="1" applyFill="1" applyAlignment="1" applyProtection="1">
      <alignment vertical="center" wrapText="1"/>
      <protection hidden="1"/>
    </xf>
    <xf numFmtId="0" fontId="22" fillId="8" borderId="0" xfId="0" applyFont="1" applyFill="1" applyAlignment="1" applyProtection="1">
      <alignment horizontal="right" vertical="center"/>
      <protection hidden="1"/>
    </xf>
    <xf numFmtId="4" fontId="20" fillId="3" borderId="3" xfId="0" applyNumberFormat="1" applyFont="1" applyFill="1" applyBorder="1" applyAlignment="1" applyProtection="1">
      <alignment horizontal="center" vertical="center"/>
      <protection hidden="1"/>
    </xf>
    <xf numFmtId="2" fontId="20" fillId="3" borderId="3" xfId="2" applyNumberFormat="1" applyFont="1" applyFill="1" applyBorder="1" applyAlignment="1" applyProtection="1">
      <alignment horizontal="center" vertical="center"/>
      <protection hidden="1"/>
    </xf>
    <xf numFmtId="9" fontId="20" fillId="2" borderId="52" xfId="2" applyFont="1" applyFill="1" applyBorder="1" applyAlignment="1" applyProtection="1">
      <alignment horizontal="center" vertical="center"/>
      <protection locked="0"/>
    </xf>
    <xf numFmtId="4" fontId="20" fillId="3" borderId="57" xfId="2" applyNumberFormat="1" applyFont="1" applyFill="1" applyBorder="1" applyAlignment="1" applyProtection="1">
      <alignment horizontal="center" vertical="center"/>
      <protection hidden="1"/>
    </xf>
    <xf numFmtId="168" fontId="20" fillId="2" borderId="3" xfId="2" applyNumberFormat="1" applyFont="1" applyFill="1" applyBorder="1" applyAlignment="1" applyProtection="1">
      <alignment horizontal="center" vertical="center"/>
      <protection locked="0"/>
    </xf>
    <xf numFmtId="9" fontId="20" fillId="2" borderId="3" xfId="2" applyFont="1" applyFill="1" applyBorder="1" applyAlignment="1" applyProtection="1">
      <alignment horizontal="center" vertical="center"/>
      <protection locked="0"/>
    </xf>
    <xf numFmtId="164" fontId="20" fillId="2" borderId="3" xfId="2" applyNumberFormat="1" applyFont="1" applyFill="1" applyBorder="1" applyAlignment="1" applyProtection="1">
      <alignment horizontal="center" vertical="center"/>
      <protection locked="0"/>
    </xf>
    <xf numFmtId="1" fontId="20" fillId="2" borderId="3" xfId="2" applyNumberFormat="1" applyFont="1" applyFill="1" applyBorder="1" applyAlignment="1" applyProtection="1">
      <alignment horizontal="center" vertical="center"/>
      <protection locked="0"/>
    </xf>
    <xf numFmtId="7" fontId="20" fillId="3" borderId="0" xfId="1" applyNumberFormat="1" applyFont="1" applyFill="1" applyBorder="1" applyAlignment="1" applyProtection="1">
      <alignment horizontal="center" vertical="center"/>
      <protection hidden="1"/>
    </xf>
    <xf numFmtId="0" fontId="2" fillId="3" borderId="0" xfId="0" applyFont="1" applyFill="1" applyAlignment="1" applyProtection="1">
      <alignment vertical="center" wrapText="1"/>
      <protection hidden="1"/>
    </xf>
    <xf numFmtId="4" fontId="20" fillId="3" borderId="0" xfId="0" applyNumberFormat="1" applyFont="1" applyFill="1" applyAlignment="1" applyProtection="1">
      <alignment horizontal="center" vertical="center"/>
      <protection hidden="1"/>
    </xf>
    <xf numFmtId="1" fontId="20" fillId="3" borderId="0" xfId="2" applyNumberFormat="1" applyFont="1" applyFill="1" applyBorder="1" applyAlignment="1" applyProtection="1">
      <alignment horizontal="center" vertical="center"/>
      <protection hidden="1"/>
    </xf>
    <xf numFmtId="2" fontId="20" fillId="3" borderId="0" xfId="2" applyNumberFormat="1" applyFont="1" applyFill="1" applyBorder="1" applyAlignment="1" applyProtection="1">
      <alignment horizontal="center" vertical="center"/>
      <protection hidden="1"/>
    </xf>
    <xf numFmtId="4" fontId="20" fillId="3" borderId="0" xfId="2" applyNumberFormat="1" applyFont="1" applyFill="1" applyBorder="1" applyAlignment="1" applyProtection="1">
      <alignment horizontal="center" vertical="center"/>
      <protection hidden="1"/>
    </xf>
    <xf numFmtId="0" fontId="21" fillId="3" borderId="0" xfId="0" applyFont="1" applyFill="1" applyAlignment="1" applyProtection="1">
      <alignment vertical="center"/>
      <protection hidden="1"/>
    </xf>
    <xf numFmtId="0" fontId="20" fillId="3" borderId="0" xfId="0" applyFont="1" applyFill="1" applyAlignment="1" applyProtection="1">
      <alignment vertical="center" wrapText="1"/>
      <protection locked="0"/>
    </xf>
    <xf numFmtId="0" fontId="21" fillId="3" borderId="0" xfId="0" applyFont="1" applyFill="1" applyAlignment="1" applyProtection="1">
      <alignment vertical="center" wrapText="1"/>
      <protection hidden="1"/>
    </xf>
    <xf numFmtId="9" fontId="20" fillId="3" borderId="0" xfId="2" applyFont="1" applyFill="1" applyBorder="1" applyAlignment="1" applyProtection="1">
      <alignment horizontal="center" vertical="center"/>
    </xf>
    <xf numFmtId="9" fontId="29" fillId="3" borderId="0" xfId="2" applyFont="1" applyFill="1" applyBorder="1" applyAlignment="1" applyProtection="1">
      <alignment horizontal="right" vertical="center"/>
    </xf>
    <xf numFmtId="164" fontId="20" fillId="3" borderId="0" xfId="2" applyNumberFormat="1" applyFont="1" applyFill="1" applyBorder="1" applyAlignment="1" applyProtection="1">
      <alignment horizontal="center" vertical="center"/>
      <protection locked="0"/>
    </xf>
    <xf numFmtId="1" fontId="20" fillId="3" borderId="0" xfId="2" applyNumberFormat="1" applyFont="1" applyFill="1" applyBorder="1" applyAlignment="1" applyProtection="1">
      <alignment horizontal="center" vertical="center"/>
      <protection locked="0"/>
    </xf>
    <xf numFmtId="165" fontId="20" fillId="3" borderId="0" xfId="0" applyNumberFormat="1" applyFont="1" applyFill="1" applyAlignment="1" applyProtection="1">
      <alignment horizontal="center" vertical="center" wrapText="1"/>
      <protection locked="0"/>
    </xf>
    <xf numFmtId="164" fontId="20" fillId="3" borderId="0" xfId="0" applyNumberFormat="1" applyFont="1" applyFill="1" applyAlignment="1" applyProtection="1">
      <alignment horizontal="center" vertical="center"/>
      <protection locked="0"/>
    </xf>
    <xf numFmtId="164" fontId="20" fillId="3" borderId="0" xfId="0" applyNumberFormat="1" applyFont="1" applyFill="1" applyAlignment="1" applyProtection="1">
      <alignment horizontal="center" vertical="center"/>
      <protection hidden="1"/>
    </xf>
    <xf numFmtId="0" fontId="27" fillId="3" borderId="0" xfId="0" applyFont="1" applyFill="1" applyAlignment="1" applyProtection="1">
      <alignment horizontal="center" vertical="center"/>
      <protection hidden="1"/>
    </xf>
    <xf numFmtId="0" fontId="27" fillId="3" borderId="0" xfId="0" applyFont="1" applyFill="1" applyAlignment="1" applyProtection="1">
      <alignment vertical="center"/>
      <protection hidden="1"/>
    </xf>
    <xf numFmtId="0" fontId="23" fillId="3" borderId="0" xfId="0" applyFont="1" applyFill="1" applyAlignment="1" applyProtection="1">
      <alignment horizontal="left" vertical="center" wrapText="1"/>
      <protection hidden="1"/>
    </xf>
    <xf numFmtId="9" fontId="20" fillId="3" borderId="0" xfId="0" applyNumberFormat="1" applyFont="1" applyFill="1" applyAlignment="1" applyProtection="1">
      <alignment horizontal="center" vertical="center"/>
      <protection locked="0"/>
    </xf>
    <xf numFmtId="0" fontId="20" fillId="3" borderId="3" xfId="0" applyFont="1" applyFill="1" applyBorder="1" applyAlignment="1" applyProtection="1">
      <alignment horizontal="center" vertical="center" wrapText="1"/>
      <protection hidden="1"/>
    </xf>
    <xf numFmtId="0" fontId="33" fillId="3" borderId="0" xfId="0" applyFont="1" applyFill="1" applyAlignment="1" applyProtection="1">
      <alignment horizontal="left" vertical="center" wrapText="1"/>
      <protection hidden="1"/>
    </xf>
    <xf numFmtId="0" fontId="22" fillId="3" borderId="0" xfId="0" applyFont="1" applyFill="1" applyAlignment="1" applyProtection="1">
      <alignment horizontal="right" vertical="center"/>
      <protection hidden="1"/>
    </xf>
    <xf numFmtId="0" fontId="27" fillId="3" borderId="1" xfId="0" applyFont="1" applyFill="1" applyBorder="1" applyAlignment="1" applyProtection="1">
      <alignment vertical="center"/>
      <protection hidden="1"/>
    </xf>
    <xf numFmtId="0" fontId="20" fillId="10" borderId="56" xfId="0" applyFont="1" applyFill="1" applyBorder="1" applyAlignment="1" applyProtection="1">
      <alignment horizontal="center" vertical="center"/>
      <protection locked="0"/>
    </xf>
    <xf numFmtId="0" fontId="20" fillId="10" borderId="61" xfId="0" applyFont="1" applyFill="1" applyBorder="1" applyAlignment="1" applyProtection="1">
      <alignment horizontal="center" vertical="center"/>
      <protection locked="0"/>
    </xf>
    <xf numFmtId="0" fontId="33" fillId="3" borderId="56" xfId="0" applyFont="1" applyFill="1" applyBorder="1" applyAlignment="1" applyProtection="1">
      <alignment horizontal="left" vertical="center" wrapText="1"/>
      <protection hidden="1"/>
    </xf>
    <xf numFmtId="0" fontId="23" fillId="3" borderId="55" xfId="0" applyFont="1" applyFill="1" applyBorder="1" applyAlignment="1" applyProtection="1">
      <alignment horizontal="center" vertical="center" wrapText="1"/>
      <protection hidden="1"/>
    </xf>
    <xf numFmtId="0" fontId="27" fillId="3" borderId="5" xfId="0" applyFont="1" applyFill="1" applyBorder="1" applyAlignment="1" applyProtection="1">
      <alignment vertical="center"/>
      <protection hidden="1"/>
    </xf>
    <xf numFmtId="0" fontId="27" fillId="3" borderId="4" xfId="0" applyFont="1" applyFill="1" applyBorder="1" applyAlignment="1" applyProtection="1">
      <alignment vertical="center"/>
      <protection hidden="1"/>
    </xf>
    <xf numFmtId="0" fontId="35" fillId="3" borderId="0" xfId="0" applyFont="1" applyFill="1" applyAlignment="1" applyProtection="1">
      <alignment horizontal="left" vertical="center"/>
      <protection hidden="1"/>
    </xf>
    <xf numFmtId="9" fontId="20" fillId="2" borderId="66" xfId="2" applyFont="1" applyFill="1" applyBorder="1" applyAlignment="1" applyProtection="1">
      <alignment horizontal="center" vertical="center"/>
      <protection locked="0"/>
    </xf>
    <xf numFmtId="9" fontId="30" fillId="2" borderId="66" xfId="2" applyFont="1" applyFill="1" applyBorder="1" applyAlignment="1" applyProtection="1">
      <alignment horizontal="center" vertical="center"/>
      <protection locked="0"/>
    </xf>
    <xf numFmtId="9" fontId="30" fillId="2" borderId="67" xfId="2" applyFont="1" applyFill="1" applyBorder="1" applyAlignment="1" applyProtection="1">
      <alignment horizontal="center" vertical="center"/>
      <protection locked="0"/>
    </xf>
    <xf numFmtId="0" fontId="24" fillId="3" borderId="63" xfId="0" applyFont="1" applyFill="1" applyBorder="1" applyAlignment="1" applyProtection="1">
      <alignment horizontal="center" vertical="center" wrapText="1"/>
      <protection hidden="1"/>
    </xf>
    <xf numFmtId="0" fontId="24" fillId="3" borderId="65" xfId="0" applyFont="1" applyFill="1" applyBorder="1" applyAlignment="1" applyProtection="1">
      <alignment horizontal="center" vertical="center" wrapText="1"/>
      <protection hidden="1"/>
    </xf>
    <xf numFmtId="9" fontId="20" fillId="2" borderId="67" xfId="2" applyFont="1" applyFill="1" applyBorder="1" applyAlignment="1" applyProtection="1">
      <alignment horizontal="center" vertical="center"/>
      <protection locked="0"/>
    </xf>
    <xf numFmtId="0" fontId="20" fillId="10" borderId="4" xfId="0" applyFont="1" applyFill="1" applyBorder="1" applyAlignment="1" applyProtection="1">
      <alignment horizontal="center" vertical="center"/>
      <protection locked="0"/>
    </xf>
    <xf numFmtId="0" fontId="20" fillId="10" borderId="1" xfId="0" applyFont="1" applyFill="1" applyBorder="1" applyAlignment="1" applyProtection="1">
      <alignment horizontal="center" vertical="center" wrapText="1"/>
      <protection locked="0"/>
    </xf>
    <xf numFmtId="0" fontId="23" fillId="3" borderId="49" xfId="0" applyFont="1" applyFill="1" applyBorder="1" applyAlignment="1" applyProtection="1">
      <alignment horizontal="center" vertical="top" wrapText="1"/>
      <protection hidden="1"/>
    </xf>
    <xf numFmtId="0" fontId="20" fillId="3" borderId="57" xfId="0" applyFont="1" applyFill="1" applyBorder="1" applyAlignment="1" applyProtection="1">
      <alignment horizontal="center" vertical="center" wrapText="1"/>
      <protection hidden="1"/>
    </xf>
    <xf numFmtId="9" fontId="29" fillId="0" borderId="57" xfId="2" applyFont="1" applyFill="1" applyBorder="1" applyAlignment="1" applyProtection="1">
      <alignment horizontal="center" vertical="center"/>
    </xf>
    <xf numFmtId="9" fontId="29" fillId="0" borderId="51" xfId="2" applyFont="1" applyFill="1" applyBorder="1" applyAlignment="1" applyProtection="1">
      <alignment horizontal="center" vertical="center"/>
    </xf>
    <xf numFmtId="0" fontId="2" fillId="0" borderId="3" xfId="0" applyFont="1" applyBorder="1" applyAlignment="1" applyProtection="1">
      <alignment vertical="center"/>
      <protection hidden="1"/>
    </xf>
    <xf numFmtId="0" fontId="2" fillId="0" borderId="0" xfId="0" applyFont="1" applyAlignment="1" applyProtection="1">
      <alignment horizontal="center" vertical="center" wrapText="1"/>
      <protection hidden="1"/>
    </xf>
    <xf numFmtId="0" fontId="2" fillId="0" borderId="0" xfId="0" applyFont="1" applyAlignment="1" applyProtection="1">
      <alignment vertical="center"/>
      <protection hidden="1"/>
    </xf>
    <xf numFmtId="0" fontId="21" fillId="0" borderId="0" xfId="0" applyFont="1" applyAlignment="1" applyProtection="1">
      <alignment vertical="center" wrapText="1"/>
      <protection hidden="1"/>
    </xf>
    <xf numFmtId="0" fontId="31" fillId="3" borderId="0" xfId="0" applyFont="1" applyFill="1" applyAlignment="1" applyProtection="1">
      <alignment horizontal="center" vertical="center" wrapText="1"/>
      <protection hidden="1"/>
    </xf>
    <xf numFmtId="0" fontId="23" fillId="3" borderId="57" xfId="0" applyFont="1" applyFill="1" applyBorder="1" applyAlignment="1" applyProtection="1">
      <alignment horizontal="center" vertical="center" wrapText="1"/>
      <protection hidden="1"/>
    </xf>
    <xf numFmtId="0" fontId="23" fillId="3" borderId="3" xfId="0" applyFont="1" applyFill="1" applyBorder="1" applyAlignment="1" applyProtection="1">
      <alignment horizontal="center" vertical="center" wrapText="1"/>
      <protection hidden="1"/>
    </xf>
    <xf numFmtId="0" fontId="23" fillId="0" borderId="0" xfId="0" applyFont="1" applyAlignment="1" applyProtection="1">
      <alignment horizontal="center" vertical="center" wrapText="1"/>
      <protection hidden="1"/>
    </xf>
    <xf numFmtId="0" fontId="2" fillId="0" borderId="0" xfId="0" applyFont="1" applyAlignment="1" applyProtection="1">
      <alignment horizontal="center" vertical="center"/>
      <protection hidden="1"/>
    </xf>
    <xf numFmtId="1" fontId="20" fillId="2" borderId="49" xfId="2" applyNumberFormat="1" applyFont="1" applyFill="1" applyBorder="1" applyAlignment="1" applyProtection="1">
      <alignment horizontal="center" vertical="center"/>
      <protection locked="0"/>
    </xf>
    <xf numFmtId="0" fontId="20" fillId="0" borderId="1" xfId="0" applyFont="1" applyBorder="1" applyAlignment="1">
      <alignment horizontal="right" vertical="center"/>
    </xf>
    <xf numFmtId="0" fontId="2" fillId="3" borderId="3" xfId="0" applyFont="1" applyFill="1" applyBorder="1" applyAlignment="1" applyProtection="1">
      <alignment vertical="center"/>
      <protection hidden="1"/>
    </xf>
    <xf numFmtId="0" fontId="2" fillId="3" borderId="5" xfId="0" applyFont="1" applyFill="1" applyBorder="1" applyAlignment="1" applyProtection="1">
      <alignment vertical="center"/>
      <protection hidden="1"/>
    </xf>
    <xf numFmtId="0" fontId="2" fillId="3" borderId="4" xfId="0" applyFont="1" applyFill="1" applyBorder="1" applyAlignment="1" applyProtection="1">
      <alignment vertical="center"/>
      <protection hidden="1"/>
    </xf>
    <xf numFmtId="0" fontId="20" fillId="0" borderId="0" xfId="0" applyFont="1" applyAlignment="1">
      <alignment vertical="top" wrapText="1"/>
    </xf>
    <xf numFmtId="9" fontId="20" fillId="2" borderId="1" xfId="0" applyNumberFormat="1" applyFont="1" applyFill="1" applyBorder="1" applyAlignment="1" applyProtection="1">
      <alignment horizontal="center" vertical="center"/>
      <protection locked="0"/>
    </xf>
    <xf numFmtId="0" fontId="27" fillId="3" borderId="3" xfId="0" applyFont="1" applyFill="1" applyBorder="1" applyAlignment="1" applyProtection="1">
      <alignment vertical="center"/>
      <protection hidden="1"/>
    </xf>
    <xf numFmtId="0" fontId="2" fillId="3" borderId="0" xfId="0" applyFont="1" applyFill="1" applyAlignment="1" applyProtection="1">
      <alignment vertical="center"/>
      <protection hidden="1"/>
    </xf>
    <xf numFmtId="0" fontId="20" fillId="3" borderId="51" xfId="0" applyFont="1" applyFill="1" applyBorder="1" applyAlignment="1" applyProtection="1">
      <alignment horizontal="center" vertical="center" wrapText="1"/>
      <protection hidden="1"/>
    </xf>
    <xf numFmtId="4" fontId="20" fillId="3" borderId="57" xfId="0" applyNumberFormat="1" applyFont="1" applyFill="1" applyBorder="1" applyAlignment="1" applyProtection="1">
      <alignment horizontal="center" vertical="center"/>
      <protection hidden="1"/>
    </xf>
    <xf numFmtId="0" fontId="0" fillId="3" borderId="4" xfId="0" applyFill="1" applyBorder="1" applyAlignment="1" applyProtection="1">
      <alignment horizontal="center" vertical="center"/>
      <protection hidden="1"/>
    </xf>
    <xf numFmtId="1" fontId="20" fillId="2" borderId="52" xfId="2" applyNumberFormat="1" applyFont="1" applyFill="1" applyBorder="1" applyAlignment="1" applyProtection="1">
      <alignment horizontal="center" vertical="center"/>
      <protection locked="0"/>
    </xf>
    <xf numFmtId="0" fontId="0" fillId="3" borderId="54" xfId="0" applyFill="1" applyBorder="1" applyAlignment="1" applyProtection="1">
      <alignment horizontal="center" vertical="center"/>
      <protection hidden="1"/>
    </xf>
    <xf numFmtId="9" fontId="41" fillId="0" borderId="1" xfId="2" applyFont="1" applyFill="1" applyBorder="1" applyAlignment="1" applyProtection="1">
      <alignment horizontal="left" vertical="center"/>
    </xf>
    <xf numFmtId="0" fontId="0" fillId="0" borderId="4" xfId="0" applyBorder="1" applyAlignment="1" applyProtection="1">
      <alignment horizontal="center" vertical="center"/>
      <protection hidden="1"/>
    </xf>
    <xf numFmtId="0" fontId="29" fillId="8" borderId="0" xfId="0" applyFont="1" applyFill="1" applyAlignment="1" applyProtection="1">
      <alignment horizontal="center" vertical="center" wrapText="1"/>
      <protection hidden="1"/>
    </xf>
    <xf numFmtId="0" fontId="37" fillId="0" borderId="0" xfId="0" applyFont="1" applyAlignment="1" applyProtection="1">
      <alignment vertical="center" wrapText="1"/>
      <protection hidden="1"/>
    </xf>
    <xf numFmtId="0" fontId="22" fillId="0" borderId="0" xfId="0" applyFont="1" applyAlignment="1" applyProtection="1">
      <alignment horizontal="right" vertical="center"/>
      <protection hidden="1"/>
    </xf>
    <xf numFmtId="0" fontId="33" fillId="0" borderId="0" xfId="0" applyFont="1" applyAlignment="1" applyProtection="1">
      <alignment horizontal="left" vertical="center" wrapText="1"/>
      <protection hidden="1"/>
    </xf>
    <xf numFmtId="0" fontId="37" fillId="0" borderId="0" xfId="0" applyFont="1" applyAlignment="1" applyProtection="1">
      <alignment vertical="top" wrapText="1"/>
      <protection hidden="1"/>
    </xf>
    <xf numFmtId="0" fontId="27" fillId="0" borderId="0" xfId="0" applyFont="1" applyAlignment="1" applyProtection="1">
      <alignment horizontal="left" vertical="center"/>
      <protection hidden="1"/>
    </xf>
    <xf numFmtId="0" fontId="27" fillId="0" borderId="0" xfId="0" applyFont="1" applyAlignment="1" applyProtection="1">
      <alignment horizontal="center" vertical="center"/>
      <protection hidden="1"/>
    </xf>
    <xf numFmtId="0" fontId="35" fillId="0" borderId="0" xfId="0" applyFont="1" applyAlignment="1" applyProtection="1">
      <alignment horizontal="left" vertical="center"/>
      <protection hidden="1"/>
    </xf>
    <xf numFmtId="0" fontId="29" fillId="0" borderId="0" xfId="0" applyFont="1" applyAlignment="1" applyProtection="1">
      <alignment horizontal="center" vertical="center" wrapText="1"/>
      <protection hidden="1"/>
    </xf>
    <xf numFmtId="0" fontId="23" fillId="0" borderId="0" xfId="0" applyFont="1" applyAlignment="1" applyProtection="1">
      <alignment horizontal="left" vertical="center" wrapText="1"/>
      <protection hidden="1"/>
    </xf>
    <xf numFmtId="0" fontId="20" fillId="0" borderId="0" xfId="0" applyFont="1" applyAlignment="1" applyProtection="1">
      <alignment horizontal="center" vertical="center" wrapText="1"/>
      <protection hidden="1"/>
    </xf>
    <xf numFmtId="0" fontId="31" fillId="0" borderId="0" xfId="0" applyFont="1" applyAlignment="1" applyProtection="1">
      <alignment horizontal="center" vertical="center" wrapText="1"/>
      <protection hidden="1"/>
    </xf>
    <xf numFmtId="0" fontId="0" fillId="0" borderId="0" xfId="0" applyAlignment="1">
      <alignment horizontal="center" wrapText="1"/>
    </xf>
    <xf numFmtId="0" fontId="18" fillId="0" borderId="0" xfId="0" applyFont="1" applyAlignment="1" applyProtection="1">
      <alignment horizontal="center" vertical="center" wrapText="1"/>
      <protection hidden="1"/>
    </xf>
    <xf numFmtId="0" fontId="27" fillId="0" borderId="0" xfId="0" applyFont="1" applyAlignment="1" applyProtection="1">
      <alignment vertical="center"/>
      <protection hidden="1"/>
    </xf>
    <xf numFmtId="0" fontId="20" fillId="0" borderId="0" xfId="0" applyFont="1" applyAlignment="1" applyProtection="1">
      <alignment vertical="center" wrapText="1"/>
      <protection locked="0"/>
    </xf>
    <xf numFmtId="7" fontId="20" fillId="0" borderId="0" xfId="1" applyNumberFormat="1" applyFont="1" applyFill="1" applyBorder="1" applyAlignment="1" applyProtection="1">
      <alignment horizontal="center" vertical="center"/>
      <protection hidden="1"/>
    </xf>
    <xf numFmtId="4" fontId="20" fillId="0" borderId="0" xfId="0" applyNumberFormat="1" applyFont="1" applyAlignment="1" applyProtection="1">
      <alignment horizontal="center" vertical="center"/>
      <protection hidden="1"/>
    </xf>
    <xf numFmtId="1" fontId="20" fillId="0" borderId="0" xfId="2" applyNumberFormat="1" applyFont="1" applyFill="1" applyBorder="1" applyAlignment="1" applyProtection="1">
      <alignment horizontal="center" vertical="center"/>
      <protection hidden="1"/>
    </xf>
    <xf numFmtId="2" fontId="20" fillId="0" borderId="0" xfId="2" applyNumberFormat="1" applyFont="1" applyFill="1" applyBorder="1" applyAlignment="1" applyProtection="1">
      <alignment horizontal="center" vertical="center"/>
      <protection hidden="1"/>
    </xf>
    <xf numFmtId="9" fontId="20" fillId="0" borderId="0" xfId="2" applyFont="1" applyFill="1" applyBorder="1" applyAlignment="1" applyProtection="1">
      <alignment horizontal="center" vertical="center"/>
      <protection locked="0"/>
    </xf>
    <xf numFmtId="9" fontId="20" fillId="0" borderId="0" xfId="2" applyFont="1" applyFill="1" applyBorder="1" applyAlignment="1" applyProtection="1">
      <alignment horizontal="center" vertical="center"/>
    </xf>
    <xf numFmtId="4" fontId="20" fillId="0" borderId="0" xfId="2" applyNumberFormat="1" applyFont="1" applyFill="1" applyBorder="1" applyAlignment="1" applyProtection="1">
      <alignment horizontal="center" vertical="center"/>
      <protection hidden="1"/>
    </xf>
    <xf numFmtId="168" fontId="20" fillId="0" borderId="0" xfId="2" applyNumberFormat="1" applyFont="1" applyFill="1" applyBorder="1" applyAlignment="1" applyProtection="1">
      <alignment horizontal="center" vertical="center"/>
      <protection locked="0"/>
    </xf>
    <xf numFmtId="164" fontId="20" fillId="0" borderId="0" xfId="2" applyNumberFormat="1" applyFont="1" applyFill="1" applyBorder="1" applyAlignment="1" applyProtection="1">
      <alignment horizontal="center" vertical="center"/>
      <protection locked="0"/>
    </xf>
    <xf numFmtId="1" fontId="20" fillId="0" borderId="0" xfId="2" applyNumberFormat="1" applyFont="1" applyFill="1" applyBorder="1" applyAlignment="1" applyProtection="1">
      <alignment horizontal="center" vertical="center"/>
      <protection locked="0"/>
    </xf>
    <xf numFmtId="0" fontId="0" fillId="3" borderId="0" xfId="0" applyFill="1" applyAlignment="1">
      <alignment horizontal="center" wrapText="1"/>
    </xf>
    <xf numFmtId="0" fontId="0" fillId="3" borderId="0" xfId="0" applyFill="1" applyAlignment="1" applyProtection="1">
      <alignment horizontal="left" vertical="center"/>
      <protection hidden="1"/>
    </xf>
    <xf numFmtId="0" fontId="3" fillId="3" borderId="3" xfId="0" applyFont="1" applyFill="1" applyBorder="1" applyAlignment="1" applyProtection="1">
      <alignment horizontal="left" vertical="center"/>
      <protection hidden="1"/>
    </xf>
    <xf numFmtId="0" fontId="3" fillId="3" borderId="5" xfId="0" applyFont="1" applyFill="1" applyBorder="1" applyAlignment="1" applyProtection="1">
      <alignment horizontal="left" vertical="center"/>
      <protection hidden="1"/>
    </xf>
    <xf numFmtId="0" fontId="0" fillId="3" borderId="5" xfId="0" applyFill="1" applyBorder="1" applyAlignment="1" applyProtection="1">
      <alignment horizontal="center" vertical="center"/>
      <protection hidden="1"/>
    </xf>
    <xf numFmtId="0" fontId="37" fillId="3" borderId="5" xfId="0" applyFont="1" applyFill="1" applyBorder="1" applyAlignment="1" applyProtection="1">
      <alignment horizontal="left" vertical="center"/>
      <protection hidden="1"/>
    </xf>
    <xf numFmtId="0" fontId="42" fillId="0" borderId="0" xfId="0" applyFont="1" applyAlignment="1" applyProtection="1">
      <alignment horizontal="center" vertical="center"/>
      <protection hidden="1"/>
    </xf>
    <xf numFmtId="0" fontId="44" fillId="0" borderId="0" xfId="0" applyFont="1" applyAlignment="1" applyProtection="1">
      <alignment horizontal="center" vertical="center" wrapText="1"/>
      <protection hidden="1"/>
    </xf>
    <xf numFmtId="3" fontId="20" fillId="3" borderId="66" xfId="0" applyNumberFormat="1" applyFont="1" applyFill="1" applyBorder="1" applyAlignment="1" applyProtection="1">
      <alignment horizontal="center" vertical="center"/>
      <protection locked="0"/>
    </xf>
    <xf numFmtId="9" fontId="20" fillId="2" borderId="76" xfId="2" applyFont="1" applyFill="1" applyBorder="1" applyAlignment="1" applyProtection="1">
      <alignment horizontal="center" vertical="center"/>
      <protection locked="0"/>
    </xf>
    <xf numFmtId="9" fontId="20" fillId="3" borderId="70" xfId="2" applyFont="1" applyFill="1" applyBorder="1" applyAlignment="1" applyProtection="1">
      <alignment horizontal="center" vertical="center"/>
      <protection locked="0"/>
    </xf>
    <xf numFmtId="3" fontId="20" fillId="3" borderId="64" xfId="0" applyNumberFormat="1" applyFont="1" applyFill="1" applyBorder="1" applyAlignment="1" applyProtection="1">
      <alignment horizontal="center" vertical="center"/>
      <protection locked="0"/>
    </xf>
    <xf numFmtId="0" fontId="24" fillId="3" borderId="10" xfId="0" applyFont="1" applyFill="1" applyBorder="1" applyAlignment="1" applyProtection="1">
      <alignment horizontal="center" vertical="center" wrapText="1"/>
      <protection hidden="1"/>
    </xf>
    <xf numFmtId="0" fontId="23" fillId="3" borderId="58" xfId="0" applyFont="1" applyFill="1" applyBorder="1" applyAlignment="1" applyProtection="1">
      <alignment horizontal="center" vertical="center"/>
      <protection hidden="1"/>
    </xf>
    <xf numFmtId="9" fontId="20" fillId="2" borderId="62" xfId="2" applyFont="1" applyFill="1" applyBorder="1" applyAlignment="1" applyProtection="1">
      <alignment horizontal="center" vertical="center"/>
      <protection locked="0"/>
    </xf>
    <xf numFmtId="0" fontId="24" fillId="3" borderId="58" xfId="0" applyFont="1" applyFill="1" applyBorder="1" applyAlignment="1" applyProtection="1">
      <alignment horizontal="left" vertical="center" wrapText="1"/>
      <protection hidden="1"/>
    </xf>
    <xf numFmtId="9" fontId="30" fillId="2" borderId="76" xfId="2" applyFont="1" applyFill="1" applyBorder="1" applyAlignment="1" applyProtection="1">
      <alignment horizontal="center" vertical="center"/>
      <protection locked="0"/>
    </xf>
    <xf numFmtId="9" fontId="20" fillId="3" borderId="59" xfId="2" applyFont="1" applyFill="1" applyBorder="1" applyAlignment="1" applyProtection="1">
      <alignment horizontal="center" vertical="center"/>
      <protection locked="0"/>
    </xf>
    <xf numFmtId="9" fontId="20" fillId="3" borderId="60" xfId="2" applyFont="1" applyFill="1" applyBorder="1" applyAlignment="1" applyProtection="1">
      <alignment horizontal="center" vertical="center"/>
      <protection locked="0"/>
    </xf>
    <xf numFmtId="0" fontId="43" fillId="0" borderId="0" xfId="0" applyFont="1" applyAlignment="1" applyProtection="1">
      <alignment horizontal="left" vertical="center"/>
      <protection hidden="1"/>
    </xf>
    <xf numFmtId="0" fontId="45" fillId="3" borderId="4" xfId="0" applyFont="1" applyFill="1" applyBorder="1" applyAlignment="1" applyProtection="1">
      <alignment vertical="center" wrapText="1"/>
      <protection hidden="1"/>
    </xf>
    <xf numFmtId="0" fontId="45" fillId="3" borderId="5" xfId="0" applyFont="1" applyFill="1" applyBorder="1" applyAlignment="1" applyProtection="1">
      <alignment vertical="center" wrapText="1"/>
      <protection hidden="1"/>
    </xf>
    <xf numFmtId="0" fontId="24" fillId="3" borderId="74" xfId="0" applyFont="1" applyFill="1" applyBorder="1" applyAlignment="1" applyProtection="1">
      <alignment horizontal="center" vertical="center" wrapText="1"/>
      <protection hidden="1"/>
    </xf>
    <xf numFmtId="3" fontId="20" fillId="3" borderId="68" xfId="0" applyNumberFormat="1" applyFont="1" applyFill="1" applyBorder="1" applyAlignment="1" applyProtection="1">
      <alignment horizontal="center" vertical="center"/>
      <protection hidden="1"/>
    </xf>
    <xf numFmtId="3" fontId="20" fillId="2" borderId="1" xfId="0" applyNumberFormat="1" applyFont="1" applyFill="1" applyBorder="1" applyAlignment="1" applyProtection="1">
      <alignment horizontal="center" vertical="center"/>
      <protection locked="0"/>
    </xf>
    <xf numFmtId="3" fontId="20" fillId="2" borderId="83" xfId="0" applyNumberFormat="1" applyFont="1" applyFill="1" applyBorder="1" applyAlignment="1" applyProtection="1">
      <alignment horizontal="center" vertical="center"/>
      <protection locked="0"/>
    </xf>
    <xf numFmtId="0" fontId="20" fillId="3" borderId="63" xfId="0" applyFont="1" applyFill="1" applyBorder="1" applyAlignment="1" applyProtection="1">
      <alignment horizontal="center" vertical="center" wrapText="1"/>
      <protection hidden="1"/>
    </xf>
    <xf numFmtId="0" fontId="20" fillId="3" borderId="65" xfId="0" applyFont="1" applyFill="1" applyBorder="1" applyAlignment="1" applyProtection="1">
      <alignment horizontal="center" vertical="center" wrapText="1"/>
      <protection hidden="1"/>
    </xf>
    <xf numFmtId="3" fontId="20" fillId="2" borderId="80" xfId="0" applyNumberFormat="1" applyFont="1" applyFill="1" applyBorder="1" applyAlignment="1" applyProtection="1">
      <alignment horizontal="center" vertical="center"/>
      <protection locked="0"/>
    </xf>
    <xf numFmtId="3" fontId="20" fillId="2" borderId="81" xfId="0" applyNumberFormat="1" applyFont="1" applyFill="1" applyBorder="1" applyAlignment="1" applyProtection="1">
      <alignment horizontal="center" vertical="center"/>
      <protection locked="0"/>
    </xf>
    <xf numFmtId="9" fontId="20" fillId="2" borderId="82" xfId="2" applyFont="1" applyFill="1" applyBorder="1" applyAlignment="1" applyProtection="1">
      <alignment horizontal="center" vertical="center"/>
      <protection locked="0"/>
    </xf>
    <xf numFmtId="3" fontId="20" fillId="2" borderId="77" xfId="0" applyNumberFormat="1" applyFont="1" applyFill="1" applyBorder="1" applyAlignment="1" applyProtection="1">
      <alignment horizontal="center" vertical="center"/>
      <protection locked="0"/>
    </xf>
    <xf numFmtId="9" fontId="20" fillId="3" borderId="67" xfId="2" applyFont="1" applyFill="1" applyBorder="1" applyAlignment="1" applyProtection="1">
      <alignment horizontal="center" vertical="center"/>
      <protection locked="0"/>
    </xf>
    <xf numFmtId="3" fontId="20" fillId="3" borderId="76" xfId="0" applyNumberFormat="1" applyFont="1" applyFill="1" applyBorder="1" applyAlignment="1" applyProtection="1">
      <alignment horizontal="center" vertical="center"/>
      <protection locked="0"/>
    </xf>
    <xf numFmtId="3" fontId="20" fillId="3" borderId="75" xfId="0" applyNumberFormat="1" applyFont="1" applyFill="1" applyBorder="1" applyAlignment="1" applyProtection="1">
      <alignment horizontal="center" vertical="center"/>
      <protection locked="0"/>
    </xf>
    <xf numFmtId="0" fontId="18" fillId="3" borderId="62" xfId="0" applyFont="1" applyFill="1" applyBorder="1" applyAlignment="1" applyProtection="1">
      <alignment horizontal="center" vertical="center"/>
      <protection hidden="1"/>
    </xf>
    <xf numFmtId="0" fontId="18" fillId="3" borderId="60" xfId="0" applyFont="1" applyFill="1" applyBorder="1" applyAlignment="1" applyProtection="1">
      <alignment horizontal="center" vertical="center"/>
      <protection hidden="1"/>
    </xf>
    <xf numFmtId="0" fontId="24" fillId="3" borderId="62" xfId="0" applyFont="1" applyFill="1" applyBorder="1" applyAlignment="1" applyProtection="1">
      <alignment horizontal="left" vertical="center" wrapText="1"/>
      <protection hidden="1"/>
    </xf>
    <xf numFmtId="0" fontId="0" fillId="12" borderId="0" xfId="0" applyFill="1" applyAlignment="1" applyProtection="1">
      <alignment horizontal="center" vertical="center"/>
      <protection hidden="1"/>
    </xf>
    <xf numFmtId="0" fontId="46" fillId="4" borderId="0" xfId="0" applyFont="1" applyFill="1" applyAlignment="1">
      <alignment vertical="center"/>
    </xf>
    <xf numFmtId="0" fontId="2" fillId="11" borderId="62" xfId="0" applyFont="1" applyFill="1" applyBorder="1" applyAlignment="1" applyProtection="1">
      <alignment horizontal="center" vertical="center" wrapText="1"/>
      <protection hidden="1"/>
    </xf>
    <xf numFmtId="0" fontId="24" fillId="0" borderId="1" xfId="0" applyFont="1" applyBorder="1" applyAlignment="1" applyProtection="1">
      <alignment horizontal="center" vertical="center" wrapText="1"/>
      <protection hidden="1"/>
    </xf>
    <xf numFmtId="0" fontId="2" fillId="3" borderId="2" xfId="0" applyFont="1" applyFill="1" applyBorder="1" applyAlignment="1" applyProtection="1">
      <alignment vertical="center" wrapText="1"/>
      <protection hidden="1"/>
    </xf>
    <xf numFmtId="164" fontId="20" fillId="2" borderId="52" xfId="0" applyNumberFormat="1" applyFont="1" applyFill="1" applyBorder="1" applyAlignment="1" applyProtection="1">
      <alignment horizontal="center" vertical="center"/>
      <protection locked="0"/>
    </xf>
    <xf numFmtId="164" fontId="20" fillId="2" borderId="53" xfId="0" applyNumberFormat="1" applyFont="1" applyFill="1" applyBorder="1" applyAlignment="1" applyProtection="1">
      <alignment horizontal="center" vertical="center"/>
      <protection locked="0"/>
    </xf>
    <xf numFmtId="164" fontId="20" fillId="2" borderId="54" xfId="0" applyNumberFormat="1" applyFont="1" applyFill="1" applyBorder="1" applyAlignment="1" applyProtection="1">
      <alignment horizontal="center" vertical="center"/>
      <protection locked="0"/>
    </xf>
    <xf numFmtId="7" fontId="20" fillId="3" borderId="57" xfId="1" applyNumberFormat="1" applyFont="1" applyFill="1" applyBorder="1" applyAlignment="1" applyProtection="1">
      <alignment horizontal="center" vertical="center"/>
      <protection hidden="1"/>
    </xf>
    <xf numFmtId="7" fontId="20" fillId="3" borderId="2" xfId="1" applyNumberFormat="1" applyFont="1" applyFill="1" applyBorder="1" applyAlignment="1" applyProtection="1">
      <alignment horizontal="center" vertical="center"/>
      <protection hidden="1"/>
    </xf>
    <xf numFmtId="7" fontId="20" fillId="3" borderId="61" xfId="1" applyNumberFormat="1" applyFont="1" applyFill="1" applyBorder="1" applyAlignment="1" applyProtection="1">
      <alignment horizontal="center" vertical="center"/>
      <protection hidden="1"/>
    </xf>
    <xf numFmtId="0" fontId="2" fillId="3" borderId="57" xfId="0" applyFont="1" applyFill="1" applyBorder="1" applyAlignment="1" applyProtection="1">
      <alignment vertical="center" wrapText="1"/>
      <protection hidden="1"/>
    </xf>
    <xf numFmtId="0" fontId="36" fillId="3" borderId="51" xfId="0" applyFont="1" applyFill="1" applyBorder="1" applyAlignment="1" applyProtection="1">
      <alignment horizontal="center" vertical="center" wrapText="1"/>
      <protection hidden="1"/>
    </xf>
    <xf numFmtId="7" fontId="20" fillId="3" borderId="51" xfId="1" applyNumberFormat="1" applyFont="1" applyFill="1" applyBorder="1" applyAlignment="1" applyProtection="1">
      <alignment horizontal="center" vertical="center"/>
      <protection hidden="1"/>
    </xf>
    <xf numFmtId="0" fontId="23" fillId="3" borderId="80" xfId="0" applyFont="1" applyFill="1" applyBorder="1" applyAlignment="1" applyProtection="1">
      <alignment horizontal="center" vertical="center" wrapText="1"/>
      <protection hidden="1"/>
    </xf>
    <xf numFmtId="0" fontId="23" fillId="3" borderId="88" xfId="0" applyFont="1" applyFill="1" applyBorder="1" applyAlignment="1" applyProtection="1">
      <alignment horizontal="center" vertical="center" wrapText="1"/>
      <protection hidden="1"/>
    </xf>
    <xf numFmtId="0" fontId="23" fillId="3" borderId="82" xfId="0" applyFont="1" applyFill="1" applyBorder="1" applyAlignment="1" applyProtection="1">
      <alignment horizontal="center" vertical="center" wrapText="1"/>
      <protection hidden="1"/>
    </xf>
    <xf numFmtId="0" fontId="23" fillId="3" borderId="7" xfId="0" applyFont="1" applyFill="1" applyBorder="1" applyAlignment="1" applyProtection="1">
      <alignment horizontal="center" vertical="center" wrapText="1"/>
      <protection hidden="1"/>
    </xf>
    <xf numFmtId="0" fontId="23" fillId="3" borderId="9" xfId="0" applyFont="1" applyFill="1" applyBorder="1" applyAlignment="1" applyProtection="1">
      <alignment horizontal="center" vertical="center" wrapText="1"/>
      <protection hidden="1"/>
    </xf>
    <xf numFmtId="0" fontId="20" fillId="10" borderId="93" xfId="0" applyFont="1" applyFill="1" applyBorder="1" applyAlignment="1" applyProtection="1">
      <alignment horizontal="center" vertical="center"/>
      <protection locked="0"/>
    </xf>
    <xf numFmtId="0" fontId="33" fillId="3" borderId="93" xfId="0" applyFont="1" applyFill="1" applyBorder="1" applyAlignment="1" applyProtection="1">
      <alignment horizontal="left" vertical="center" wrapText="1"/>
      <protection hidden="1"/>
    </xf>
    <xf numFmtId="0" fontId="23" fillId="3" borderId="74" xfId="0" applyFont="1" applyFill="1" applyBorder="1" applyAlignment="1" applyProtection="1">
      <alignment horizontal="center" vertical="center" wrapText="1"/>
      <protection hidden="1"/>
    </xf>
    <xf numFmtId="0" fontId="20" fillId="10" borderId="79" xfId="0" applyFont="1" applyFill="1" applyBorder="1" applyAlignment="1" applyProtection="1">
      <alignment horizontal="center" vertical="center"/>
      <protection locked="0"/>
    </xf>
    <xf numFmtId="0" fontId="23" fillId="0" borderId="89" xfId="0" applyFont="1" applyBorder="1" applyAlignment="1">
      <alignment horizontal="right" vertical="center"/>
    </xf>
    <xf numFmtId="0" fontId="20" fillId="10" borderId="95" xfId="0" applyFont="1" applyFill="1" applyBorder="1" applyAlignment="1" applyProtection="1">
      <alignment horizontal="center" vertical="center"/>
      <protection locked="0"/>
    </xf>
    <xf numFmtId="0" fontId="0" fillId="8" borderId="88" xfId="0" applyFill="1" applyBorder="1" applyAlignment="1" applyProtection="1">
      <alignment horizontal="center" vertical="center"/>
      <protection hidden="1"/>
    </xf>
    <xf numFmtId="0" fontId="0" fillId="8" borderId="93" xfId="0" applyFill="1" applyBorder="1" applyAlignment="1" applyProtection="1">
      <alignment horizontal="center" vertical="center"/>
      <protection hidden="1"/>
    </xf>
    <xf numFmtId="0" fontId="23" fillId="3" borderId="97" xfId="0" applyFont="1" applyFill="1" applyBorder="1" applyAlignment="1" applyProtection="1">
      <alignment horizontal="center" vertical="top" wrapText="1"/>
      <protection hidden="1"/>
    </xf>
    <xf numFmtId="0" fontId="23" fillId="3" borderId="63" xfId="0" applyFont="1" applyFill="1" applyBorder="1" applyAlignment="1" applyProtection="1">
      <alignment horizontal="center" vertical="center" wrapText="1"/>
      <protection hidden="1"/>
    </xf>
    <xf numFmtId="0" fontId="23" fillId="3" borderId="64" xfId="0" applyFont="1" applyFill="1" applyBorder="1" applyAlignment="1" applyProtection="1">
      <alignment horizontal="center" vertical="center" wrapText="1"/>
      <protection hidden="1"/>
    </xf>
    <xf numFmtId="0" fontId="20" fillId="3" borderId="10" xfId="0" applyFont="1" applyFill="1" applyBorder="1" applyAlignment="1" applyProtection="1">
      <alignment horizontal="center" vertical="center" wrapText="1"/>
      <protection hidden="1"/>
    </xf>
    <xf numFmtId="0" fontId="0" fillId="8" borderId="78" xfId="0" applyFill="1" applyBorder="1" applyAlignment="1" applyProtection="1">
      <alignment horizontal="center" vertical="center"/>
      <protection hidden="1"/>
    </xf>
    <xf numFmtId="0" fontId="0" fillId="8" borderId="79" xfId="0" applyFill="1" applyBorder="1" applyAlignment="1" applyProtection="1">
      <alignment horizontal="center" vertical="center"/>
      <protection hidden="1"/>
    </xf>
    <xf numFmtId="0" fontId="2" fillId="0" borderId="7" xfId="0" applyFont="1" applyBorder="1" applyAlignment="1" applyProtection="1">
      <alignment vertical="center"/>
      <protection hidden="1"/>
    </xf>
    <xf numFmtId="0" fontId="2" fillId="0" borderId="63" xfId="0" applyFont="1" applyBorder="1" applyAlignment="1" applyProtection="1">
      <alignment vertical="center"/>
      <protection hidden="1"/>
    </xf>
    <xf numFmtId="0" fontId="2" fillId="0" borderId="81" xfId="0" applyFont="1" applyBorder="1" applyAlignment="1" applyProtection="1">
      <alignment horizontal="center" vertical="center" wrapText="1"/>
      <protection hidden="1"/>
    </xf>
    <xf numFmtId="0" fontId="20" fillId="10" borderId="81" xfId="0" applyFont="1" applyFill="1" applyBorder="1" applyAlignment="1" applyProtection="1">
      <alignment horizontal="center" vertical="center" wrapText="1"/>
      <protection locked="0"/>
    </xf>
    <xf numFmtId="0" fontId="23" fillId="8" borderId="88" xfId="0" applyFont="1" applyFill="1" applyBorder="1" applyAlignment="1" applyProtection="1">
      <alignment horizontal="center" vertical="center" wrapText="1"/>
      <protection hidden="1"/>
    </xf>
    <xf numFmtId="0" fontId="21" fillId="8" borderId="93" xfId="0" applyFont="1" applyFill="1" applyBorder="1" applyAlignment="1" applyProtection="1">
      <alignment vertical="center" wrapText="1"/>
      <protection hidden="1"/>
    </xf>
    <xf numFmtId="0" fontId="23" fillId="3" borderId="97" xfId="0" applyFont="1" applyFill="1" applyBorder="1" applyAlignment="1" applyProtection="1">
      <alignment horizontal="center" vertical="center" wrapText="1"/>
      <protection hidden="1"/>
    </xf>
    <xf numFmtId="164" fontId="20" fillId="2" borderId="98" xfId="0" applyNumberFormat="1" applyFont="1" applyFill="1" applyBorder="1" applyAlignment="1" applyProtection="1">
      <alignment horizontal="center" vertical="center"/>
      <protection locked="0"/>
    </xf>
    <xf numFmtId="0" fontId="36" fillId="3" borderId="84" xfId="0" applyFont="1" applyFill="1" applyBorder="1" applyAlignment="1" applyProtection="1">
      <alignment horizontal="center" vertical="center" wrapText="1"/>
      <protection hidden="1"/>
    </xf>
    <xf numFmtId="7" fontId="20" fillId="3" borderId="75" xfId="1" applyNumberFormat="1" applyFont="1" applyFill="1" applyBorder="1" applyAlignment="1" applyProtection="1">
      <alignment horizontal="center" vertical="center"/>
      <protection hidden="1"/>
    </xf>
    <xf numFmtId="0" fontId="2" fillId="3" borderId="10" xfId="0" applyFont="1" applyFill="1" applyBorder="1" applyAlignment="1" applyProtection="1">
      <alignment vertical="center" wrapText="1"/>
      <protection hidden="1"/>
    </xf>
    <xf numFmtId="0" fontId="2" fillId="3" borderId="75" xfId="0" applyFont="1" applyFill="1" applyBorder="1" applyAlignment="1" applyProtection="1">
      <alignment vertical="center" wrapText="1"/>
      <protection hidden="1"/>
    </xf>
    <xf numFmtId="0" fontId="20" fillId="3" borderId="84" xfId="0" applyFont="1" applyFill="1" applyBorder="1" applyAlignment="1" applyProtection="1">
      <alignment horizontal="center" vertical="center" wrapText="1"/>
      <protection hidden="1"/>
    </xf>
    <xf numFmtId="4" fontId="20" fillId="3" borderId="85" xfId="0" applyNumberFormat="1" applyFont="1" applyFill="1" applyBorder="1" applyAlignment="1" applyProtection="1">
      <alignment horizontal="center" vertical="center"/>
      <protection hidden="1"/>
    </xf>
    <xf numFmtId="0" fontId="20" fillId="3" borderId="80" xfId="0" applyFont="1" applyFill="1" applyBorder="1" applyAlignment="1" applyProtection="1">
      <alignment horizontal="center" vertical="center" wrapText="1"/>
      <protection hidden="1"/>
    </xf>
    <xf numFmtId="4" fontId="20" fillId="3" borderId="81" xfId="0" applyNumberFormat="1" applyFont="1" applyFill="1" applyBorder="1" applyAlignment="1" applyProtection="1">
      <alignment horizontal="center" vertical="center"/>
      <protection hidden="1"/>
    </xf>
    <xf numFmtId="1" fontId="20" fillId="2" borderId="99" xfId="2" applyNumberFormat="1" applyFont="1" applyFill="1" applyBorder="1" applyAlignment="1" applyProtection="1">
      <alignment horizontal="center" vertical="center"/>
      <protection locked="0"/>
    </xf>
    <xf numFmtId="2" fontId="20" fillId="3" borderId="81" xfId="2" applyNumberFormat="1" applyFont="1" applyFill="1" applyBorder="1" applyAlignment="1" applyProtection="1">
      <alignment horizontal="center" vertical="center"/>
      <protection hidden="1"/>
    </xf>
    <xf numFmtId="9" fontId="20" fillId="2" borderId="99" xfId="2" applyFont="1" applyFill="1" applyBorder="1" applyAlignment="1" applyProtection="1">
      <alignment horizontal="center" vertical="center"/>
      <protection locked="0"/>
    </xf>
    <xf numFmtId="9" fontId="29" fillId="0" borderId="85" xfId="2" applyFont="1" applyFill="1" applyBorder="1" applyAlignment="1" applyProtection="1">
      <alignment horizontal="center" vertical="center"/>
    </xf>
    <xf numFmtId="4" fontId="20" fillId="3" borderId="85" xfId="2" applyNumberFormat="1" applyFont="1" applyFill="1" applyBorder="1" applyAlignment="1" applyProtection="1">
      <alignment horizontal="center" vertical="center"/>
      <protection hidden="1"/>
    </xf>
    <xf numFmtId="168" fontId="20" fillId="2" borderId="81" xfId="2" applyNumberFormat="1" applyFont="1" applyFill="1" applyBorder="1" applyAlignment="1" applyProtection="1">
      <alignment horizontal="center" vertical="center"/>
      <protection locked="0"/>
    </xf>
    <xf numFmtId="9" fontId="20" fillId="2" borderId="81" xfId="2" applyFont="1" applyFill="1" applyBorder="1" applyAlignment="1" applyProtection="1">
      <alignment horizontal="center" vertical="center"/>
      <protection locked="0"/>
    </xf>
    <xf numFmtId="164" fontId="20" fillId="2" borderId="81" xfId="2" applyNumberFormat="1" applyFont="1" applyFill="1" applyBorder="1" applyAlignment="1" applyProtection="1">
      <alignment horizontal="center" vertical="center"/>
      <protection locked="0"/>
    </xf>
    <xf numFmtId="1" fontId="20" fillId="2" borderId="96" xfId="2" applyNumberFormat="1" applyFont="1" applyFill="1" applyBorder="1" applyAlignment="1" applyProtection="1">
      <alignment horizontal="center" vertical="center"/>
      <protection locked="0"/>
    </xf>
    <xf numFmtId="1" fontId="20" fillId="2" borderId="83" xfId="2" applyNumberFormat="1" applyFont="1" applyFill="1" applyBorder="1" applyAlignment="1" applyProtection="1">
      <alignment horizontal="center" vertical="center"/>
      <protection locked="0"/>
    </xf>
    <xf numFmtId="1" fontId="20" fillId="2" borderId="77" xfId="2" applyNumberFormat="1" applyFont="1" applyFill="1" applyBorder="1" applyAlignment="1" applyProtection="1">
      <alignment horizontal="center" vertical="center"/>
      <protection locked="0"/>
    </xf>
    <xf numFmtId="0" fontId="24" fillId="0" borderId="89" xfId="0" applyFont="1" applyBorder="1" applyAlignment="1" applyProtection="1">
      <alignment horizontal="center" vertical="center" wrapText="1"/>
      <protection hidden="1"/>
    </xf>
    <xf numFmtId="165" fontId="20" fillId="2" borderId="90" xfId="0" applyNumberFormat="1" applyFont="1" applyFill="1" applyBorder="1" applyAlignment="1" applyProtection="1">
      <alignment horizontal="center" vertical="center" wrapText="1"/>
      <protection locked="0"/>
    </xf>
    <xf numFmtId="165" fontId="20" fillId="2" borderId="91" xfId="0" applyNumberFormat="1" applyFont="1" applyFill="1" applyBorder="1" applyAlignment="1" applyProtection="1">
      <alignment horizontal="center" vertical="center" wrapText="1"/>
      <protection locked="0"/>
    </xf>
    <xf numFmtId="165" fontId="20" fillId="2" borderId="92" xfId="0" applyNumberFormat="1" applyFont="1" applyFill="1" applyBorder="1" applyAlignment="1" applyProtection="1">
      <alignment horizontal="center" vertical="center" wrapText="1"/>
      <protection locked="0"/>
    </xf>
    <xf numFmtId="164" fontId="20" fillId="2" borderId="99" xfId="0" applyNumberFormat="1" applyFont="1" applyFill="1" applyBorder="1" applyAlignment="1" applyProtection="1">
      <alignment horizontal="center" vertical="center"/>
      <protection locked="0"/>
    </xf>
    <xf numFmtId="0" fontId="23" fillId="3" borderId="100" xfId="0" applyFont="1" applyFill="1" applyBorder="1" applyAlignment="1" applyProtection="1">
      <alignment horizontal="center" vertical="center" wrapText="1"/>
      <protection hidden="1"/>
    </xf>
    <xf numFmtId="164" fontId="20" fillId="2" borderId="46" xfId="0" applyNumberFormat="1" applyFont="1" applyFill="1" applyBorder="1" applyAlignment="1" applyProtection="1">
      <alignment horizontal="center" vertical="center"/>
      <protection locked="0"/>
    </xf>
    <xf numFmtId="164" fontId="20" fillId="2" borderId="46" xfId="0" applyNumberFormat="1" applyFont="1" applyFill="1" applyBorder="1" applyAlignment="1" applyProtection="1">
      <alignment horizontal="center" vertical="center"/>
      <protection hidden="1"/>
    </xf>
    <xf numFmtId="164" fontId="20" fillId="2" borderId="101" xfId="0" applyNumberFormat="1" applyFont="1" applyFill="1" applyBorder="1" applyAlignment="1" applyProtection="1">
      <alignment horizontal="center" vertical="center"/>
      <protection hidden="1"/>
    </xf>
    <xf numFmtId="0" fontId="52" fillId="3" borderId="0" xfId="0" applyFont="1" applyFill="1" applyAlignment="1">
      <alignment vertical="center" wrapText="1"/>
    </xf>
    <xf numFmtId="0" fontId="56" fillId="3" borderId="0" xfId="0" applyFont="1" applyFill="1" applyAlignment="1">
      <alignment horizontal="left" vertical="center" wrapText="1"/>
    </xf>
    <xf numFmtId="0" fontId="54" fillId="3" borderId="0" xfId="0" applyFont="1" applyFill="1" applyAlignment="1">
      <alignment horizontal="right" vertical="center" wrapText="1"/>
    </xf>
    <xf numFmtId="0" fontId="52" fillId="10" borderId="1" xfId="0" applyFont="1" applyFill="1" applyBorder="1" applyAlignment="1">
      <alignment vertical="center" wrapText="1"/>
    </xf>
    <xf numFmtId="0" fontId="52" fillId="3" borderId="1" xfId="0" applyFont="1" applyFill="1" applyBorder="1" applyAlignment="1">
      <alignment vertical="center" wrapText="1"/>
    </xf>
    <xf numFmtId="0" fontId="52" fillId="3" borderId="0" xfId="0" applyFont="1" applyFill="1" applyAlignment="1">
      <alignment vertical="top" wrapText="1"/>
    </xf>
    <xf numFmtId="0" fontId="59" fillId="3" borderId="0" xfId="3" applyFont="1" applyFill="1" applyBorder="1" applyAlignment="1">
      <alignment horizontal="left" indent="5"/>
    </xf>
    <xf numFmtId="0" fontId="56" fillId="8" borderId="0" xfId="0" applyFont="1" applyFill="1" applyAlignment="1">
      <alignment horizontal="left" vertical="center" wrapText="1"/>
    </xf>
    <xf numFmtId="0" fontId="52" fillId="8" borderId="0" xfId="0" applyFont="1" applyFill="1" applyAlignment="1">
      <alignment vertical="center" wrapText="1"/>
    </xf>
    <xf numFmtId="0" fontId="57" fillId="8" borderId="0" xfId="0" applyFont="1" applyFill="1" applyAlignment="1">
      <alignment horizontal="left" vertical="center" wrapText="1"/>
    </xf>
    <xf numFmtId="0" fontId="52" fillId="8" borderId="0" xfId="0" applyFont="1" applyFill="1" applyAlignment="1">
      <alignment vertical="top" wrapText="1"/>
    </xf>
    <xf numFmtId="0" fontId="60" fillId="8" borderId="0" xfId="0" applyFont="1" applyFill="1" applyAlignment="1">
      <alignment vertical="center" wrapText="1"/>
    </xf>
    <xf numFmtId="0" fontId="54" fillId="8" borderId="0" xfId="0" applyFont="1" applyFill="1" applyAlignment="1">
      <alignment horizontal="center" vertical="center" wrapText="1"/>
    </xf>
    <xf numFmtId="0" fontId="63" fillId="8" borderId="0" xfId="0" applyFont="1" applyFill="1" applyAlignment="1">
      <alignment horizontal="left" vertical="center" wrapText="1"/>
    </xf>
    <xf numFmtId="0" fontId="52" fillId="18" borderId="0" xfId="0" applyFont="1" applyFill="1" applyAlignment="1">
      <alignment vertical="center" wrapText="1"/>
    </xf>
    <xf numFmtId="0" fontId="58" fillId="18" borderId="0" xfId="0" applyFont="1" applyFill="1" applyAlignment="1">
      <alignment horizontal="left" vertical="center" wrapText="1" indent="1"/>
    </xf>
    <xf numFmtId="0" fontId="52" fillId="20" borderId="1" xfId="0" applyFont="1" applyFill="1" applyBorder="1" applyAlignment="1">
      <alignment vertical="center" wrapText="1"/>
    </xf>
    <xf numFmtId="0" fontId="53" fillId="3" borderId="0" xfId="0" applyFont="1" applyFill="1" applyAlignment="1">
      <alignment vertical="center" wrapText="1"/>
    </xf>
    <xf numFmtId="0" fontId="61" fillId="3" borderId="0" xfId="0" applyFont="1" applyFill="1" applyAlignment="1">
      <alignment vertical="center" wrapText="1"/>
    </xf>
    <xf numFmtId="0" fontId="52" fillId="18" borderId="0" xfId="0" applyFont="1" applyFill="1" applyAlignment="1">
      <alignment horizontal="right" vertical="center" wrapText="1"/>
    </xf>
    <xf numFmtId="0" fontId="52" fillId="18" borderId="54" xfId="0" applyFont="1" applyFill="1" applyBorder="1" applyAlignment="1">
      <alignment vertical="center" wrapText="1"/>
    </xf>
    <xf numFmtId="0" fontId="52" fillId="18" borderId="56" xfId="0" applyFont="1" applyFill="1" applyBorder="1" applyAlignment="1">
      <alignment vertical="center" wrapText="1"/>
    </xf>
    <xf numFmtId="0" fontId="62" fillId="3" borderId="0" xfId="0" applyFont="1" applyFill="1" applyAlignment="1">
      <alignment horizontal="center" vertical="center" wrapText="1"/>
    </xf>
    <xf numFmtId="0" fontId="52" fillId="24" borderId="0" xfId="0" applyFont="1" applyFill="1" applyAlignment="1">
      <alignment vertical="center" wrapText="1"/>
    </xf>
    <xf numFmtId="0" fontId="52" fillId="0" borderId="0" xfId="0" applyFont="1" applyAlignment="1">
      <alignment vertical="top" wrapText="1"/>
    </xf>
    <xf numFmtId="0" fontId="79" fillId="3" borderId="0" xfId="0" applyFont="1" applyFill="1" applyAlignment="1" applyProtection="1">
      <alignment horizontal="center" vertical="center" wrapText="1"/>
      <protection hidden="1"/>
    </xf>
    <xf numFmtId="0" fontId="52" fillId="3" borderId="0" xfId="0" applyFont="1" applyFill="1" applyAlignment="1" applyProtection="1">
      <alignment vertical="center" wrapText="1"/>
      <protection locked="0"/>
    </xf>
    <xf numFmtId="0" fontId="56" fillId="0" borderId="0" xfId="0" applyFont="1" applyAlignment="1" applyProtection="1">
      <alignment horizontal="left" vertical="center" wrapText="1"/>
      <protection hidden="1"/>
    </xf>
    <xf numFmtId="0" fontId="56" fillId="3" borderId="0" xfId="0" applyFont="1" applyFill="1" applyAlignment="1" applyProtection="1">
      <alignment horizontal="left" vertical="center" wrapText="1"/>
      <protection hidden="1"/>
    </xf>
    <xf numFmtId="0" fontId="52" fillId="0" borderId="0" xfId="0" applyFont="1" applyAlignment="1" applyProtection="1">
      <alignment horizontal="center" vertical="center" wrapText="1"/>
      <protection hidden="1"/>
    </xf>
    <xf numFmtId="9" fontId="52" fillId="3" borderId="0" xfId="0" applyNumberFormat="1" applyFont="1" applyFill="1" applyAlignment="1" applyProtection="1">
      <alignment horizontal="center" vertical="center"/>
      <protection locked="0"/>
    </xf>
    <xf numFmtId="0" fontId="76" fillId="3" borderId="62" xfId="0" applyFont="1" applyFill="1" applyBorder="1" applyAlignment="1" applyProtection="1">
      <alignment horizontal="left" vertical="center" wrapText="1"/>
      <protection hidden="1"/>
    </xf>
    <xf numFmtId="9" fontId="52" fillId="3" borderId="59" xfId="2" applyFont="1" applyFill="1" applyBorder="1" applyAlignment="1" applyProtection="1">
      <alignment horizontal="center" vertical="center"/>
      <protection locked="0"/>
    </xf>
    <xf numFmtId="9" fontId="52" fillId="3" borderId="60" xfId="2" applyFont="1" applyFill="1" applyBorder="1" applyAlignment="1" applyProtection="1">
      <alignment horizontal="center" vertical="center"/>
      <protection locked="0"/>
    </xf>
    <xf numFmtId="0" fontId="76" fillId="0" borderId="10" xfId="0" applyFont="1" applyBorder="1" applyAlignment="1" applyProtection="1">
      <alignment horizontal="center" vertical="center" wrapText="1"/>
      <protection hidden="1"/>
    </xf>
    <xf numFmtId="9" fontId="52" fillId="2" borderId="76" xfId="2" applyFont="1" applyFill="1" applyBorder="1" applyAlignment="1" applyProtection="1">
      <alignment horizontal="center" vertical="center"/>
      <protection locked="0"/>
    </xf>
    <xf numFmtId="9" fontId="52" fillId="2" borderId="102" xfId="2" applyFont="1" applyFill="1" applyBorder="1" applyAlignment="1" applyProtection="1">
      <alignment horizontal="center" vertical="center"/>
      <protection locked="0"/>
    </xf>
    <xf numFmtId="0" fontId="81" fillId="3" borderId="0" xfId="0" applyFont="1" applyFill="1" applyAlignment="1" applyProtection="1">
      <alignment horizontal="center" vertical="center" wrapText="1"/>
      <protection hidden="1"/>
    </xf>
    <xf numFmtId="9" fontId="52" fillId="2" borderId="66" xfId="2" applyFont="1" applyFill="1" applyBorder="1" applyAlignment="1" applyProtection="1">
      <alignment horizontal="center" vertical="center"/>
      <protection locked="0"/>
    </xf>
    <xf numFmtId="9" fontId="52" fillId="2" borderId="67" xfId="2" applyFont="1" applyFill="1" applyBorder="1" applyAlignment="1" applyProtection="1">
      <alignment horizontal="center" vertical="center"/>
      <protection locked="0"/>
    </xf>
    <xf numFmtId="0" fontId="56" fillId="3" borderId="3" xfId="0" applyFont="1" applyFill="1" applyBorder="1" applyAlignment="1" applyProtection="1">
      <alignment horizontal="center" vertical="center" wrapText="1"/>
      <protection hidden="1"/>
    </xf>
    <xf numFmtId="0" fontId="52" fillId="10" borderId="4" xfId="0" applyFont="1" applyFill="1" applyBorder="1" applyAlignment="1" applyProtection="1">
      <alignment horizontal="center" vertical="center"/>
      <protection locked="0"/>
    </xf>
    <xf numFmtId="0" fontId="56" fillId="3" borderId="49" xfId="0" applyFont="1" applyFill="1" applyBorder="1" applyAlignment="1" applyProtection="1">
      <alignment horizontal="center" vertical="top" wrapText="1"/>
      <protection hidden="1"/>
    </xf>
    <xf numFmtId="0" fontId="52" fillId="10" borderId="1" xfId="0" applyFont="1" applyFill="1" applyBorder="1" applyAlignment="1" applyProtection="1">
      <alignment horizontal="center" vertical="center" wrapText="1"/>
      <protection locked="0"/>
    </xf>
    <xf numFmtId="0" fontId="52" fillId="3" borderId="57" xfId="0" applyFont="1" applyFill="1" applyBorder="1" applyAlignment="1" applyProtection="1">
      <alignment horizontal="center" vertical="center" wrapText="1"/>
      <protection hidden="1"/>
    </xf>
    <xf numFmtId="0" fontId="52" fillId="3" borderId="3" xfId="0" applyFont="1" applyFill="1" applyBorder="1" applyAlignment="1" applyProtection="1">
      <alignment horizontal="center" vertical="center" wrapText="1"/>
      <protection hidden="1"/>
    </xf>
    <xf numFmtId="0" fontId="52" fillId="0" borderId="0" xfId="0" applyFont="1" applyAlignment="1" applyProtection="1">
      <alignment vertical="center" wrapText="1"/>
      <protection locked="0"/>
    </xf>
    <xf numFmtId="0" fontId="57" fillId="3" borderId="0" xfId="0" applyFont="1" applyFill="1" applyAlignment="1" applyProtection="1">
      <alignment vertical="center"/>
      <protection hidden="1"/>
    </xf>
    <xf numFmtId="0" fontId="57" fillId="0" borderId="0" xfId="0" applyFont="1" applyAlignment="1" applyProtection="1">
      <alignment vertical="center" wrapText="1"/>
      <protection hidden="1"/>
    </xf>
    <xf numFmtId="7" fontId="52" fillId="3" borderId="0" xfId="1" applyNumberFormat="1" applyFont="1" applyFill="1" applyBorder="1" applyAlignment="1" applyProtection="1">
      <alignment horizontal="center" vertical="center"/>
      <protection hidden="1"/>
    </xf>
    <xf numFmtId="0" fontId="57" fillId="3" borderId="0" xfId="0" applyFont="1" applyFill="1" applyAlignment="1" applyProtection="1">
      <alignment vertical="center" wrapText="1"/>
      <protection hidden="1"/>
    </xf>
    <xf numFmtId="7" fontId="52" fillId="0" borderId="0" xfId="1" applyNumberFormat="1" applyFont="1" applyFill="1" applyBorder="1" applyAlignment="1" applyProtection="1">
      <alignment horizontal="center" vertical="center"/>
      <protection hidden="1"/>
    </xf>
    <xf numFmtId="0" fontId="84" fillId="3" borderId="51" xfId="0" applyFont="1" applyFill="1" applyBorder="1" applyAlignment="1" applyProtection="1">
      <alignment horizontal="center" vertical="center" wrapText="1"/>
      <protection hidden="1"/>
    </xf>
    <xf numFmtId="4" fontId="52" fillId="3" borderId="0" xfId="0" applyNumberFormat="1" applyFont="1" applyFill="1" applyAlignment="1" applyProtection="1">
      <alignment horizontal="center" vertical="center"/>
      <protection hidden="1"/>
    </xf>
    <xf numFmtId="0" fontId="56" fillId="3" borderId="0" xfId="0" applyFont="1" applyFill="1" applyAlignment="1" applyProtection="1">
      <alignment vertical="center" wrapText="1"/>
      <protection hidden="1"/>
    </xf>
    <xf numFmtId="4" fontId="52" fillId="0" borderId="0" xfId="0" applyNumberFormat="1" applyFont="1" applyAlignment="1" applyProtection="1">
      <alignment horizontal="center" vertical="center"/>
      <protection hidden="1"/>
    </xf>
    <xf numFmtId="0" fontId="52" fillId="3" borderId="0" xfId="0" applyFont="1" applyFill="1" applyAlignment="1" applyProtection="1">
      <alignment horizontal="center" vertical="center" wrapText="1"/>
      <protection hidden="1"/>
    </xf>
    <xf numFmtId="1" fontId="52" fillId="3" borderId="0" xfId="2" applyNumberFormat="1" applyFont="1" applyFill="1" applyBorder="1" applyAlignment="1" applyProtection="1">
      <alignment horizontal="center" vertical="center"/>
      <protection hidden="1"/>
    </xf>
    <xf numFmtId="0" fontId="56" fillId="0" borderId="1" xfId="0" applyFont="1" applyBorder="1" applyAlignment="1" applyProtection="1">
      <alignment horizontal="center" vertical="center" wrapText="1"/>
      <protection hidden="1"/>
    </xf>
    <xf numFmtId="1" fontId="52" fillId="0" borderId="0" xfId="2" applyNumberFormat="1" applyFont="1" applyFill="1" applyBorder="1" applyAlignment="1" applyProtection="1">
      <alignment horizontal="center" vertical="center"/>
      <protection hidden="1"/>
    </xf>
    <xf numFmtId="2" fontId="52" fillId="3" borderId="0" xfId="2" applyNumberFormat="1" applyFont="1" applyFill="1" applyBorder="1" applyAlignment="1" applyProtection="1">
      <alignment horizontal="center" vertical="center"/>
      <protection hidden="1"/>
    </xf>
    <xf numFmtId="2" fontId="52" fillId="0" borderId="0" xfId="2" applyNumberFormat="1" applyFont="1" applyFill="1" applyBorder="1" applyAlignment="1" applyProtection="1">
      <alignment horizontal="center" vertical="center"/>
      <protection hidden="1"/>
    </xf>
    <xf numFmtId="9" fontId="52" fillId="3" borderId="0" xfId="2" applyFont="1" applyFill="1" applyBorder="1" applyAlignment="1" applyProtection="1">
      <alignment vertical="center"/>
      <protection locked="0"/>
    </xf>
    <xf numFmtId="9" fontId="52" fillId="0" borderId="0" xfId="2" applyFont="1" applyFill="1" applyBorder="1" applyAlignment="1" applyProtection="1">
      <alignment horizontal="center" vertical="center"/>
      <protection locked="0"/>
    </xf>
    <xf numFmtId="9" fontId="52" fillId="3" borderId="0" xfId="2" applyFont="1" applyFill="1" applyBorder="1" applyAlignment="1" applyProtection="1">
      <alignment horizontal="center" vertical="center"/>
    </xf>
    <xf numFmtId="9" fontId="52" fillId="3" borderId="0" xfId="2" applyFont="1" applyFill="1" applyBorder="1" applyAlignment="1" applyProtection="1">
      <alignment horizontal="center" vertical="center"/>
      <protection locked="0"/>
    </xf>
    <xf numFmtId="0" fontId="79" fillId="3" borderId="0" xfId="0" applyFont="1" applyFill="1" applyAlignment="1" applyProtection="1">
      <alignment horizontal="right" vertical="center" wrapText="1"/>
      <protection hidden="1"/>
    </xf>
    <xf numFmtId="9" fontId="52" fillId="0" borderId="0" xfId="2" applyFont="1" applyFill="1" applyBorder="1" applyAlignment="1" applyProtection="1">
      <alignment horizontal="center" vertical="center"/>
    </xf>
    <xf numFmtId="4" fontId="52" fillId="3" borderId="0" xfId="2" applyNumberFormat="1" applyFont="1" applyFill="1" applyBorder="1" applyAlignment="1" applyProtection="1">
      <alignment horizontal="center" vertical="center"/>
      <protection hidden="1"/>
    </xf>
    <xf numFmtId="9" fontId="79" fillId="3" borderId="0" xfId="2" applyFont="1" applyFill="1" applyBorder="1" applyAlignment="1" applyProtection="1">
      <alignment horizontal="right" vertical="center"/>
    </xf>
    <xf numFmtId="4" fontId="52" fillId="0" borderId="0" xfId="2" applyNumberFormat="1" applyFont="1" applyFill="1" applyBorder="1" applyAlignment="1" applyProtection="1">
      <alignment horizontal="center" vertical="center"/>
      <protection hidden="1"/>
    </xf>
    <xf numFmtId="168" fontId="52" fillId="3" borderId="0" xfId="2" applyNumberFormat="1" applyFont="1" applyFill="1" applyBorder="1" applyAlignment="1" applyProtection="1">
      <alignment horizontal="center" vertical="center"/>
      <protection locked="0"/>
    </xf>
    <xf numFmtId="168" fontId="52" fillId="0" borderId="0" xfId="2" applyNumberFormat="1" applyFont="1" applyFill="1" applyBorder="1" applyAlignment="1" applyProtection="1">
      <alignment horizontal="center" vertical="center"/>
      <protection locked="0"/>
    </xf>
    <xf numFmtId="164" fontId="52" fillId="3" borderId="0" xfId="2" applyNumberFormat="1" applyFont="1" applyFill="1" applyBorder="1" applyAlignment="1" applyProtection="1">
      <alignment horizontal="center" vertical="center"/>
      <protection locked="0"/>
    </xf>
    <xf numFmtId="164" fontId="52" fillId="0" borderId="0" xfId="2" applyNumberFormat="1" applyFont="1" applyFill="1" applyBorder="1" applyAlignment="1" applyProtection="1">
      <alignment horizontal="center" vertical="center"/>
      <protection locked="0"/>
    </xf>
    <xf numFmtId="1" fontId="52" fillId="3" borderId="0" xfId="2" applyNumberFormat="1" applyFont="1" applyFill="1" applyBorder="1" applyAlignment="1" applyProtection="1">
      <alignment horizontal="center" vertical="center"/>
      <protection locked="0"/>
    </xf>
    <xf numFmtId="1" fontId="52" fillId="0" borderId="0" xfId="2" applyNumberFormat="1" applyFont="1" applyFill="1" applyBorder="1" applyAlignment="1" applyProtection="1">
      <alignment horizontal="center" vertical="center"/>
      <protection locked="0"/>
    </xf>
    <xf numFmtId="165" fontId="52" fillId="3" borderId="0" xfId="0" applyNumberFormat="1" applyFont="1" applyFill="1" applyAlignment="1" applyProtection="1">
      <alignment horizontal="center" vertical="center" wrapText="1"/>
      <protection locked="0"/>
    </xf>
    <xf numFmtId="165" fontId="52" fillId="0" borderId="0" xfId="0" applyNumberFormat="1" applyFont="1" applyAlignment="1" applyProtection="1">
      <alignment horizontal="center" vertical="center" wrapText="1"/>
      <protection locked="0"/>
    </xf>
    <xf numFmtId="164" fontId="52" fillId="3" borderId="0" xfId="0" applyNumberFormat="1" applyFont="1" applyFill="1" applyAlignment="1" applyProtection="1">
      <alignment horizontal="center" vertical="center"/>
      <protection locked="0"/>
    </xf>
    <xf numFmtId="164" fontId="52" fillId="0" borderId="0" xfId="0" applyNumberFormat="1" applyFont="1" applyAlignment="1" applyProtection="1">
      <alignment horizontal="center" vertical="center"/>
      <protection locked="0"/>
    </xf>
    <xf numFmtId="164" fontId="52" fillId="3" borderId="0" xfId="0" applyNumberFormat="1" applyFont="1" applyFill="1" applyAlignment="1" applyProtection="1">
      <alignment horizontal="center" vertical="center"/>
      <protection hidden="1"/>
    </xf>
    <xf numFmtId="0" fontId="52" fillId="8" borderId="0" xfId="0" applyFont="1" applyFill="1" applyAlignment="1" applyProtection="1">
      <alignment horizontal="center" vertical="center"/>
      <protection hidden="1"/>
    </xf>
    <xf numFmtId="0" fontId="52" fillId="3" borderId="0" xfId="0" applyFont="1" applyFill="1" applyAlignment="1" applyProtection="1">
      <alignment horizontal="center" vertical="center"/>
      <protection hidden="1"/>
    </xf>
    <xf numFmtId="0" fontId="52" fillId="0" borderId="0" xfId="0" applyFont="1" applyAlignment="1" applyProtection="1">
      <alignment horizontal="center" vertical="center"/>
      <protection hidden="1"/>
    </xf>
    <xf numFmtId="0" fontId="52" fillId="0" borderId="0" xfId="0" applyFont="1" applyAlignment="1" applyProtection="1">
      <alignment vertical="center" wrapText="1"/>
      <protection hidden="1"/>
    </xf>
    <xf numFmtId="0" fontId="57" fillId="0" borderId="0" xfId="0" applyFont="1" applyAlignment="1" applyProtection="1">
      <alignment horizontal="right" vertical="center"/>
      <protection hidden="1"/>
    </xf>
    <xf numFmtId="0" fontId="57" fillId="3" borderId="0" xfId="0" applyFont="1" applyFill="1" applyAlignment="1" applyProtection="1">
      <alignment horizontal="right" vertical="center"/>
      <protection hidden="1"/>
    </xf>
    <xf numFmtId="0" fontId="52" fillId="3" borderId="4" xfId="0" applyFont="1" applyFill="1" applyBorder="1" applyAlignment="1" applyProtection="1">
      <alignment horizontal="center" vertical="center"/>
      <protection hidden="1"/>
    </xf>
    <xf numFmtId="0" fontId="52" fillId="0" borderId="0" xfId="0" applyFont="1" applyAlignment="1" applyProtection="1">
      <alignment horizontal="left" vertical="center" wrapText="1"/>
      <protection hidden="1"/>
    </xf>
    <xf numFmtId="0" fontId="52" fillId="3" borderId="0" xfId="0" applyFont="1" applyFill="1" applyAlignment="1" applyProtection="1">
      <alignment horizontal="left" vertical="center" wrapText="1"/>
      <protection hidden="1"/>
    </xf>
    <xf numFmtId="0" fontId="56" fillId="8" borderId="0" xfId="0" applyFont="1" applyFill="1" applyAlignment="1" applyProtection="1">
      <alignment vertical="center"/>
      <protection hidden="1"/>
    </xf>
    <xf numFmtId="0" fontId="52" fillId="0" borderId="0" xfId="0" applyFont="1" applyAlignment="1" applyProtection="1">
      <alignment vertical="top" wrapText="1"/>
      <protection hidden="1"/>
    </xf>
    <xf numFmtId="0" fontId="56" fillId="3" borderId="0" xfId="0" applyFont="1" applyFill="1" applyAlignment="1" applyProtection="1">
      <alignment vertical="center"/>
      <protection hidden="1"/>
    </xf>
    <xf numFmtId="0" fontId="86" fillId="0" borderId="0" xfId="0" applyFont="1" applyAlignment="1" applyProtection="1">
      <alignment horizontal="left" vertical="center"/>
      <protection hidden="1"/>
    </xf>
    <xf numFmtId="0" fontId="56" fillId="3" borderId="5" xfId="0" applyFont="1" applyFill="1" applyBorder="1" applyAlignment="1" applyProtection="1">
      <alignment vertical="center"/>
      <protection hidden="1"/>
    </xf>
    <xf numFmtId="0" fontId="56" fillId="0" borderId="0" xfId="0" applyFont="1" applyAlignment="1" applyProtection="1">
      <alignment vertical="center"/>
      <protection hidden="1"/>
    </xf>
    <xf numFmtId="0" fontId="52" fillId="8" borderId="0" xfId="0" applyFont="1" applyFill="1" applyAlignment="1" applyProtection="1">
      <alignment horizontal="left" vertical="center"/>
      <protection hidden="1"/>
    </xf>
    <xf numFmtId="0" fontId="52" fillId="0" borderId="53" xfId="0" applyFont="1" applyBorder="1" applyAlignment="1" applyProtection="1">
      <alignment horizontal="center" vertical="center"/>
      <protection hidden="1"/>
    </xf>
    <xf numFmtId="0" fontId="59" fillId="3" borderId="0" xfId="3" applyFont="1" applyFill="1" applyBorder="1" applyAlignment="1" applyProtection="1">
      <alignment horizontal="center" vertical="center" wrapText="1"/>
      <protection hidden="1"/>
    </xf>
    <xf numFmtId="0" fontId="52" fillId="18" borderId="0" xfId="0" applyFont="1" applyFill="1" applyAlignment="1" applyProtection="1">
      <alignment horizontal="center" vertical="center"/>
      <protection hidden="1"/>
    </xf>
    <xf numFmtId="0" fontId="57" fillId="18" borderId="0" xfId="0" applyFont="1" applyFill="1" applyAlignment="1" applyProtection="1">
      <alignment horizontal="right" vertical="center"/>
      <protection hidden="1"/>
    </xf>
    <xf numFmtId="0" fontId="56" fillId="18" borderId="0" xfId="0" applyFont="1" applyFill="1" applyAlignment="1" applyProtection="1">
      <alignment horizontal="left" vertical="center"/>
      <protection hidden="1"/>
    </xf>
    <xf numFmtId="0" fontId="56" fillId="18" borderId="0" xfId="0" applyFont="1" applyFill="1" applyAlignment="1" applyProtection="1">
      <alignment horizontal="center" vertical="center"/>
      <protection hidden="1"/>
    </xf>
    <xf numFmtId="0" fontId="81" fillId="18" borderId="0" xfId="0" applyFont="1" applyFill="1" applyAlignment="1" applyProtection="1">
      <alignment horizontal="center" vertical="center" wrapText="1"/>
      <protection hidden="1"/>
    </xf>
    <xf numFmtId="0" fontId="82" fillId="18" borderId="0" xfId="0" applyFont="1" applyFill="1" applyAlignment="1" applyProtection="1">
      <alignment horizontal="center" vertical="center" wrapText="1"/>
      <protection hidden="1"/>
    </xf>
    <xf numFmtId="0" fontId="83" fillId="18" borderId="0" xfId="0" applyFont="1" applyFill="1" applyAlignment="1" applyProtection="1">
      <alignment horizontal="left" vertical="center"/>
      <protection hidden="1"/>
    </xf>
    <xf numFmtId="0" fontId="52" fillId="18" borderId="0" xfId="0" applyFont="1" applyFill="1" applyAlignment="1">
      <alignment horizontal="center" wrapText="1"/>
    </xf>
    <xf numFmtId="0" fontId="83" fillId="18" borderId="0" xfId="0" applyFont="1" applyFill="1" applyAlignment="1" applyProtection="1">
      <alignment horizontal="center" vertical="center"/>
      <protection hidden="1"/>
    </xf>
    <xf numFmtId="0" fontId="56" fillId="18" borderId="0" xfId="0" applyFont="1" applyFill="1" applyAlignment="1" applyProtection="1">
      <alignment vertical="center"/>
      <protection hidden="1"/>
    </xf>
    <xf numFmtId="0" fontId="86" fillId="18" borderId="0" xfId="0" applyFont="1" applyFill="1" applyAlignment="1" applyProtection="1">
      <alignment horizontal="left" vertical="center"/>
      <protection hidden="1"/>
    </xf>
    <xf numFmtId="0" fontId="52" fillId="18" borderId="0" xfId="0" applyFont="1" applyFill="1" applyAlignment="1" applyProtection="1">
      <alignment horizontal="left" vertical="center"/>
      <protection hidden="1"/>
    </xf>
    <xf numFmtId="0" fontId="56" fillId="18" borderId="0" xfId="0" applyFont="1" applyFill="1" applyAlignment="1" applyProtection="1">
      <alignment horizontal="right" vertical="center"/>
      <protection hidden="1"/>
    </xf>
    <xf numFmtId="0" fontId="56" fillId="8" borderId="0" xfId="0" applyFont="1" applyFill="1" applyAlignment="1" applyProtection="1">
      <alignment horizontal="right" vertical="center"/>
      <protection hidden="1"/>
    </xf>
    <xf numFmtId="0" fontId="68" fillId="25" borderId="104" xfId="0" applyFont="1" applyFill="1" applyBorder="1" applyAlignment="1" applyProtection="1">
      <alignment horizontal="center" vertical="center" wrapText="1"/>
      <protection hidden="1"/>
    </xf>
    <xf numFmtId="3" fontId="52" fillId="3" borderId="104" xfId="0" applyNumberFormat="1" applyFont="1" applyFill="1" applyBorder="1" applyAlignment="1" applyProtection="1">
      <alignment horizontal="center" vertical="center"/>
      <protection locked="0"/>
    </xf>
    <xf numFmtId="0" fontId="52" fillId="3" borderId="104" xfId="0" applyFont="1" applyFill="1" applyBorder="1" applyAlignment="1" applyProtection="1">
      <alignment horizontal="center" vertical="center" wrapText="1"/>
      <protection hidden="1"/>
    </xf>
    <xf numFmtId="3" fontId="93" fillId="2" borderId="104" xfId="0" applyNumberFormat="1" applyFont="1" applyFill="1" applyBorder="1" applyAlignment="1" applyProtection="1">
      <alignment horizontal="center" vertical="center"/>
      <protection locked="0"/>
    </xf>
    <xf numFmtId="9" fontId="93" fillId="2" borderId="104" xfId="2" applyFont="1" applyFill="1" applyBorder="1" applyAlignment="1" applyProtection="1">
      <alignment horizontal="center" vertical="center"/>
      <protection locked="0"/>
    </xf>
    <xf numFmtId="9" fontId="52" fillId="3" borderId="104" xfId="2" applyFont="1" applyFill="1" applyBorder="1" applyAlignment="1" applyProtection="1">
      <alignment horizontal="center" vertical="center"/>
      <protection locked="0"/>
    </xf>
    <xf numFmtId="3" fontId="52" fillId="3" borderId="104" xfId="0" applyNumberFormat="1" applyFont="1" applyFill="1" applyBorder="1" applyAlignment="1" applyProtection="1">
      <alignment horizontal="center" vertical="center"/>
      <protection hidden="1"/>
    </xf>
    <xf numFmtId="0" fontId="76" fillId="3" borderId="68" xfId="0" applyFont="1" applyFill="1" applyBorder="1" applyAlignment="1" applyProtection="1">
      <alignment horizontal="left" vertical="center" wrapText="1"/>
      <protection hidden="1"/>
    </xf>
    <xf numFmtId="9" fontId="52" fillId="3" borderId="78" xfId="2" applyFont="1" applyFill="1" applyBorder="1" applyAlignment="1" applyProtection="1">
      <alignment horizontal="center" vertical="center"/>
      <protection locked="0"/>
    </xf>
    <xf numFmtId="9" fontId="52" fillId="3" borderId="79" xfId="2" applyFont="1" applyFill="1" applyBorder="1" applyAlignment="1" applyProtection="1">
      <alignment horizontal="center" vertical="center"/>
      <protection locked="0"/>
    </xf>
    <xf numFmtId="0" fontId="52" fillId="10" borderId="106" xfId="0" applyFont="1" applyFill="1" applyBorder="1" applyAlignment="1" applyProtection="1">
      <alignment horizontal="center" vertical="center"/>
      <protection locked="0"/>
    </xf>
    <xf numFmtId="0" fontId="52" fillId="10" borderId="107" xfId="0" applyFont="1" applyFill="1" applyBorder="1" applyAlignment="1" applyProtection="1">
      <alignment horizontal="center" vertical="center"/>
      <protection locked="0"/>
    </xf>
    <xf numFmtId="0" fontId="56" fillId="3" borderId="108" xfId="0" applyFont="1" applyFill="1" applyBorder="1" applyAlignment="1" applyProtection="1">
      <alignment horizontal="left" vertical="center" wrapText="1"/>
      <protection hidden="1"/>
    </xf>
    <xf numFmtId="0" fontId="56" fillId="3" borderId="109" xfId="0" applyFont="1" applyFill="1" applyBorder="1" applyAlignment="1" applyProtection="1">
      <alignment horizontal="left" vertical="center" wrapText="1"/>
      <protection hidden="1"/>
    </xf>
    <xf numFmtId="0" fontId="56" fillId="3" borderId="110" xfId="0" applyFont="1" applyFill="1" applyBorder="1" applyAlignment="1" applyProtection="1">
      <alignment horizontal="center" vertical="center" wrapText="1"/>
      <protection hidden="1"/>
    </xf>
    <xf numFmtId="0" fontId="56" fillId="18" borderId="106" xfId="0" applyFont="1" applyFill="1" applyBorder="1" applyAlignment="1" applyProtection="1">
      <alignment horizontal="right" vertical="center"/>
      <protection hidden="1"/>
    </xf>
    <xf numFmtId="0" fontId="59" fillId="18" borderId="0" xfId="3" applyFont="1" applyFill="1" applyBorder="1" applyAlignment="1" applyProtection="1">
      <alignment horizontal="left" vertical="center"/>
      <protection hidden="1"/>
    </xf>
    <xf numFmtId="0" fontId="52" fillId="18" borderId="0" xfId="0" applyFont="1" applyFill="1" applyAlignment="1" applyProtection="1">
      <alignment horizontal="left" vertical="center" wrapText="1"/>
      <protection hidden="1"/>
    </xf>
    <xf numFmtId="0" fontId="56" fillId="0" borderId="104" xfId="0" applyFont="1" applyBorder="1" applyAlignment="1" applyProtection="1">
      <alignment vertical="center"/>
      <protection hidden="1"/>
    </xf>
    <xf numFmtId="0" fontId="56" fillId="3" borderId="104" xfId="0" applyFont="1" applyFill="1" applyBorder="1" applyAlignment="1" applyProtection="1">
      <alignment vertical="center"/>
      <protection hidden="1"/>
    </xf>
    <xf numFmtId="0" fontId="52" fillId="10" borderId="104" xfId="0" applyFont="1" applyFill="1" applyBorder="1" applyAlignment="1" applyProtection="1">
      <alignment horizontal="center" vertical="center" wrapText="1"/>
      <protection locked="0"/>
    </xf>
    <xf numFmtId="0" fontId="56" fillId="3" borderId="55" xfId="0" applyFont="1" applyFill="1" applyBorder="1" applyAlignment="1" applyProtection="1">
      <alignment vertical="center" wrapText="1"/>
      <protection hidden="1"/>
    </xf>
    <xf numFmtId="0" fontId="56" fillId="3" borderId="50" xfId="0" applyFont="1" applyFill="1" applyBorder="1" applyAlignment="1" applyProtection="1">
      <alignment horizontal="center" vertical="center" wrapText="1"/>
      <protection hidden="1"/>
    </xf>
    <xf numFmtId="0" fontId="84" fillId="3" borderId="50" xfId="0" applyFont="1" applyFill="1" applyBorder="1" applyAlignment="1" applyProtection="1">
      <alignment horizontal="center" vertical="center" wrapText="1"/>
      <protection hidden="1"/>
    </xf>
    <xf numFmtId="0" fontId="56" fillId="18" borderId="0" xfId="0" applyFont="1" applyFill="1" applyAlignment="1" applyProtection="1">
      <alignment horizontal="center" vertical="center" wrapText="1"/>
      <protection hidden="1"/>
    </xf>
    <xf numFmtId="0" fontId="57" fillId="18" borderId="0" xfId="0" applyFont="1" applyFill="1" applyAlignment="1" applyProtection="1">
      <alignment vertical="center" wrapText="1"/>
      <protection hidden="1"/>
    </xf>
    <xf numFmtId="0" fontId="78" fillId="3" borderId="0" xfId="0" applyFont="1" applyFill="1" applyAlignment="1" applyProtection="1">
      <alignment vertical="center" wrapText="1"/>
      <protection hidden="1"/>
    </xf>
    <xf numFmtId="2" fontId="93" fillId="3" borderId="104" xfId="2" applyNumberFormat="1" applyFont="1" applyFill="1" applyBorder="1" applyAlignment="1" applyProtection="1">
      <alignment horizontal="center" vertical="center"/>
      <protection hidden="1"/>
    </xf>
    <xf numFmtId="4" fontId="93" fillId="3" borderId="104" xfId="2" applyNumberFormat="1" applyFont="1" applyFill="1" applyBorder="1" applyAlignment="1" applyProtection="1">
      <alignment horizontal="center" vertical="center"/>
      <protection hidden="1"/>
    </xf>
    <xf numFmtId="9" fontId="78" fillId="20" borderId="55" xfId="2" applyFont="1" applyFill="1" applyBorder="1" applyAlignment="1" applyProtection="1">
      <alignment horizontal="center" vertical="center"/>
      <protection locked="0"/>
    </xf>
    <xf numFmtId="9" fontId="78" fillId="20" borderId="50" xfId="2" applyFont="1" applyFill="1" applyBorder="1" applyAlignment="1" applyProtection="1">
      <alignment horizontal="center" vertical="center"/>
      <protection locked="0"/>
    </xf>
    <xf numFmtId="168" fontId="78" fillId="20" borderId="104" xfId="2" applyNumberFormat="1" applyFont="1" applyFill="1" applyBorder="1" applyAlignment="1" applyProtection="1">
      <alignment horizontal="center" vertical="center"/>
      <protection locked="0"/>
    </xf>
    <xf numFmtId="1" fontId="78" fillId="20" borderId="104" xfId="2" applyNumberFormat="1" applyFont="1" applyFill="1" applyBorder="1" applyAlignment="1" applyProtection="1">
      <alignment horizontal="center" vertical="center"/>
      <protection locked="0"/>
    </xf>
    <xf numFmtId="0" fontId="94" fillId="3" borderId="3" xfId="0" applyFont="1" applyFill="1" applyBorder="1" applyAlignment="1" applyProtection="1">
      <alignment horizontal="left" vertical="center" indent="1"/>
      <protection hidden="1"/>
    </xf>
    <xf numFmtId="0" fontId="97" fillId="18" borderId="0" xfId="0" applyFont="1" applyFill="1" applyAlignment="1" applyProtection="1">
      <alignment horizontal="left" vertical="center"/>
      <protection hidden="1"/>
    </xf>
    <xf numFmtId="0" fontId="97" fillId="18" borderId="0" xfId="0" applyFont="1" applyFill="1" applyAlignment="1" applyProtection="1">
      <alignment horizontal="center" vertical="center"/>
      <protection hidden="1"/>
    </xf>
    <xf numFmtId="2" fontId="93" fillId="3" borderId="111" xfId="2" applyNumberFormat="1" applyFont="1" applyFill="1" applyBorder="1" applyAlignment="1" applyProtection="1">
      <alignment horizontal="center" vertical="center"/>
      <protection hidden="1"/>
    </xf>
    <xf numFmtId="0" fontId="79" fillId="0" borderId="114" xfId="0" applyFont="1" applyBorder="1" applyAlignment="1" applyProtection="1">
      <alignment horizontal="left" vertical="center" wrapText="1"/>
      <protection hidden="1"/>
    </xf>
    <xf numFmtId="0" fontId="52" fillId="3" borderId="115" xfId="0" applyFont="1" applyFill="1" applyBorder="1" applyAlignment="1" applyProtection="1">
      <alignment horizontal="left" vertical="center"/>
      <protection hidden="1"/>
    </xf>
    <xf numFmtId="0" fontId="79" fillId="3" borderId="105" xfId="0" applyFont="1" applyFill="1" applyBorder="1" applyAlignment="1" applyProtection="1">
      <alignment horizontal="left" vertical="center" wrapText="1"/>
      <protection hidden="1"/>
    </xf>
    <xf numFmtId="0" fontId="52" fillId="3" borderId="107" xfId="0" applyFont="1" applyFill="1" applyBorder="1" applyAlignment="1" applyProtection="1">
      <alignment horizontal="left" vertical="center"/>
      <protection hidden="1"/>
    </xf>
    <xf numFmtId="0" fontId="52" fillId="18" borderId="0" xfId="0" applyFont="1" applyFill="1" applyAlignment="1" applyProtection="1">
      <alignment horizontal="left" vertical="center" indent="1"/>
      <protection hidden="1"/>
    </xf>
    <xf numFmtId="0" fontId="94" fillId="3" borderId="111" xfId="0" applyFont="1" applyFill="1" applyBorder="1" applyAlignment="1" applyProtection="1">
      <alignment horizontal="left" vertical="center" indent="1"/>
      <protection hidden="1"/>
    </xf>
    <xf numFmtId="0" fontId="56" fillId="3" borderId="112" xfId="0" applyFont="1" applyFill="1" applyBorder="1" applyAlignment="1" applyProtection="1">
      <alignment horizontal="left" vertical="center" indent="1"/>
      <protection hidden="1"/>
    </xf>
    <xf numFmtId="0" fontId="56" fillId="3" borderId="110" xfId="0" applyFont="1" applyFill="1" applyBorder="1" applyAlignment="1" applyProtection="1">
      <alignment horizontal="left" vertical="center" indent="1"/>
      <protection hidden="1"/>
    </xf>
    <xf numFmtId="0" fontId="56" fillId="18" borderId="0" xfId="0" applyFont="1" applyFill="1" applyAlignment="1" applyProtection="1">
      <alignment horizontal="left" vertical="center" indent="1"/>
      <protection hidden="1"/>
    </xf>
    <xf numFmtId="0" fontId="56" fillId="0" borderId="0" xfId="0" applyFont="1" applyAlignment="1" applyProtection="1">
      <alignment horizontal="left" vertical="center" indent="1"/>
      <protection hidden="1"/>
    </xf>
    <xf numFmtId="0" fontId="52" fillId="3" borderId="0" xfId="0" applyFont="1" applyFill="1" applyAlignment="1" applyProtection="1">
      <alignment horizontal="left" vertical="center" indent="1"/>
      <protection hidden="1"/>
    </xf>
    <xf numFmtId="0" fontId="52" fillId="0" borderId="0" xfId="0" applyFont="1"/>
    <xf numFmtId="0" fontId="80" fillId="0" borderId="0" xfId="0" applyFont="1"/>
    <xf numFmtId="0" fontId="98" fillId="0" borderId="0" xfId="0" applyFont="1"/>
    <xf numFmtId="0" fontId="88" fillId="0" borderId="0" xfId="0" applyFont="1" applyAlignment="1" applyProtection="1">
      <alignment horizontal="center" vertical="center"/>
      <protection hidden="1"/>
    </xf>
    <xf numFmtId="0" fontId="99" fillId="0" borderId="0" xfId="0" applyFont="1" applyAlignment="1">
      <alignment wrapText="1"/>
    </xf>
    <xf numFmtId="0" fontId="56" fillId="0" borderId="0" xfId="0" applyFont="1"/>
    <xf numFmtId="2" fontId="52" fillId="0" borderId="0" xfId="0" applyNumberFormat="1" applyFont="1"/>
    <xf numFmtId="0" fontId="99" fillId="0" borderId="0" xfId="0" applyFont="1"/>
    <xf numFmtId="0" fontId="76" fillId="0" borderId="0" xfId="0" applyFont="1" applyAlignment="1" applyProtection="1">
      <alignment horizontal="center" vertical="center"/>
      <protection hidden="1"/>
    </xf>
    <xf numFmtId="0" fontId="98" fillId="0" borderId="0" xfId="0" applyFont="1" applyAlignment="1" applyProtection="1">
      <alignment horizontal="center" vertical="center"/>
      <protection hidden="1"/>
    </xf>
    <xf numFmtId="0" fontId="76" fillId="0" borderId="0" xfId="0" applyFont="1" applyAlignment="1" applyProtection="1">
      <alignment horizontal="center" vertical="center" wrapText="1"/>
      <protection hidden="1"/>
    </xf>
    <xf numFmtId="165" fontId="80" fillId="0" borderId="0" xfId="0" applyNumberFormat="1" applyFont="1" applyAlignment="1" applyProtection="1">
      <alignment horizontal="center" vertical="center" wrapText="1"/>
      <protection locked="0"/>
    </xf>
    <xf numFmtId="165" fontId="98" fillId="0" borderId="0" xfId="0" applyNumberFormat="1" applyFont="1" applyAlignment="1" applyProtection="1">
      <alignment horizontal="center" vertical="center" wrapText="1"/>
      <protection locked="0"/>
    </xf>
    <xf numFmtId="164" fontId="80" fillId="0" borderId="0" xfId="0" applyNumberFormat="1" applyFont="1" applyAlignment="1" applyProtection="1">
      <alignment horizontal="center" vertical="center"/>
      <protection locked="0"/>
    </xf>
    <xf numFmtId="164" fontId="98" fillId="0" borderId="0" xfId="0" applyNumberFormat="1" applyFont="1" applyAlignment="1" applyProtection="1">
      <alignment horizontal="center" vertical="center"/>
      <protection locked="0"/>
    </xf>
    <xf numFmtId="164" fontId="98" fillId="0" borderId="0" xfId="0" applyNumberFormat="1" applyFont="1" applyAlignment="1" applyProtection="1">
      <alignment horizontal="center" vertical="center"/>
      <protection hidden="1"/>
    </xf>
    <xf numFmtId="164" fontId="52" fillId="0" borderId="0" xfId="0" applyNumberFormat="1" applyFont="1" applyAlignment="1" applyProtection="1">
      <alignment horizontal="center" vertical="center"/>
      <protection hidden="1"/>
    </xf>
    <xf numFmtId="0" fontId="52" fillId="22" borderId="0" xfId="0" applyFont="1" applyFill="1"/>
    <xf numFmtId="0" fontId="88" fillId="22" borderId="0" xfId="0" applyFont="1" applyFill="1" applyAlignment="1" applyProtection="1">
      <alignment horizontal="center" vertical="center"/>
      <protection hidden="1"/>
    </xf>
    <xf numFmtId="0" fontId="88" fillId="22" borderId="0" xfId="0" applyFont="1" applyFill="1" applyAlignment="1" applyProtection="1">
      <alignment vertical="center"/>
      <protection hidden="1"/>
    </xf>
    <xf numFmtId="2" fontId="98" fillId="22" borderId="0" xfId="0" applyNumberFormat="1" applyFont="1" applyFill="1" applyAlignment="1" applyProtection="1">
      <alignment horizontal="center" vertical="center"/>
      <protection hidden="1"/>
    </xf>
    <xf numFmtId="9" fontId="98" fillId="22" borderId="0" xfId="2" applyFont="1" applyFill="1" applyBorder="1" applyAlignment="1" applyProtection="1">
      <alignment horizontal="center" vertical="center"/>
      <protection hidden="1"/>
    </xf>
    <xf numFmtId="0" fontId="98" fillId="22" borderId="0" xfId="0" applyFont="1" applyFill="1"/>
    <xf numFmtId="0" fontId="89" fillId="22" borderId="0" xfId="0" applyFont="1" applyFill="1" applyAlignment="1" applyProtection="1">
      <alignment horizontal="center" vertical="center" wrapText="1"/>
      <protection hidden="1"/>
    </xf>
    <xf numFmtId="0" fontId="80" fillId="22" borderId="0" xfId="0" applyFont="1" applyFill="1"/>
    <xf numFmtId="0" fontId="56" fillId="22" borderId="0" xfId="0" applyFont="1" applyFill="1" applyAlignment="1" applyProtection="1">
      <alignment vertical="center" wrapText="1"/>
      <protection hidden="1"/>
    </xf>
    <xf numFmtId="0" fontId="56" fillId="22" borderId="0" xfId="0" applyFont="1" applyFill="1" applyAlignment="1" applyProtection="1">
      <alignment horizontal="center" vertical="center" wrapText="1"/>
      <protection hidden="1"/>
    </xf>
    <xf numFmtId="0" fontId="51" fillId="22" borderId="0" xfId="0" applyFont="1" applyFill="1" applyAlignment="1" applyProtection="1">
      <alignment horizontal="center" vertical="center"/>
      <protection hidden="1"/>
    </xf>
    <xf numFmtId="0" fontId="58" fillId="22" borderId="0" xfId="0" applyFont="1" applyFill="1" applyAlignment="1" applyProtection="1">
      <alignment horizontal="center" vertical="center" wrapText="1"/>
      <protection hidden="1"/>
    </xf>
    <xf numFmtId="0" fontId="70" fillId="22" borderId="0" xfId="0" applyFont="1" applyFill="1" applyAlignment="1" applyProtection="1">
      <alignment vertical="center"/>
      <protection hidden="1"/>
    </xf>
    <xf numFmtId="0" fontId="76" fillId="22" borderId="0" xfId="0" applyFont="1" applyFill="1" applyAlignment="1" applyProtection="1">
      <alignment vertical="center" wrapText="1"/>
      <protection hidden="1"/>
    </xf>
    <xf numFmtId="0" fontId="57" fillId="22" borderId="0" xfId="0" applyFont="1" applyFill="1" applyAlignment="1" applyProtection="1">
      <alignment vertical="center" wrapText="1"/>
      <protection hidden="1"/>
    </xf>
    <xf numFmtId="0" fontId="51" fillId="22" borderId="0" xfId="0" applyFont="1" applyFill="1" applyAlignment="1" applyProtection="1">
      <alignment horizontal="center" vertical="center" wrapText="1"/>
      <protection hidden="1"/>
    </xf>
    <xf numFmtId="0" fontId="51" fillId="3" borderId="1" xfId="0" applyFont="1" applyFill="1" applyBorder="1" applyAlignment="1" applyProtection="1">
      <alignment horizontal="center" vertical="center"/>
      <protection hidden="1"/>
    </xf>
    <xf numFmtId="0" fontId="79" fillId="22" borderId="0" xfId="0" applyFont="1" applyFill="1" applyAlignment="1" applyProtection="1">
      <alignment horizontal="right" vertical="center" wrapText="1"/>
      <protection hidden="1"/>
    </xf>
    <xf numFmtId="0" fontId="84" fillId="22" borderId="0" xfId="0" applyFont="1" applyFill="1" applyAlignment="1" applyProtection="1">
      <alignment horizontal="center" vertical="center" wrapText="1"/>
      <protection hidden="1"/>
    </xf>
    <xf numFmtId="2" fontId="80" fillId="22" borderId="0" xfId="0" applyNumberFormat="1" applyFont="1" applyFill="1" applyAlignment="1" applyProtection="1">
      <alignment horizontal="center" vertical="center"/>
      <protection hidden="1"/>
    </xf>
    <xf numFmtId="2" fontId="52" fillId="22" borderId="0" xfId="1" applyNumberFormat="1" applyFont="1" applyFill="1" applyBorder="1" applyAlignment="1" applyProtection="1">
      <alignment horizontal="center" vertical="center"/>
      <protection hidden="1"/>
    </xf>
    <xf numFmtId="2" fontId="52" fillId="22" borderId="0" xfId="0" applyNumberFormat="1" applyFont="1" applyFill="1" applyAlignment="1" applyProtection="1">
      <alignment horizontal="center" vertical="center"/>
      <protection hidden="1"/>
    </xf>
    <xf numFmtId="0" fontId="79" fillId="22" borderId="0" xfId="0" applyFont="1" applyFill="1" applyAlignment="1" applyProtection="1">
      <alignment horizontal="center" vertical="center" wrapText="1"/>
      <protection hidden="1"/>
    </xf>
    <xf numFmtId="0" fontId="79" fillId="3" borderId="1" xfId="0" applyFont="1" applyFill="1" applyBorder="1" applyAlignment="1" applyProtection="1">
      <alignment horizontal="center" vertical="center" wrapText="1"/>
      <protection hidden="1"/>
    </xf>
    <xf numFmtId="2" fontId="80" fillId="3" borderId="1" xfId="1" applyNumberFormat="1" applyFont="1" applyFill="1" applyBorder="1" applyAlignment="1" applyProtection="1">
      <alignment horizontal="center" vertical="center"/>
      <protection hidden="1"/>
    </xf>
    <xf numFmtId="2" fontId="80" fillId="3" borderId="1" xfId="0" applyNumberFormat="1" applyFont="1" applyFill="1" applyBorder="1" applyAlignment="1" applyProtection="1">
      <alignment horizontal="center" vertical="center"/>
      <protection hidden="1"/>
    </xf>
    <xf numFmtId="2" fontId="52" fillId="3" borderId="1" xfId="1" applyNumberFormat="1" applyFont="1" applyFill="1" applyBorder="1" applyAlignment="1" applyProtection="1">
      <alignment horizontal="center" vertical="center"/>
      <protection hidden="1"/>
    </xf>
    <xf numFmtId="2" fontId="52" fillId="3" borderId="1" xfId="0" applyNumberFormat="1" applyFont="1" applyFill="1" applyBorder="1" applyAlignment="1" applyProtection="1">
      <alignment horizontal="center" vertical="center"/>
      <protection hidden="1"/>
    </xf>
    <xf numFmtId="4" fontId="80" fillId="3" borderId="1" xfId="2" applyNumberFormat="1" applyFont="1" applyFill="1" applyBorder="1" applyAlignment="1" applyProtection="1">
      <alignment horizontal="center" vertical="center"/>
      <protection hidden="1"/>
    </xf>
    <xf numFmtId="2" fontId="100" fillId="22" borderId="0" xfId="0" applyNumberFormat="1" applyFont="1" applyFill="1" applyAlignment="1" applyProtection="1">
      <alignment horizontal="center" vertical="center"/>
      <protection hidden="1"/>
    </xf>
    <xf numFmtId="9" fontId="100" fillId="22" borderId="0" xfId="2" applyFont="1" applyFill="1" applyBorder="1" applyAlignment="1" applyProtection="1">
      <alignment horizontal="center" vertical="center"/>
      <protection hidden="1"/>
    </xf>
    <xf numFmtId="0" fontId="52" fillId="24" borderId="0" xfId="0" applyFont="1" applyFill="1"/>
    <xf numFmtId="0" fontId="80" fillId="24" borderId="0" xfId="0" applyFont="1" applyFill="1"/>
    <xf numFmtId="0" fontId="98" fillId="24" borderId="0" xfId="0" applyFont="1" applyFill="1"/>
    <xf numFmtId="0" fontId="52" fillId="24" borderId="0" xfId="0" applyFont="1" applyFill="1" applyAlignment="1" applyProtection="1">
      <alignment horizontal="center" vertical="center"/>
      <protection hidden="1"/>
    </xf>
    <xf numFmtId="3" fontId="93" fillId="20" borderId="104" xfId="5" applyNumberFormat="1" applyFont="1" applyFill="1" applyBorder="1" applyAlignment="1" applyProtection="1">
      <alignment horizontal="center" vertical="center"/>
      <protection locked="0"/>
    </xf>
    <xf numFmtId="0" fontId="104" fillId="0" borderId="0" xfId="0" applyFont="1" applyAlignment="1" applyProtection="1">
      <alignment horizontal="right" vertical="center" wrapText="1"/>
      <protection hidden="1"/>
    </xf>
    <xf numFmtId="3" fontId="52" fillId="0" borderId="0" xfId="0" applyNumberFormat="1" applyFont="1" applyAlignment="1" applyProtection="1">
      <alignment horizontal="center" vertical="center"/>
      <protection hidden="1"/>
    </xf>
    <xf numFmtId="0" fontId="79" fillId="0" borderId="0" xfId="0" applyFont="1" applyAlignment="1" applyProtection="1">
      <alignment horizontal="right" vertical="center" wrapText="1"/>
      <protection hidden="1"/>
    </xf>
    <xf numFmtId="3" fontId="56" fillId="3" borderId="1" xfId="0" applyNumberFormat="1" applyFont="1" applyFill="1" applyBorder="1" applyAlignment="1" applyProtection="1">
      <alignment horizontal="center" vertical="center"/>
      <protection hidden="1"/>
    </xf>
    <xf numFmtId="165" fontId="56" fillId="3" borderId="1" xfId="0" applyNumberFormat="1" applyFont="1" applyFill="1" applyBorder="1" applyAlignment="1" applyProtection="1">
      <alignment horizontal="center" vertical="center"/>
      <protection hidden="1"/>
    </xf>
    <xf numFmtId="0" fontId="79" fillId="3" borderId="1" xfId="0" applyFont="1" applyFill="1" applyBorder="1" applyAlignment="1" applyProtection="1">
      <alignment horizontal="right" vertical="center" wrapText="1"/>
      <protection hidden="1"/>
    </xf>
    <xf numFmtId="3" fontId="52" fillId="0" borderId="1" xfId="0" applyNumberFormat="1" applyFont="1" applyBorder="1" applyAlignment="1" applyProtection="1">
      <alignment horizontal="center" vertical="center"/>
      <protection hidden="1"/>
    </xf>
    <xf numFmtId="3" fontId="79" fillId="0" borderId="0" xfId="0" applyNumberFormat="1" applyFont="1" applyAlignment="1" applyProtection="1">
      <alignment horizontal="right" vertical="center" wrapText="1"/>
      <protection hidden="1"/>
    </xf>
    <xf numFmtId="3" fontId="56" fillId="0" borderId="1" xfId="0" applyNumberFormat="1" applyFont="1" applyBorder="1" applyAlignment="1" applyProtection="1">
      <alignment horizontal="center" vertical="center"/>
      <protection hidden="1"/>
    </xf>
    <xf numFmtId="0" fontId="84" fillId="14" borderId="1" xfId="0" applyFont="1" applyFill="1" applyBorder="1" applyAlignment="1" applyProtection="1">
      <alignment horizontal="right" vertical="center" wrapText="1"/>
      <protection hidden="1"/>
    </xf>
    <xf numFmtId="3" fontId="56" fillId="14" borderId="1" xfId="0" applyNumberFormat="1" applyFont="1" applyFill="1" applyBorder="1" applyAlignment="1" applyProtection="1">
      <alignment horizontal="center" vertical="center"/>
      <protection hidden="1"/>
    </xf>
    <xf numFmtId="0" fontId="79" fillId="0" borderId="0" xfId="0" applyFont="1" applyAlignment="1" applyProtection="1">
      <alignment vertical="center"/>
      <protection hidden="1"/>
    </xf>
    <xf numFmtId="0" fontId="79" fillId="14" borderId="1" xfId="0" applyFont="1" applyFill="1" applyBorder="1" applyAlignment="1" applyProtection="1">
      <alignment horizontal="right" vertical="center" wrapText="1"/>
      <protection hidden="1"/>
    </xf>
    <xf numFmtId="3" fontId="52" fillId="14" borderId="1" xfId="0" applyNumberFormat="1" applyFont="1" applyFill="1" applyBorder="1" applyAlignment="1" applyProtection="1">
      <alignment horizontal="center" vertical="center"/>
      <protection hidden="1"/>
    </xf>
    <xf numFmtId="0" fontId="79" fillId="0" borderId="0" xfId="0" applyFont="1" applyAlignment="1" applyProtection="1">
      <alignment horizontal="left" vertical="center" wrapText="1"/>
      <protection hidden="1"/>
    </xf>
    <xf numFmtId="3" fontId="52" fillId="3" borderId="1" xfId="0" applyNumberFormat="1" applyFont="1" applyFill="1" applyBorder="1" applyAlignment="1" applyProtection="1">
      <alignment horizontal="center" vertical="center"/>
      <protection hidden="1"/>
    </xf>
    <xf numFmtId="0" fontId="79" fillId="0" borderId="0" xfId="0" applyFont="1" applyAlignment="1" applyProtection="1">
      <alignment horizontal="left" vertical="center"/>
      <protection hidden="1"/>
    </xf>
    <xf numFmtId="165" fontId="52" fillId="0" borderId="0" xfId="0" applyNumberFormat="1" applyFont="1" applyAlignment="1" applyProtection="1">
      <alignment horizontal="center" vertical="center"/>
      <protection hidden="1"/>
    </xf>
    <xf numFmtId="165" fontId="104" fillId="0" borderId="0" xfId="0" applyNumberFormat="1" applyFont="1" applyAlignment="1" applyProtection="1">
      <alignment horizontal="left" vertical="center"/>
      <protection hidden="1"/>
    </xf>
    <xf numFmtId="165" fontId="80" fillId="0" borderId="0" xfId="0" applyNumberFormat="1" applyFont="1" applyAlignment="1" applyProtection="1">
      <alignment horizontal="center" vertical="center"/>
      <protection hidden="1"/>
    </xf>
    <xf numFmtId="0" fontId="79" fillId="0" borderId="1" xfId="0" applyFont="1" applyBorder="1" applyAlignment="1" applyProtection="1">
      <alignment horizontal="right" vertical="center" wrapText="1"/>
      <protection hidden="1"/>
    </xf>
    <xf numFmtId="165" fontId="52" fillId="0" borderId="1" xfId="0" applyNumberFormat="1" applyFont="1" applyBorder="1" applyAlignment="1" applyProtection="1">
      <alignment horizontal="center" vertical="center"/>
      <protection hidden="1"/>
    </xf>
    <xf numFmtId="165" fontId="104" fillId="0" borderId="0" xfId="0" applyNumberFormat="1" applyFont="1" applyAlignment="1" applyProtection="1">
      <alignment horizontal="right" vertical="center" wrapText="1"/>
      <protection hidden="1"/>
    </xf>
    <xf numFmtId="165" fontId="52" fillId="3" borderId="1" xfId="0" applyNumberFormat="1" applyFont="1" applyFill="1" applyBorder="1" applyAlignment="1" applyProtection="1">
      <alignment horizontal="center" vertical="center"/>
      <protection hidden="1"/>
    </xf>
    <xf numFmtId="0" fontId="104" fillId="0" borderId="0" xfId="0" applyFont="1" applyAlignment="1" applyProtection="1">
      <alignment horizontal="left" vertical="center"/>
      <protection hidden="1"/>
    </xf>
    <xf numFmtId="0" fontId="52" fillId="3" borderId="0" xfId="0" applyFont="1" applyFill="1" applyProtection="1">
      <protection hidden="1"/>
    </xf>
    <xf numFmtId="0" fontId="52" fillId="0" borderId="0" xfId="0" applyFont="1" applyProtection="1">
      <protection hidden="1"/>
    </xf>
    <xf numFmtId="3" fontId="56" fillId="0" borderId="0" xfId="0" applyNumberFormat="1" applyFont="1" applyAlignment="1" applyProtection="1">
      <alignment horizontal="center" vertical="center"/>
      <protection hidden="1"/>
    </xf>
    <xf numFmtId="0" fontId="52" fillId="3" borderId="0" xfId="0" quotePrefix="1" applyFont="1" applyFill="1" applyProtection="1">
      <protection hidden="1"/>
    </xf>
    <xf numFmtId="0" fontId="52" fillId="4" borderId="0" xfId="0" applyFont="1" applyFill="1" applyProtection="1">
      <protection hidden="1"/>
    </xf>
    <xf numFmtId="0" fontId="52" fillId="4" borderId="0" xfId="0" applyFont="1" applyFill="1"/>
    <xf numFmtId="0" fontId="56" fillId="8" borderId="0" xfId="0" applyFont="1" applyFill="1" applyAlignment="1" applyProtection="1">
      <alignment horizontal="center" vertical="center" wrapText="1"/>
      <protection hidden="1"/>
    </xf>
    <xf numFmtId="0" fontId="56" fillId="0" borderId="0" xfId="0" applyFont="1" applyAlignment="1" applyProtection="1">
      <alignment vertical="center" wrapText="1"/>
      <protection hidden="1"/>
    </xf>
    <xf numFmtId="0" fontId="52" fillId="4" borderId="0" xfId="0" applyFont="1" applyFill="1" applyAlignment="1" applyProtection="1">
      <alignment horizontal="center" vertical="center"/>
      <protection hidden="1"/>
    </xf>
    <xf numFmtId="0" fontId="116" fillId="23" borderId="0" xfId="0" applyFont="1" applyFill="1"/>
    <xf numFmtId="0" fontId="117" fillId="23" borderId="0" xfId="0" applyFont="1" applyFill="1"/>
    <xf numFmtId="0" fontId="101" fillId="0" borderId="0" xfId="0" applyFont="1"/>
    <xf numFmtId="0" fontId="101" fillId="4" borderId="0" xfId="0" applyFont="1" applyFill="1"/>
    <xf numFmtId="0" fontId="118" fillId="4" borderId="0" xfId="0" applyFont="1" applyFill="1" applyAlignment="1">
      <alignment vertical="center"/>
    </xf>
    <xf numFmtId="0" fontId="119" fillId="4" borderId="0" xfId="0" applyFont="1" applyFill="1"/>
    <xf numFmtId="0" fontId="120" fillId="4" borderId="0" xfId="0" applyFont="1" applyFill="1" applyAlignment="1">
      <alignment vertical="center"/>
    </xf>
    <xf numFmtId="0" fontId="102" fillId="4" borderId="0" xfId="0" applyFont="1" applyFill="1" applyAlignment="1" applyProtection="1">
      <alignment horizontal="center" vertical="center"/>
      <protection hidden="1"/>
    </xf>
    <xf numFmtId="0" fontId="102" fillId="4" borderId="0" xfId="0" applyFont="1" applyFill="1"/>
    <xf numFmtId="3" fontId="103" fillId="0" borderId="0" xfId="0" applyNumberFormat="1" applyFont="1" applyAlignment="1" applyProtection="1">
      <alignment horizontal="center" vertical="center"/>
      <protection hidden="1"/>
    </xf>
    <xf numFmtId="0" fontId="102" fillId="0" borderId="0" xfId="0" applyFont="1" applyProtection="1">
      <protection hidden="1"/>
    </xf>
    <xf numFmtId="0" fontId="102" fillId="3" borderId="0" xfId="0" applyFont="1" applyFill="1" applyProtection="1">
      <protection hidden="1"/>
    </xf>
    <xf numFmtId="0" fontId="56" fillId="4" borderId="0" xfId="0" applyFont="1" applyFill="1" applyAlignment="1" applyProtection="1">
      <alignment horizontal="center" vertical="center"/>
      <protection hidden="1"/>
    </xf>
    <xf numFmtId="0" fontId="102" fillId="4" borderId="0" xfId="0" applyFont="1" applyFill="1" applyProtection="1">
      <protection hidden="1"/>
    </xf>
    <xf numFmtId="0" fontId="76" fillId="10" borderId="0" xfId="0" applyFont="1" applyFill="1" applyAlignment="1" applyProtection="1">
      <alignment horizontal="center" vertical="center"/>
      <protection hidden="1"/>
    </xf>
    <xf numFmtId="0" fontId="52" fillId="23" borderId="0" xfId="0" applyFont="1" applyFill="1" applyAlignment="1" applyProtection="1">
      <alignment horizontal="center" vertical="center"/>
      <protection hidden="1"/>
    </xf>
    <xf numFmtId="0" fontId="52" fillId="23" borderId="0" xfId="0" applyFont="1" applyFill="1"/>
    <xf numFmtId="0" fontId="117" fillId="4" borderId="0" xfId="0" applyFont="1" applyFill="1" applyAlignment="1" applyProtection="1">
      <alignment horizontal="center" vertical="center"/>
      <protection hidden="1"/>
    </xf>
    <xf numFmtId="0" fontId="76" fillId="4" borderId="0" xfId="0" applyFont="1" applyFill="1" applyAlignment="1" applyProtection="1">
      <alignment horizontal="center" vertical="center"/>
      <protection hidden="1"/>
    </xf>
    <xf numFmtId="0" fontId="79" fillId="4" borderId="5" xfId="0" applyFont="1" applyFill="1" applyBorder="1" applyAlignment="1" applyProtection="1">
      <alignment horizontal="right" vertical="center" wrapText="1"/>
      <protection hidden="1"/>
    </xf>
    <xf numFmtId="3" fontId="52" fillId="4" borderId="5" xfId="0" applyNumberFormat="1" applyFont="1" applyFill="1" applyBorder="1" applyAlignment="1" applyProtection="1">
      <alignment horizontal="center" vertical="center"/>
      <protection hidden="1"/>
    </xf>
    <xf numFmtId="0" fontId="79" fillId="4" borderId="0" xfId="0" applyFont="1" applyFill="1" applyAlignment="1" applyProtection="1">
      <alignment horizontal="right" vertical="center" wrapText="1"/>
      <protection hidden="1"/>
    </xf>
    <xf numFmtId="3" fontId="52" fillId="4" borderId="0" xfId="0" applyNumberFormat="1" applyFont="1" applyFill="1" applyAlignment="1" applyProtection="1">
      <alignment horizontal="center" vertical="center"/>
      <protection hidden="1"/>
    </xf>
    <xf numFmtId="0" fontId="121" fillId="3" borderId="1" xfId="0" applyFont="1" applyFill="1" applyBorder="1" applyAlignment="1" applyProtection="1">
      <alignment horizontal="right" vertical="center" wrapText="1"/>
      <protection hidden="1"/>
    </xf>
    <xf numFmtId="0" fontId="56" fillId="4" borderId="2" xfId="0" applyFont="1" applyFill="1" applyBorder="1" applyAlignment="1" applyProtection="1">
      <alignment horizontal="center" vertical="center"/>
      <protection hidden="1"/>
    </xf>
    <xf numFmtId="0" fontId="56" fillId="4" borderId="5" xfId="0" applyFont="1" applyFill="1" applyBorder="1" applyAlignment="1" applyProtection="1">
      <alignment horizontal="center" vertical="center"/>
      <protection hidden="1"/>
    </xf>
    <xf numFmtId="0" fontId="57" fillId="4" borderId="5" xfId="0" applyFont="1" applyFill="1" applyBorder="1" applyAlignment="1" applyProtection="1">
      <alignment horizontal="center" vertical="center" wrapText="1"/>
      <protection hidden="1"/>
    </xf>
    <xf numFmtId="3" fontId="57" fillId="14" borderId="1" xfId="0" applyNumberFormat="1" applyFont="1" applyFill="1" applyBorder="1" applyAlignment="1" applyProtection="1">
      <alignment horizontal="center" vertical="center"/>
      <protection hidden="1"/>
    </xf>
    <xf numFmtId="3" fontId="86" fillId="14" borderId="1" xfId="0" applyNumberFormat="1" applyFont="1" applyFill="1" applyBorder="1" applyAlignment="1" applyProtection="1">
      <alignment horizontal="center" vertical="center"/>
      <protection hidden="1"/>
    </xf>
    <xf numFmtId="0" fontId="82" fillId="4" borderId="5" xfId="0" applyFont="1" applyFill="1" applyBorder="1" applyAlignment="1" applyProtection="1">
      <alignment horizontal="right" vertical="center" wrapText="1"/>
      <protection hidden="1"/>
    </xf>
    <xf numFmtId="3" fontId="86" fillId="4" borderId="5" xfId="0" applyNumberFormat="1" applyFont="1" applyFill="1" applyBorder="1" applyAlignment="1" applyProtection="1">
      <alignment horizontal="center" vertical="center"/>
      <protection hidden="1"/>
    </xf>
    <xf numFmtId="0" fontId="113" fillId="4" borderId="53" xfId="0" applyFont="1" applyFill="1" applyBorder="1" applyAlignment="1" applyProtection="1">
      <alignment horizontal="right" vertical="center" wrapText="1"/>
      <protection hidden="1"/>
    </xf>
    <xf numFmtId="3" fontId="114" fillId="4" borderId="53" xfId="0" applyNumberFormat="1" applyFont="1" applyFill="1" applyBorder="1" applyAlignment="1" applyProtection="1">
      <alignment horizontal="center" vertical="center"/>
      <protection hidden="1"/>
    </xf>
    <xf numFmtId="0" fontId="56" fillId="4" borderId="2" xfId="0" applyFont="1" applyFill="1" applyBorder="1" applyAlignment="1" applyProtection="1">
      <alignment horizontal="center" vertical="center" wrapText="1"/>
      <protection hidden="1"/>
    </xf>
    <xf numFmtId="0" fontId="109" fillId="4" borderId="53" xfId="0" applyFont="1" applyFill="1" applyBorder="1" applyAlignment="1" applyProtection="1">
      <alignment horizontal="right" vertical="center" wrapText="1"/>
      <protection hidden="1"/>
    </xf>
    <xf numFmtId="3" fontId="110" fillId="4" borderId="53" xfId="0" applyNumberFormat="1" applyFont="1" applyFill="1" applyBorder="1" applyAlignment="1" applyProtection="1">
      <alignment horizontal="center" vertical="center"/>
      <protection hidden="1"/>
    </xf>
    <xf numFmtId="0" fontId="111" fillId="4" borderId="2" xfId="0" applyFont="1" applyFill="1" applyBorder="1" applyAlignment="1" applyProtection="1">
      <alignment horizontal="center" vertical="center" wrapText="1"/>
      <protection hidden="1"/>
    </xf>
    <xf numFmtId="0" fontId="106" fillId="14" borderId="1" xfId="0" applyFont="1" applyFill="1" applyBorder="1" applyAlignment="1" applyProtection="1">
      <alignment horizontal="right" vertical="center" wrapText="1"/>
      <protection hidden="1"/>
    </xf>
    <xf numFmtId="0" fontId="82" fillId="14" borderId="1" xfId="0" applyFont="1" applyFill="1" applyBorder="1" applyAlignment="1" applyProtection="1">
      <alignment horizontal="right" vertical="center" wrapText="1"/>
      <protection hidden="1"/>
    </xf>
    <xf numFmtId="0" fontId="108" fillId="14" borderId="1" xfId="0" applyFont="1" applyFill="1" applyBorder="1" applyAlignment="1" applyProtection="1">
      <alignment horizontal="right" vertical="center" wrapText="1"/>
      <protection hidden="1"/>
    </xf>
    <xf numFmtId="3" fontId="107" fillId="14" borderId="1" xfId="0" applyNumberFormat="1" applyFont="1" applyFill="1" applyBorder="1" applyAlignment="1" applyProtection="1">
      <alignment horizontal="center" vertical="center"/>
      <protection hidden="1"/>
    </xf>
    <xf numFmtId="0" fontId="109" fillId="14" borderId="1" xfId="0" applyFont="1" applyFill="1" applyBorder="1" applyAlignment="1" applyProtection="1">
      <alignment horizontal="right" vertical="center" wrapText="1"/>
      <protection hidden="1"/>
    </xf>
    <xf numFmtId="3" fontId="110" fillId="14" borderId="1" xfId="0" applyNumberFormat="1" applyFont="1" applyFill="1" applyBorder="1" applyAlignment="1" applyProtection="1">
      <alignment horizontal="center" vertical="center"/>
      <protection hidden="1"/>
    </xf>
    <xf numFmtId="0" fontId="112" fillId="14" borderId="1" xfId="0" applyFont="1" applyFill="1" applyBorder="1" applyAlignment="1" applyProtection="1">
      <alignment horizontal="right" vertical="center" wrapText="1"/>
      <protection hidden="1"/>
    </xf>
    <xf numFmtId="3" fontId="111" fillId="14" borderId="1" xfId="0" applyNumberFormat="1" applyFont="1" applyFill="1" applyBorder="1" applyAlignment="1" applyProtection="1">
      <alignment horizontal="center" vertical="center"/>
      <protection hidden="1"/>
    </xf>
    <xf numFmtId="0" fontId="113" fillId="14" borderId="1" xfId="0" applyFont="1" applyFill="1" applyBorder="1" applyAlignment="1" applyProtection="1">
      <alignment horizontal="right" vertical="center" wrapText="1"/>
      <protection hidden="1"/>
    </xf>
    <xf numFmtId="3" fontId="114" fillId="14" borderId="1" xfId="0" applyNumberFormat="1" applyFont="1" applyFill="1" applyBorder="1" applyAlignment="1" applyProtection="1">
      <alignment horizontal="center" vertical="center"/>
      <protection hidden="1"/>
    </xf>
    <xf numFmtId="0" fontId="79" fillId="4" borderId="53" xfId="0" applyFont="1" applyFill="1" applyBorder="1" applyAlignment="1" applyProtection="1">
      <alignment horizontal="right" vertical="center" wrapText="1"/>
      <protection hidden="1"/>
    </xf>
    <xf numFmtId="3" fontId="52" fillId="4" borderId="53" xfId="0" applyNumberFormat="1" applyFont="1" applyFill="1" applyBorder="1" applyAlignment="1" applyProtection="1">
      <alignment horizontal="center" vertical="center"/>
      <protection hidden="1"/>
    </xf>
    <xf numFmtId="0" fontId="121" fillId="0" borderId="1" xfId="0" applyFont="1" applyBorder="1" applyAlignment="1" applyProtection="1">
      <alignment horizontal="right" vertical="center" wrapText="1"/>
      <protection hidden="1"/>
    </xf>
    <xf numFmtId="165" fontId="80" fillId="4" borderId="53" xfId="0" applyNumberFormat="1" applyFont="1" applyFill="1" applyBorder="1" applyAlignment="1" applyProtection="1">
      <alignment horizontal="center" vertical="center"/>
      <protection hidden="1"/>
    </xf>
    <xf numFmtId="165" fontId="52" fillId="4" borderId="53" xfId="0" applyNumberFormat="1" applyFont="1" applyFill="1" applyBorder="1" applyAlignment="1" applyProtection="1">
      <alignment horizontal="center" vertical="center"/>
      <protection hidden="1"/>
    </xf>
    <xf numFmtId="0" fontId="88" fillId="4" borderId="0" xfId="0" applyFont="1" applyFill="1" applyAlignment="1" applyProtection="1">
      <alignment horizontal="center" vertical="center" wrapText="1"/>
      <protection hidden="1"/>
    </xf>
    <xf numFmtId="0" fontId="56" fillId="4" borderId="0" xfId="0" applyFont="1" applyFill="1" applyAlignment="1" applyProtection="1">
      <alignment horizontal="center" vertical="center" wrapText="1"/>
      <protection hidden="1"/>
    </xf>
    <xf numFmtId="165" fontId="52" fillId="4" borderId="0" xfId="0" applyNumberFormat="1" applyFont="1" applyFill="1" applyAlignment="1" applyProtection="1">
      <alignment horizontal="center" vertical="center"/>
      <protection hidden="1"/>
    </xf>
    <xf numFmtId="3" fontId="56" fillId="4" borderId="0" xfId="0" applyNumberFormat="1" applyFont="1" applyFill="1" applyAlignment="1" applyProtection="1">
      <alignment horizontal="center" vertical="center"/>
      <protection hidden="1"/>
    </xf>
    <xf numFmtId="0" fontId="103" fillId="4" borderId="0" xfId="0" applyFont="1" applyFill="1" applyAlignment="1" applyProtection="1">
      <alignment horizontal="center" vertical="center" wrapText="1"/>
      <protection hidden="1"/>
    </xf>
    <xf numFmtId="3" fontId="52" fillId="4" borderId="2" xfId="0" applyNumberFormat="1" applyFont="1" applyFill="1" applyBorder="1" applyAlignment="1" applyProtection="1">
      <alignment horizontal="center" vertical="center"/>
      <protection hidden="1"/>
    </xf>
    <xf numFmtId="0" fontId="56" fillId="4" borderId="53" xfId="0" applyFont="1" applyFill="1" applyBorder="1" applyAlignment="1" applyProtection="1">
      <alignment horizontal="center" vertical="center"/>
      <protection hidden="1"/>
    </xf>
    <xf numFmtId="165" fontId="56" fillId="4" borderId="0" xfId="0" applyNumberFormat="1" applyFont="1" applyFill="1" applyAlignment="1" applyProtection="1">
      <alignment horizontal="center" vertical="center"/>
      <protection hidden="1"/>
    </xf>
    <xf numFmtId="0" fontId="57" fillId="4" borderId="53" xfId="0" applyFont="1" applyFill="1" applyBorder="1" applyAlignment="1" applyProtection="1">
      <alignment horizontal="center" vertical="center" wrapText="1"/>
      <protection hidden="1"/>
    </xf>
    <xf numFmtId="3" fontId="86" fillId="4" borderId="2" xfId="0" applyNumberFormat="1" applyFont="1" applyFill="1" applyBorder="1" applyAlignment="1" applyProtection="1">
      <alignment horizontal="center" vertical="center"/>
      <protection hidden="1"/>
    </xf>
    <xf numFmtId="3" fontId="57" fillId="4" borderId="0" xfId="0" applyNumberFormat="1" applyFont="1" applyFill="1" applyAlignment="1" applyProtection="1">
      <alignment horizontal="center" vertical="center"/>
      <protection hidden="1"/>
    </xf>
    <xf numFmtId="3" fontId="86" fillId="4" borderId="0" xfId="0" applyNumberFormat="1" applyFont="1" applyFill="1" applyAlignment="1" applyProtection="1">
      <alignment horizontal="center" vertical="center"/>
      <protection hidden="1"/>
    </xf>
    <xf numFmtId="3" fontId="110" fillId="4" borderId="0" xfId="0" applyNumberFormat="1" applyFont="1" applyFill="1" applyAlignment="1" applyProtection="1">
      <alignment horizontal="center" vertical="center"/>
      <protection hidden="1"/>
    </xf>
    <xf numFmtId="3" fontId="107" fillId="4" borderId="0" xfId="0" applyNumberFormat="1" applyFont="1" applyFill="1" applyAlignment="1" applyProtection="1">
      <alignment horizontal="center" vertical="center"/>
      <protection hidden="1"/>
    </xf>
    <xf numFmtId="0" fontId="111" fillId="4" borderId="0" xfId="0" applyFont="1" applyFill="1" applyAlignment="1" applyProtection="1">
      <alignment horizontal="center" vertical="center" wrapText="1"/>
      <protection hidden="1"/>
    </xf>
    <xf numFmtId="3" fontId="114" fillId="4" borderId="0" xfId="0" applyNumberFormat="1" applyFont="1" applyFill="1" applyAlignment="1" applyProtection="1">
      <alignment horizontal="center" vertical="center"/>
      <protection hidden="1"/>
    </xf>
    <xf numFmtId="3" fontId="111" fillId="4" borderId="0" xfId="0" applyNumberFormat="1" applyFont="1" applyFill="1" applyAlignment="1" applyProtection="1">
      <alignment horizontal="center" vertical="center"/>
      <protection hidden="1"/>
    </xf>
    <xf numFmtId="165" fontId="80" fillId="4" borderId="0" xfId="0" applyNumberFormat="1" applyFont="1" applyFill="1" applyAlignment="1" applyProtection="1">
      <alignment horizontal="center" vertical="center"/>
      <protection hidden="1"/>
    </xf>
    <xf numFmtId="0" fontId="107" fillId="4" borderId="0" xfId="0" applyFont="1" applyFill="1" applyAlignment="1" applyProtection="1">
      <alignment horizontal="center" vertical="center" wrapText="1"/>
      <protection hidden="1"/>
    </xf>
    <xf numFmtId="0" fontId="107" fillId="4" borderId="2" xfId="0" applyFont="1" applyFill="1" applyBorder="1" applyAlignment="1" applyProtection="1">
      <alignment horizontal="center" vertical="center" wrapText="1"/>
      <protection hidden="1"/>
    </xf>
    <xf numFmtId="0" fontId="103" fillId="8" borderId="1" xfId="0" applyFont="1" applyFill="1" applyBorder="1" applyAlignment="1" applyProtection="1">
      <alignment horizontal="center" vertical="center" wrapText="1"/>
      <protection hidden="1"/>
    </xf>
    <xf numFmtId="0" fontId="52" fillId="24" borderId="0" xfId="0" applyFont="1" applyFill="1" applyProtection="1">
      <protection hidden="1"/>
    </xf>
    <xf numFmtId="0" fontId="101" fillId="24" borderId="0" xfId="0" applyFont="1" applyFill="1"/>
    <xf numFmtId="0" fontId="52" fillId="18" borderId="0" xfId="0" applyFont="1" applyFill="1"/>
    <xf numFmtId="0" fontId="56" fillId="18" borderId="0" xfId="0" applyFont="1" applyFill="1"/>
    <xf numFmtId="0" fontId="52" fillId="18" borderId="0" xfId="0" applyFont="1" applyFill="1" applyAlignment="1">
      <alignment horizontal="center" vertical="center"/>
    </xf>
    <xf numFmtId="169" fontId="52" fillId="18" borderId="0" xfId="4" applyNumberFormat="1" applyFont="1" applyFill="1" applyAlignment="1">
      <alignment horizontal="center" vertical="center"/>
    </xf>
    <xf numFmtId="0" fontId="52" fillId="18" borderId="0" xfId="0" applyFont="1" applyFill="1" applyAlignment="1">
      <alignment horizontal="center" vertical="top" wrapText="1"/>
    </xf>
    <xf numFmtId="0" fontId="125" fillId="19" borderId="0" xfId="0" applyFont="1" applyFill="1" applyAlignment="1">
      <alignment vertical="center"/>
    </xf>
    <xf numFmtId="0" fontId="52" fillId="3" borderId="1" xfId="0" applyFont="1" applyFill="1" applyBorder="1" applyAlignment="1">
      <alignment horizontal="center" vertical="center"/>
    </xf>
    <xf numFmtId="0" fontId="52" fillId="3" borderId="1" xfId="0" applyFont="1" applyFill="1" applyBorder="1" applyAlignment="1">
      <alignment horizontal="center" vertical="center" wrapText="1"/>
    </xf>
    <xf numFmtId="0" fontId="125" fillId="18" borderId="0" xfId="0" applyFont="1" applyFill="1"/>
    <xf numFmtId="0" fontId="52" fillId="0" borderId="0" xfId="0" applyFont="1" applyAlignment="1">
      <alignment vertical="center"/>
    </xf>
    <xf numFmtId="0" fontId="52" fillId="18" borderId="0" xfId="0" applyFont="1" applyFill="1" applyAlignment="1">
      <alignment vertical="center"/>
    </xf>
    <xf numFmtId="0" fontId="52" fillId="18" borderId="0" xfId="0" applyFont="1" applyFill="1" applyAlignment="1">
      <alignment horizontal="center" vertical="center" wrapText="1"/>
    </xf>
    <xf numFmtId="169" fontId="52" fillId="18" borderId="0" xfId="4" applyNumberFormat="1" applyFont="1" applyFill="1" applyBorder="1" applyAlignment="1">
      <alignment horizontal="center" vertical="center"/>
    </xf>
    <xf numFmtId="0" fontId="52" fillId="3" borderId="3" xfId="0" applyFont="1" applyFill="1" applyBorder="1" applyAlignment="1">
      <alignment horizontal="center" vertical="center"/>
    </xf>
    <xf numFmtId="0" fontId="52" fillId="8" borderId="0" xfId="0" applyFont="1" applyFill="1" applyAlignment="1">
      <alignment horizontal="left" wrapText="1" indent="1"/>
    </xf>
    <xf numFmtId="0" fontId="52" fillId="3" borderId="0" xfId="0" applyFont="1" applyFill="1" applyAlignment="1">
      <alignment horizontal="left" wrapText="1" indent="1"/>
    </xf>
    <xf numFmtId="0" fontId="52" fillId="8" borderId="0" xfId="0" applyFont="1" applyFill="1" applyAlignment="1">
      <alignment horizontal="left" vertical="top" wrapText="1" indent="1"/>
    </xf>
    <xf numFmtId="0" fontId="52" fillId="3" borderId="0" xfId="0" applyFont="1" applyFill="1" applyAlignment="1">
      <alignment horizontal="left" vertical="top" wrapText="1" indent="1"/>
    </xf>
    <xf numFmtId="0" fontId="127" fillId="4" borderId="0" xfId="0" applyFont="1" applyFill="1" applyAlignment="1" applyProtection="1">
      <alignment horizontal="center" vertical="center" wrapText="1"/>
      <protection hidden="1"/>
    </xf>
    <xf numFmtId="170" fontId="78" fillId="20" borderId="53" xfId="0" applyNumberFormat="1" applyFont="1" applyFill="1" applyBorder="1" applyAlignment="1" applyProtection="1">
      <alignment horizontal="center" vertical="center"/>
      <protection locked="0"/>
    </xf>
    <xf numFmtId="170" fontId="78" fillId="20" borderId="54" xfId="0" applyNumberFormat="1" applyFont="1" applyFill="1" applyBorder="1" applyAlignment="1" applyProtection="1">
      <alignment horizontal="center" vertical="center"/>
      <protection locked="0"/>
    </xf>
    <xf numFmtId="170" fontId="78" fillId="20" borderId="52" xfId="0" applyNumberFormat="1" applyFont="1" applyFill="1" applyBorder="1" applyAlignment="1" applyProtection="1">
      <alignment horizontal="center" vertical="center"/>
      <protection locked="0"/>
    </xf>
    <xf numFmtId="170" fontId="93" fillId="3" borderId="2" xfId="1" applyNumberFormat="1" applyFont="1" applyFill="1" applyBorder="1" applyAlignment="1" applyProtection="1">
      <alignment horizontal="center" vertical="center"/>
      <protection hidden="1"/>
    </xf>
    <xf numFmtId="170" fontId="93" fillId="3" borderId="51" xfId="1" applyNumberFormat="1" applyFont="1" applyFill="1" applyBorder="1" applyAlignment="1" applyProtection="1">
      <alignment horizontal="center" vertical="center"/>
      <protection hidden="1"/>
    </xf>
    <xf numFmtId="170" fontId="93" fillId="3" borderId="61" xfId="1" applyNumberFormat="1" applyFont="1" applyFill="1" applyBorder="1" applyAlignment="1" applyProtection="1">
      <alignment horizontal="center" vertical="center"/>
      <protection hidden="1"/>
    </xf>
    <xf numFmtId="170" fontId="93" fillId="3" borderId="57" xfId="1" applyNumberFormat="1" applyFont="1" applyFill="1" applyBorder="1" applyAlignment="1" applyProtection="1">
      <alignment horizontal="center" vertical="center"/>
      <protection hidden="1"/>
    </xf>
    <xf numFmtId="170" fontId="78" fillId="20" borderId="104" xfId="2" applyNumberFormat="1" applyFont="1" applyFill="1" applyBorder="1" applyAlignment="1" applyProtection="1">
      <alignment horizontal="center" vertical="center"/>
      <protection locked="0"/>
    </xf>
    <xf numFmtId="170" fontId="78" fillId="20" borderId="1" xfId="0" applyNumberFormat="1" applyFont="1" applyFill="1" applyBorder="1" applyAlignment="1" applyProtection="1">
      <alignment horizontal="center" vertical="center" wrapText="1"/>
      <protection locked="0"/>
    </xf>
    <xf numFmtId="171" fontId="78" fillId="20" borderId="1" xfId="0" applyNumberFormat="1" applyFont="1" applyFill="1" applyBorder="1" applyAlignment="1" applyProtection="1">
      <alignment horizontal="center" vertical="center" wrapText="1"/>
      <protection locked="0"/>
    </xf>
    <xf numFmtId="171" fontId="78" fillId="20" borderId="49" xfId="0" applyNumberFormat="1" applyFont="1" applyFill="1" applyBorder="1" applyAlignment="1" applyProtection="1">
      <alignment horizontal="center" vertical="center" wrapText="1"/>
      <protection locked="0"/>
    </xf>
    <xf numFmtId="0" fontId="52" fillId="0" borderId="0" xfId="0" applyFont="1" applyAlignment="1" applyProtection="1">
      <alignment wrapText="1"/>
      <protection hidden="1"/>
    </xf>
    <xf numFmtId="0" fontId="52" fillId="3" borderId="0" xfId="0" applyFont="1" applyFill="1" applyAlignment="1" applyProtection="1">
      <alignment wrapText="1"/>
      <protection hidden="1"/>
    </xf>
    <xf numFmtId="171" fontId="56" fillId="3" borderId="1" xfId="0" applyNumberFormat="1" applyFont="1" applyFill="1" applyBorder="1" applyAlignment="1" applyProtection="1">
      <alignment horizontal="center" vertical="center"/>
      <protection hidden="1"/>
    </xf>
    <xf numFmtId="171" fontId="56" fillId="4" borderId="0" xfId="0" applyNumberFormat="1" applyFont="1" applyFill="1" applyAlignment="1" applyProtection="1">
      <alignment horizontal="center" vertical="center"/>
      <protection hidden="1"/>
    </xf>
    <xf numFmtId="171" fontId="52" fillId="0" borderId="1" xfId="0" applyNumberFormat="1" applyFont="1" applyBorder="1" applyAlignment="1" applyProtection="1">
      <alignment horizontal="center" vertical="center"/>
      <protection hidden="1"/>
    </xf>
    <xf numFmtId="171" fontId="52" fillId="4" borderId="0" xfId="0" applyNumberFormat="1" applyFont="1" applyFill="1" applyAlignment="1" applyProtection="1">
      <alignment horizontal="center" vertical="center"/>
      <protection hidden="1"/>
    </xf>
    <xf numFmtId="171" fontId="52" fillId="3" borderId="1" xfId="0" applyNumberFormat="1" applyFont="1" applyFill="1" applyBorder="1" applyAlignment="1" applyProtection="1">
      <alignment horizontal="center" vertical="center"/>
      <protection hidden="1"/>
    </xf>
    <xf numFmtId="0" fontId="131" fillId="18" borderId="0" xfId="0" applyFont="1" applyFill="1" applyAlignment="1" applyProtection="1">
      <alignment horizontal="left" vertical="center"/>
      <protection hidden="1"/>
    </xf>
    <xf numFmtId="0" fontId="134" fillId="0" borderId="104" xfId="0" applyFont="1" applyBorder="1" applyAlignment="1" applyProtection="1">
      <alignment vertical="center" wrapText="1"/>
      <protection hidden="1"/>
    </xf>
    <xf numFmtId="0" fontId="18" fillId="3" borderId="0" xfId="0" applyFont="1" applyFill="1" applyAlignment="1" applyProtection="1">
      <alignment horizontal="center" vertical="center" wrapText="1"/>
      <protection hidden="1"/>
    </xf>
    <xf numFmtId="0" fontId="27" fillId="3" borderId="0" xfId="0" applyFont="1" applyFill="1" applyAlignment="1" applyProtection="1">
      <alignment horizontal="left" vertical="center"/>
      <protection hidden="1"/>
    </xf>
    <xf numFmtId="0" fontId="2" fillId="3" borderId="0" xfId="0" applyFont="1" applyFill="1" applyAlignment="1" applyProtection="1">
      <alignment horizontal="center" vertical="center"/>
      <protection hidden="1"/>
    </xf>
    <xf numFmtId="0" fontId="2" fillId="0" borderId="1" xfId="0" applyFont="1" applyBorder="1" applyAlignment="1" applyProtection="1">
      <alignment horizontal="center" vertical="center" wrapText="1"/>
      <protection hidden="1"/>
    </xf>
    <xf numFmtId="0" fontId="23" fillId="3" borderId="5" xfId="0" applyFont="1" applyFill="1" applyBorder="1" applyAlignment="1" applyProtection="1">
      <alignment horizontal="center" vertical="center" wrapText="1"/>
      <protection hidden="1"/>
    </xf>
    <xf numFmtId="0" fontId="23" fillId="3" borderId="4" xfId="0" applyFont="1" applyFill="1" applyBorder="1" applyAlignment="1" applyProtection="1">
      <alignment horizontal="center" vertical="center" wrapText="1"/>
      <protection hidden="1"/>
    </xf>
    <xf numFmtId="0" fontId="29" fillId="3" borderId="52" xfId="0" applyFont="1" applyFill="1" applyBorder="1" applyAlignment="1" applyProtection="1">
      <alignment horizontal="center" vertical="center" wrapText="1"/>
      <protection hidden="1"/>
    </xf>
    <xf numFmtId="0" fontId="23" fillId="3" borderId="49" xfId="0" applyFont="1" applyFill="1" applyBorder="1" applyAlignment="1" applyProtection="1">
      <alignment horizontal="center" vertical="center" wrapText="1"/>
      <protection hidden="1"/>
    </xf>
    <xf numFmtId="0" fontId="23" fillId="3" borderId="51" xfId="0" applyFont="1" applyFill="1" applyBorder="1" applyAlignment="1" applyProtection="1">
      <alignment horizontal="center" vertical="center" wrapText="1"/>
      <protection hidden="1"/>
    </xf>
    <xf numFmtId="0" fontId="23" fillId="3" borderId="0" xfId="0" applyFont="1" applyFill="1" applyAlignment="1" applyProtection="1">
      <alignment horizontal="center" vertical="center" wrapText="1"/>
      <protection hidden="1"/>
    </xf>
    <xf numFmtId="0" fontId="29" fillId="3" borderId="53" xfId="0" applyFont="1" applyFill="1" applyBorder="1" applyAlignment="1" applyProtection="1">
      <alignment horizontal="center" vertical="center" wrapText="1"/>
      <protection hidden="1"/>
    </xf>
    <xf numFmtId="0" fontId="29" fillId="3" borderId="0" xfId="0" applyFont="1" applyFill="1" applyAlignment="1" applyProtection="1">
      <alignment horizontal="center" vertical="center" wrapText="1"/>
      <protection hidden="1"/>
    </xf>
    <xf numFmtId="0" fontId="65" fillId="3" borderId="0" xfId="0" applyFont="1" applyFill="1" applyAlignment="1">
      <alignment horizontal="left" vertical="center" wrapText="1"/>
    </xf>
    <xf numFmtId="0" fontId="63" fillId="3" borderId="0" xfId="0" applyFont="1" applyFill="1" applyAlignment="1">
      <alignment horizontal="left" vertical="center" wrapText="1"/>
    </xf>
    <xf numFmtId="0" fontId="52" fillId="18" borderId="0" xfId="0" applyFont="1" applyFill="1" applyAlignment="1">
      <alignment horizontal="left" vertical="top" wrapText="1"/>
    </xf>
    <xf numFmtId="0" fontId="79" fillId="3" borderId="104" xfId="0" applyFont="1" applyFill="1" applyBorder="1" applyAlignment="1" applyProtection="1">
      <alignment horizontal="left" vertical="center" wrapText="1"/>
      <protection hidden="1"/>
    </xf>
    <xf numFmtId="0" fontId="56" fillId="3" borderId="104" xfId="0" applyFont="1" applyFill="1" applyBorder="1" applyAlignment="1" applyProtection="1">
      <alignment horizontal="center" vertical="center" wrapText="1"/>
      <protection hidden="1"/>
    </xf>
    <xf numFmtId="0" fontId="52" fillId="18" borderId="0" xfId="0" applyFont="1" applyFill="1" applyAlignment="1" applyProtection="1">
      <alignment horizontal="center" vertical="center" wrapText="1"/>
      <protection hidden="1"/>
    </xf>
    <xf numFmtId="9" fontId="78" fillId="20" borderId="104" xfId="2" applyFont="1" applyFill="1" applyBorder="1" applyAlignment="1" applyProtection="1">
      <alignment horizontal="center" vertical="center"/>
      <protection locked="0"/>
    </xf>
    <xf numFmtId="0" fontId="79" fillId="18" borderId="0" xfId="0" applyFont="1" applyFill="1" applyAlignment="1" applyProtection="1">
      <alignment horizontal="center" vertical="center" wrapText="1"/>
      <protection hidden="1"/>
    </xf>
    <xf numFmtId="0" fontId="79" fillId="3" borderId="104" xfId="0" applyFont="1" applyFill="1" applyBorder="1" applyAlignment="1" applyProtection="1">
      <alignment horizontal="center" vertical="center" wrapText="1"/>
      <protection hidden="1"/>
    </xf>
    <xf numFmtId="0" fontId="79" fillId="3" borderId="104" xfId="0" applyFont="1" applyFill="1" applyBorder="1" applyAlignment="1" applyProtection="1">
      <alignment horizontal="center" vertical="center"/>
      <protection hidden="1"/>
    </xf>
    <xf numFmtId="0" fontId="80" fillId="3" borderId="0" xfId="0" applyFont="1" applyFill="1" applyAlignment="1" applyProtection="1">
      <alignment horizontal="center" vertical="center" wrapText="1"/>
      <protection hidden="1"/>
    </xf>
    <xf numFmtId="0" fontId="56" fillId="3" borderId="0" xfId="0" applyFont="1" applyFill="1" applyAlignment="1" applyProtection="1">
      <alignment horizontal="center" vertical="center"/>
      <protection hidden="1"/>
    </xf>
    <xf numFmtId="0" fontId="56" fillId="3" borderId="0" xfId="0" applyFont="1" applyFill="1" applyAlignment="1" applyProtection="1">
      <alignment horizontal="center" vertical="center" wrapText="1"/>
      <protection hidden="1"/>
    </xf>
    <xf numFmtId="0" fontId="56" fillId="0" borderId="104" xfId="0" applyFont="1" applyBorder="1" applyAlignment="1" applyProtection="1">
      <alignment horizontal="center" vertical="center" wrapText="1"/>
      <protection hidden="1"/>
    </xf>
    <xf numFmtId="9" fontId="93" fillId="20" borderId="104" xfId="2" applyFont="1" applyFill="1" applyBorder="1" applyAlignment="1" applyProtection="1">
      <alignment horizontal="center" vertical="center"/>
      <protection locked="0"/>
    </xf>
    <xf numFmtId="0" fontId="56" fillId="3" borderId="0" xfId="0" applyFont="1" applyFill="1" applyAlignment="1" applyProtection="1">
      <alignment horizontal="left" vertical="center" indent="1"/>
      <protection hidden="1"/>
    </xf>
    <xf numFmtId="0" fontId="56" fillId="3" borderId="49" xfId="0" applyFont="1" applyFill="1" applyBorder="1" applyAlignment="1" applyProtection="1">
      <alignment horizontal="center" vertical="center" wrapText="1"/>
      <protection hidden="1"/>
    </xf>
    <xf numFmtId="170" fontId="78" fillId="20" borderId="49" xfId="0" applyNumberFormat="1" applyFont="1" applyFill="1" applyBorder="1" applyAlignment="1" applyProtection="1">
      <alignment horizontal="center" vertical="center"/>
      <protection locked="0"/>
    </xf>
    <xf numFmtId="0" fontId="56" fillId="3" borderId="104" xfId="0" applyFont="1" applyFill="1" applyBorder="1" applyAlignment="1" applyProtection="1">
      <alignment horizontal="center" vertical="center"/>
      <protection hidden="1"/>
    </xf>
    <xf numFmtId="0" fontId="56" fillId="3" borderId="1" xfId="0" applyFont="1" applyFill="1" applyBorder="1" applyAlignment="1" applyProtection="1">
      <alignment horizontal="center" vertical="center" wrapText="1"/>
      <protection hidden="1"/>
    </xf>
    <xf numFmtId="0" fontId="56" fillId="0" borderId="0" xfId="0" applyFont="1" applyAlignment="1" applyProtection="1">
      <alignment horizontal="center" vertical="center" wrapText="1"/>
      <protection hidden="1"/>
    </xf>
    <xf numFmtId="0" fontId="56" fillId="0" borderId="0" xfId="0" applyFont="1" applyAlignment="1" applyProtection="1">
      <alignment horizontal="center" vertical="center"/>
      <protection hidden="1"/>
    </xf>
    <xf numFmtId="0" fontId="104" fillId="0" borderId="0" xfId="0" applyFont="1" applyAlignment="1" applyProtection="1">
      <alignment horizontal="center" vertical="center" wrapText="1"/>
      <protection hidden="1"/>
    </xf>
    <xf numFmtId="0" fontId="105" fillId="0" borderId="0" xfId="0" applyFont="1" applyAlignment="1" applyProtection="1">
      <alignment horizontal="center" vertical="center" wrapText="1"/>
      <protection hidden="1"/>
    </xf>
    <xf numFmtId="0" fontId="103" fillId="0" borderId="0" xfId="0" applyFont="1" applyAlignment="1" applyProtection="1">
      <alignment horizontal="center" vertical="center"/>
      <protection hidden="1"/>
    </xf>
    <xf numFmtId="0" fontId="7" fillId="0" borderId="0" xfId="0" applyFont="1" applyAlignment="1">
      <alignment horizontal="left"/>
    </xf>
    <xf numFmtId="0" fontId="7" fillId="0" borderId="20" xfId="0" applyFont="1" applyBorder="1" applyAlignment="1">
      <alignment horizontal="center" vertical="center"/>
    </xf>
    <xf numFmtId="0" fontId="7" fillId="0" borderId="20" xfId="0" applyFont="1" applyBorder="1" applyAlignment="1">
      <alignment horizontal="center" vertical="center" wrapText="1"/>
    </xf>
    <xf numFmtId="0" fontId="4" fillId="0" borderId="0" xfId="0" applyFont="1" applyAlignment="1">
      <alignment horizontal="left"/>
    </xf>
    <xf numFmtId="0" fontId="52" fillId="20" borderId="1" xfId="0" applyFont="1" applyFill="1" applyBorder="1" applyAlignment="1" applyProtection="1">
      <alignment horizontal="center" vertical="center"/>
      <protection locked="0"/>
    </xf>
    <xf numFmtId="0" fontId="86" fillId="0" borderId="0" xfId="0" applyFont="1" applyAlignment="1" applyProtection="1">
      <alignment vertical="center" wrapText="1"/>
      <protection hidden="1"/>
    </xf>
    <xf numFmtId="0" fontId="56" fillId="3" borderId="4" xfId="0" applyFont="1" applyFill="1" applyBorder="1" applyAlignment="1" applyProtection="1">
      <alignment horizontal="center" vertical="center" wrapText="1"/>
      <protection hidden="1"/>
    </xf>
    <xf numFmtId="9" fontId="80" fillId="20" borderId="1" xfId="0" applyNumberFormat="1" applyFont="1" applyFill="1" applyBorder="1" applyAlignment="1" applyProtection="1">
      <alignment horizontal="center" vertical="center"/>
      <protection locked="0"/>
    </xf>
    <xf numFmtId="3" fontId="93" fillId="3" borderId="104" xfId="0" applyNumberFormat="1" applyFont="1" applyFill="1" applyBorder="1" applyAlignment="1" applyProtection="1">
      <alignment horizontal="center" vertical="center"/>
      <protection hidden="1"/>
    </xf>
    <xf numFmtId="0" fontId="76" fillId="0" borderId="1" xfId="0" applyFont="1" applyBorder="1" applyAlignment="1">
      <alignment horizontal="center" vertical="center" wrapText="1"/>
    </xf>
    <xf numFmtId="0" fontId="76" fillId="3" borderId="52" xfId="0" applyFont="1" applyFill="1" applyBorder="1" applyAlignment="1" applyProtection="1">
      <alignment horizontal="center" vertical="top" wrapText="1"/>
      <protection hidden="1"/>
    </xf>
    <xf numFmtId="0" fontId="80" fillId="3" borderId="1" xfId="0" applyFont="1" applyFill="1" applyBorder="1" applyAlignment="1" applyProtection="1">
      <alignment horizontal="center" vertical="center" wrapText="1"/>
      <protection hidden="1"/>
    </xf>
    <xf numFmtId="170" fontId="93" fillId="3" borderId="3" xfId="1" applyNumberFormat="1" applyFont="1" applyFill="1" applyBorder="1" applyAlignment="1" applyProtection="1">
      <alignment horizontal="center" vertical="center"/>
      <protection hidden="1"/>
    </xf>
    <xf numFmtId="170" fontId="93" fillId="3" borderId="118" xfId="1" applyNumberFormat="1" applyFont="1" applyFill="1" applyBorder="1" applyAlignment="1" applyProtection="1">
      <alignment horizontal="center" vertical="center"/>
      <protection hidden="1"/>
    </xf>
    <xf numFmtId="0" fontId="151" fillId="0" borderId="0" xfId="0" applyFont="1" applyAlignment="1">
      <alignment horizontal="center" vertical="center"/>
    </xf>
    <xf numFmtId="0" fontId="153" fillId="0" borderId="0" xfId="0" applyFont="1"/>
    <xf numFmtId="170" fontId="153" fillId="0" borderId="0" xfId="0" applyNumberFormat="1" applyFont="1" applyAlignment="1">
      <alignment horizontal="center" vertical="center"/>
    </xf>
    <xf numFmtId="37" fontId="153" fillId="0" borderId="0" xfId="1" applyNumberFormat="1" applyFont="1" applyAlignment="1">
      <alignment horizontal="center" vertical="center"/>
    </xf>
    <xf numFmtId="9" fontId="153" fillId="0" borderId="0" xfId="0" applyNumberFormat="1" applyFont="1" applyAlignment="1">
      <alignment horizontal="center" vertical="center"/>
    </xf>
    <xf numFmtId="0" fontId="153" fillId="0" borderId="0" xfId="0" applyFont="1" applyAlignment="1">
      <alignment horizontal="center" vertical="center"/>
    </xf>
    <xf numFmtId="164" fontId="153" fillId="0" borderId="0" xfId="0" applyNumberFormat="1" applyFont="1" applyAlignment="1">
      <alignment horizontal="center" vertical="center"/>
    </xf>
    <xf numFmtId="0" fontId="151" fillId="0" borderId="0" xfId="0" applyFont="1" applyAlignment="1">
      <alignment horizontal="center"/>
    </xf>
    <xf numFmtId="0" fontId="153" fillId="0" borderId="116" xfId="0" applyFont="1" applyBorder="1"/>
    <xf numFmtId="0" fontId="153" fillId="0" borderId="48" xfId="0" applyFont="1" applyBorder="1"/>
    <xf numFmtId="0" fontId="153" fillId="0" borderId="117" xfId="0" applyFont="1" applyBorder="1"/>
    <xf numFmtId="0" fontId="153" fillId="0" borderId="88" xfId="0" applyFont="1" applyBorder="1"/>
    <xf numFmtId="0" fontId="153" fillId="0" borderId="93" xfId="0" applyFont="1" applyBorder="1"/>
    <xf numFmtId="0" fontId="153" fillId="0" borderId="74" xfId="0" applyFont="1" applyBorder="1"/>
    <xf numFmtId="0" fontId="153" fillId="0" borderId="78" xfId="0" applyFont="1" applyBorder="1"/>
    <xf numFmtId="0" fontId="153" fillId="0" borderId="79" xfId="0" applyFont="1" applyBorder="1"/>
    <xf numFmtId="0" fontId="151" fillId="0" borderId="0" xfId="0" applyFont="1"/>
    <xf numFmtId="0" fontId="151" fillId="0" borderId="116" xfId="0" applyFont="1" applyBorder="1"/>
    <xf numFmtId="0" fontId="151" fillId="0" borderId="117" xfId="0" applyFont="1" applyBorder="1"/>
    <xf numFmtId="9" fontId="153" fillId="0" borderId="0" xfId="0" applyNumberFormat="1" applyFont="1"/>
    <xf numFmtId="0" fontId="153" fillId="0" borderId="88" xfId="0" applyFont="1" applyBorder="1" applyAlignment="1">
      <alignment horizontal="center"/>
    </xf>
    <xf numFmtId="0" fontId="153" fillId="0" borderId="93" xfId="0" applyFont="1" applyBorder="1" applyAlignment="1">
      <alignment horizontal="center"/>
    </xf>
    <xf numFmtId="9" fontId="153" fillId="0" borderId="93" xfId="0" applyNumberFormat="1" applyFont="1" applyBorder="1" applyAlignment="1">
      <alignment horizontal="center"/>
    </xf>
    <xf numFmtId="0" fontId="153" fillId="0" borderId="74" xfId="0" applyFont="1" applyBorder="1" applyAlignment="1">
      <alignment horizontal="center"/>
    </xf>
    <xf numFmtId="9" fontId="153" fillId="0" borderId="79" xfId="0" applyNumberFormat="1" applyFont="1" applyBorder="1" applyAlignment="1">
      <alignment horizontal="center"/>
    </xf>
    <xf numFmtId="9" fontId="153" fillId="0" borderId="0" xfId="2" applyFont="1"/>
    <xf numFmtId="9" fontId="52" fillId="3" borderId="51" xfId="0" applyNumberFormat="1" applyFont="1" applyFill="1" applyBorder="1" applyAlignment="1" applyProtection="1">
      <alignment horizontal="center" vertical="center"/>
      <protection hidden="1"/>
    </xf>
    <xf numFmtId="1" fontId="93" fillId="0" borderId="104" xfId="2" applyNumberFormat="1" applyFont="1" applyFill="1" applyBorder="1" applyAlignment="1" applyProtection="1">
      <alignment horizontal="center" vertical="center"/>
      <protection hidden="1"/>
    </xf>
    <xf numFmtId="1" fontId="93" fillId="0" borderId="111" xfId="2" applyNumberFormat="1" applyFont="1" applyFill="1" applyBorder="1" applyAlignment="1" applyProtection="1">
      <alignment horizontal="center" vertical="center"/>
      <protection hidden="1"/>
    </xf>
    <xf numFmtId="9" fontId="95" fillId="0" borderId="55" xfId="2" applyFont="1" applyFill="1" applyBorder="1" applyAlignment="1" applyProtection="1">
      <alignment horizontal="center" vertical="center"/>
      <protection hidden="1"/>
    </xf>
    <xf numFmtId="9" fontId="95" fillId="0" borderId="50" xfId="2" applyFont="1" applyFill="1" applyBorder="1" applyAlignment="1" applyProtection="1">
      <alignment horizontal="center" vertical="center"/>
      <protection hidden="1"/>
    </xf>
    <xf numFmtId="2" fontId="98" fillId="22" borderId="0" xfId="1" applyNumberFormat="1" applyFont="1" applyFill="1" applyBorder="1" applyAlignment="1" applyProtection="1">
      <alignment horizontal="center" vertical="center"/>
      <protection hidden="1"/>
    </xf>
    <xf numFmtId="2" fontId="100" fillId="22" borderId="0" xfId="1" applyNumberFormat="1" applyFont="1" applyFill="1" applyBorder="1" applyAlignment="1" applyProtection="1">
      <alignment horizontal="center" vertical="center"/>
      <protection hidden="1"/>
    </xf>
    <xf numFmtId="168" fontId="98" fillId="22" borderId="0" xfId="2" applyNumberFormat="1" applyFont="1" applyFill="1" applyBorder="1" applyAlignment="1" applyProtection="1">
      <alignment horizontal="center" vertical="center"/>
      <protection hidden="1"/>
    </xf>
    <xf numFmtId="168" fontId="100" fillId="22" borderId="0" xfId="2" applyNumberFormat="1" applyFont="1" applyFill="1" applyBorder="1" applyAlignment="1" applyProtection="1">
      <alignment horizontal="center" vertical="center"/>
      <protection hidden="1"/>
    </xf>
    <xf numFmtId="0" fontId="98" fillId="22" borderId="0" xfId="0" applyFont="1" applyFill="1" applyProtection="1">
      <protection hidden="1"/>
    </xf>
    <xf numFmtId="0" fontId="56" fillId="20" borderId="1" xfId="0" applyFont="1" applyFill="1" applyBorder="1" applyAlignment="1" applyProtection="1">
      <alignment horizontal="center" vertical="center" wrapText="1"/>
      <protection hidden="1"/>
    </xf>
    <xf numFmtId="0" fontId="52" fillId="22" borderId="0" xfId="0" applyFont="1" applyFill="1" applyAlignment="1" applyProtection="1">
      <alignment horizontal="center" vertical="center" wrapText="1"/>
      <protection hidden="1"/>
    </xf>
    <xf numFmtId="0" fontId="88" fillId="22" borderId="0" xfId="0" applyFont="1" applyFill="1" applyAlignment="1" applyProtection="1">
      <alignment vertical="center" wrapText="1"/>
      <protection hidden="1"/>
    </xf>
    <xf numFmtId="0" fontId="52" fillId="22" borderId="0" xfId="0" applyFont="1" applyFill="1" applyProtection="1">
      <protection hidden="1"/>
    </xf>
    <xf numFmtId="169" fontId="126" fillId="3" borderId="62" xfId="4" applyNumberFormat="1" applyFont="1" applyFill="1" applyBorder="1" applyAlignment="1" applyProtection="1">
      <alignment horizontal="center" vertical="center"/>
      <protection hidden="1"/>
    </xf>
    <xf numFmtId="0" fontId="56" fillId="20" borderId="1" xfId="0" applyFont="1" applyFill="1" applyBorder="1" applyAlignment="1" applyProtection="1">
      <alignment horizontal="center" vertical="center" wrapText="1"/>
      <protection locked="0" hidden="1"/>
    </xf>
    <xf numFmtId="0" fontId="96" fillId="18" borderId="2" xfId="0" applyFont="1" applyFill="1" applyBorder="1" applyAlignment="1">
      <alignment vertical="top" wrapText="1"/>
    </xf>
    <xf numFmtId="0" fontId="52" fillId="18" borderId="2" xfId="0" applyFont="1" applyFill="1" applyBorder="1" applyAlignment="1">
      <alignment vertical="top" wrapText="1"/>
    </xf>
    <xf numFmtId="0" fontId="52" fillId="18" borderId="61" xfId="0" applyFont="1" applyFill="1" applyBorder="1" applyAlignment="1">
      <alignment vertical="top" wrapText="1"/>
    </xf>
    <xf numFmtId="0" fontId="72" fillId="18" borderId="56" xfId="0" applyFont="1" applyFill="1" applyBorder="1" applyAlignment="1">
      <alignment horizontal="center" vertical="center" wrapText="1"/>
    </xf>
    <xf numFmtId="0" fontId="56" fillId="19" borderId="52" xfId="0" applyFont="1" applyFill="1" applyBorder="1" applyAlignment="1">
      <alignment horizontal="center" vertical="center" wrapText="1"/>
    </xf>
    <xf numFmtId="0" fontId="56" fillId="19" borderId="53" xfId="0" applyFont="1" applyFill="1" applyBorder="1" applyAlignment="1">
      <alignment horizontal="center" vertical="center" wrapText="1"/>
    </xf>
    <xf numFmtId="0" fontId="56" fillId="19" borderId="55" xfId="0" applyFont="1" applyFill="1" applyBorder="1" applyAlignment="1">
      <alignment horizontal="center" vertical="center" wrapText="1"/>
    </xf>
    <xf numFmtId="0" fontId="56" fillId="19" borderId="0" xfId="0" applyFont="1" applyFill="1" applyAlignment="1">
      <alignment horizontal="center" vertical="center" wrapText="1"/>
    </xf>
    <xf numFmtId="0" fontId="56" fillId="19" borderId="57" xfId="0" applyFont="1" applyFill="1" applyBorder="1" applyAlignment="1">
      <alignment horizontal="center" vertical="center" wrapText="1"/>
    </xf>
    <xf numFmtId="0" fontId="56" fillId="19" borderId="2" xfId="0" applyFont="1" applyFill="1" applyBorder="1" applyAlignment="1">
      <alignment horizontal="center" vertical="center" wrapText="1"/>
    </xf>
    <xf numFmtId="0" fontId="70" fillId="18" borderId="0" xfId="0" applyFont="1" applyFill="1" applyAlignment="1">
      <alignment horizontal="left" vertical="center" wrapText="1"/>
    </xf>
    <xf numFmtId="0" fontId="59" fillId="18" borderId="2" xfId="3" applyFont="1" applyFill="1" applyBorder="1" applyAlignment="1">
      <alignment horizontal="left" vertical="top"/>
    </xf>
    <xf numFmtId="0" fontId="59" fillId="18" borderId="61" xfId="3" applyFont="1" applyFill="1" applyBorder="1" applyAlignment="1">
      <alignment horizontal="left" vertical="top"/>
    </xf>
    <xf numFmtId="0" fontId="65" fillId="18" borderId="53" xfId="0" applyFont="1" applyFill="1" applyBorder="1" applyAlignment="1">
      <alignment horizontal="left" vertical="top" wrapText="1"/>
    </xf>
    <xf numFmtId="0" fontId="65" fillId="18" borderId="54" xfId="0" applyFont="1" applyFill="1" applyBorder="1" applyAlignment="1">
      <alignment horizontal="left" vertical="top" wrapText="1"/>
    </xf>
    <xf numFmtId="0" fontId="65" fillId="18" borderId="0" xfId="0" applyFont="1" applyFill="1" applyAlignment="1">
      <alignment horizontal="left" vertical="top" wrapText="1"/>
    </xf>
    <xf numFmtId="0" fontId="65" fillId="18" borderId="56" xfId="0" applyFont="1" applyFill="1" applyBorder="1" applyAlignment="1">
      <alignment horizontal="left" vertical="top" wrapText="1"/>
    </xf>
    <xf numFmtId="0" fontId="96" fillId="18" borderId="0" xfId="0" applyFont="1" applyFill="1" applyAlignment="1">
      <alignment horizontal="left" vertical="top" wrapText="1"/>
    </xf>
    <xf numFmtId="0" fontId="52" fillId="18" borderId="0" xfId="0" applyFont="1" applyFill="1" applyAlignment="1">
      <alignment horizontal="left" vertical="top" wrapText="1"/>
    </xf>
    <xf numFmtId="0" fontId="52" fillId="18" borderId="56" xfId="0" applyFont="1" applyFill="1" applyBorder="1" applyAlignment="1">
      <alignment horizontal="left" vertical="top" wrapText="1"/>
    </xf>
    <xf numFmtId="0" fontId="138" fillId="3" borderId="0" xfId="0" applyFont="1" applyFill="1" applyAlignment="1">
      <alignment horizontal="left" vertical="center" wrapText="1"/>
    </xf>
    <xf numFmtId="0" fontId="53" fillId="3" borderId="0" xfId="0" applyFont="1" applyFill="1" applyAlignment="1">
      <alignment horizontal="left" vertical="center" wrapText="1"/>
    </xf>
    <xf numFmtId="0" fontId="61" fillId="3" borderId="0" xfId="0" applyFont="1" applyFill="1" applyAlignment="1">
      <alignment horizontal="left" vertical="center" wrapText="1"/>
    </xf>
    <xf numFmtId="0" fontId="68" fillId="17" borderId="0" xfId="0" applyFont="1" applyFill="1" applyAlignment="1">
      <alignment horizontal="center" vertical="center" wrapText="1"/>
    </xf>
    <xf numFmtId="0" fontId="54" fillId="8" borderId="0" xfId="0" applyFont="1" applyFill="1" applyAlignment="1">
      <alignment horizontal="left" vertical="center" wrapText="1"/>
    </xf>
    <xf numFmtId="0" fontId="51" fillId="3" borderId="0" xfId="0" applyFont="1" applyFill="1" applyAlignment="1">
      <alignment horizontal="center" vertical="center" wrapText="1"/>
    </xf>
    <xf numFmtId="0" fontId="62" fillId="16" borderId="0" xfId="0" applyFont="1" applyFill="1" applyAlignment="1">
      <alignment horizontal="center" vertical="center" wrapText="1"/>
    </xf>
    <xf numFmtId="0" fontId="139" fillId="3" borderId="0" xfId="0" applyFont="1" applyFill="1" applyAlignment="1">
      <alignment horizontal="left" vertical="center" wrapText="1"/>
    </xf>
    <xf numFmtId="0" fontId="63" fillId="3" borderId="0" xfId="0" applyFont="1" applyFill="1" applyAlignment="1">
      <alignment horizontal="left" vertical="center" wrapText="1"/>
    </xf>
    <xf numFmtId="0" fontId="141" fillId="8" borderId="0" xfId="0" applyFont="1" applyFill="1" applyAlignment="1">
      <alignment horizontal="left" vertical="center" wrapText="1"/>
    </xf>
    <xf numFmtId="0" fontId="66" fillId="8" borderId="0" xfId="0" applyFont="1" applyFill="1" applyAlignment="1">
      <alignment horizontal="left" vertical="center" wrapText="1"/>
    </xf>
    <xf numFmtId="0" fontId="62" fillId="21" borderId="0" xfId="0" applyFont="1" applyFill="1" applyAlignment="1">
      <alignment horizontal="center" vertical="center" wrapText="1"/>
    </xf>
    <xf numFmtId="0" fontId="56" fillId="19" borderId="3" xfId="0" applyFont="1" applyFill="1" applyBorder="1" applyAlignment="1">
      <alignment horizontal="center" vertical="center" wrapText="1"/>
    </xf>
    <xf numFmtId="0" fontId="56" fillId="19" borderId="5" xfId="0" applyFont="1" applyFill="1" applyBorder="1" applyAlignment="1">
      <alignment horizontal="center" vertical="center" wrapText="1"/>
    </xf>
    <xf numFmtId="0" fontId="80" fillId="18" borderId="5" xfId="0" applyFont="1" applyFill="1" applyBorder="1" applyAlignment="1">
      <alignment horizontal="left" vertical="center" wrapText="1"/>
    </xf>
    <xf numFmtId="0" fontId="80" fillId="18" borderId="4" xfId="0" applyFont="1" applyFill="1" applyBorder="1" applyAlignment="1">
      <alignment horizontal="left" vertical="center" wrapText="1"/>
    </xf>
    <xf numFmtId="0" fontId="69" fillId="18" borderId="53" xfId="0" applyFont="1" applyFill="1" applyBorder="1" applyAlignment="1">
      <alignment horizontal="left" vertical="center" wrapText="1"/>
    </xf>
    <xf numFmtId="0" fontId="59" fillId="18" borderId="0" xfId="3" applyFont="1" applyFill="1" applyBorder="1" applyAlignment="1">
      <alignment horizontal="left"/>
    </xf>
    <xf numFmtId="0" fontId="56" fillId="18" borderId="0" xfId="0" applyFont="1" applyFill="1" applyAlignment="1">
      <alignment horizontal="center" vertical="center" wrapText="1"/>
    </xf>
    <xf numFmtId="0" fontId="145" fillId="18" borderId="0" xfId="0" applyFont="1" applyFill="1" applyAlignment="1">
      <alignment horizontal="left" vertical="top" wrapText="1"/>
    </xf>
    <xf numFmtId="0" fontId="69" fillId="18" borderId="0" xfId="0" applyFont="1" applyFill="1" applyAlignment="1">
      <alignment horizontal="left" vertical="top" wrapText="1"/>
    </xf>
    <xf numFmtId="0" fontId="69" fillId="18" borderId="56" xfId="0" applyFont="1" applyFill="1" applyBorder="1" applyAlignment="1">
      <alignment horizontal="left" vertical="top" wrapText="1"/>
    </xf>
    <xf numFmtId="0" fontId="73" fillId="22" borderId="0" xfId="0" applyFont="1" applyFill="1" applyAlignment="1">
      <alignment horizontal="center" vertical="center" wrapText="1"/>
    </xf>
    <xf numFmtId="0" fontId="62" fillId="23" borderId="0" xfId="0" applyFont="1" applyFill="1" applyAlignment="1">
      <alignment horizontal="center" vertical="center" wrapText="1"/>
    </xf>
    <xf numFmtId="0" fontId="74" fillId="3" borderId="0" xfId="0" applyFont="1" applyFill="1" applyAlignment="1">
      <alignment horizontal="left" vertical="center" wrapText="1"/>
    </xf>
    <xf numFmtId="0" fontId="143" fillId="4" borderId="0" xfId="0" applyFont="1" applyFill="1" applyAlignment="1">
      <alignment horizontal="left" vertical="center" wrapText="1"/>
    </xf>
    <xf numFmtId="0" fontId="65" fillId="4" borderId="0" xfId="0" applyFont="1" applyFill="1" applyAlignment="1">
      <alignment horizontal="left" vertical="center" wrapText="1"/>
    </xf>
    <xf numFmtId="0" fontId="65" fillId="3" borderId="0" xfId="0" applyFont="1" applyFill="1" applyAlignment="1">
      <alignment horizontal="left" vertical="center" wrapText="1"/>
    </xf>
    <xf numFmtId="0" fontId="64" fillId="22" borderId="0" xfId="0" applyFont="1" applyFill="1" applyAlignment="1">
      <alignment horizontal="center" vertical="center" wrapText="1"/>
    </xf>
    <xf numFmtId="0" fontId="52" fillId="4" borderId="0" xfId="0" applyFont="1" applyFill="1" applyAlignment="1">
      <alignment horizontal="center" vertical="center" wrapText="1"/>
    </xf>
    <xf numFmtId="0" fontId="29" fillId="3" borderId="52" xfId="0" applyFont="1" applyFill="1" applyBorder="1" applyAlignment="1" applyProtection="1">
      <alignment horizontal="center" vertical="center" wrapText="1"/>
      <protection hidden="1"/>
    </xf>
    <xf numFmtId="0" fontId="29" fillId="3" borderId="54" xfId="0" applyFont="1" applyFill="1" applyBorder="1" applyAlignment="1" applyProtection="1">
      <alignment horizontal="center" vertical="center" wrapText="1"/>
      <protection hidden="1"/>
    </xf>
    <xf numFmtId="0" fontId="14" fillId="3" borderId="57" xfId="3" applyFill="1" applyBorder="1" applyAlignment="1" applyProtection="1">
      <alignment horizontal="center" vertical="center" wrapText="1"/>
      <protection hidden="1"/>
    </xf>
    <xf numFmtId="0" fontId="14" fillId="3" borderId="61" xfId="3" applyFill="1" applyBorder="1" applyAlignment="1" applyProtection="1">
      <alignment horizontal="center" vertical="center" wrapText="1"/>
      <protection hidden="1"/>
    </xf>
    <xf numFmtId="0" fontId="29" fillId="3" borderId="3" xfId="0" applyFont="1" applyFill="1" applyBorder="1" applyAlignment="1" applyProtection="1">
      <alignment horizontal="center" vertical="center" wrapText="1"/>
      <protection hidden="1"/>
    </xf>
    <xf numFmtId="0" fontId="29" fillId="3" borderId="4" xfId="0" applyFont="1" applyFill="1" applyBorder="1" applyAlignment="1" applyProtection="1">
      <alignment horizontal="center" vertical="center" wrapText="1"/>
      <protection hidden="1"/>
    </xf>
    <xf numFmtId="0" fontId="29" fillId="3" borderId="57" xfId="0" applyFont="1" applyFill="1" applyBorder="1" applyAlignment="1" applyProtection="1">
      <alignment horizontal="center" vertical="center" wrapText="1"/>
      <protection hidden="1"/>
    </xf>
    <xf numFmtId="0" fontId="29" fillId="3" borderId="61" xfId="0" applyFont="1" applyFill="1" applyBorder="1" applyAlignment="1" applyProtection="1">
      <alignment horizontal="center" vertical="center" wrapText="1"/>
      <protection hidden="1"/>
    </xf>
    <xf numFmtId="0" fontId="2" fillId="3" borderId="0" xfId="0" applyFont="1" applyFill="1" applyAlignment="1" applyProtection="1">
      <alignment horizontal="center" vertical="center"/>
      <protection hidden="1"/>
    </xf>
    <xf numFmtId="0" fontId="30" fillId="3" borderId="0" xfId="0" applyFont="1" applyFill="1" applyAlignment="1" applyProtection="1">
      <alignment horizontal="center" vertical="center" wrapText="1"/>
      <protection hidden="1"/>
    </xf>
    <xf numFmtId="0" fontId="23" fillId="3" borderId="0" xfId="0" applyFont="1" applyFill="1" applyAlignment="1" applyProtection="1">
      <alignment horizontal="center" vertical="center" wrapText="1"/>
      <protection hidden="1"/>
    </xf>
    <xf numFmtId="0" fontId="29" fillId="3" borderId="5" xfId="0" applyFont="1" applyFill="1" applyBorder="1" applyAlignment="1" applyProtection="1">
      <alignment horizontal="center" vertical="center" wrapText="1"/>
      <protection hidden="1"/>
    </xf>
    <xf numFmtId="0" fontId="23" fillId="3" borderId="5" xfId="0" applyFont="1" applyFill="1" applyBorder="1" applyAlignment="1" applyProtection="1">
      <alignment horizontal="center" vertical="center" wrapText="1"/>
      <protection hidden="1"/>
    </xf>
    <xf numFmtId="0" fontId="23" fillId="3" borderId="4" xfId="0" applyFont="1" applyFill="1" applyBorder="1" applyAlignment="1" applyProtection="1">
      <alignment horizontal="center" vertical="center" wrapText="1"/>
      <protection hidden="1"/>
    </xf>
    <xf numFmtId="0" fontId="29" fillId="3" borderId="55" xfId="0" applyFont="1" applyFill="1" applyBorder="1" applyAlignment="1" applyProtection="1">
      <alignment horizontal="center" vertical="center" wrapText="1"/>
      <protection hidden="1"/>
    </xf>
    <xf numFmtId="0" fontId="29" fillId="3" borderId="56" xfId="0" applyFont="1" applyFill="1" applyBorder="1" applyAlignment="1" applyProtection="1">
      <alignment horizontal="center" vertical="center" wrapText="1"/>
      <protection hidden="1"/>
    </xf>
    <xf numFmtId="0" fontId="23" fillId="3" borderId="49" xfId="0" applyFont="1" applyFill="1" applyBorder="1" applyAlignment="1" applyProtection="1">
      <alignment horizontal="center" vertical="center" wrapText="1"/>
      <protection hidden="1"/>
    </xf>
    <xf numFmtId="0" fontId="23" fillId="3" borderId="51" xfId="0" applyFont="1" applyFill="1" applyBorder="1" applyAlignment="1" applyProtection="1">
      <alignment horizontal="center" vertical="center" wrapText="1"/>
      <protection hidden="1"/>
    </xf>
    <xf numFmtId="0" fontId="18" fillId="8" borderId="53" xfId="0" applyFont="1" applyFill="1" applyBorder="1" applyAlignment="1" applyProtection="1">
      <alignment horizontal="center" vertical="center" wrapText="1"/>
      <protection hidden="1"/>
    </xf>
    <xf numFmtId="0" fontId="18" fillId="8" borderId="0" xfId="0" applyFont="1" applyFill="1" applyAlignment="1" applyProtection="1">
      <alignment horizontal="center" vertical="center" wrapText="1"/>
      <protection hidden="1"/>
    </xf>
    <xf numFmtId="0" fontId="27" fillId="3" borderId="0" xfId="0" applyFont="1" applyFill="1" applyAlignment="1" applyProtection="1">
      <alignment horizontal="left" vertical="center"/>
      <protection hidden="1"/>
    </xf>
    <xf numFmtId="0" fontId="2" fillId="0" borderId="3" xfId="0" applyFont="1" applyBorder="1" applyAlignment="1" applyProtection="1">
      <alignment horizontal="center" vertical="center" wrapText="1"/>
      <protection hidden="1"/>
    </xf>
    <xf numFmtId="0" fontId="2" fillId="0" borderId="5" xfId="0" applyFont="1" applyBorder="1" applyAlignment="1" applyProtection="1">
      <alignment horizontal="center" vertical="center" wrapText="1"/>
      <protection hidden="1"/>
    </xf>
    <xf numFmtId="0" fontId="2" fillId="0" borderId="4" xfId="0" applyFont="1" applyBorder="1" applyAlignment="1" applyProtection="1">
      <alignment horizontal="center" vertical="center" wrapText="1"/>
      <protection hidden="1"/>
    </xf>
    <xf numFmtId="0" fontId="2" fillId="0" borderId="1" xfId="0" applyFont="1" applyBorder="1" applyAlignment="1" applyProtection="1">
      <alignment horizontal="center" vertical="center" wrapText="1"/>
      <protection hidden="1"/>
    </xf>
    <xf numFmtId="0" fontId="2" fillId="3" borderId="52" xfId="0" applyFont="1" applyFill="1" applyBorder="1" applyAlignment="1" applyProtection="1">
      <alignment horizontal="center" vertical="center"/>
      <protection hidden="1"/>
    </xf>
    <xf numFmtId="0" fontId="2" fillId="3" borderId="54" xfId="0" applyFont="1" applyFill="1" applyBorder="1" applyAlignment="1" applyProtection="1">
      <alignment horizontal="center" vertical="center"/>
      <protection hidden="1"/>
    </xf>
    <xf numFmtId="0" fontId="2" fillId="3" borderId="55" xfId="0" applyFont="1" applyFill="1" applyBorder="1" applyAlignment="1" applyProtection="1">
      <alignment horizontal="center" vertical="center"/>
      <protection hidden="1"/>
    </xf>
    <xf numFmtId="0" fontId="2" fillId="3" borderId="56" xfId="0" applyFont="1" applyFill="1" applyBorder="1" applyAlignment="1" applyProtection="1">
      <alignment horizontal="center" vertical="center"/>
      <protection hidden="1"/>
    </xf>
    <xf numFmtId="0" fontId="2" fillId="3" borderId="57" xfId="0" applyFont="1" applyFill="1" applyBorder="1" applyAlignment="1" applyProtection="1">
      <alignment horizontal="center" vertical="center"/>
      <protection hidden="1"/>
    </xf>
    <xf numFmtId="0" fontId="2" fillId="3" borderId="61" xfId="0" applyFont="1" applyFill="1" applyBorder="1" applyAlignment="1" applyProtection="1">
      <alignment horizontal="center" vertical="center"/>
      <protection hidden="1"/>
    </xf>
    <xf numFmtId="0" fontId="18" fillId="3" borderId="52" xfId="0" applyFont="1" applyFill="1" applyBorder="1" applyAlignment="1" applyProtection="1">
      <alignment horizontal="center" vertical="center" wrapText="1"/>
      <protection hidden="1"/>
    </xf>
    <xf numFmtId="0" fontId="18" fillId="3" borderId="53" xfId="0" applyFont="1" applyFill="1" applyBorder="1" applyAlignment="1" applyProtection="1">
      <alignment horizontal="center" vertical="center" wrapText="1"/>
      <protection hidden="1"/>
    </xf>
    <xf numFmtId="0" fontId="18" fillId="3" borderId="54" xfId="0" applyFont="1" applyFill="1" applyBorder="1" applyAlignment="1" applyProtection="1">
      <alignment horizontal="center" vertical="center" wrapText="1"/>
      <protection hidden="1"/>
    </xf>
    <xf numFmtId="0" fontId="18" fillId="3" borderId="55" xfId="0" applyFont="1" applyFill="1" applyBorder="1" applyAlignment="1" applyProtection="1">
      <alignment horizontal="center" vertical="center" wrapText="1"/>
      <protection hidden="1"/>
    </xf>
    <xf numFmtId="0" fontId="18" fillId="3" borderId="0" xfId="0" applyFont="1" applyFill="1" applyAlignment="1" applyProtection="1">
      <alignment horizontal="center" vertical="center" wrapText="1"/>
      <protection hidden="1"/>
    </xf>
    <xf numFmtId="0" fontId="18" fillId="3" borderId="56" xfId="0" applyFont="1" applyFill="1" applyBorder="1" applyAlignment="1" applyProtection="1">
      <alignment horizontal="center" vertical="center" wrapText="1"/>
      <protection hidden="1"/>
    </xf>
    <xf numFmtId="0" fontId="18" fillId="3" borderId="57" xfId="0" applyFont="1" applyFill="1" applyBorder="1" applyAlignment="1" applyProtection="1">
      <alignment horizontal="center" vertical="center" wrapText="1"/>
      <protection hidden="1"/>
    </xf>
    <xf numFmtId="0" fontId="18" fillId="3" borderId="2" xfId="0" applyFont="1" applyFill="1" applyBorder="1" applyAlignment="1" applyProtection="1">
      <alignment horizontal="center" vertical="center" wrapText="1"/>
      <protection hidden="1"/>
    </xf>
    <xf numFmtId="0" fontId="18" fillId="3" borderId="61" xfId="0" applyFont="1" applyFill="1" applyBorder="1" applyAlignment="1" applyProtection="1">
      <alignment horizontal="center" vertical="center" wrapText="1"/>
      <protection hidden="1"/>
    </xf>
    <xf numFmtId="9" fontId="30" fillId="2" borderId="10" xfId="2" applyFont="1" applyFill="1" applyBorder="1" applyAlignment="1" applyProtection="1">
      <alignment horizontal="center" vertical="center"/>
      <protection locked="0"/>
    </xf>
    <xf numFmtId="9" fontId="30" fillId="2" borderId="2" xfId="2" applyFont="1" applyFill="1" applyBorder="1" applyAlignment="1" applyProtection="1">
      <alignment horizontal="center" vertical="center"/>
      <protection locked="0"/>
    </xf>
    <xf numFmtId="0" fontId="45" fillId="3" borderId="87" xfId="0" applyFont="1" applyFill="1" applyBorder="1" applyAlignment="1" applyProtection="1">
      <alignment horizontal="center" vertical="center" wrapText="1"/>
      <protection hidden="1"/>
    </xf>
    <xf numFmtId="0" fontId="45" fillId="3" borderId="54" xfId="0" applyFont="1" applyFill="1" applyBorder="1" applyAlignment="1" applyProtection="1">
      <alignment horizontal="center" vertical="center" wrapText="1"/>
      <protection hidden="1"/>
    </xf>
    <xf numFmtId="0" fontId="45" fillId="3" borderId="88" xfId="0" applyFont="1" applyFill="1" applyBorder="1" applyAlignment="1" applyProtection="1">
      <alignment horizontal="center" vertical="center" wrapText="1"/>
      <protection hidden="1"/>
    </xf>
    <xf numFmtId="0" fontId="45" fillId="3" borderId="56" xfId="0" applyFont="1" applyFill="1" applyBorder="1" applyAlignment="1" applyProtection="1">
      <alignment horizontal="center" vertical="center" wrapText="1"/>
      <protection hidden="1"/>
    </xf>
    <xf numFmtId="0" fontId="45" fillId="3" borderId="10" xfId="0" applyFont="1" applyFill="1" applyBorder="1" applyAlignment="1" applyProtection="1">
      <alignment horizontal="center" vertical="center" wrapText="1"/>
      <protection hidden="1"/>
    </xf>
    <xf numFmtId="0" fontId="45" fillId="3" borderId="61" xfId="0" applyFont="1" applyFill="1" applyBorder="1" applyAlignment="1" applyProtection="1">
      <alignment horizontal="center" vertical="center" wrapText="1"/>
      <protection hidden="1"/>
    </xf>
    <xf numFmtId="9" fontId="30" fillId="2" borderId="63" xfId="2" applyFont="1" applyFill="1" applyBorder="1" applyAlignment="1" applyProtection="1">
      <alignment horizontal="center" vertical="center"/>
      <protection locked="0"/>
    </xf>
    <xf numFmtId="9" fontId="30" fillId="2" borderId="5" xfId="2" applyFont="1" applyFill="1" applyBorder="1" applyAlignment="1" applyProtection="1">
      <alignment horizontal="center" vertical="center"/>
      <protection locked="0"/>
    </xf>
    <xf numFmtId="9" fontId="30" fillId="2" borderId="65" xfId="2" applyFont="1" applyFill="1" applyBorder="1" applyAlignment="1" applyProtection="1">
      <alignment horizontal="center" vertical="center"/>
      <protection locked="0"/>
    </xf>
    <xf numFmtId="9" fontId="30" fillId="2" borderId="69" xfId="2" applyFont="1" applyFill="1" applyBorder="1" applyAlignment="1" applyProtection="1">
      <alignment horizontal="center" vertical="center"/>
      <protection locked="0"/>
    </xf>
    <xf numFmtId="0" fontId="27" fillId="3" borderId="3" xfId="0" applyFont="1" applyFill="1" applyBorder="1" applyAlignment="1" applyProtection="1">
      <alignment horizontal="left" vertical="center"/>
      <protection hidden="1"/>
    </xf>
    <xf numFmtId="0" fontId="27" fillId="3" borderId="5" xfId="0" applyFont="1" applyFill="1" applyBorder="1" applyAlignment="1" applyProtection="1">
      <alignment horizontal="left" vertical="center"/>
      <protection hidden="1"/>
    </xf>
    <xf numFmtId="0" fontId="27" fillId="3" borderId="4" xfId="0" applyFont="1" applyFill="1" applyBorder="1" applyAlignment="1" applyProtection="1">
      <alignment horizontal="left" vertical="center"/>
      <protection hidden="1"/>
    </xf>
    <xf numFmtId="0" fontId="0" fillId="0" borderId="3" xfId="0" applyBorder="1" applyAlignment="1">
      <alignment horizontal="center" wrapText="1"/>
    </xf>
    <xf numFmtId="0" fontId="0" fillId="0" borderId="5" xfId="0" applyBorder="1" applyAlignment="1">
      <alignment horizontal="center" wrapText="1"/>
    </xf>
    <xf numFmtId="0" fontId="0" fillId="0" borderId="4" xfId="0" applyBorder="1" applyAlignment="1">
      <alignment horizontal="center" wrapText="1"/>
    </xf>
    <xf numFmtId="0" fontId="18" fillId="3" borderId="3" xfId="0" applyFont="1" applyFill="1" applyBorder="1" applyAlignment="1" applyProtection="1">
      <alignment horizontal="center" vertical="center" wrapText="1"/>
      <protection hidden="1"/>
    </xf>
    <xf numFmtId="0" fontId="18" fillId="3" borderId="5" xfId="0" applyFont="1" applyFill="1" applyBorder="1" applyAlignment="1" applyProtection="1">
      <alignment horizontal="center" vertical="center" wrapText="1"/>
      <protection hidden="1"/>
    </xf>
    <xf numFmtId="0" fontId="18" fillId="3" borderId="4" xfId="0" applyFont="1" applyFill="1" applyBorder="1" applyAlignment="1" applyProtection="1">
      <alignment horizontal="center" vertical="center" wrapText="1"/>
      <protection hidden="1"/>
    </xf>
    <xf numFmtId="0" fontId="45" fillId="3" borderId="53" xfId="0" applyFont="1" applyFill="1" applyBorder="1" applyAlignment="1" applyProtection="1">
      <alignment horizontal="center" vertical="center" wrapText="1"/>
      <protection hidden="1"/>
    </xf>
    <xf numFmtId="3" fontId="20" fillId="3" borderId="74" xfId="0" applyNumberFormat="1" applyFont="1" applyFill="1" applyBorder="1" applyAlignment="1" applyProtection="1">
      <alignment horizontal="center" vertical="center"/>
      <protection hidden="1"/>
    </xf>
    <xf numFmtId="3" fontId="20" fillId="3" borderId="78" xfId="0" applyNumberFormat="1" applyFont="1" applyFill="1" applyBorder="1" applyAlignment="1" applyProtection="1">
      <alignment horizontal="center" vertical="center"/>
      <protection hidden="1"/>
    </xf>
    <xf numFmtId="3" fontId="20" fillId="3" borderId="79" xfId="0" applyNumberFormat="1" applyFont="1" applyFill="1" applyBorder="1" applyAlignment="1" applyProtection="1">
      <alignment horizontal="center" vertical="center"/>
      <protection hidden="1"/>
    </xf>
    <xf numFmtId="9" fontId="20" fillId="2" borderId="58" xfId="2" applyFont="1" applyFill="1" applyBorder="1" applyAlignment="1" applyProtection="1">
      <alignment horizontal="center" vertical="center"/>
      <protection locked="0"/>
    </xf>
    <xf numFmtId="9" fontId="20" fillId="2" borderId="59" xfId="2" applyFont="1" applyFill="1" applyBorder="1" applyAlignment="1" applyProtection="1">
      <alignment horizontal="center" vertical="center"/>
      <protection locked="0"/>
    </xf>
    <xf numFmtId="9" fontId="20" fillId="2" borderId="60" xfId="2" applyFont="1" applyFill="1" applyBorder="1" applyAlignment="1" applyProtection="1">
      <alignment horizontal="center" vertical="center"/>
      <protection locked="0"/>
    </xf>
    <xf numFmtId="0" fontId="20" fillId="2" borderId="58" xfId="0" applyFont="1" applyFill="1" applyBorder="1" applyAlignment="1" applyProtection="1">
      <alignment horizontal="center" vertical="center"/>
      <protection locked="0"/>
    </xf>
    <xf numFmtId="0" fontId="20" fillId="2" borderId="59" xfId="0" applyFont="1" applyFill="1" applyBorder="1" applyAlignment="1" applyProtection="1">
      <alignment horizontal="center" vertical="center"/>
      <protection locked="0"/>
    </xf>
    <xf numFmtId="0" fontId="20" fillId="2" borderId="60" xfId="0" applyFont="1" applyFill="1" applyBorder="1" applyAlignment="1" applyProtection="1">
      <alignment horizontal="center" vertical="center"/>
      <protection locked="0"/>
    </xf>
    <xf numFmtId="0" fontId="23" fillId="3" borderId="86" xfId="0" applyFont="1" applyFill="1" applyBorder="1" applyAlignment="1" applyProtection="1">
      <alignment horizontal="left" vertical="center" wrapText="1"/>
      <protection hidden="1"/>
    </xf>
    <xf numFmtId="0" fontId="23" fillId="3" borderId="76" xfId="0" applyFont="1" applyFill="1" applyBorder="1" applyAlignment="1" applyProtection="1">
      <alignment horizontal="left" vertical="center" wrapText="1"/>
      <protection hidden="1"/>
    </xf>
    <xf numFmtId="0" fontId="18" fillId="3" borderId="71" xfId="0" applyFont="1" applyFill="1" applyBorder="1" applyAlignment="1" applyProtection="1">
      <alignment horizontal="center" vertical="center"/>
      <protection hidden="1"/>
    </xf>
    <xf numFmtId="0" fontId="18" fillId="3" borderId="72" xfId="0" applyFont="1" applyFill="1" applyBorder="1" applyAlignment="1" applyProtection="1">
      <alignment horizontal="center" vertical="center"/>
      <protection hidden="1"/>
    </xf>
    <xf numFmtId="0" fontId="18" fillId="3" borderId="73" xfId="0" applyFont="1" applyFill="1" applyBorder="1" applyAlignment="1" applyProtection="1">
      <alignment horizontal="center" vertical="center"/>
      <protection hidden="1"/>
    </xf>
    <xf numFmtId="0" fontId="45" fillId="3" borderId="2" xfId="0" applyFont="1" applyFill="1" applyBorder="1" applyAlignment="1" applyProtection="1">
      <alignment horizontal="center" vertical="center" wrapText="1"/>
      <protection hidden="1"/>
    </xf>
    <xf numFmtId="3" fontId="20" fillId="2" borderId="84" xfId="0" applyNumberFormat="1" applyFont="1" applyFill="1" applyBorder="1" applyAlignment="1" applyProtection="1">
      <alignment horizontal="center" vertical="center"/>
      <protection locked="0"/>
    </xf>
    <xf numFmtId="3" fontId="20" fillId="2" borderId="51" xfId="0" applyNumberFormat="1" applyFont="1" applyFill="1" applyBorder="1" applyAlignment="1" applyProtection="1">
      <alignment horizontal="center" vertical="center"/>
      <protection locked="0"/>
    </xf>
    <xf numFmtId="3" fontId="20" fillId="2" borderId="85" xfId="0" applyNumberFormat="1" applyFont="1" applyFill="1" applyBorder="1" applyAlignment="1" applyProtection="1">
      <alignment horizontal="center" vertical="center"/>
      <protection locked="0"/>
    </xf>
    <xf numFmtId="0" fontId="2" fillId="11" borderId="58" xfId="0" applyFont="1" applyFill="1" applyBorder="1" applyAlignment="1" applyProtection="1">
      <alignment horizontal="center" vertical="center" wrapText="1"/>
      <protection hidden="1"/>
    </xf>
    <xf numFmtId="0" fontId="2" fillId="11" borderId="59" xfId="0" applyFont="1" applyFill="1" applyBorder="1" applyAlignment="1" applyProtection="1">
      <alignment horizontal="center" vertical="center" wrapText="1"/>
      <protection hidden="1"/>
    </xf>
    <xf numFmtId="0" fontId="2" fillId="11" borderId="60" xfId="0" applyFont="1" applyFill="1" applyBorder="1" applyAlignment="1" applyProtection="1">
      <alignment horizontal="center" vertical="center" wrapText="1"/>
      <protection hidden="1"/>
    </xf>
    <xf numFmtId="0" fontId="2" fillId="8" borderId="3" xfId="0" applyFont="1" applyFill="1" applyBorder="1" applyAlignment="1" applyProtection="1">
      <alignment horizontal="center" vertical="center"/>
      <protection hidden="1"/>
    </xf>
    <xf numFmtId="0" fontId="2" fillId="8" borderId="4" xfId="0" applyFont="1" applyFill="1" applyBorder="1" applyAlignment="1" applyProtection="1">
      <alignment horizontal="center" vertical="center"/>
      <protection hidden="1"/>
    </xf>
    <xf numFmtId="0" fontId="47" fillId="8" borderId="2" xfId="0" applyFont="1" applyFill="1" applyBorder="1" applyAlignment="1" applyProtection="1">
      <alignment horizontal="center" vertical="center"/>
      <protection hidden="1"/>
    </xf>
    <xf numFmtId="0" fontId="37" fillId="8" borderId="0" xfId="0" applyFont="1" applyFill="1" applyAlignment="1" applyProtection="1">
      <alignment horizontal="left" vertical="top" wrapText="1"/>
      <protection hidden="1"/>
    </xf>
    <xf numFmtId="0" fontId="20" fillId="9" borderId="52" xfId="0" applyFont="1" applyFill="1" applyBorder="1" applyAlignment="1">
      <alignment horizontal="left" vertical="top" wrapText="1"/>
    </xf>
    <xf numFmtId="0" fontId="20" fillId="9" borderId="53" xfId="0" applyFont="1" applyFill="1" applyBorder="1" applyAlignment="1">
      <alignment horizontal="left" vertical="top" wrapText="1"/>
    </xf>
    <xf numFmtId="0" fontId="20" fillId="9" borderId="54" xfId="0" applyFont="1" applyFill="1" applyBorder="1" applyAlignment="1">
      <alignment horizontal="left" vertical="top" wrapText="1"/>
    </xf>
    <xf numFmtId="0" fontId="20" fillId="9" borderId="55" xfId="0" applyFont="1" applyFill="1" applyBorder="1" applyAlignment="1">
      <alignment horizontal="left" vertical="top" wrapText="1"/>
    </xf>
    <xf numFmtId="0" fontId="20" fillId="9" borderId="0" xfId="0" applyFont="1" applyFill="1" applyAlignment="1">
      <alignment horizontal="left" vertical="top" wrapText="1"/>
    </xf>
    <xf numFmtId="0" fontId="20" fillId="9" borderId="56" xfId="0" applyFont="1" applyFill="1" applyBorder="1" applyAlignment="1">
      <alignment horizontal="left" vertical="top" wrapText="1"/>
    </xf>
    <xf numFmtId="0" fontId="20" fillId="9" borderId="57" xfId="0" applyFont="1" applyFill="1" applyBorder="1" applyAlignment="1">
      <alignment horizontal="left" vertical="top" wrapText="1"/>
    </xf>
    <xf numFmtId="0" fontId="20" fillId="9" borderId="2" xfId="0" applyFont="1" applyFill="1" applyBorder="1" applyAlignment="1">
      <alignment horizontal="left" vertical="top" wrapText="1"/>
    </xf>
    <xf numFmtId="0" fontId="20" fillId="9" borderId="61" xfId="0" applyFont="1" applyFill="1" applyBorder="1" applyAlignment="1">
      <alignment horizontal="left" vertical="top" wrapText="1"/>
    </xf>
    <xf numFmtId="0" fontId="38" fillId="3" borderId="3" xfId="0" applyFont="1" applyFill="1" applyBorder="1" applyAlignment="1" applyProtection="1">
      <alignment horizontal="center" vertical="center" wrapText="1"/>
      <protection hidden="1"/>
    </xf>
    <xf numFmtId="0" fontId="38" fillId="3" borderId="4" xfId="0" applyFont="1" applyFill="1" applyBorder="1" applyAlignment="1" applyProtection="1">
      <alignment horizontal="center" vertical="center" wrapText="1"/>
      <protection hidden="1"/>
    </xf>
    <xf numFmtId="0" fontId="29" fillId="3" borderId="53" xfId="0" applyFont="1" applyFill="1" applyBorder="1" applyAlignment="1" applyProtection="1">
      <alignment horizontal="center" vertical="center" wrapText="1"/>
      <protection hidden="1"/>
    </xf>
    <xf numFmtId="0" fontId="14" fillId="3" borderId="2" xfId="3" applyFill="1" applyBorder="1" applyAlignment="1" applyProtection="1">
      <alignment horizontal="center" vertical="center" wrapText="1"/>
      <protection hidden="1"/>
    </xf>
    <xf numFmtId="0" fontId="29" fillId="3" borderId="2" xfId="0" applyFont="1" applyFill="1" applyBorder="1" applyAlignment="1" applyProtection="1">
      <alignment horizontal="center" vertical="center" wrapText="1"/>
      <protection hidden="1"/>
    </xf>
    <xf numFmtId="0" fontId="45" fillId="3" borderId="5" xfId="0" applyFont="1" applyFill="1" applyBorder="1" applyAlignment="1" applyProtection="1">
      <alignment horizontal="center" vertical="center" wrapText="1"/>
      <protection hidden="1"/>
    </xf>
    <xf numFmtId="0" fontId="45" fillId="3" borderId="4" xfId="0" applyFont="1" applyFill="1" applyBorder="1" applyAlignment="1" applyProtection="1">
      <alignment horizontal="center" vertical="center" wrapText="1"/>
      <protection hidden="1"/>
    </xf>
    <xf numFmtId="0" fontId="29" fillId="3" borderId="0" xfId="0" applyFont="1" applyFill="1" applyAlignment="1" applyProtection="1">
      <alignment horizontal="center" vertical="center" wrapText="1"/>
      <protection hidden="1"/>
    </xf>
    <xf numFmtId="0" fontId="18" fillId="8" borderId="65" xfId="0" applyFont="1" applyFill="1" applyBorder="1" applyAlignment="1" applyProtection="1">
      <alignment horizontal="center" vertical="center" wrapText="1"/>
      <protection hidden="1"/>
    </xf>
    <xf numFmtId="0" fontId="18" fillId="8" borderId="69" xfId="0" applyFont="1" applyFill="1" applyBorder="1" applyAlignment="1" applyProtection="1">
      <alignment horizontal="center" vertical="center" wrapText="1"/>
      <protection hidden="1"/>
    </xf>
    <xf numFmtId="0" fontId="18" fillId="8" borderId="78" xfId="0" applyFont="1" applyFill="1" applyBorder="1" applyAlignment="1" applyProtection="1">
      <alignment horizontal="center" vertical="center" wrapText="1"/>
      <protection hidden="1"/>
    </xf>
    <xf numFmtId="0" fontId="2" fillId="0" borderId="94" xfId="0" applyFont="1" applyBorder="1" applyAlignment="1" applyProtection="1">
      <alignment horizontal="center" vertical="center" wrapText="1"/>
      <protection hidden="1"/>
    </xf>
    <xf numFmtId="0" fontId="2" fillId="0" borderId="8" xfId="0" applyFont="1" applyBorder="1" applyAlignment="1" applyProtection="1">
      <alignment horizontal="center" vertical="center" wrapText="1"/>
      <protection hidden="1"/>
    </xf>
    <xf numFmtId="0" fontId="2" fillId="0" borderId="95" xfId="0" applyFont="1" applyBorder="1" applyAlignment="1" applyProtection="1">
      <alignment horizontal="center" vertical="center" wrapText="1"/>
      <protection hidden="1"/>
    </xf>
    <xf numFmtId="0" fontId="2" fillId="0" borderId="90" xfId="0" applyFont="1" applyBorder="1" applyAlignment="1" applyProtection="1">
      <alignment horizontal="center" vertical="center" wrapText="1"/>
      <protection hidden="1"/>
    </xf>
    <xf numFmtId="0" fontId="2" fillId="0" borderId="92" xfId="0" applyFont="1" applyBorder="1" applyAlignment="1" applyProtection="1">
      <alignment horizontal="center" vertical="center" wrapText="1"/>
      <protection hidden="1"/>
    </xf>
    <xf numFmtId="0" fontId="2" fillId="3" borderId="53" xfId="0" applyFont="1" applyFill="1" applyBorder="1" applyAlignment="1" applyProtection="1">
      <alignment horizontal="center" vertical="center"/>
      <protection hidden="1"/>
    </xf>
    <xf numFmtId="0" fontId="2" fillId="3" borderId="2" xfId="0" applyFont="1" applyFill="1" applyBorder="1" applyAlignment="1" applyProtection="1">
      <alignment horizontal="center" vertical="center"/>
      <protection hidden="1"/>
    </xf>
    <xf numFmtId="0" fontId="18" fillId="3" borderId="98" xfId="0" applyFont="1" applyFill="1" applyBorder="1" applyAlignment="1" applyProtection="1">
      <alignment horizontal="center" vertical="center" wrapText="1"/>
      <protection hidden="1"/>
    </xf>
    <xf numFmtId="0" fontId="18" fillId="3" borderId="93" xfId="0" applyFont="1" applyFill="1" applyBorder="1" applyAlignment="1" applyProtection="1">
      <alignment horizontal="center" vertical="center" wrapText="1"/>
      <protection hidden="1"/>
    </xf>
    <xf numFmtId="0" fontId="18" fillId="3" borderId="75" xfId="0" applyFont="1" applyFill="1" applyBorder="1" applyAlignment="1" applyProtection="1">
      <alignment horizontal="center" vertical="center" wrapText="1"/>
      <protection hidden="1"/>
    </xf>
    <xf numFmtId="0" fontId="48" fillId="0" borderId="94" xfId="0" applyFont="1" applyBorder="1" applyAlignment="1">
      <alignment horizontal="center" wrapText="1"/>
    </xf>
    <xf numFmtId="0" fontId="48" fillId="0" borderId="8" xfId="0" applyFont="1" applyBorder="1" applyAlignment="1">
      <alignment horizontal="center" wrapText="1"/>
    </xf>
    <xf numFmtId="0" fontId="48" fillId="0" borderId="9" xfId="0" applyFont="1" applyBorder="1" applyAlignment="1">
      <alignment horizontal="center" wrapText="1"/>
    </xf>
    <xf numFmtId="0" fontId="49" fillId="3" borderId="3" xfId="0" applyFont="1" applyFill="1" applyBorder="1" applyAlignment="1" applyProtection="1">
      <alignment horizontal="center" vertical="center" wrapText="1"/>
      <protection hidden="1"/>
    </xf>
    <xf numFmtId="0" fontId="49" fillId="3" borderId="5" xfId="0" applyFont="1" applyFill="1" applyBorder="1" applyAlignment="1" applyProtection="1">
      <alignment horizontal="center" vertical="center" wrapText="1"/>
      <protection hidden="1"/>
    </xf>
    <xf numFmtId="0" fontId="49" fillId="3" borderId="64" xfId="0" applyFont="1" applyFill="1" applyBorder="1" applyAlignment="1" applyProtection="1">
      <alignment horizontal="center" vertical="center" wrapText="1"/>
      <protection hidden="1"/>
    </xf>
    <xf numFmtId="0" fontId="77" fillId="18" borderId="0" xfId="0" applyFont="1" applyFill="1" applyAlignment="1" applyProtection="1">
      <alignment horizontal="center" vertical="center" wrapText="1"/>
      <protection hidden="1"/>
    </xf>
    <xf numFmtId="0" fontId="77" fillId="18" borderId="0" xfId="0" applyFont="1" applyFill="1" applyAlignment="1" applyProtection="1">
      <alignment horizontal="center" vertical="center"/>
      <protection hidden="1"/>
    </xf>
    <xf numFmtId="0" fontId="56" fillId="3" borderId="104" xfId="0" applyFont="1" applyFill="1" applyBorder="1" applyAlignment="1" applyProtection="1">
      <alignment horizontal="center" vertical="center"/>
      <protection hidden="1"/>
    </xf>
    <xf numFmtId="0" fontId="79" fillId="3" borderId="104" xfId="0" applyFont="1" applyFill="1" applyBorder="1" applyAlignment="1" applyProtection="1">
      <alignment horizontal="left" vertical="center" wrapText="1"/>
      <protection hidden="1"/>
    </xf>
    <xf numFmtId="9" fontId="80" fillId="2" borderId="7" xfId="2" applyFont="1" applyFill="1" applyBorder="1" applyAlignment="1" applyProtection="1">
      <alignment horizontal="center" vertical="center"/>
      <protection locked="0"/>
    </xf>
    <xf numFmtId="9" fontId="80" fillId="2" borderId="8" xfId="2" applyFont="1" applyFill="1" applyBorder="1" applyAlignment="1" applyProtection="1">
      <alignment horizontal="center" vertical="center"/>
      <protection locked="0"/>
    </xf>
    <xf numFmtId="0" fontId="79" fillId="3" borderId="87" xfId="0" applyFont="1" applyFill="1" applyBorder="1" applyAlignment="1" applyProtection="1">
      <alignment horizontal="center" vertical="center" wrapText="1"/>
      <protection hidden="1"/>
    </xf>
    <xf numFmtId="0" fontId="79" fillId="3" borderId="54" xfId="0" applyFont="1" applyFill="1" applyBorder="1" applyAlignment="1" applyProtection="1">
      <alignment horizontal="center" vertical="center" wrapText="1"/>
      <protection hidden="1"/>
    </xf>
    <xf numFmtId="0" fontId="79" fillId="3" borderId="88" xfId="0" applyFont="1" applyFill="1" applyBorder="1" applyAlignment="1" applyProtection="1">
      <alignment horizontal="center" vertical="center" wrapText="1"/>
      <protection hidden="1"/>
    </xf>
    <xf numFmtId="0" fontId="79" fillId="3" borderId="56" xfId="0" applyFont="1" applyFill="1" applyBorder="1" applyAlignment="1" applyProtection="1">
      <alignment horizontal="center" vertical="center" wrapText="1"/>
      <protection hidden="1"/>
    </xf>
    <xf numFmtId="0" fontId="79" fillId="3" borderId="10" xfId="0" applyFont="1" applyFill="1" applyBorder="1" applyAlignment="1" applyProtection="1">
      <alignment horizontal="center" vertical="center" wrapText="1"/>
      <protection hidden="1"/>
    </xf>
    <xf numFmtId="0" fontId="79" fillId="3" borderId="61" xfId="0" applyFont="1" applyFill="1" applyBorder="1" applyAlignment="1" applyProtection="1">
      <alignment horizontal="center" vertical="center" wrapText="1"/>
      <protection hidden="1"/>
    </xf>
    <xf numFmtId="9" fontId="80" fillId="2" borderId="10" xfId="2" applyFont="1" applyFill="1" applyBorder="1" applyAlignment="1" applyProtection="1">
      <alignment horizontal="center" vertical="center"/>
      <protection locked="0"/>
    </xf>
    <xf numFmtId="9" fontId="80" fillId="2" borderId="2" xfId="2" applyFont="1" applyFill="1" applyBorder="1" applyAlignment="1" applyProtection="1">
      <alignment horizontal="center" vertical="center"/>
      <protection locked="0"/>
    </xf>
    <xf numFmtId="0" fontId="81" fillId="3" borderId="3" xfId="0" applyFont="1" applyFill="1" applyBorder="1" applyAlignment="1" applyProtection="1">
      <alignment horizontal="center" vertical="center" wrapText="1"/>
      <protection hidden="1"/>
    </xf>
    <xf numFmtId="0" fontId="81" fillId="3" borderId="5" xfId="0" applyFont="1" applyFill="1" applyBorder="1" applyAlignment="1" applyProtection="1">
      <alignment horizontal="center" vertical="center" wrapText="1"/>
      <protection hidden="1"/>
    </xf>
    <xf numFmtId="0" fontId="81" fillId="3" borderId="4" xfId="0" applyFont="1" applyFill="1" applyBorder="1" applyAlignment="1" applyProtection="1">
      <alignment horizontal="center" vertical="center" wrapText="1"/>
      <protection hidden="1"/>
    </xf>
    <xf numFmtId="0" fontId="149" fillId="18" borderId="0" xfId="0" applyFont="1" applyFill="1" applyAlignment="1" applyProtection="1">
      <alignment horizontal="center" vertical="center" wrapText="1"/>
      <protection hidden="1"/>
    </xf>
    <xf numFmtId="0" fontId="81" fillId="3" borderId="52" xfId="0" applyFont="1" applyFill="1" applyBorder="1" applyAlignment="1" applyProtection="1">
      <alignment horizontal="center" vertical="center" wrapText="1"/>
      <protection hidden="1"/>
    </xf>
    <xf numFmtId="0" fontId="81" fillId="3" borderId="53" xfId="0" applyFont="1" applyFill="1" applyBorder="1" applyAlignment="1" applyProtection="1">
      <alignment horizontal="center" vertical="center" wrapText="1"/>
      <protection hidden="1"/>
    </xf>
    <xf numFmtId="0" fontId="81" fillId="3" borderId="54" xfId="0" applyFont="1" applyFill="1" applyBorder="1" applyAlignment="1" applyProtection="1">
      <alignment horizontal="center" vertical="center" wrapText="1"/>
      <protection hidden="1"/>
    </xf>
    <xf numFmtId="0" fontId="81" fillId="3" borderId="55" xfId="0" applyFont="1" applyFill="1" applyBorder="1" applyAlignment="1" applyProtection="1">
      <alignment horizontal="center" vertical="center" wrapText="1"/>
      <protection hidden="1"/>
    </xf>
    <xf numFmtId="0" fontId="81" fillId="3" borderId="0" xfId="0" applyFont="1" applyFill="1" applyAlignment="1" applyProtection="1">
      <alignment horizontal="center" vertical="center" wrapText="1"/>
      <protection hidden="1"/>
    </xf>
    <xf numFmtId="0" fontId="81" fillId="3" borderId="56" xfId="0" applyFont="1" applyFill="1" applyBorder="1" applyAlignment="1" applyProtection="1">
      <alignment horizontal="center" vertical="center" wrapText="1"/>
      <protection hidden="1"/>
    </xf>
    <xf numFmtId="0" fontId="81" fillId="3" borderId="57" xfId="0" applyFont="1" applyFill="1" applyBorder="1" applyAlignment="1" applyProtection="1">
      <alignment horizontal="center" vertical="center" wrapText="1"/>
      <protection hidden="1"/>
    </xf>
    <xf numFmtId="0" fontId="81" fillId="3" borderId="2" xfId="0" applyFont="1" applyFill="1" applyBorder="1" applyAlignment="1" applyProtection="1">
      <alignment horizontal="center" vertical="center" wrapText="1"/>
      <protection hidden="1"/>
    </xf>
    <xf numFmtId="0" fontId="81" fillId="3" borderId="61" xfId="0" applyFont="1" applyFill="1" applyBorder="1" applyAlignment="1" applyProtection="1">
      <alignment horizontal="center" vertical="center" wrapText="1"/>
      <protection hidden="1"/>
    </xf>
    <xf numFmtId="0" fontId="56" fillId="3" borderId="49" xfId="0" applyFont="1" applyFill="1" applyBorder="1" applyAlignment="1" applyProtection="1">
      <alignment horizontal="center" vertical="center" wrapText="1"/>
      <protection hidden="1"/>
    </xf>
    <xf numFmtId="0" fontId="56" fillId="3" borderId="51" xfId="0" applyFont="1" applyFill="1" applyBorder="1" applyAlignment="1" applyProtection="1">
      <alignment horizontal="center" vertical="center" wrapText="1"/>
      <protection hidden="1"/>
    </xf>
    <xf numFmtId="170" fontId="78" fillId="20" borderId="49" xfId="0" applyNumberFormat="1" applyFont="1" applyFill="1" applyBorder="1" applyAlignment="1" applyProtection="1">
      <alignment horizontal="center" vertical="center"/>
      <protection locked="0"/>
    </xf>
    <xf numFmtId="170" fontId="78" fillId="20" borderId="51" xfId="0" applyNumberFormat="1" applyFont="1" applyFill="1" applyBorder="1" applyAlignment="1" applyProtection="1">
      <alignment horizontal="center" vertical="center"/>
      <protection locked="0"/>
    </xf>
    <xf numFmtId="3" fontId="93" fillId="20" borderId="104" xfId="0" applyNumberFormat="1" applyFont="1" applyFill="1" applyBorder="1" applyAlignment="1" applyProtection="1">
      <alignment horizontal="center" vertical="center"/>
      <protection locked="0"/>
    </xf>
    <xf numFmtId="0" fontId="89" fillId="17" borderId="0" xfId="0" applyFont="1" applyFill="1" applyAlignment="1" applyProtection="1">
      <alignment horizontal="center" vertical="center"/>
      <protection hidden="1"/>
    </xf>
    <xf numFmtId="0" fontId="92" fillId="19" borderId="0" xfId="0" applyFont="1" applyFill="1" applyAlignment="1" applyProtection="1">
      <alignment horizontal="left" vertical="center" indent="1"/>
      <protection hidden="1"/>
    </xf>
    <xf numFmtId="0" fontId="56" fillId="3" borderId="111" xfId="0" applyFont="1" applyFill="1" applyBorder="1" applyAlignment="1" applyProtection="1">
      <alignment horizontal="left" vertical="center" wrapText="1"/>
      <protection hidden="1"/>
    </xf>
    <xf numFmtId="0" fontId="56" fillId="3" borderId="112" xfId="0" applyFont="1" applyFill="1" applyBorder="1" applyAlignment="1" applyProtection="1">
      <alignment horizontal="left" vertical="center" wrapText="1"/>
      <protection hidden="1"/>
    </xf>
    <xf numFmtId="0" fontId="56" fillId="3" borderId="110" xfId="0" applyFont="1" applyFill="1" applyBorder="1" applyAlignment="1" applyProtection="1">
      <alignment horizontal="left" vertical="center" wrapText="1"/>
      <protection hidden="1"/>
    </xf>
    <xf numFmtId="0" fontId="79" fillId="3" borderId="104" xfId="0" applyFont="1" applyFill="1" applyBorder="1" applyAlignment="1" applyProtection="1">
      <alignment horizontal="center" vertical="center"/>
      <protection hidden="1"/>
    </xf>
    <xf numFmtId="0" fontId="80" fillId="3" borderId="0" xfId="0" applyFont="1" applyFill="1" applyAlignment="1" applyProtection="1">
      <alignment horizontal="center" vertical="center" wrapText="1"/>
      <protection hidden="1"/>
    </xf>
    <xf numFmtId="0" fontId="56" fillId="3" borderId="0" xfId="0" applyFont="1" applyFill="1" applyAlignment="1" applyProtection="1">
      <alignment horizontal="center" vertical="center"/>
      <protection hidden="1"/>
    </xf>
    <xf numFmtId="0" fontId="56" fillId="3" borderId="0" xfId="0" applyFont="1" applyFill="1" applyAlignment="1" applyProtection="1">
      <alignment horizontal="center" vertical="center" wrapText="1"/>
      <protection hidden="1"/>
    </xf>
    <xf numFmtId="0" fontId="79" fillId="3" borderId="53" xfId="0" applyFont="1" applyFill="1" applyBorder="1" applyAlignment="1" applyProtection="1">
      <alignment horizontal="left" vertical="center" wrapText="1"/>
      <protection hidden="1"/>
    </xf>
    <xf numFmtId="0" fontId="79" fillId="3" borderId="54" xfId="0" applyFont="1" applyFill="1" applyBorder="1" applyAlignment="1" applyProtection="1">
      <alignment horizontal="left" vertical="center" wrapText="1"/>
      <protection hidden="1"/>
    </xf>
    <xf numFmtId="0" fontId="96" fillId="3" borderId="3" xfId="0" applyFont="1" applyFill="1" applyBorder="1" applyAlignment="1" applyProtection="1">
      <alignment horizontal="left" vertical="center" wrapText="1"/>
      <protection hidden="1"/>
    </xf>
    <xf numFmtId="0" fontId="96" fillId="3" borderId="4" xfId="0" applyFont="1" applyFill="1" applyBorder="1" applyAlignment="1" applyProtection="1">
      <alignment horizontal="left" vertical="center" wrapText="1"/>
      <protection hidden="1"/>
    </xf>
    <xf numFmtId="0" fontId="56" fillId="0" borderId="104" xfId="0" applyFont="1" applyBorder="1" applyAlignment="1" applyProtection="1">
      <alignment horizontal="center" vertical="center" wrapText="1"/>
      <protection hidden="1"/>
    </xf>
    <xf numFmtId="9" fontId="93" fillId="20" borderId="104" xfId="2" applyFont="1" applyFill="1" applyBorder="1" applyAlignment="1" applyProtection="1">
      <alignment horizontal="center" vertical="center"/>
      <protection locked="0"/>
    </xf>
    <xf numFmtId="9" fontId="78" fillId="20" borderId="104" xfId="2" applyFont="1" applyFill="1" applyBorder="1" applyAlignment="1" applyProtection="1">
      <alignment horizontal="center" vertical="center"/>
      <protection locked="0"/>
    </xf>
    <xf numFmtId="0" fontId="56" fillId="3" borderId="0" xfId="0" applyFont="1" applyFill="1" applyAlignment="1" applyProtection="1">
      <alignment horizontal="left" vertical="center" indent="1"/>
      <protection hidden="1"/>
    </xf>
    <xf numFmtId="0" fontId="79" fillId="3" borderId="5" xfId="0" applyFont="1" applyFill="1" applyBorder="1" applyAlignment="1" applyProtection="1">
      <alignment horizontal="center" vertical="center" wrapText="1"/>
      <protection hidden="1"/>
    </xf>
    <xf numFmtId="0" fontId="79" fillId="3" borderId="4" xfId="0" applyFont="1" applyFill="1" applyBorder="1" applyAlignment="1" applyProtection="1">
      <alignment horizontal="center" vertical="center" wrapText="1"/>
      <protection hidden="1"/>
    </xf>
    <xf numFmtId="9" fontId="80" fillId="2" borderId="74" xfId="2" applyFont="1" applyFill="1" applyBorder="1" applyAlignment="1" applyProtection="1">
      <alignment horizontal="center" vertical="center"/>
      <protection locked="0"/>
    </xf>
    <xf numFmtId="9" fontId="80" fillId="2" borderId="78" xfId="2" applyFont="1" applyFill="1" applyBorder="1" applyAlignment="1" applyProtection="1">
      <alignment horizontal="center" vertical="center"/>
      <protection locked="0"/>
    </xf>
    <xf numFmtId="0" fontId="56" fillId="3" borderId="0" xfId="0" applyFont="1" applyFill="1" applyAlignment="1" applyProtection="1">
      <alignment horizontal="left" vertical="center"/>
      <protection hidden="1"/>
    </xf>
    <xf numFmtId="0" fontId="79" fillId="18" borderId="53" xfId="0" applyFont="1" applyFill="1" applyBorder="1" applyAlignment="1" applyProtection="1">
      <alignment horizontal="center" vertical="center" wrapText="1"/>
      <protection hidden="1"/>
    </xf>
    <xf numFmtId="0" fontId="79" fillId="18" borderId="0" xfId="0" applyFont="1" applyFill="1" applyAlignment="1" applyProtection="1">
      <alignment horizontal="center" vertical="center" wrapText="1"/>
      <protection hidden="1"/>
    </xf>
    <xf numFmtId="0" fontId="52" fillId="8" borderId="0" xfId="0" applyFont="1" applyFill="1" applyAlignment="1" applyProtection="1">
      <alignment horizontal="left" vertical="top" wrapText="1"/>
      <protection hidden="1"/>
    </xf>
    <xf numFmtId="0" fontId="52" fillId="9" borderId="52" xfId="0" applyFont="1" applyFill="1" applyBorder="1" applyAlignment="1">
      <alignment horizontal="left" vertical="top" wrapText="1"/>
    </xf>
    <xf numFmtId="0" fontId="52" fillId="9" borderId="53" xfId="0" applyFont="1" applyFill="1" applyBorder="1" applyAlignment="1">
      <alignment horizontal="left" vertical="top" wrapText="1"/>
    </xf>
    <xf numFmtId="0" fontId="52" fillId="9" borderId="54" xfId="0" applyFont="1" applyFill="1" applyBorder="1" applyAlignment="1">
      <alignment horizontal="left" vertical="top" wrapText="1"/>
    </xf>
    <xf numFmtId="0" fontId="52" fillId="9" borderId="55" xfId="0" applyFont="1" applyFill="1" applyBorder="1" applyAlignment="1">
      <alignment horizontal="left" vertical="top" wrapText="1"/>
    </xf>
    <xf numFmtId="0" fontId="52" fillId="9" borderId="0" xfId="0" applyFont="1" applyFill="1" applyAlignment="1">
      <alignment horizontal="left" vertical="top" wrapText="1"/>
    </xf>
    <xf numFmtId="0" fontId="52" fillId="9" borderId="56" xfId="0" applyFont="1" applyFill="1" applyBorder="1" applyAlignment="1">
      <alignment horizontal="left" vertical="top" wrapText="1"/>
    </xf>
    <xf numFmtId="0" fontId="52" fillId="9" borderId="57" xfId="0" applyFont="1" applyFill="1" applyBorder="1" applyAlignment="1">
      <alignment horizontal="left" vertical="top" wrapText="1"/>
    </xf>
    <xf numFmtId="0" fontId="52" fillId="9" borderId="2" xfId="0" applyFont="1" applyFill="1" applyBorder="1" applyAlignment="1">
      <alignment horizontal="left" vertical="top" wrapText="1"/>
    </xf>
    <xf numFmtId="0" fontId="52" fillId="9" borderId="61" xfId="0" applyFont="1" applyFill="1" applyBorder="1" applyAlignment="1">
      <alignment horizontal="left" vertical="top" wrapText="1"/>
    </xf>
    <xf numFmtId="0" fontId="81" fillId="0" borderId="3" xfId="0" applyFont="1" applyBorder="1" applyAlignment="1">
      <alignment horizontal="left" vertical="center" wrapText="1"/>
    </xf>
    <xf numFmtId="0" fontId="80" fillId="0" borderId="5" xfId="0" applyFont="1" applyBorder="1" applyAlignment="1">
      <alignment horizontal="left" vertical="center" wrapText="1"/>
    </xf>
    <xf numFmtId="0" fontId="80" fillId="0" borderId="4" xfId="0" applyFont="1" applyBorder="1" applyAlignment="1">
      <alignment horizontal="left" vertical="center" wrapText="1"/>
    </xf>
    <xf numFmtId="0" fontId="81" fillId="3" borderId="3" xfId="0" applyFont="1" applyFill="1" applyBorder="1" applyAlignment="1" applyProtection="1">
      <alignment horizontal="left" vertical="center" wrapText="1"/>
      <protection hidden="1"/>
    </xf>
    <xf numFmtId="0" fontId="81" fillId="3" borderId="5" xfId="0" applyFont="1" applyFill="1" applyBorder="1" applyAlignment="1" applyProtection="1">
      <alignment horizontal="left" vertical="center" wrapText="1"/>
      <protection hidden="1"/>
    </xf>
    <xf numFmtId="0" fontId="81" fillId="3" borderId="4" xfId="0" applyFont="1" applyFill="1" applyBorder="1" applyAlignment="1" applyProtection="1">
      <alignment horizontal="left" vertical="center" wrapText="1"/>
      <protection hidden="1"/>
    </xf>
    <xf numFmtId="0" fontId="87" fillId="3" borderId="104" xfId="0" applyFont="1" applyFill="1" applyBorder="1" applyAlignment="1" applyProtection="1">
      <alignment horizontal="center" vertical="center" wrapText="1"/>
      <protection hidden="1"/>
    </xf>
    <xf numFmtId="0" fontId="56" fillId="19" borderId="104" xfId="0" applyFont="1" applyFill="1" applyBorder="1" applyAlignment="1" applyProtection="1">
      <alignment horizontal="center" vertical="center"/>
      <protection hidden="1"/>
    </xf>
    <xf numFmtId="0" fontId="90" fillId="25" borderId="0" xfId="0" applyFont="1" applyFill="1" applyAlignment="1" applyProtection="1">
      <alignment horizontal="center" vertical="center" wrapText="1"/>
      <protection hidden="1"/>
    </xf>
    <xf numFmtId="0" fontId="68" fillId="25" borderId="0" xfId="0" applyFont="1" applyFill="1" applyAlignment="1" applyProtection="1">
      <alignment horizontal="center" vertical="center" wrapText="1"/>
      <protection hidden="1"/>
    </xf>
    <xf numFmtId="0" fontId="93" fillId="20" borderId="104" xfId="0" applyFont="1" applyFill="1" applyBorder="1" applyAlignment="1" applyProtection="1">
      <alignment horizontal="center" vertical="center"/>
      <protection locked="0"/>
    </xf>
    <xf numFmtId="0" fontId="79" fillId="3" borderId="104" xfId="0" applyFont="1" applyFill="1" applyBorder="1" applyAlignment="1" applyProtection="1">
      <alignment horizontal="center" vertical="center" wrapText="1"/>
      <protection hidden="1"/>
    </xf>
    <xf numFmtId="3" fontId="93" fillId="3" borderId="104" xfId="0" applyNumberFormat="1" applyFont="1" applyFill="1" applyBorder="1" applyAlignment="1" applyProtection="1">
      <alignment horizontal="center" vertical="center"/>
      <protection hidden="1"/>
    </xf>
    <xf numFmtId="0" fontId="129" fillId="0" borderId="0" xfId="0" applyFont="1" applyAlignment="1" applyProtection="1">
      <alignment horizontal="right" vertical="center"/>
      <protection hidden="1"/>
    </xf>
    <xf numFmtId="0" fontId="101" fillId="0" borderId="0" xfId="0" applyFont="1" applyAlignment="1" applyProtection="1">
      <alignment horizontal="right" vertical="center"/>
      <protection hidden="1"/>
    </xf>
    <xf numFmtId="0" fontId="59" fillId="3" borderId="57" xfId="3" applyFont="1" applyFill="1" applyBorder="1" applyAlignment="1" applyProtection="1">
      <alignment horizontal="left" vertical="center" wrapText="1"/>
      <protection hidden="1"/>
    </xf>
    <xf numFmtId="0" fontId="59" fillId="3" borderId="61" xfId="3" applyFont="1" applyFill="1" applyBorder="1" applyAlignment="1" applyProtection="1">
      <alignment horizontal="left" vertical="center" wrapText="1"/>
      <protection hidden="1"/>
    </xf>
    <xf numFmtId="0" fontId="79" fillId="3" borderId="5" xfId="0" applyFont="1" applyFill="1" applyBorder="1" applyAlignment="1" applyProtection="1">
      <alignment horizontal="left" vertical="center" wrapText="1"/>
      <protection hidden="1"/>
    </xf>
    <xf numFmtId="0" fontId="79" fillId="3" borderId="4" xfId="0" applyFont="1" applyFill="1" applyBorder="1" applyAlignment="1" applyProtection="1">
      <alignment horizontal="left" vertical="center" wrapText="1"/>
      <protection hidden="1"/>
    </xf>
    <xf numFmtId="0" fontId="79" fillId="3" borderId="2" xfId="0" applyFont="1" applyFill="1" applyBorder="1" applyAlignment="1" applyProtection="1">
      <alignment horizontal="left" vertical="center" wrapText="1"/>
      <protection hidden="1"/>
    </xf>
    <xf numFmtId="0" fontId="79" fillId="3" borderId="61" xfId="0" applyFont="1" applyFill="1" applyBorder="1" applyAlignment="1" applyProtection="1">
      <alignment horizontal="left" vertical="center" wrapText="1"/>
      <protection hidden="1"/>
    </xf>
    <xf numFmtId="0" fontId="79" fillId="3" borderId="3" xfId="0" applyFont="1" applyFill="1" applyBorder="1" applyAlignment="1" applyProtection="1">
      <alignment horizontal="left" vertical="center" wrapText="1"/>
      <protection hidden="1"/>
    </xf>
    <xf numFmtId="0" fontId="56" fillId="3" borderId="53" xfId="0" applyFont="1" applyFill="1" applyBorder="1" applyAlignment="1" applyProtection="1">
      <alignment horizontal="left" vertical="center" wrapText="1"/>
      <protection hidden="1"/>
    </xf>
    <xf numFmtId="0" fontId="56" fillId="3" borderId="54" xfId="0" applyFont="1" applyFill="1" applyBorder="1" applyAlignment="1" applyProtection="1">
      <alignment horizontal="left" vertical="center" wrapText="1"/>
      <protection hidden="1"/>
    </xf>
    <xf numFmtId="0" fontId="79" fillId="3" borderId="113" xfId="0" applyFont="1" applyFill="1" applyBorder="1" applyAlignment="1" applyProtection="1">
      <alignment horizontal="left" vertical="center" wrapText="1"/>
      <protection hidden="1"/>
    </xf>
    <xf numFmtId="0" fontId="79" fillId="3" borderId="57" xfId="0" applyFont="1" applyFill="1" applyBorder="1" applyAlignment="1" applyProtection="1">
      <alignment horizontal="left" vertical="center" wrapText="1"/>
      <protection hidden="1"/>
    </xf>
    <xf numFmtId="0" fontId="79" fillId="3" borderId="52" xfId="0" applyFont="1" applyFill="1" applyBorder="1" applyAlignment="1" applyProtection="1">
      <alignment horizontal="left" vertical="center" wrapText="1"/>
      <protection hidden="1"/>
    </xf>
    <xf numFmtId="0" fontId="56" fillId="3" borderId="104" xfId="0" applyFont="1" applyFill="1" applyBorder="1" applyAlignment="1" applyProtection="1">
      <alignment horizontal="center" vertical="center" wrapText="1"/>
      <protection hidden="1"/>
    </xf>
    <xf numFmtId="0" fontId="96" fillId="3" borderId="5" xfId="0" applyFont="1" applyFill="1" applyBorder="1" applyAlignment="1" applyProtection="1">
      <alignment horizontal="left" vertical="center" wrapText="1"/>
      <protection hidden="1"/>
    </xf>
    <xf numFmtId="0" fontId="52" fillId="18" borderId="0" xfId="0" applyFont="1" applyFill="1" applyAlignment="1" applyProtection="1">
      <alignment horizontal="center" vertical="center" wrapText="1"/>
      <protection hidden="1"/>
    </xf>
    <xf numFmtId="0" fontId="79" fillId="3" borderId="2" xfId="0" applyFont="1" applyFill="1" applyBorder="1" applyAlignment="1" applyProtection="1">
      <alignment horizontal="center" vertical="center" wrapText="1"/>
      <protection hidden="1"/>
    </xf>
    <xf numFmtId="0" fontId="89" fillId="21" borderId="0" xfId="0" applyFont="1" applyFill="1" applyAlignment="1" applyProtection="1">
      <alignment horizontal="center" vertical="center" wrapText="1"/>
      <protection hidden="1"/>
    </xf>
    <xf numFmtId="0" fontId="129" fillId="0" borderId="0" xfId="0" applyFont="1" applyAlignment="1">
      <alignment horizontal="right"/>
    </xf>
    <xf numFmtId="0" fontId="101" fillId="0" borderId="0" xfId="0" applyFont="1" applyAlignment="1">
      <alignment horizontal="right"/>
    </xf>
    <xf numFmtId="0" fontId="52" fillId="22" borderId="0" xfId="0" applyFont="1" applyFill="1" applyAlignment="1">
      <alignment horizontal="center"/>
    </xf>
    <xf numFmtId="0" fontId="56" fillId="22" borderId="0" xfId="0" applyFont="1" applyFill="1" applyAlignment="1" applyProtection="1">
      <alignment horizontal="center" vertical="center"/>
      <protection hidden="1"/>
    </xf>
    <xf numFmtId="0" fontId="56" fillId="3" borderId="1" xfId="0" applyFont="1" applyFill="1" applyBorder="1" applyAlignment="1" applyProtection="1">
      <alignment horizontal="center" vertical="center" wrapText="1"/>
      <protection hidden="1"/>
    </xf>
    <xf numFmtId="0" fontId="56" fillId="22" borderId="0" xfId="0" applyFont="1" applyFill="1" applyAlignment="1" applyProtection="1">
      <alignment horizontal="left" wrapText="1"/>
      <protection hidden="1"/>
    </xf>
    <xf numFmtId="0" fontId="81" fillId="22" borderId="0" xfId="0" applyFont="1" applyFill="1" applyAlignment="1" applyProtection="1">
      <alignment horizontal="left" vertical="top" wrapText="1"/>
      <protection hidden="1"/>
    </xf>
    <xf numFmtId="0" fontId="81" fillId="22" borderId="0" xfId="0" applyFont="1" applyFill="1" applyAlignment="1" applyProtection="1">
      <alignment vertical="top"/>
      <protection hidden="1"/>
    </xf>
    <xf numFmtId="0" fontId="81" fillId="22" borderId="0" xfId="0" applyFont="1" applyFill="1" applyAlignment="1" applyProtection="1">
      <alignment horizontal="left" wrapText="1"/>
      <protection hidden="1"/>
    </xf>
    <xf numFmtId="0" fontId="81" fillId="22" borderId="0" xfId="0" applyFont="1" applyFill="1" applyProtection="1">
      <protection hidden="1"/>
    </xf>
    <xf numFmtId="0" fontId="51" fillId="3" borderId="3" xfId="0" applyFont="1" applyFill="1" applyBorder="1" applyAlignment="1" applyProtection="1">
      <alignment horizontal="center" vertical="center" wrapText="1"/>
      <protection hidden="1"/>
    </xf>
    <xf numFmtId="0" fontId="51" fillId="3" borderId="5" xfId="0" applyFont="1" applyFill="1" applyBorder="1" applyAlignment="1" applyProtection="1">
      <alignment horizontal="center" vertical="center" wrapText="1"/>
      <protection hidden="1"/>
    </xf>
    <xf numFmtId="0" fontId="51" fillId="3" borderId="4" xfId="0" applyFont="1" applyFill="1" applyBorder="1" applyAlignment="1" applyProtection="1">
      <alignment horizontal="center" vertical="center" wrapText="1"/>
      <protection hidden="1"/>
    </xf>
    <xf numFmtId="0" fontId="104" fillId="0" borderId="0" xfId="0" applyFont="1" applyAlignment="1" applyProtection="1">
      <alignment horizontal="center" vertical="center" wrapText="1"/>
      <protection hidden="1"/>
    </xf>
    <xf numFmtId="0" fontId="105" fillId="0" borderId="0" xfId="0" applyFont="1" applyAlignment="1" applyProtection="1">
      <alignment horizontal="center" vertical="center" wrapText="1"/>
      <protection hidden="1"/>
    </xf>
    <xf numFmtId="0" fontId="107" fillId="0" borderId="1" xfId="0" applyFont="1" applyBorder="1" applyAlignment="1" applyProtection="1">
      <alignment horizontal="center" vertical="center" wrapText="1"/>
      <protection hidden="1"/>
    </xf>
    <xf numFmtId="0" fontId="87" fillId="0" borderId="1" xfId="0" applyFont="1" applyBorder="1" applyAlignment="1" applyProtection="1">
      <alignment horizontal="center" vertical="center" wrapText="1"/>
      <protection hidden="1"/>
    </xf>
    <xf numFmtId="0" fontId="124" fillId="0" borderId="1" xfId="0" applyFont="1" applyBorder="1" applyAlignment="1" applyProtection="1">
      <alignment horizontal="center" vertical="center" wrapText="1"/>
      <protection hidden="1"/>
    </xf>
    <xf numFmtId="0" fontId="127" fillId="26" borderId="1" xfId="0" applyFont="1" applyFill="1" applyBorder="1" applyAlignment="1" applyProtection="1">
      <alignment horizontal="center" vertical="center" wrapText="1"/>
      <protection hidden="1"/>
    </xf>
    <xf numFmtId="0" fontId="127" fillId="19" borderId="1" xfId="0" applyFont="1" applyFill="1" applyBorder="1" applyAlignment="1" applyProtection="1">
      <alignment horizontal="center" vertical="center" wrapText="1"/>
      <protection hidden="1"/>
    </xf>
    <xf numFmtId="0" fontId="127" fillId="27" borderId="1" xfId="0" applyFont="1" applyFill="1" applyBorder="1" applyAlignment="1" applyProtection="1">
      <alignment horizontal="center" vertical="center" wrapText="1"/>
      <protection hidden="1"/>
    </xf>
    <xf numFmtId="0" fontId="103" fillId="0" borderId="0" xfId="0" applyFont="1" applyAlignment="1" applyProtection="1">
      <alignment horizontal="center" vertical="center"/>
      <protection hidden="1"/>
    </xf>
    <xf numFmtId="0" fontId="56" fillId="0" borderId="0" xfId="0" applyFont="1" applyAlignment="1" applyProtection="1">
      <alignment horizontal="center" vertical="center"/>
      <protection hidden="1"/>
    </xf>
    <xf numFmtId="0" fontId="56" fillId="0" borderId="0" xfId="0" applyFont="1" applyAlignment="1" applyProtection="1">
      <alignment horizontal="center" vertical="center" wrapText="1"/>
      <protection hidden="1"/>
    </xf>
    <xf numFmtId="0" fontId="88" fillId="26" borderId="0" xfId="0" applyFont="1" applyFill="1" applyAlignment="1" applyProtection="1">
      <alignment horizontal="center" vertical="center" wrapText="1"/>
      <protection hidden="1"/>
    </xf>
    <xf numFmtId="0" fontId="117" fillId="23" borderId="0" xfId="0" applyFont="1" applyFill="1" applyAlignment="1" applyProtection="1">
      <alignment horizontal="center" vertical="center"/>
      <protection hidden="1"/>
    </xf>
    <xf numFmtId="0" fontId="57" fillId="15" borderId="1" xfId="0" applyFont="1" applyFill="1" applyBorder="1" applyAlignment="1" applyProtection="1">
      <alignment horizontal="center" vertical="center" wrapText="1"/>
      <protection hidden="1"/>
    </xf>
    <xf numFmtId="0" fontId="107" fillId="15" borderId="1" xfId="0" applyFont="1" applyFill="1" applyBorder="1" applyAlignment="1" applyProtection="1">
      <alignment horizontal="center" vertical="center" wrapText="1"/>
      <protection hidden="1"/>
    </xf>
    <xf numFmtId="0" fontId="111" fillId="15" borderId="1" xfId="0" applyFont="1" applyFill="1" applyBorder="1" applyAlignment="1" applyProtection="1">
      <alignment horizontal="center" vertical="center" wrapText="1"/>
      <protection hidden="1"/>
    </xf>
    <xf numFmtId="0" fontId="129" fillId="3" borderId="0" xfId="0" applyFont="1" applyFill="1" applyAlignment="1" applyProtection="1">
      <alignment horizontal="left" wrapText="1"/>
      <protection hidden="1"/>
    </xf>
    <xf numFmtId="0" fontId="101" fillId="3" borderId="0" xfId="0" applyFont="1" applyFill="1" applyAlignment="1" applyProtection="1">
      <alignment horizontal="left" wrapText="1"/>
      <protection hidden="1"/>
    </xf>
    <xf numFmtId="0" fontId="89" fillId="23" borderId="0" xfId="0" applyFont="1" applyFill="1" applyAlignment="1" applyProtection="1">
      <alignment horizontal="center" vertical="center"/>
      <protection hidden="1"/>
    </xf>
    <xf numFmtId="0" fontId="68" fillId="26" borderId="0" xfId="0" applyFont="1" applyFill="1" applyAlignment="1" applyProtection="1">
      <alignment horizontal="center" vertical="center"/>
      <protection hidden="1"/>
    </xf>
    <xf numFmtId="0" fontId="68" fillId="26" borderId="0" xfId="0" applyFont="1" applyFill="1" applyAlignment="1" applyProtection="1">
      <alignment horizontal="center" vertical="center" wrapText="1"/>
      <protection hidden="1"/>
    </xf>
    <xf numFmtId="0" fontId="56" fillId="15" borderId="1" xfId="0" applyFont="1" applyFill="1" applyBorder="1" applyAlignment="1" applyProtection="1">
      <alignment horizontal="center" vertical="center"/>
      <protection hidden="1"/>
    </xf>
    <xf numFmtId="0" fontId="117" fillId="23" borderId="0" xfId="0" applyFont="1" applyFill="1" applyAlignment="1">
      <alignment horizontal="center" vertical="center"/>
    </xf>
    <xf numFmtId="0" fontId="147" fillId="0" borderId="0" xfId="0" applyFont="1" applyAlignment="1">
      <alignment horizontal="right"/>
    </xf>
    <xf numFmtId="0" fontId="25" fillId="4" borderId="58" xfId="0" applyFont="1" applyFill="1" applyBorder="1" applyAlignment="1">
      <alignment horizontal="center" vertical="center"/>
    </xf>
    <xf numFmtId="0" fontId="25" fillId="4" borderId="59" xfId="0" applyFont="1" applyFill="1" applyBorder="1" applyAlignment="1">
      <alignment horizontal="center" vertical="center"/>
    </xf>
    <xf numFmtId="0" fontId="25" fillId="4" borderId="60" xfId="0" applyFont="1" applyFill="1" applyBorder="1" applyAlignment="1">
      <alignment horizontal="center" vertical="center"/>
    </xf>
    <xf numFmtId="0" fontId="96" fillId="3" borderId="58" xfId="0" applyFont="1" applyFill="1" applyBorder="1" applyAlignment="1">
      <alignment horizontal="left" vertical="center" wrapText="1" indent="1"/>
    </xf>
    <xf numFmtId="0" fontId="96" fillId="3" borderId="59" xfId="0" applyFont="1" applyFill="1" applyBorder="1" applyAlignment="1">
      <alignment horizontal="left" vertical="center" wrapText="1" indent="1"/>
    </xf>
    <xf numFmtId="0" fontId="96" fillId="3" borderId="60" xfId="0" applyFont="1" applyFill="1" applyBorder="1" applyAlignment="1">
      <alignment horizontal="left" vertical="center" wrapText="1" indent="1"/>
    </xf>
    <xf numFmtId="0" fontId="52" fillId="0" borderId="0" xfId="0" applyFont="1" applyAlignment="1">
      <alignment horizontal="right"/>
    </xf>
    <xf numFmtId="0" fontId="115" fillId="19" borderId="0" xfId="0" applyFont="1" applyFill="1" applyAlignment="1">
      <alignment horizontal="left" vertical="center" wrapText="1"/>
    </xf>
    <xf numFmtId="0" fontId="117" fillId="17" borderId="0" xfId="0" applyFont="1" applyFill="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4" fillId="0" borderId="0" xfId="0" applyFont="1" applyAlignment="1">
      <alignment horizontal="left"/>
    </xf>
    <xf numFmtId="0" fontId="7" fillId="0" borderId="0" xfId="0" applyFont="1" applyAlignment="1">
      <alignment horizontal="left" vertical="top" wrapText="1"/>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6" borderId="10" xfId="0" applyFont="1" applyFill="1" applyBorder="1" applyAlignment="1">
      <alignment horizontal="center" vertical="center"/>
    </xf>
    <xf numFmtId="0" fontId="7" fillId="6" borderId="2" xfId="0" applyFont="1" applyFill="1" applyBorder="1" applyAlignment="1">
      <alignment horizontal="center" vertical="center"/>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7" fillId="0" borderId="25" xfId="0" applyFont="1" applyBorder="1" applyAlignment="1">
      <alignment horizontal="center" vertical="center"/>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25" xfId="0" applyFont="1" applyBorder="1" applyAlignment="1">
      <alignment horizontal="center" vertical="center" wrapText="1"/>
    </xf>
    <xf numFmtId="2" fontId="10" fillId="0" borderId="20" xfId="0" applyNumberFormat="1" applyFont="1" applyBorder="1" applyAlignment="1">
      <alignment horizontal="center" vertical="center"/>
    </xf>
    <xf numFmtId="2" fontId="10" fillId="0" borderId="21" xfId="0" applyNumberFormat="1" applyFont="1" applyBorder="1" applyAlignment="1">
      <alignment horizontal="center" vertical="center"/>
    </xf>
    <xf numFmtId="0" fontId="10" fillId="0" borderId="27" xfId="0" applyFont="1" applyBorder="1" applyAlignment="1">
      <alignment horizontal="center" vertical="center"/>
    </xf>
    <xf numFmtId="0" fontId="10" fillId="0" borderId="28" xfId="0" applyFont="1" applyBorder="1" applyAlignment="1">
      <alignment horizontal="center" vertical="center"/>
    </xf>
    <xf numFmtId="0" fontId="10" fillId="0" borderId="23" xfId="0" applyFont="1" applyBorder="1" applyAlignment="1">
      <alignment horizontal="center" vertical="center"/>
    </xf>
    <xf numFmtId="0" fontId="10" fillId="0" borderId="24" xfId="0" applyFont="1" applyBorder="1" applyAlignment="1">
      <alignment horizontal="center" vertical="center"/>
    </xf>
    <xf numFmtId="0" fontId="10" fillId="0" borderId="25" xfId="0" applyFont="1" applyBorder="1" applyAlignment="1">
      <alignment horizontal="center" vertical="center"/>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29" xfId="0" applyFont="1" applyBorder="1" applyAlignment="1">
      <alignment horizontal="center" vertical="center"/>
    </xf>
    <xf numFmtId="0" fontId="7" fillId="0" borderId="0" xfId="0" applyFont="1" applyAlignment="1">
      <alignment horizontal="left" wrapText="1"/>
    </xf>
    <xf numFmtId="0" fontId="7" fillId="0" borderId="0" xfId="0" applyFont="1" applyAlignment="1">
      <alignment horizontal="left"/>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7" fillId="0" borderId="32" xfId="0" applyFont="1" applyBorder="1" applyAlignment="1">
      <alignment horizontal="center" vertical="center"/>
    </xf>
    <xf numFmtId="0" fontId="7" fillId="0" borderId="33" xfId="0" applyFont="1" applyBorder="1" applyAlignment="1">
      <alignment horizontal="center" vertical="center"/>
    </xf>
    <xf numFmtId="0" fontId="7" fillId="0" borderId="34" xfId="0" applyFont="1" applyBorder="1" applyAlignment="1">
      <alignment horizontal="center" vertical="center"/>
    </xf>
    <xf numFmtId="0" fontId="7" fillId="0" borderId="35" xfId="0" applyFont="1" applyBorder="1" applyAlignment="1">
      <alignment horizontal="center" vertical="center"/>
    </xf>
    <xf numFmtId="169" fontId="154" fillId="28" borderId="1" xfId="4" applyNumberFormat="1" applyFont="1" applyFill="1" applyBorder="1" applyAlignment="1" applyProtection="1">
      <alignment vertical="center" wrapText="1"/>
      <protection locked="0"/>
    </xf>
    <xf numFmtId="37" fontId="154" fillId="28" borderId="1" xfId="4" applyNumberFormat="1" applyFont="1" applyFill="1" applyBorder="1" applyAlignment="1" applyProtection="1">
      <alignment horizontal="center" vertical="center" wrapText="1"/>
      <protection locked="0"/>
    </xf>
    <xf numFmtId="9" fontId="52" fillId="20" borderId="1" xfId="2" applyFont="1" applyFill="1" applyBorder="1" applyAlignment="1" applyProtection="1">
      <alignment horizontal="center" vertical="center" wrapText="1"/>
      <protection locked="0"/>
    </xf>
  </cellXfs>
  <cellStyles count="6">
    <cellStyle name="Comma" xfId="4" builtinId="3"/>
    <cellStyle name="Currency" xfId="1" builtinId="4"/>
    <cellStyle name="Hyperlink" xfId="3" builtinId="8"/>
    <cellStyle name="Normal" xfId="0" builtinId="0"/>
    <cellStyle name="Note" xfId="5" builtinId="10"/>
    <cellStyle name="Percent" xfId="2" builtinId="5"/>
  </cellStyles>
  <dxfs count="50">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D2F1DF"/>
      <color rgb="FFD4EBEC"/>
      <color rgb="FFE2E278"/>
      <color rgb="FF64B7C0"/>
      <color rgb="FFE8ECEB"/>
      <color rgb="FF009B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24.xml"/><Relationship Id="rId1" Type="http://schemas.microsoft.com/office/2011/relationships/chartStyle" Target="style24.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solidFill>
                <a:latin typeface="Arial" panose="020B0604020202020204" pitchFamily="34" charset="0"/>
                <a:ea typeface="+mn-ea"/>
                <a:cs typeface="Arial" panose="020B0604020202020204" pitchFamily="34" charset="0"/>
              </a:defRPr>
            </a:pPr>
            <a:r>
              <a:rPr lang="es-419" sz="1200" b="1"/>
              <a:t>Costo de la vacuna/AcM</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bar"/>
        <c:grouping val="stacked"/>
        <c:varyColors val="0"/>
        <c:ser>
          <c:idx val="0"/>
          <c:order val="0"/>
          <c:spPr>
            <a:solidFill>
              <a:schemeClr val="accent1"/>
            </a:solidFill>
            <a:ln>
              <a:noFill/>
            </a:ln>
            <a:effectLst/>
          </c:spPr>
          <c:invertIfNegative val="0"/>
          <c:cat>
            <c:multiLvlStrRef>
              <c:f>Resultados!$E$8:$O$9</c:f>
              <c:multiLvlStrCache>
                <c:ptCount val="3"/>
                <c:lvl>
                  <c:pt idx="0">
                    <c:v>Abrysvo, Pfizer</c:v>
                  </c:pt>
                  <c:pt idx="1">
                    <c:v>Ninguno</c:v>
                  </c:pt>
                  <c:pt idx="2">
                    <c:v>Los dos, total</c:v>
                  </c:pt>
                </c:lvl>
                <c:lvl>
                  <c:pt idx="0">
                    <c:v>Situación A: 
Vacuna materna</c:v>
                  </c:pt>
                  <c:pt idx="1">
                    <c:v>Situación B: 
AcM</c:v>
                  </c:pt>
                  <c:pt idx="2">
                    <c:v>Situación C: 
Vacuna materna y AcM</c:v>
                  </c:pt>
                </c:lvl>
              </c:multiLvlStrCache>
            </c:multiLvlStrRef>
          </c:cat>
          <c:val>
            <c:numRef>
              <c:f>Resultados!$E$108:$M$108</c:f>
              <c:numCache>
                <c:formatCode>"$ "#,##0</c:formatCode>
                <c:ptCount val="3"/>
                <c:pt idx="0">
                  <c:v>210613.66974788893</c:v>
                </c:pt>
                <c:pt idx="1">
                  <c:v>0</c:v>
                </c:pt>
                <c:pt idx="2">
                  <c:v>318694.95270665456</c:v>
                </c:pt>
              </c:numCache>
            </c:numRef>
          </c:val>
          <c:extLst>
            <c:ext xmlns:c16="http://schemas.microsoft.com/office/drawing/2014/chart" uri="{C3380CC4-5D6E-409C-BE32-E72D297353CC}">
              <c16:uniqueId val="{00000000-0EA4-41C6-AAAB-6AAC89EAB91D}"/>
            </c:ext>
          </c:extLst>
        </c:ser>
        <c:dLbls>
          <c:showLegendKey val="0"/>
          <c:showVal val="0"/>
          <c:showCatName val="0"/>
          <c:showSerName val="0"/>
          <c:showPercent val="0"/>
          <c:showBubbleSize val="0"/>
        </c:dLbls>
        <c:gapWidth val="182"/>
        <c:overlap val="100"/>
        <c:axId val="749278848"/>
        <c:axId val="749288448"/>
      </c:barChart>
      <c:catAx>
        <c:axId val="7492788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749288448"/>
        <c:crosses val="autoZero"/>
        <c:auto val="1"/>
        <c:lblAlgn val="ctr"/>
        <c:lblOffset val="100"/>
        <c:noMultiLvlLbl val="0"/>
      </c:catAx>
      <c:valAx>
        <c:axId val="749288448"/>
        <c:scaling>
          <c:orientation val="minMax"/>
        </c:scaling>
        <c:delete val="0"/>
        <c:axPos val="b"/>
        <c:numFmt formatCode="&quot;$ &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749278848"/>
        <c:crosses val="autoZero"/>
        <c:crossBetween val="between"/>
        <c:dispUnits>
          <c:builtInUnit val="thousands"/>
          <c:dispUnitsLbl>
            <c:tx>
              <c:rich>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r>
                    <a:rPr lang="en-US"/>
                    <a:t>Miles</a:t>
                  </a:r>
                </a:p>
              </c:rich>
            </c:tx>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ispUnitsLbl>
        </c:dispUnits>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sz="1400" b="1"/>
              <a:t>Vaccine</a:t>
            </a:r>
            <a:r>
              <a:rPr lang="fr-CH" sz="1400" b="1" baseline="0"/>
              <a:t> Cost</a:t>
            </a:r>
            <a:endParaRPr lang="fr-CH" sz="1400" b="1"/>
          </a:p>
        </c:rich>
      </c:tx>
      <c:layout>
        <c:manualLayout>
          <c:xMode val="edge"/>
          <c:yMode val="edge"/>
          <c:x val="0.4328871804357296"/>
          <c:y val="1.9342658547895145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fr-CH"/>
        </a:p>
      </c:txPr>
    </c:title>
    <c:autoTitleDeleted val="0"/>
    <c:plotArea>
      <c:layout>
        <c:manualLayout>
          <c:layoutTarget val="inner"/>
          <c:xMode val="edge"/>
          <c:yMode val="edge"/>
          <c:x val="4.4842946574879916E-2"/>
          <c:y val="0.14264844607639021"/>
          <c:w val="0.91057363748010556"/>
          <c:h val="0.43634901767801038"/>
        </c:manualLayout>
      </c:layout>
      <c:barChart>
        <c:barDir val="bar"/>
        <c:grouping val="clustered"/>
        <c:varyColors val="0"/>
        <c:ser>
          <c:idx val="0"/>
          <c:order val="0"/>
          <c:tx>
            <c:strRef>
              <c:f>'Datos del modelo'!$E$78</c:f>
              <c:strCache>
                <c:ptCount val="1"/>
                <c:pt idx="0">
                  <c:v>Abrysvo, Pfizer</c:v>
                </c:pt>
              </c:strCache>
            </c:strRef>
          </c:tx>
          <c:spPr>
            <a:solidFill>
              <a:schemeClr val="accent1"/>
            </a:solidFill>
            <a:ln>
              <a:noFill/>
            </a:ln>
            <a:effectLst/>
          </c:spPr>
          <c:invertIfNegative val="0"/>
          <c:val>
            <c:numRef>
              <c:f>Resultados!$E$108</c:f>
              <c:numCache>
                <c:formatCode>"$ "#,##0</c:formatCode>
                <c:ptCount val="1"/>
                <c:pt idx="0">
                  <c:v>210613.66974788893</c:v>
                </c:pt>
              </c:numCache>
            </c:numRef>
          </c:val>
          <c:extLs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Ninguno</c:v>
                      </c:pt>
                      <c:pt idx="2">
                        <c:v>Los dos, total</c:v>
                      </c:pt>
                    </c:strCache>
                  </c:strRef>
                </c15:cat>
              </c15:filteredCategoryTitle>
            </c:ext>
            <c:ext xmlns:c16="http://schemas.microsoft.com/office/drawing/2014/chart" uri="{C3380CC4-5D6E-409C-BE32-E72D297353CC}">
              <c16:uniqueId val="{00000006-F6B7-417D-B92A-C66DECB24D31}"/>
            </c:ext>
          </c:extLst>
        </c:ser>
        <c:ser>
          <c:idx val="1"/>
          <c:order val="1"/>
          <c:tx>
            <c:strRef>
              <c:f>'Datos del modelo'!$F$78</c:f>
              <c:strCache>
                <c:ptCount val="1"/>
                <c:pt idx="0">
                  <c:v>Ninguno</c:v>
                </c:pt>
              </c:strCache>
            </c:strRef>
          </c:tx>
          <c:spPr>
            <a:solidFill>
              <a:schemeClr val="accent2"/>
            </a:solidFill>
            <a:ln>
              <a:noFill/>
            </a:ln>
            <a:effectLst/>
          </c:spPr>
          <c:invertIfNegative val="0"/>
          <c:val>
            <c:numRef>
              <c:f>Resultados!$F$108</c:f>
            </c:numRef>
          </c:val>
          <c:extLs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Ninguno</c:v>
                      </c:pt>
                      <c:pt idx="2">
                        <c:v>Los dos, total</c:v>
                      </c:pt>
                    </c:strCache>
                  </c:strRef>
                </c15:cat>
              </c15:filteredCategoryTitle>
            </c:ext>
            <c:ext xmlns:c16="http://schemas.microsoft.com/office/drawing/2014/chart" uri="{C3380CC4-5D6E-409C-BE32-E72D297353CC}">
              <c16:uniqueId val="{00000007-F6B7-417D-B92A-C66DECB24D31}"/>
            </c:ext>
          </c:extLst>
        </c:ser>
        <c:ser>
          <c:idx val="2"/>
          <c:order val="2"/>
          <c:tx>
            <c:strRef>
              <c:f>'Datos del modelo'!$G$78</c:f>
              <c:strCache>
                <c:ptCount val="1"/>
                <c:pt idx="0">
                  <c:v>Ninguno</c:v>
                </c:pt>
              </c:strCache>
            </c:strRef>
          </c:tx>
          <c:spPr>
            <a:solidFill>
              <a:schemeClr val="accent3"/>
            </a:solidFill>
            <a:ln>
              <a:noFill/>
            </a:ln>
            <a:effectLst/>
          </c:spPr>
          <c:invertIfNegative val="0"/>
          <c:val>
            <c:numRef>
              <c:f>Resultados!$G$108</c:f>
            </c:numRef>
          </c:val>
          <c:extLs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Ninguno</c:v>
                      </c:pt>
                      <c:pt idx="2">
                        <c:v>Los dos, total</c:v>
                      </c:pt>
                    </c:strCache>
                  </c:strRef>
                </c15:cat>
              </c15:filteredCategoryTitle>
            </c:ext>
            <c:ext xmlns:c16="http://schemas.microsoft.com/office/drawing/2014/chart" uri="{C3380CC4-5D6E-409C-BE32-E72D297353CC}">
              <c16:uniqueId val="{00000008-F6B7-417D-B92A-C66DECB24D31}"/>
            </c:ext>
          </c:extLst>
        </c:ser>
        <c:ser>
          <c:idx val="3"/>
          <c:order val="3"/>
          <c:tx>
            <c:strRef>
              <c:f>'Datos del modelo'!$H$78</c:f>
              <c:strCache>
                <c:ptCount val="1"/>
                <c:pt idx="0">
                  <c:v>Ninguno</c:v>
                </c:pt>
              </c:strCache>
            </c:strRef>
          </c:tx>
          <c:spPr>
            <a:solidFill>
              <a:schemeClr val="accent4"/>
            </a:solidFill>
            <a:ln>
              <a:noFill/>
            </a:ln>
            <a:effectLst/>
          </c:spPr>
          <c:invertIfNegative val="0"/>
          <c:val>
            <c:numRef>
              <c:f>Resultados!$I$108</c:f>
              <c:numCache>
                <c:formatCode>"$ "#,##0</c:formatCode>
                <c:ptCount val="1"/>
                <c:pt idx="0">
                  <c:v>0</c:v>
                </c:pt>
              </c:numCache>
            </c:numRef>
          </c:val>
          <c:extLs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Ninguno</c:v>
                      </c:pt>
                      <c:pt idx="2">
                        <c:v>Los dos, total</c:v>
                      </c:pt>
                    </c:strCache>
                  </c:strRef>
                </c15:cat>
              </c15:filteredCategoryTitle>
            </c:ext>
            <c:ext xmlns:c16="http://schemas.microsoft.com/office/drawing/2014/chart" uri="{C3380CC4-5D6E-409C-BE32-E72D297353CC}">
              <c16:uniqueId val="{00000009-F6B7-417D-B92A-C66DECB24D31}"/>
            </c:ext>
          </c:extLst>
        </c:ser>
        <c:ser>
          <c:idx val="4"/>
          <c:order val="4"/>
          <c:tx>
            <c:strRef>
              <c:f>'Datos del modelo'!$I$78</c:f>
              <c:strCache>
                <c:ptCount val="1"/>
                <c:pt idx="0">
                  <c:v>Ninguno</c:v>
                </c:pt>
              </c:strCache>
            </c:strRef>
          </c:tx>
          <c:spPr>
            <a:solidFill>
              <a:schemeClr val="accent5"/>
            </a:solidFill>
            <a:ln>
              <a:noFill/>
            </a:ln>
            <a:effectLst/>
          </c:spPr>
          <c:invertIfNegative val="0"/>
          <c:val>
            <c:numRef>
              <c:f>Resultados!$J$108</c:f>
            </c:numRef>
          </c:val>
          <c:extLs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Ninguno</c:v>
                      </c:pt>
                      <c:pt idx="2">
                        <c:v>Los dos, total</c:v>
                      </c:pt>
                    </c:strCache>
                  </c:strRef>
                </c15:cat>
              </c15:filteredCategoryTitle>
            </c:ext>
            <c:ext xmlns:c16="http://schemas.microsoft.com/office/drawing/2014/chart" uri="{C3380CC4-5D6E-409C-BE32-E72D297353CC}">
              <c16:uniqueId val="{0000000A-F6B7-417D-B92A-C66DECB24D31}"/>
            </c:ext>
          </c:extLst>
        </c:ser>
        <c:ser>
          <c:idx val="5"/>
          <c:order val="5"/>
          <c:tx>
            <c:strRef>
              <c:f>'Datos del modelo'!$J$78</c:f>
              <c:strCache>
                <c:ptCount val="1"/>
                <c:pt idx="0">
                  <c:v>Ninguno</c:v>
                </c:pt>
              </c:strCache>
            </c:strRef>
          </c:tx>
          <c:spPr>
            <a:solidFill>
              <a:schemeClr val="accent6"/>
            </a:solidFill>
            <a:ln>
              <a:noFill/>
            </a:ln>
            <a:effectLst/>
          </c:spPr>
          <c:invertIfNegative val="0"/>
          <c:val>
            <c:numRef>
              <c:f>Resultados!$K$108</c:f>
            </c:numRef>
          </c:val>
          <c:extLs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Ninguno</c:v>
                      </c:pt>
                      <c:pt idx="2">
                        <c:v>Los dos, total</c:v>
                      </c:pt>
                    </c:strCache>
                  </c:strRef>
                </c15:cat>
              </c15:filteredCategoryTitle>
            </c:ext>
            <c:ext xmlns:c16="http://schemas.microsoft.com/office/drawing/2014/chart" uri="{C3380CC4-5D6E-409C-BE32-E72D297353CC}">
              <c16:uniqueId val="{0000000B-F6B7-417D-B92A-C66DECB24D31}"/>
            </c:ext>
          </c:extLst>
        </c:ser>
        <c:ser>
          <c:idx val="6"/>
          <c:order val="6"/>
          <c:tx>
            <c:strRef>
              <c:f>'Datos del modelo'!$K$78</c:f>
              <c:strCache>
                <c:ptCount val="1"/>
                <c:pt idx="0">
                  <c:v>Abrysvo, Pfizer</c:v>
                </c:pt>
              </c:strCache>
            </c:strRef>
          </c:tx>
          <c:spPr>
            <a:solidFill>
              <a:schemeClr val="accent1">
                <a:lumMod val="60000"/>
              </a:schemeClr>
            </a:solidFill>
            <a:ln>
              <a:noFill/>
            </a:ln>
            <a:effectLst/>
          </c:spPr>
          <c:invertIfNegative val="0"/>
          <c:val>
            <c:numRef>
              <c:f>Resultados!$N$108</c:f>
            </c:numRef>
          </c:val>
          <c:extLs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Ninguno</c:v>
                      </c:pt>
                      <c:pt idx="2">
                        <c:v>Los dos, total</c:v>
                      </c:pt>
                    </c:strCache>
                  </c:strRef>
                </c15:cat>
              </c15:filteredCategoryTitle>
            </c:ext>
            <c:ext xmlns:c16="http://schemas.microsoft.com/office/drawing/2014/chart" uri="{C3380CC4-5D6E-409C-BE32-E72D297353CC}">
              <c16:uniqueId val="{0000000C-F6B7-417D-B92A-C66DECB24D31}"/>
            </c:ext>
          </c:extLst>
        </c:ser>
        <c:ser>
          <c:idx val="7"/>
          <c:order val="7"/>
          <c:tx>
            <c:strRef>
              <c:f>'Datos del modelo'!$L$78</c:f>
              <c:strCache>
                <c:ptCount val="1"/>
                <c:pt idx="0">
                  <c:v>Anticuerpo monoclonal contra el VSR_2</c:v>
                </c:pt>
              </c:strCache>
            </c:strRef>
          </c:tx>
          <c:spPr>
            <a:solidFill>
              <a:schemeClr val="accent2">
                <a:lumMod val="60000"/>
              </a:schemeClr>
            </a:solidFill>
            <a:ln>
              <a:noFill/>
            </a:ln>
            <a:effectLst/>
          </c:spPr>
          <c:invertIfNegative val="0"/>
          <c:val>
            <c:numRef>
              <c:f>Resultados!$O$108</c:f>
            </c:numRef>
          </c:val>
          <c:extLs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Ninguno</c:v>
                      </c:pt>
                      <c:pt idx="2">
                        <c:v>Los dos, total</c:v>
                      </c:pt>
                    </c:strCache>
                  </c:strRef>
                </c15:cat>
              </c15:filteredCategoryTitle>
            </c:ext>
            <c:ext xmlns:c16="http://schemas.microsoft.com/office/drawing/2014/chart" uri="{C3380CC4-5D6E-409C-BE32-E72D297353CC}">
              <c16:uniqueId val="{0000000D-F6B7-417D-B92A-C66DECB24D31}"/>
            </c:ext>
          </c:extLst>
        </c:ser>
        <c:ser>
          <c:idx val="8"/>
          <c:order val="8"/>
          <c:tx>
            <c:strRef>
              <c:f>'Datos del modelo'!$K$76:$L$76</c:f>
              <c:strCache>
                <c:ptCount val="1"/>
                <c:pt idx="0">
                  <c:v>Vacunas contra el VSR para mujeres embarazadas y AcM contra el VSR para bebés (Vacuna materna y AcM)</c:v>
                </c:pt>
              </c:strCache>
            </c:strRef>
          </c:tx>
          <c:spPr>
            <a:solidFill>
              <a:schemeClr val="accent3">
                <a:lumMod val="60000"/>
              </a:schemeClr>
            </a:solidFill>
            <a:ln>
              <a:noFill/>
            </a:ln>
            <a:effectLst/>
          </c:spPr>
          <c:invertIfNegative val="0"/>
          <c:val>
            <c:numRef>
              <c:f>Resultados!$M$108</c:f>
              <c:numCache>
                <c:formatCode>"$ "#,##0</c:formatCode>
                <c:ptCount val="1"/>
                <c:pt idx="0">
                  <c:v>318694.95270665456</c:v>
                </c:pt>
              </c:numCache>
            </c:numRef>
          </c:val>
          <c:extLs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Ninguno</c:v>
                      </c:pt>
                      <c:pt idx="2">
                        <c:v>Los dos, total</c:v>
                      </c:pt>
                    </c:strCache>
                  </c:strRef>
                </c15:cat>
              </c15:filteredCategoryTitle>
            </c:ext>
            <c:ext xmlns:c16="http://schemas.microsoft.com/office/drawing/2014/chart" uri="{C3380CC4-5D6E-409C-BE32-E72D297353CC}">
              <c16:uniqueId val="{0000000E-F6B7-417D-B92A-C66DECB24D31}"/>
            </c:ext>
          </c:extLst>
        </c:ser>
        <c:dLbls>
          <c:showLegendKey val="0"/>
          <c:showVal val="0"/>
          <c:showCatName val="0"/>
          <c:showSerName val="0"/>
          <c:showPercent val="0"/>
          <c:showBubbleSize val="0"/>
        </c:dLbls>
        <c:gapWidth val="182"/>
        <c:axId val="640941360"/>
        <c:axId val="640940704"/>
      </c:barChart>
      <c:catAx>
        <c:axId val="640941360"/>
        <c:scaling>
          <c:orientation val="minMax"/>
        </c:scaling>
        <c:delete val="1"/>
        <c:axPos val="l"/>
        <c:numFmt formatCode="General" sourceLinked="1"/>
        <c:majorTickMark val="none"/>
        <c:minorTickMark val="none"/>
        <c:tickLblPos val="nextTo"/>
        <c:crossAx val="640940704"/>
        <c:crosses val="autoZero"/>
        <c:auto val="1"/>
        <c:lblAlgn val="ctr"/>
        <c:lblOffset val="100"/>
        <c:noMultiLvlLbl val="0"/>
      </c:catAx>
      <c:valAx>
        <c:axId val="640940704"/>
        <c:scaling>
          <c:orientation val="minMax"/>
        </c:scaling>
        <c:delete val="0"/>
        <c:axPos val="b"/>
        <c:majorGridlines>
          <c:spPr>
            <a:ln w="9525" cap="flat" cmpd="sng" algn="ctr">
              <a:solidFill>
                <a:schemeClr val="tx1">
                  <a:lumMod val="15000"/>
                  <a:lumOff val="85000"/>
                </a:schemeClr>
              </a:solidFill>
              <a:round/>
            </a:ln>
            <a:effectLst/>
          </c:spPr>
        </c:majorGridlines>
        <c:numFmt formatCode="&quot;$ &quot;#,##0" sourceLinked="1"/>
        <c:majorTickMark val="none"/>
        <c:minorTickMark val="none"/>
        <c:tickLblPos val="nextTo"/>
        <c:spPr>
          <a:noFill/>
          <a:ln>
            <a:solidFill>
              <a:schemeClr val="tx1"/>
            </a:solidFill>
          </a:ln>
          <a:effectLst/>
        </c:spPr>
        <c:txPr>
          <a:bodyPr rot="-150000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40941360"/>
        <c:crosses val="autoZero"/>
        <c:crossBetween val="between"/>
      </c:valAx>
      <c:spPr>
        <a:noFill/>
        <a:ln>
          <a:noFill/>
        </a:ln>
        <a:effectLst/>
      </c:spPr>
    </c:plotArea>
    <c:legend>
      <c:legendPos val="b"/>
      <c:layout>
        <c:manualLayout>
          <c:xMode val="edge"/>
          <c:yMode val="edge"/>
          <c:x val="6.1660409612079539E-2"/>
          <c:y val="0.77658380822128203"/>
          <c:w val="0.91898687430379478"/>
          <c:h val="0.1936361595248326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842946574879916E-2"/>
          <c:y val="0.14264844607639021"/>
          <c:w val="0.91863216863177199"/>
          <c:h val="0.46985152778013894"/>
        </c:manualLayout>
      </c:layout>
      <c:barChart>
        <c:barDir val="bar"/>
        <c:grouping val="clustered"/>
        <c:varyColors val="0"/>
        <c:ser>
          <c:idx val="0"/>
          <c:order val="0"/>
          <c:tx>
            <c:strRef>
              <c:f>'Datos del modelo'!$E$78</c:f>
              <c:strCache>
                <c:ptCount val="1"/>
                <c:pt idx="0">
                  <c:v>Abrysvo, Pfizer</c:v>
                </c:pt>
              </c:strCache>
            </c:strRef>
          </c:tx>
          <c:spPr>
            <a:solidFill>
              <a:schemeClr val="accent1"/>
            </a:solidFill>
            <a:ln>
              <a:noFill/>
            </a:ln>
            <a:effectLst/>
          </c:spPr>
          <c:invertIfNegative val="0"/>
          <c:val>
            <c:numRef>
              <c:f>Resultados!$E$117</c:f>
              <c:numCache>
                <c:formatCode>"$ "#,##0</c:formatCode>
                <c:ptCount val="1"/>
                <c:pt idx="0">
                  <c:v>1253616.8254038889</c:v>
                </c:pt>
              </c:numCache>
            </c:numRef>
          </c:val>
          <c:extLst>
            <c:ext xmlns:c16="http://schemas.microsoft.com/office/drawing/2014/chart" uri="{C3380CC4-5D6E-409C-BE32-E72D297353CC}">
              <c16:uniqueId val="{00000000-28E9-45AC-9562-754FCAC6B41D}"/>
            </c:ext>
          </c:extLst>
        </c:ser>
        <c:ser>
          <c:idx val="1"/>
          <c:order val="1"/>
          <c:tx>
            <c:strRef>
              <c:f>'Datos del modelo'!$F$78</c:f>
              <c:strCache>
                <c:ptCount val="1"/>
                <c:pt idx="0">
                  <c:v>Ninguno</c:v>
                </c:pt>
              </c:strCache>
            </c:strRef>
          </c:tx>
          <c:spPr>
            <a:solidFill>
              <a:schemeClr val="accent2"/>
            </a:solidFill>
            <a:ln>
              <a:noFill/>
            </a:ln>
            <a:effectLst/>
          </c:spPr>
          <c:invertIfNegative val="0"/>
          <c:val>
            <c:numRef>
              <c:f>Resultados!$F$117</c:f>
            </c:numRef>
          </c:val>
          <c:extLst>
            <c:ext xmlns:c16="http://schemas.microsoft.com/office/drawing/2014/chart" uri="{C3380CC4-5D6E-409C-BE32-E72D297353CC}">
              <c16:uniqueId val="{00000009-28E9-45AC-9562-754FCAC6B41D}"/>
            </c:ext>
          </c:extLst>
        </c:ser>
        <c:ser>
          <c:idx val="2"/>
          <c:order val="2"/>
          <c:tx>
            <c:strRef>
              <c:f>'Datos del modelo'!$G$78</c:f>
              <c:strCache>
                <c:ptCount val="1"/>
                <c:pt idx="0">
                  <c:v>Ninguno</c:v>
                </c:pt>
              </c:strCache>
            </c:strRef>
          </c:tx>
          <c:spPr>
            <a:solidFill>
              <a:schemeClr val="accent3"/>
            </a:solidFill>
            <a:ln>
              <a:noFill/>
            </a:ln>
            <a:effectLst/>
          </c:spPr>
          <c:invertIfNegative val="0"/>
          <c:val>
            <c:numRef>
              <c:f>Resultados!$G$117</c:f>
            </c:numRef>
          </c:val>
          <c:extLst>
            <c:ext xmlns:c16="http://schemas.microsoft.com/office/drawing/2014/chart" uri="{C3380CC4-5D6E-409C-BE32-E72D297353CC}">
              <c16:uniqueId val="{0000000A-28E9-45AC-9562-754FCAC6B41D}"/>
            </c:ext>
          </c:extLst>
        </c:ser>
        <c:ser>
          <c:idx val="3"/>
          <c:order val="3"/>
          <c:tx>
            <c:strRef>
              <c:f>'Datos del modelo'!$H$78</c:f>
              <c:strCache>
                <c:ptCount val="1"/>
                <c:pt idx="0">
                  <c:v>Ninguno</c:v>
                </c:pt>
              </c:strCache>
            </c:strRef>
          </c:tx>
          <c:spPr>
            <a:solidFill>
              <a:schemeClr val="accent4"/>
            </a:solidFill>
            <a:ln>
              <a:noFill/>
            </a:ln>
            <a:effectLst/>
          </c:spPr>
          <c:invertIfNegative val="0"/>
          <c:val>
            <c:numRef>
              <c:f>Resultados!$I$117</c:f>
              <c:numCache>
                <c:formatCode>"$ "#,##0</c:formatCode>
                <c:ptCount val="1"/>
                <c:pt idx="0">
                  <c:v>0</c:v>
                </c:pt>
              </c:numCache>
            </c:numRef>
          </c:val>
          <c:extLst>
            <c:ext xmlns:c16="http://schemas.microsoft.com/office/drawing/2014/chart" uri="{C3380CC4-5D6E-409C-BE32-E72D297353CC}">
              <c16:uniqueId val="{0000000B-28E9-45AC-9562-754FCAC6B41D}"/>
            </c:ext>
          </c:extLst>
        </c:ser>
        <c:ser>
          <c:idx val="4"/>
          <c:order val="4"/>
          <c:tx>
            <c:strRef>
              <c:f>'Datos del modelo'!$I$78</c:f>
              <c:strCache>
                <c:ptCount val="1"/>
                <c:pt idx="0">
                  <c:v>Ninguno</c:v>
                </c:pt>
              </c:strCache>
            </c:strRef>
          </c:tx>
          <c:spPr>
            <a:solidFill>
              <a:schemeClr val="accent5"/>
            </a:solidFill>
            <a:ln>
              <a:noFill/>
            </a:ln>
            <a:effectLst/>
          </c:spPr>
          <c:invertIfNegative val="0"/>
          <c:val>
            <c:numRef>
              <c:f>Resultados!$J$117</c:f>
            </c:numRef>
          </c:val>
          <c:extLst>
            <c:ext xmlns:c16="http://schemas.microsoft.com/office/drawing/2014/chart" uri="{C3380CC4-5D6E-409C-BE32-E72D297353CC}">
              <c16:uniqueId val="{0000000C-28E9-45AC-9562-754FCAC6B41D}"/>
            </c:ext>
          </c:extLst>
        </c:ser>
        <c:ser>
          <c:idx val="5"/>
          <c:order val="5"/>
          <c:tx>
            <c:strRef>
              <c:f>'Datos del modelo'!$J$78</c:f>
              <c:strCache>
                <c:ptCount val="1"/>
                <c:pt idx="0">
                  <c:v>Ninguno</c:v>
                </c:pt>
              </c:strCache>
            </c:strRef>
          </c:tx>
          <c:spPr>
            <a:solidFill>
              <a:schemeClr val="accent6"/>
            </a:solidFill>
            <a:ln>
              <a:noFill/>
            </a:ln>
            <a:effectLst/>
          </c:spPr>
          <c:invertIfNegative val="0"/>
          <c:val>
            <c:numRef>
              <c:f>Resultados!$K$117</c:f>
            </c:numRef>
          </c:val>
          <c:extLst>
            <c:ext xmlns:c16="http://schemas.microsoft.com/office/drawing/2014/chart" uri="{C3380CC4-5D6E-409C-BE32-E72D297353CC}">
              <c16:uniqueId val="{0000000D-28E9-45AC-9562-754FCAC6B41D}"/>
            </c:ext>
          </c:extLst>
        </c:ser>
        <c:ser>
          <c:idx val="6"/>
          <c:order val="6"/>
          <c:tx>
            <c:strRef>
              <c:f>'Datos del modelo'!$K$78</c:f>
              <c:strCache>
                <c:ptCount val="1"/>
                <c:pt idx="0">
                  <c:v>Abrysvo, Pfizer</c:v>
                </c:pt>
              </c:strCache>
            </c:strRef>
          </c:tx>
          <c:spPr>
            <a:solidFill>
              <a:schemeClr val="accent1">
                <a:lumMod val="60000"/>
              </a:schemeClr>
            </a:solidFill>
            <a:ln>
              <a:noFill/>
            </a:ln>
            <a:effectLst/>
          </c:spPr>
          <c:invertIfNegative val="0"/>
          <c:val>
            <c:numRef>
              <c:f>Resultados!$N$117</c:f>
            </c:numRef>
          </c:val>
          <c:extLst>
            <c:ext xmlns:c16="http://schemas.microsoft.com/office/drawing/2014/chart" uri="{C3380CC4-5D6E-409C-BE32-E72D297353CC}">
              <c16:uniqueId val="{0000000E-28E9-45AC-9562-754FCAC6B41D}"/>
            </c:ext>
          </c:extLst>
        </c:ser>
        <c:ser>
          <c:idx val="7"/>
          <c:order val="7"/>
          <c:tx>
            <c:strRef>
              <c:f>'Datos del modelo'!$L$78</c:f>
              <c:strCache>
                <c:ptCount val="1"/>
                <c:pt idx="0">
                  <c:v>Anticuerpo monoclonal contra el VSR_2</c:v>
                </c:pt>
              </c:strCache>
            </c:strRef>
          </c:tx>
          <c:spPr>
            <a:solidFill>
              <a:schemeClr val="accent2">
                <a:lumMod val="60000"/>
              </a:schemeClr>
            </a:solidFill>
            <a:ln>
              <a:noFill/>
            </a:ln>
            <a:effectLst/>
          </c:spPr>
          <c:invertIfNegative val="0"/>
          <c:val>
            <c:numRef>
              <c:f>Resultados!$O$117</c:f>
            </c:numRef>
          </c:val>
          <c:extLst>
            <c:ext xmlns:c16="http://schemas.microsoft.com/office/drawing/2014/chart" uri="{C3380CC4-5D6E-409C-BE32-E72D297353CC}">
              <c16:uniqueId val="{0000000F-28E9-45AC-9562-754FCAC6B41D}"/>
            </c:ext>
          </c:extLst>
        </c:ser>
        <c:ser>
          <c:idx val="8"/>
          <c:order val="8"/>
          <c:tx>
            <c:strRef>
              <c:f>'Datos del modelo'!$K$76:$L$76</c:f>
              <c:strCache>
                <c:ptCount val="1"/>
                <c:pt idx="0">
                  <c:v>Vacunas contra el VSR para mujeres embarazadas y AcM contra el VSR para bebés (Vacuna materna y AcM)</c:v>
                </c:pt>
              </c:strCache>
            </c:strRef>
          </c:tx>
          <c:spPr>
            <a:solidFill>
              <a:schemeClr val="accent3">
                <a:lumMod val="60000"/>
              </a:schemeClr>
            </a:solidFill>
            <a:ln>
              <a:noFill/>
            </a:ln>
            <a:effectLst/>
          </c:spPr>
          <c:invertIfNegative val="0"/>
          <c:val>
            <c:numRef>
              <c:f>Resultados!$M$117</c:f>
              <c:numCache>
                <c:formatCode>"$ "#,##0</c:formatCode>
                <c:ptCount val="1"/>
                <c:pt idx="0">
                  <c:v>1874333.8173721144</c:v>
                </c:pt>
              </c:numCache>
            </c:numRef>
          </c:val>
          <c:extLst>
            <c:ext xmlns:c16="http://schemas.microsoft.com/office/drawing/2014/chart" uri="{C3380CC4-5D6E-409C-BE32-E72D297353CC}">
              <c16:uniqueId val="{00000010-28E9-45AC-9562-754FCAC6B41D}"/>
            </c:ext>
          </c:extLst>
        </c:ser>
        <c:dLbls>
          <c:showLegendKey val="0"/>
          <c:showVal val="0"/>
          <c:showCatName val="0"/>
          <c:showSerName val="0"/>
          <c:showPercent val="0"/>
          <c:showBubbleSize val="0"/>
        </c:dLbls>
        <c:gapWidth val="182"/>
        <c:axId val="640941360"/>
        <c:axId val="640940704"/>
        <c:extLst/>
      </c:barChart>
      <c:catAx>
        <c:axId val="640941360"/>
        <c:scaling>
          <c:orientation val="minMax"/>
        </c:scaling>
        <c:delete val="1"/>
        <c:axPos val="l"/>
        <c:numFmt formatCode="General" sourceLinked="1"/>
        <c:majorTickMark val="none"/>
        <c:minorTickMark val="none"/>
        <c:tickLblPos val="nextTo"/>
        <c:crossAx val="640940704"/>
        <c:crosses val="autoZero"/>
        <c:auto val="1"/>
        <c:lblAlgn val="ctr"/>
        <c:lblOffset val="100"/>
        <c:noMultiLvlLbl val="0"/>
      </c:catAx>
      <c:valAx>
        <c:axId val="640940704"/>
        <c:scaling>
          <c:orientation val="minMax"/>
        </c:scaling>
        <c:delete val="0"/>
        <c:axPos val="b"/>
        <c:majorGridlines>
          <c:spPr>
            <a:ln w="9525" cap="flat" cmpd="sng" algn="ctr">
              <a:solidFill>
                <a:schemeClr val="tx1">
                  <a:lumMod val="15000"/>
                  <a:lumOff val="85000"/>
                </a:schemeClr>
              </a:solidFill>
              <a:round/>
            </a:ln>
            <a:effectLst/>
          </c:spPr>
        </c:majorGridlines>
        <c:numFmt formatCode="&quot;$ &quot;#,##0" sourceLinked="1"/>
        <c:majorTickMark val="none"/>
        <c:minorTickMark val="none"/>
        <c:tickLblPos val="nextTo"/>
        <c:spPr>
          <a:noFill/>
          <a:ln>
            <a:solidFill>
              <a:schemeClr val="tx1"/>
            </a:solidFill>
          </a:ln>
          <a:effectLst/>
        </c:spPr>
        <c:txPr>
          <a:bodyPr rot="-150000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40941360"/>
        <c:crosses val="autoZero"/>
        <c:crossBetween val="between"/>
      </c:valAx>
      <c:spPr>
        <a:noFill/>
        <a:ln>
          <a:noFill/>
        </a:ln>
        <a:effectLst/>
      </c:spPr>
    </c:plotArea>
    <c:legend>
      <c:legendPos val="b"/>
      <c:layout>
        <c:manualLayout>
          <c:xMode val="edge"/>
          <c:yMode val="edge"/>
          <c:x val="4.5543193030001816E-2"/>
          <c:y val="0.79519632837996035"/>
          <c:w val="0.92253044107555138"/>
          <c:h val="0.20108116758830394"/>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defRPr>
      </a:pPr>
      <a:endParaRPr lang="en-US"/>
    </a:p>
  </c:txPr>
  <c:printSettings>
    <c:headerFooter/>
    <c:pageMargins b="0.75" l="0.7" r="0.7" t="0.75" header="0.3" footer="0.3"/>
    <c:pageSetup/>
  </c:printSettings>
  <c:userShapes r:id="rId3"/>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sz="1400" b="1" i="0" u="none" strike="noStrike" kern="1200" spc="0" baseline="0">
                <a:solidFill>
                  <a:sysClr val="windowText" lastClr="000000"/>
                </a:solidFill>
              </a:rPr>
              <a:t>Vaccination Program Cost</a:t>
            </a:r>
          </a:p>
          <a:p>
            <a:pPr>
              <a:defRPr b="1"/>
            </a:pPr>
            <a:r>
              <a:rPr lang="fr-CH" sz="1000" b="1" i="0" u="none" strike="noStrike" kern="1200" spc="0" baseline="0">
                <a:solidFill>
                  <a:sysClr val="windowText" lastClr="000000"/>
                </a:solidFill>
                <a:effectLst/>
              </a:rPr>
              <a:t>Vaccine cost + incremental health system costs</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1"/>
          <c:order val="0"/>
          <c:tx>
            <c:strRef>
              <c:f>'Datos del modelo'!$E$78</c:f>
              <c:strCache>
                <c:ptCount val="1"/>
                <c:pt idx="0">
                  <c:v>Abrysvo, Pfizer</c:v>
                </c:pt>
              </c:strCache>
            </c:strRef>
          </c:tx>
          <c:spPr>
            <a:solidFill>
              <a:schemeClr val="accent2"/>
            </a:solidFill>
            <a:ln>
              <a:noFill/>
            </a:ln>
            <a:effectLst/>
          </c:spPr>
          <c:invertIfNegative val="0"/>
          <c:cat>
            <c:numRef>
              <c:f>Resultados!$D$118:$D$122</c:f>
              <c:numCache>
                <c:formatCode>General</c:formatCode>
                <c:ptCount val="5"/>
                <c:pt idx="0">
                  <c:v>2025</c:v>
                </c:pt>
                <c:pt idx="1">
                  <c:v>2026</c:v>
                </c:pt>
                <c:pt idx="2">
                  <c:v>2027</c:v>
                </c:pt>
                <c:pt idx="3">
                  <c:v>2028</c:v>
                </c:pt>
                <c:pt idx="4">
                  <c:v>2029</c:v>
                </c:pt>
              </c:numCache>
            </c:numRef>
          </c:cat>
          <c:val>
            <c:numRef>
              <c:f>Resultados!$E$118:$E$122</c:f>
              <c:numCache>
                <c:formatCode>"$ "#,##0</c:formatCode>
                <c:ptCount val="5"/>
                <c:pt idx="0">
                  <c:v>195293.33333333334</c:v>
                </c:pt>
                <c:pt idx="1">
                  <c:v>228077.48888888888</c:v>
                </c:pt>
                <c:pt idx="2">
                  <c:v>233787.40555555557</c:v>
                </c:pt>
                <c:pt idx="3">
                  <c:v>276367.97711111116</c:v>
                </c:pt>
                <c:pt idx="4">
                  <c:v>320090.62051500002</c:v>
                </c:pt>
              </c:numCache>
            </c:numRef>
          </c:val>
          <c:extLst>
            <c:ext xmlns:c16="http://schemas.microsoft.com/office/drawing/2014/chart" uri="{C3380CC4-5D6E-409C-BE32-E72D297353CC}">
              <c16:uniqueId val="{00000000-C25E-4295-BEE6-9E8C87F770CB}"/>
            </c:ext>
          </c:extLst>
        </c:ser>
        <c:ser>
          <c:idx val="0"/>
          <c:order val="1"/>
          <c:tx>
            <c:strRef>
              <c:f>'Datos del modelo'!$F$78</c:f>
              <c:strCache>
                <c:ptCount val="1"/>
                <c:pt idx="0">
                  <c:v>Ninguno</c:v>
                </c:pt>
              </c:strCache>
            </c:strRef>
          </c:tx>
          <c:spPr>
            <a:solidFill>
              <a:schemeClr val="accent1"/>
            </a:solidFill>
            <a:ln>
              <a:noFill/>
            </a:ln>
            <a:effectLst/>
          </c:spPr>
          <c:invertIfNegative val="0"/>
          <c:cat>
            <c:numRef>
              <c:f>Resultados!$D$118:$D$122</c:f>
              <c:numCache>
                <c:formatCode>General</c:formatCode>
                <c:ptCount val="5"/>
                <c:pt idx="0">
                  <c:v>2025</c:v>
                </c:pt>
                <c:pt idx="1">
                  <c:v>2026</c:v>
                </c:pt>
                <c:pt idx="2">
                  <c:v>2027</c:v>
                </c:pt>
                <c:pt idx="3">
                  <c:v>2028</c:v>
                </c:pt>
                <c:pt idx="4">
                  <c:v>2029</c:v>
                </c:pt>
              </c:numCache>
            </c:numRef>
          </c:cat>
          <c:val>
            <c:numRef>
              <c:f>Resultados!$F$118:$F$122</c:f>
            </c:numRef>
          </c:val>
          <c:extLst>
            <c:ext xmlns:c16="http://schemas.microsoft.com/office/drawing/2014/chart" uri="{C3380CC4-5D6E-409C-BE32-E72D297353CC}">
              <c16:uniqueId val="{00000001-C25E-4295-BEE6-9E8C87F770CB}"/>
            </c:ext>
          </c:extLst>
        </c:ser>
        <c:ser>
          <c:idx val="2"/>
          <c:order val="2"/>
          <c:tx>
            <c:strRef>
              <c:f>'Datos del modelo'!$G$78</c:f>
              <c:strCache>
                <c:ptCount val="1"/>
                <c:pt idx="0">
                  <c:v>Ninguno</c:v>
                </c:pt>
              </c:strCache>
            </c:strRef>
          </c:tx>
          <c:spPr>
            <a:solidFill>
              <a:schemeClr val="accent3"/>
            </a:solidFill>
            <a:ln>
              <a:noFill/>
            </a:ln>
            <a:effectLst/>
          </c:spPr>
          <c:invertIfNegative val="0"/>
          <c:cat>
            <c:numRef>
              <c:f>Resultados!$D$118:$D$122</c:f>
              <c:numCache>
                <c:formatCode>General</c:formatCode>
                <c:ptCount val="5"/>
                <c:pt idx="0">
                  <c:v>2025</c:v>
                </c:pt>
                <c:pt idx="1">
                  <c:v>2026</c:v>
                </c:pt>
                <c:pt idx="2">
                  <c:v>2027</c:v>
                </c:pt>
                <c:pt idx="3">
                  <c:v>2028</c:v>
                </c:pt>
                <c:pt idx="4">
                  <c:v>2029</c:v>
                </c:pt>
              </c:numCache>
            </c:numRef>
          </c:cat>
          <c:val>
            <c:numRef>
              <c:f>Resultados!$G$118:$G$122</c:f>
            </c:numRef>
          </c:val>
          <c:extLst>
            <c:ext xmlns:c16="http://schemas.microsoft.com/office/drawing/2014/chart" uri="{C3380CC4-5D6E-409C-BE32-E72D297353CC}">
              <c16:uniqueId val="{00000002-C25E-4295-BEE6-9E8C87F770CB}"/>
            </c:ext>
          </c:extLst>
        </c:ser>
        <c:ser>
          <c:idx val="3"/>
          <c:order val="3"/>
          <c:tx>
            <c:strRef>
              <c:f>'Datos del modelo'!$H$78</c:f>
              <c:strCache>
                <c:ptCount val="1"/>
                <c:pt idx="0">
                  <c:v>Ninguno</c:v>
                </c:pt>
              </c:strCache>
            </c:strRef>
          </c:tx>
          <c:spPr>
            <a:solidFill>
              <a:schemeClr val="accent4"/>
            </a:solidFill>
            <a:ln>
              <a:noFill/>
            </a:ln>
            <a:effectLst/>
          </c:spPr>
          <c:invertIfNegative val="0"/>
          <c:cat>
            <c:numRef>
              <c:f>Resultados!$D$118:$D$122</c:f>
              <c:numCache>
                <c:formatCode>General</c:formatCode>
                <c:ptCount val="5"/>
                <c:pt idx="0">
                  <c:v>2025</c:v>
                </c:pt>
                <c:pt idx="1">
                  <c:v>2026</c:v>
                </c:pt>
                <c:pt idx="2">
                  <c:v>2027</c:v>
                </c:pt>
                <c:pt idx="3">
                  <c:v>2028</c:v>
                </c:pt>
                <c:pt idx="4">
                  <c:v>2029</c:v>
                </c:pt>
              </c:numCache>
            </c:numRef>
          </c:cat>
          <c:val>
            <c:numRef>
              <c:f>Resultados!$I$118:$I$122</c:f>
              <c:numCache>
                <c:formatCode>"$ "#,##0</c:formatCode>
                <c:ptCount val="5"/>
                <c:pt idx="0">
                  <c:v>0</c:v>
                </c:pt>
                <c:pt idx="1">
                  <c:v>0</c:v>
                </c:pt>
                <c:pt idx="2">
                  <c:v>0</c:v>
                </c:pt>
                <c:pt idx="3">
                  <c:v>0</c:v>
                </c:pt>
                <c:pt idx="4">
                  <c:v>0</c:v>
                </c:pt>
              </c:numCache>
            </c:numRef>
          </c:val>
          <c:extLst>
            <c:ext xmlns:c16="http://schemas.microsoft.com/office/drawing/2014/chart" uri="{C3380CC4-5D6E-409C-BE32-E72D297353CC}">
              <c16:uniqueId val="{00000003-C25E-4295-BEE6-9E8C87F770CB}"/>
            </c:ext>
          </c:extLst>
        </c:ser>
        <c:ser>
          <c:idx val="4"/>
          <c:order val="4"/>
          <c:tx>
            <c:strRef>
              <c:f>'Datos del modelo'!$I$78</c:f>
              <c:strCache>
                <c:ptCount val="1"/>
                <c:pt idx="0">
                  <c:v>Ninguno</c:v>
                </c:pt>
              </c:strCache>
            </c:strRef>
          </c:tx>
          <c:spPr>
            <a:solidFill>
              <a:schemeClr val="accent5"/>
            </a:solidFill>
            <a:ln>
              <a:noFill/>
            </a:ln>
            <a:effectLst/>
          </c:spPr>
          <c:invertIfNegative val="0"/>
          <c:cat>
            <c:numRef>
              <c:f>Resultados!$D$118:$D$122</c:f>
              <c:numCache>
                <c:formatCode>General</c:formatCode>
                <c:ptCount val="5"/>
                <c:pt idx="0">
                  <c:v>2025</c:v>
                </c:pt>
                <c:pt idx="1">
                  <c:v>2026</c:v>
                </c:pt>
                <c:pt idx="2">
                  <c:v>2027</c:v>
                </c:pt>
                <c:pt idx="3">
                  <c:v>2028</c:v>
                </c:pt>
                <c:pt idx="4">
                  <c:v>2029</c:v>
                </c:pt>
              </c:numCache>
            </c:numRef>
          </c:cat>
          <c:val>
            <c:numRef>
              <c:f>Resultados!$J$118:$J$122</c:f>
            </c:numRef>
          </c:val>
          <c:extLst>
            <c:ext xmlns:c16="http://schemas.microsoft.com/office/drawing/2014/chart" uri="{C3380CC4-5D6E-409C-BE32-E72D297353CC}">
              <c16:uniqueId val="{00000004-C25E-4295-BEE6-9E8C87F770CB}"/>
            </c:ext>
          </c:extLst>
        </c:ser>
        <c:ser>
          <c:idx val="6"/>
          <c:order val="5"/>
          <c:tx>
            <c:strRef>
              <c:f>'Datos del modelo'!$J$78</c:f>
              <c:strCache>
                <c:ptCount val="1"/>
                <c:pt idx="0">
                  <c:v>Ninguno</c:v>
                </c:pt>
              </c:strCache>
            </c:strRef>
          </c:tx>
          <c:spPr>
            <a:solidFill>
              <a:schemeClr val="accent1">
                <a:lumMod val="60000"/>
              </a:schemeClr>
            </a:solidFill>
            <a:ln>
              <a:noFill/>
            </a:ln>
            <a:effectLst/>
          </c:spPr>
          <c:invertIfNegative val="0"/>
          <c:cat>
            <c:numRef>
              <c:f>Resultados!$D$118:$D$122</c:f>
              <c:numCache>
                <c:formatCode>General</c:formatCode>
                <c:ptCount val="5"/>
                <c:pt idx="0">
                  <c:v>2025</c:v>
                </c:pt>
                <c:pt idx="1">
                  <c:v>2026</c:v>
                </c:pt>
                <c:pt idx="2">
                  <c:v>2027</c:v>
                </c:pt>
                <c:pt idx="3">
                  <c:v>2028</c:v>
                </c:pt>
                <c:pt idx="4">
                  <c:v>2029</c:v>
                </c:pt>
              </c:numCache>
            </c:numRef>
          </c:cat>
          <c:val>
            <c:numRef>
              <c:f>Resultados!$K$118:$K$122</c:f>
            </c:numRef>
          </c:val>
          <c:extLst>
            <c:ext xmlns:c16="http://schemas.microsoft.com/office/drawing/2014/chart" uri="{C3380CC4-5D6E-409C-BE32-E72D297353CC}">
              <c16:uniqueId val="{00000005-C25E-4295-BEE6-9E8C87F770CB}"/>
            </c:ext>
          </c:extLst>
        </c:ser>
        <c:ser>
          <c:idx val="7"/>
          <c:order val="6"/>
          <c:tx>
            <c:strRef>
              <c:f>'Datos del modelo'!$K$78</c:f>
              <c:strCache>
                <c:ptCount val="1"/>
                <c:pt idx="0">
                  <c:v>Abrysvo, Pfizer</c:v>
                </c:pt>
              </c:strCache>
            </c:strRef>
          </c:tx>
          <c:spPr>
            <a:solidFill>
              <a:schemeClr val="accent2">
                <a:lumMod val="60000"/>
              </a:schemeClr>
            </a:solidFill>
            <a:ln>
              <a:noFill/>
            </a:ln>
            <a:effectLst/>
          </c:spPr>
          <c:invertIfNegative val="0"/>
          <c:cat>
            <c:numRef>
              <c:f>Resultados!$D$118:$D$122</c:f>
              <c:numCache>
                <c:formatCode>General</c:formatCode>
                <c:ptCount val="5"/>
                <c:pt idx="0">
                  <c:v>2025</c:v>
                </c:pt>
                <c:pt idx="1">
                  <c:v>2026</c:v>
                </c:pt>
                <c:pt idx="2">
                  <c:v>2027</c:v>
                </c:pt>
                <c:pt idx="3">
                  <c:v>2028</c:v>
                </c:pt>
                <c:pt idx="4">
                  <c:v>2029</c:v>
                </c:pt>
              </c:numCache>
            </c:numRef>
          </c:cat>
          <c:val>
            <c:numRef>
              <c:f>Resultados!$N$118:$N$122</c:f>
            </c:numRef>
          </c:val>
          <c:extLst>
            <c:ext xmlns:c16="http://schemas.microsoft.com/office/drawing/2014/chart" uri="{C3380CC4-5D6E-409C-BE32-E72D297353CC}">
              <c16:uniqueId val="{00000006-C25E-4295-BEE6-9E8C87F770CB}"/>
            </c:ext>
          </c:extLst>
        </c:ser>
        <c:ser>
          <c:idx val="5"/>
          <c:order val="7"/>
          <c:tx>
            <c:strRef>
              <c:f>'Datos del modelo'!$L$78</c:f>
              <c:strCache>
                <c:ptCount val="1"/>
                <c:pt idx="0">
                  <c:v>Anticuerpo monoclonal contra el VSR_2</c:v>
                </c:pt>
              </c:strCache>
            </c:strRef>
          </c:tx>
          <c:spPr>
            <a:solidFill>
              <a:schemeClr val="accent6"/>
            </a:solidFill>
            <a:ln>
              <a:noFill/>
            </a:ln>
            <a:effectLst/>
          </c:spPr>
          <c:invertIfNegative val="0"/>
          <c:cat>
            <c:numRef>
              <c:f>Resultados!$D$118:$D$122</c:f>
              <c:numCache>
                <c:formatCode>General</c:formatCode>
                <c:ptCount val="5"/>
                <c:pt idx="0">
                  <c:v>2025</c:v>
                </c:pt>
                <c:pt idx="1">
                  <c:v>2026</c:v>
                </c:pt>
                <c:pt idx="2">
                  <c:v>2027</c:v>
                </c:pt>
                <c:pt idx="3">
                  <c:v>2028</c:v>
                </c:pt>
                <c:pt idx="4">
                  <c:v>2029</c:v>
                </c:pt>
              </c:numCache>
            </c:numRef>
          </c:cat>
          <c:val>
            <c:numRef>
              <c:f>Resultados!$O$118:$O$122</c:f>
            </c:numRef>
          </c:val>
          <c:extLst>
            <c:ext xmlns:c16="http://schemas.microsoft.com/office/drawing/2014/chart" uri="{C3380CC4-5D6E-409C-BE32-E72D297353CC}">
              <c16:uniqueId val="{00000007-C25E-4295-BEE6-9E8C87F770CB}"/>
            </c:ext>
          </c:extLst>
        </c:ser>
        <c:ser>
          <c:idx val="8"/>
          <c:order val="8"/>
          <c:tx>
            <c:strRef>
              <c:f>'Datos del modelo'!$K$76:$L$76</c:f>
              <c:strCache>
                <c:ptCount val="1"/>
                <c:pt idx="0">
                  <c:v>Vacunas contra el VSR para mujeres embarazadas y AcM contra el VSR para bebés (Vacuna materna y AcM)</c:v>
                </c:pt>
              </c:strCache>
            </c:strRef>
          </c:tx>
          <c:spPr>
            <a:solidFill>
              <a:schemeClr val="accent3">
                <a:lumMod val="60000"/>
              </a:schemeClr>
            </a:solidFill>
            <a:ln>
              <a:noFill/>
            </a:ln>
            <a:effectLst/>
          </c:spPr>
          <c:invertIfNegative val="0"/>
          <c:cat>
            <c:numRef>
              <c:f>Resultados!$D$118:$D$122</c:f>
              <c:numCache>
                <c:formatCode>General</c:formatCode>
                <c:ptCount val="5"/>
                <c:pt idx="0">
                  <c:v>2025</c:v>
                </c:pt>
                <c:pt idx="1">
                  <c:v>2026</c:v>
                </c:pt>
                <c:pt idx="2">
                  <c:v>2027</c:v>
                </c:pt>
                <c:pt idx="3">
                  <c:v>2028</c:v>
                </c:pt>
                <c:pt idx="4">
                  <c:v>2029</c:v>
                </c:pt>
              </c:numCache>
            </c:numRef>
          </c:cat>
          <c:val>
            <c:numRef>
              <c:f>Resultados!$M$118:$M$122</c:f>
              <c:numCache>
                <c:formatCode>"$ "#,##0</c:formatCode>
                <c:ptCount val="5"/>
                <c:pt idx="0">
                  <c:v>370299.44444444444</c:v>
                </c:pt>
                <c:pt idx="1">
                  <c:v>370654.49333333335</c:v>
                </c:pt>
                <c:pt idx="2">
                  <c:v>378127.06825555558</c:v>
                </c:pt>
                <c:pt idx="3">
                  <c:v>379876.68052711117</c:v>
                </c:pt>
                <c:pt idx="4">
                  <c:v>375376.13081166998</c:v>
                </c:pt>
              </c:numCache>
            </c:numRef>
          </c:val>
          <c:extLst>
            <c:ext xmlns:c16="http://schemas.microsoft.com/office/drawing/2014/chart" uri="{C3380CC4-5D6E-409C-BE32-E72D297353CC}">
              <c16:uniqueId val="{00000008-C25E-4295-BEE6-9E8C87F770CB}"/>
            </c:ext>
          </c:extLst>
        </c:ser>
        <c:dLbls>
          <c:showLegendKey val="0"/>
          <c:showVal val="0"/>
          <c:showCatName val="0"/>
          <c:showSerName val="0"/>
          <c:showPercent val="0"/>
          <c:showBubbleSize val="0"/>
        </c:dLbls>
        <c:gapWidth val="128"/>
        <c:axId val="747696848"/>
        <c:axId val="747696192"/>
      </c:barChart>
      <c:catAx>
        <c:axId val="747696848"/>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192"/>
        <c:crosses val="autoZero"/>
        <c:auto val="1"/>
        <c:lblAlgn val="ctr"/>
        <c:lblOffset val="100"/>
        <c:noMultiLvlLbl val="0"/>
      </c:catAx>
      <c:valAx>
        <c:axId val="747696192"/>
        <c:scaling>
          <c:orientation val="minMax"/>
        </c:scaling>
        <c:delete val="0"/>
        <c:axPos val="l"/>
        <c:majorGridlines>
          <c:spPr>
            <a:ln w="9525" cap="flat" cmpd="sng" algn="ctr">
              <a:solidFill>
                <a:schemeClr val="tx1">
                  <a:lumMod val="15000"/>
                  <a:lumOff val="85000"/>
                </a:schemeClr>
              </a:solidFill>
              <a:round/>
            </a:ln>
            <a:effectLst/>
          </c:spPr>
        </c:majorGridlines>
        <c:numFmt formatCode="&quot;$ &quot;#,##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848"/>
        <c:crosses val="autoZero"/>
        <c:crossBetween val="between"/>
      </c:valAx>
      <c:spPr>
        <a:noFill/>
        <a:ln>
          <a:noFill/>
        </a:ln>
        <a:effectLst/>
      </c:spPr>
    </c:plotArea>
    <c:legend>
      <c:legendPos val="b"/>
      <c:layout>
        <c:manualLayout>
          <c:xMode val="edge"/>
          <c:yMode val="edge"/>
          <c:x val="6.819060739423316E-2"/>
          <c:y val="0.79098386815275024"/>
          <c:w val="0.85149667163263798"/>
          <c:h val="0.20303360976196863"/>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sz="1400" b="1"/>
              <a:t>Vaccine</a:t>
            </a:r>
            <a:r>
              <a:rPr lang="fr-CH" sz="1400" b="1" baseline="0"/>
              <a:t> Cost</a:t>
            </a:r>
            <a:endParaRPr lang="fr-CH" sz="1400" b="1"/>
          </a:p>
        </c:rich>
      </c:tx>
      <c:layout>
        <c:manualLayout>
          <c:xMode val="edge"/>
          <c:yMode val="edge"/>
          <c:x val="0.4328871804357296"/>
          <c:y val="1.9342658547895145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fr-CH"/>
        </a:p>
      </c:txPr>
    </c:title>
    <c:autoTitleDeleted val="0"/>
    <c:plotArea>
      <c:layout>
        <c:manualLayout>
          <c:layoutTarget val="inner"/>
          <c:xMode val="edge"/>
          <c:yMode val="edge"/>
          <c:x val="4.4842946574879916E-2"/>
          <c:y val="0.14264844607639021"/>
          <c:w val="0.91057363748010556"/>
          <c:h val="0.43634901767801038"/>
        </c:manualLayout>
      </c:layout>
      <c:barChart>
        <c:barDir val="bar"/>
        <c:grouping val="clustered"/>
        <c:varyColors val="0"/>
        <c:ser>
          <c:idx val="0"/>
          <c:order val="0"/>
          <c:tx>
            <c:strRef>
              <c:f>'Datos del modelo'!$E$78</c:f>
              <c:strCache>
                <c:ptCount val="1"/>
                <c:pt idx="0">
                  <c:v>Abrysvo, Pfizer</c:v>
                </c:pt>
              </c:strCache>
            </c:strRef>
          </c:tx>
          <c:spPr>
            <a:solidFill>
              <a:schemeClr val="accent1"/>
            </a:solidFill>
            <a:ln>
              <a:noFill/>
            </a:ln>
            <a:effectLst/>
          </c:spPr>
          <c:invertIfNegative val="0"/>
          <c:val>
            <c:numRef>
              <c:f>Resultados!$E$128</c:f>
              <c:numCache>
                <c:formatCode>"$ "#,##0</c:formatCode>
                <c:ptCount val="1"/>
                <c:pt idx="0">
                  <c:v>3581419.6205880558</c:v>
                </c:pt>
              </c:numCache>
            </c:numRef>
          </c:val>
          <c:extLs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Ninguno</c:v>
                      </c:pt>
                      <c:pt idx="2">
                        <c:v>Los dos, total</c:v>
                      </c:pt>
                    </c:strCache>
                  </c:strRef>
                </c15:cat>
              </c15:filteredCategoryTitle>
            </c:ext>
            <c:ext xmlns:c16="http://schemas.microsoft.com/office/drawing/2014/chart" uri="{C3380CC4-5D6E-409C-BE32-E72D297353CC}">
              <c16:uniqueId val="{00000000-CBC3-437E-9F0A-0BEC43C0518F}"/>
            </c:ext>
          </c:extLst>
        </c:ser>
        <c:ser>
          <c:idx val="1"/>
          <c:order val="1"/>
          <c:tx>
            <c:strRef>
              <c:f>'Datos del modelo'!$F$78</c:f>
              <c:strCache>
                <c:ptCount val="1"/>
                <c:pt idx="0">
                  <c:v>Ninguno</c:v>
                </c:pt>
              </c:strCache>
            </c:strRef>
          </c:tx>
          <c:spPr>
            <a:solidFill>
              <a:schemeClr val="accent2"/>
            </a:solidFill>
            <a:ln>
              <a:noFill/>
            </a:ln>
            <a:effectLst/>
          </c:spPr>
          <c:invertIfNegative val="0"/>
          <c:val>
            <c:numRef>
              <c:f>Resultados!$F$128</c:f>
            </c:numRef>
          </c:val>
          <c:extLs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Ninguno</c:v>
                      </c:pt>
                      <c:pt idx="2">
                        <c:v>Los dos, total</c:v>
                      </c:pt>
                    </c:strCache>
                  </c:strRef>
                </c15:cat>
              </c15:filteredCategoryTitle>
            </c:ext>
            <c:ext xmlns:c16="http://schemas.microsoft.com/office/drawing/2014/chart" uri="{C3380CC4-5D6E-409C-BE32-E72D297353CC}">
              <c16:uniqueId val="{00000001-CBC3-437E-9F0A-0BEC43C0518F}"/>
            </c:ext>
          </c:extLst>
        </c:ser>
        <c:ser>
          <c:idx val="2"/>
          <c:order val="2"/>
          <c:tx>
            <c:strRef>
              <c:f>'Datos del modelo'!$G$78</c:f>
              <c:strCache>
                <c:ptCount val="1"/>
                <c:pt idx="0">
                  <c:v>Ninguno</c:v>
                </c:pt>
              </c:strCache>
            </c:strRef>
          </c:tx>
          <c:spPr>
            <a:solidFill>
              <a:schemeClr val="accent3"/>
            </a:solidFill>
            <a:ln>
              <a:noFill/>
            </a:ln>
            <a:effectLst/>
          </c:spPr>
          <c:invertIfNegative val="0"/>
          <c:val>
            <c:numRef>
              <c:f>Resultados!$G$128</c:f>
            </c:numRef>
          </c:val>
          <c:extLs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Ninguno</c:v>
                      </c:pt>
                      <c:pt idx="2">
                        <c:v>Los dos, total</c:v>
                      </c:pt>
                    </c:strCache>
                  </c:strRef>
                </c15:cat>
              </c15:filteredCategoryTitle>
            </c:ext>
            <c:ext xmlns:c16="http://schemas.microsoft.com/office/drawing/2014/chart" uri="{C3380CC4-5D6E-409C-BE32-E72D297353CC}">
              <c16:uniqueId val="{00000002-CBC3-437E-9F0A-0BEC43C0518F}"/>
            </c:ext>
          </c:extLst>
        </c:ser>
        <c:ser>
          <c:idx val="3"/>
          <c:order val="3"/>
          <c:tx>
            <c:strRef>
              <c:f>'Datos del modelo'!$H$78</c:f>
              <c:strCache>
                <c:ptCount val="1"/>
                <c:pt idx="0">
                  <c:v>Ninguno</c:v>
                </c:pt>
              </c:strCache>
            </c:strRef>
          </c:tx>
          <c:spPr>
            <a:solidFill>
              <a:schemeClr val="accent4"/>
            </a:solidFill>
            <a:ln>
              <a:noFill/>
            </a:ln>
            <a:effectLst/>
          </c:spPr>
          <c:invertIfNegative val="0"/>
          <c:val>
            <c:numRef>
              <c:f>Resultados!$I$128</c:f>
              <c:numCache>
                <c:formatCode>"$ "#,##0</c:formatCode>
                <c:ptCount val="1"/>
                <c:pt idx="0">
                  <c:v>0</c:v>
                </c:pt>
              </c:numCache>
            </c:numRef>
          </c:val>
          <c:extLs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Ninguno</c:v>
                      </c:pt>
                      <c:pt idx="2">
                        <c:v>Los dos, total</c:v>
                      </c:pt>
                    </c:strCache>
                  </c:strRef>
                </c15:cat>
              </c15:filteredCategoryTitle>
            </c:ext>
            <c:ext xmlns:c16="http://schemas.microsoft.com/office/drawing/2014/chart" uri="{C3380CC4-5D6E-409C-BE32-E72D297353CC}">
              <c16:uniqueId val="{00000003-CBC3-437E-9F0A-0BEC43C0518F}"/>
            </c:ext>
          </c:extLst>
        </c:ser>
        <c:ser>
          <c:idx val="4"/>
          <c:order val="4"/>
          <c:tx>
            <c:strRef>
              <c:f>'Datos del modelo'!$I$78</c:f>
              <c:strCache>
                <c:ptCount val="1"/>
                <c:pt idx="0">
                  <c:v>Ninguno</c:v>
                </c:pt>
              </c:strCache>
            </c:strRef>
          </c:tx>
          <c:spPr>
            <a:solidFill>
              <a:schemeClr val="accent5"/>
            </a:solidFill>
            <a:ln>
              <a:noFill/>
            </a:ln>
            <a:effectLst/>
          </c:spPr>
          <c:invertIfNegative val="0"/>
          <c:val>
            <c:numRef>
              <c:f>Resultados!$J$128</c:f>
            </c:numRef>
          </c:val>
          <c:extLs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Ninguno</c:v>
                      </c:pt>
                      <c:pt idx="2">
                        <c:v>Los dos, total</c:v>
                      </c:pt>
                    </c:strCache>
                  </c:strRef>
                </c15:cat>
              </c15:filteredCategoryTitle>
            </c:ext>
            <c:ext xmlns:c16="http://schemas.microsoft.com/office/drawing/2014/chart" uri="{C3380CC4-5D6E-409C-BE32-E72D297353CC}">
              <c16:uniqueId val="{00000004-CBC3-437E-9F0A-0BEC43C0518F}"/>
            </c:ext>
          </c:extLst>
        </c:ser>
        <c:ser>
          <c:idx val="5"/>
          <c:order val="5"/>
          <c:tx>
            <c:strRef>
              <c:f>'Datos del modelo'!$J$78</c:f>
              <c:strCache>
                <c:ptCount val="1"/>
                <c:pt idx="0">
                  <c:v>Ninguno</c:v>
                </c:pt>
              </c:strCache>
            </c:strRef>
          </c:tx>
          <c:spPr>
            <a:solidFill>
              <a:schemeClr val="accent6"/>
            </a:solidFill>
            <a:ln>
              <a:noFill/>
            </a:ln>
            <a:effectLst/>
          </c:spPr>
          <c:invertIfNegative val="0"/>
          <c:val>
            <c:numRef>
              <c:f>Resultados!$K$128</c:f>
            </c:numRef>
          </c:val>
          <c:extLs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Ninguno</c:v>
                      </c:pt>
                      <c:pt idx="2">
                        <c:v>Los dos, total</c:v>
                      </c:pt>
                    </c:strCache>
                  </c:strRef>
                </c15:cat>
              </c15:filteredCategoryTitle>
            </c:ext>
            <c:ext xmlns:c16="http://schemas.microsoft.com/office/drawing/2014/chart" uri="{C3380CC4-5D6E-409C-BE32-E72D297353CC}">
              <c16:uniqueId val="{00000005-CBC3-437E-9F0A-0BEC43C0518F}"/>
            </c:ext>
          </c:extLst>
        </c:ser>
        <c:ser>
          <c:idx val="6"/>
          <c:order val="6"/>
          <c:tx>
            <c:strRef>
              <c:f>'Datos del modelo'!$K$78</c:f>
              <c:strCache>
                <c:ptCount val="1"/>
                <c:pt idx="0">
                  <c:v>Abrysvo, Pfizer</c:v>
                </c:pt>
              </c:strCache>
            </c:strRef>
          </c:tx>
          <c:spPr>
            <a:solidFill>
              <a:schemeClr val="accent1">
                <a:lumMod val="60000"/>
              </a:schemeClr>
            </a:solidFill>
            <a:ln>
              <a:noFill/>
            </a:ln>
            <a:effectLst/>
          </c:spPr>
          <c:invertIfNegative val="0"/>
          <c:val>
            <c:numRef>
              <c:f>Resultados!$N$128</c:f>
            </c:numRef>
          </c:val>
          <c:extLs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Ninguno</c:v>
                      </c:pt>
                      <c:pt idx="2">
                        <c:v>Los dos, total</c:v>
                      </c:pt>
                    </c:strCache>
                  </c:strRef>
                </c15:cat>
              </c15:filteredCategoryTitle>
            </c:ext>
            <c:ext xmlns:c16="http://schemas.microsoft.com/office/drawing/2014/chart" uri="{C3380CC4-5D6E-409C-BE32-E72D297353CC}">
              <c16:uniqueId val="{00000007-CBC3-437E-9F0A-0BEC43C0518F}"/>
            </c:ext>
          </c:extLst>
        </c:ser>
        <c:ser>
          <c:idx val="7"/>
          <c:order val="7"/>
          <c:tx>
            <c:strRef>
              <c:f>'Datos del modelo'!$L$78</c:f>
              <c:strCache>
                <c:ptCount val="1"/>
                <c:pt idx="0">
                  <c:v>Anticuerpo monoclonal contra el VSR_2</c:v>
                </c:pt>
              </c:strCache>
            </c:strRef>
          </c:tx>
          <c:spPr>
            <a:solidFill>
              <a:schemeClr val="accent2">
                <a:lumMod val="60000"/>
              </a:schemeClr>
            </a:solidFill>
            <a:ln>
              <a:noFill/>
            </a:ln>
            <a:effectLst/>
          </c:spPr>
          <c:invertIfNegative val="0"/>
          <c:val>
            <c:numRef>
              <c:f>Resultados!$O$128</c:f>
            </c:numRef>
          </c:val>
          <c:extLs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Ninguno</c:v>
                      </c:pt>
                      <c:pt idx="2">
                        <c:v>Los dos, total</c:v>
                      </c:pt>
                    </c:strCache>
                  </c:strRef>
                </c15:cat>
              </c15:filteredCategoryTitle>
            </c:ext>
            <c:ext xmlns:c16="http://schemas.microsoft.com/office/drawing/2014/chart" uri="{C3380CC4-5D6E-409C-BE32-E72D297353CC}">
              <c16:uniqueId val="{00000008-CBC3-437E-9F0A-0BEC43C0518F}"/>
            </c:ext>
          </c:extLst>
        </c:ser>
        <c:ser>
          <c:idx val="8"/>
          <c:order val="8"/>
          <c:tx>
            <c:strRef>
              <c:f>'Datos del modelo'!$K$76:$L$76</c:f>
              <c:strCache>
                <c:ptCount val="1"/>
                <c:pt idx="0">
                  <c:v>Vacunas contra el VSR para mujeres embarazadas y AcM contra el VSR para bebés (Vacuna materna y AcM)</c:v>
                </c:pt>
              </c:strCache>
            </c:strRef>
          </c:tx>
          <c:spPr>
            <a:solidFill>
              <a:schemeClr val="accent3">
                <a:lumMod val="60000"/>
              </a:schemeClr>
            </a:solidFill>
            <a:ln>
              <a:noFill/>
            </a:ln>
            <a:effectLst/>
          </c:spPr>
          <c:invertIfNegative val="0"/>
          <c:val>
            <c:numRef>
              <c:f>Resultados!$M$128</c:f>
              <c:numCache>
                <c:formatCode>"$ "#,##0</c:formatCode>
                <c:ptCount val="1"/>
                <c:pt idx="0">
                  <c:v>14389836.719872665</c:v>
                </c:pt>
              </c:numCache>
            </c:numRef>
          </c:val>
          <c:extLs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Ninguno</c:v>
                      </c:pt>
                      <c:pt idx="2">
                        <c:v>Los dos, total</c:v>
                      </c:pt>
                    </c:strCache>
                  </c:strRef>
                </c15:cat>
              </c15:filteredCategoryTitle>
            </c:ext>
            <c:ext xmlns:c16="http://schemas.microsoft.com/office/drawing/2014/chart" uri="{C3380CC4-5D6E-409C-BE32-E72D297353CC}">
              <c16:uniqueId val="{00000006-CBC3-437E-9F0A-0BEC43C0518F}"/>
            </c:ext>
          </c:extLst>
        </c:ser>
        <c:dLbls>
          <c:showLegendKey val="0"/>
          <c:showVal val="0"/>
          <c:showCatName val="0"/>
          <c:showSerName val="0"/>
          <c:showPercent val="0"/>
          <c:showBubbleSize val="0"/>
        </c:dLbls>
        <c:gapWidth val="182"/>
        <c:axId val="640941360"/>
        <c:axId val="640940704"/>
        <c:extLst/>
      </c:barChart>
      <c:catAx>
        <c:axId val="640941360"/>
        <c:scaling>
          <c:orientation val="minMax"/>
        </c:scaling>
        <c:delete val="1"/>
        <c:axPos val="l"/>
        <c:numFmt formatCode="General" sourceLinked="1"/>
        <c:majorTickMark val="none"/>
        <c:minorTickMark val="none"/>
        <c:tickLblPos val="nextTo"/>
        <c:crossAx val="640940704"/>
        <c:crosses val="autoZero"/>
        <c:auto val="1"/>
        <c:lblAlgn val="ctr"/>
        <c:lblOffset val="100"/>
        <c:noMultiLvlLbl val="0"/>
      </c:catAx>
      <c:valAx>
        <c:axId val="640940704"/>
        <c:scaling>
          <c:orientation val="minMax"/>
        </c:scaling>
        <c:delete val="0"/>
        <c:axPos val="b"/>
        <c:majorGridlines>
          <c:spPr>
            <a:ln w="9525" cap="flat" cmpd="sng" algn="ctr">
              <a:solidFill>
                <a:schemeClr val="tx1">
                  <a:lumMod val="15000"/>
                  <a:lumOff val="85000"/>
                </a:schemeClr>
              </a:solidFill>
              <a:round/>
            </a:ln>
            <a:effectLst/>
          </c:spPr>
        </c:majorGridlines>
        <c:numFmt formatCode="&quot;$ &quot;#,##0" sourceLinked="1"/>
        <c:majorTickMark val="none"/>
        <c:minorTickMark val="none"/>
        <c:tickLblPos val="nextTo"/>
        <c:spPr>
          <a:noFill/>
          <a:ln>
            <a:solidFill>
              <a:schemeClr val="tx1"/>
            </a:solidFill>
          </a:ln>
          <a:effectLst/>
        </c:spPr>
        <c:txPr>
          <a:bodyPr rot="-150000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40941360"/>
        <c:crosses val="autoZero"/>
        <c:crossBetween val="between"/>
      </c:valAx>
      <c:spPr>
        <a:noFill/>
        <a:ln>
          <a:noFill/>
        </a:ln>
        <a:effectLst/>
      </c:spPr>
    </c:plotArea>
    <c:legend>
      <c:legendPos val="b"/>
      <c:layout>
        <c:manualLayout>
          <c:xMode val="edge"/>
          <c:yMode val="edge"/>
          <c:x val="6.568971375759898E-2"/>
          <c:y val="0.81380884853863866"/>
          <c:w val="0.91697222223103525"/>
          <c:h val="0.16013362323921163"/>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842946574879916E-2"/>
          <c:y val="0.14264844607639021"/>
          <c:w val="0.91057363748010556"/>
          <c:h val="0.43634901767801038"/>
        </c:manualLayout>
      </c:layout>
      <c:barChart>
        <c:barDir val="bar"/>
        <c:grouping val="clustered"/>
        <c:varyColors val="0"/>
        <c:ser>
          <c:idx val="0"/>
          <c:order val="0"/>
          <c:tx>
            <c:strRef>
              <c:f>Resultados!$E$9</c:f>
              <c:strCache>
                <c:ptCount val="1"/>
                <c:pt idx="0">
                  <c:v>Abrysvo, Pfizer</c:v>
                </c:pt>
              </c:strCache>
            </c:strRef>
          </c:tx>
          <c:spPr>
            <a:solidFill>
              <a:schemeClr val="accent1"/>
            </a:solidFill>
            <a:ln>
              <a:noFill/>
            </a:ln>
            <a:effectLst/>
          </c:spPr>
          <c:invertIfNegative val="0"/>
          <c:val>
            <c:numRef>
              <c:f>Resultados!$E$137</c:f>
              <c:numCache>
                <c:formatCode>"$ "#,##0</c:formatCode>
                <c:ptCount val="1"/>
                <c:pt idx="0">
                  <c:v>4789422.7762440555</c:v>
                </c:pt>
              </c:numCache>
            </c:numRef>
          </c:val>
          <c:extLst>
            <c:ext xmlns:c16="http://schemas.microsoft.com/office/drawing/2014/chart" uri="{C3380CC4-5D6E-409C-BE32-E72D297353CC}">
              <c16:uniqueId val="{00000000-589C-4AFB-9E15-602B151868E1}"/>
            </c:ext>
          </c:extLst>
        </c:ser>
        <c:ser>
          <c:idx val="1"/>
          <c:order val="1"/>
          <c:tx>
            <c:strRef>
              <c:f>Resultados!$F$9</c:f>
              <c:strCache>
                <c:ptCount val="1"/>
                <c:pt idx="0">
                  <c:v>Ninguno</c:v>
                </c:pt>
              </c:strCache>
            </c:strRef>
          </c:tx>
          <c:spPr>
            <a:solidFill>
              <a:schemeClr val="accent2"/>
            </a:solidFill>
            <a:ln>
              <a:noFill/>
            </a:ln>
            <a:effectLst/>
          </c:spPr>
          <c:invertIfNegative val="0"/>
          <c:val>
            <c:numRef>
              <c:f>Resultados!$F$137</c:f>
            </c:numRef>
          </c:val>
          <c:extLst>
            <c:ext xmlns:c16="http://schemas.microsoft.com/office/drawing/2014/chart" uri="{C3380CC4-5D6E-409C-BE32-E72D297353CC}">
              <c16:uniqueId val="{00000001-589C-4AFB-9E15-602B151868E1}"/>
            </c:ext>
          </c:extLst>
        </c:ser>
        <c:ser>
          <c:idx val="2"/>
          <c:order val="2"/>
          <c:tx>
            <c:strRef>
              <c:f>Resultados!$G$9</c:f>
              <c:strCache>
                <c:ptCount val="1"/>
                <c:pt idx="0">
                  <c:v>Ninguno</c:v>
                </c:pt>
              </c:strCache>
            </c:strRef>
          </c:tx>
          <c:spPr>
            <a:solidFill>
              <a:schemeClr val="accent3"/>
            </a:solidFill>
            <a:ln>
              <a:noFill/>
            </a:ln>
            <a:effectLst/>
          </c:spPr>
          <c:invertIfNegative val="0"/>
          <c:val>
            <c:numRef>
              <c:f>Resultados!$G$137</c:f>
            </c:numRef>
          </c:val>
          <c:extLst>
            <c:ext xmlns:c16="http://schemas.microsoft.com/office/drawing/2014/chart" uri="{C3380CC4-5D6E-409C-BE32-E72D297353CC}">
              <c16:uniqueId val="{00000002-589C-4AFB-9E15-602B151868E1}"/>
            </c:ext>
          </c:extLst>
        </c:ser>
        <c:ser>
          <c:idx val="3"/>
          <c:order val="3"/>
          <c:tx>
            <c:strRef>
              <c:f>Resultados!$I$9</c:f>
              <c:strCache>
                <c:ptCount val="1"/>
                <c:pt idx="0">
                  <c:v>Ninguno</c:v>
                </c:pt>
              </c:strCache>
            </c:strRef>
          </c:tx>
          <c:spPr>
            <a:solidFill>
              <a:schemeClr val="accent4"/>
            </a:solidFill>
            <a:ln>
              <a:noFill/>
            </a:ln>
            <a:effectLst/>
          </c:spPr>
          <c:invertIfNegative val="0"/>
          <c:val>
            <c:numRef>
              <c:f>Resultados!$I$137</c:f>
              <c:numCache>
                <c:formatCode>"$ "#,##0</c:formatCode>
                <c:ptCount val="1"/>
                <c:pt idx="0">
                  <c:v>0</c:v>
                </c:pt>
              </c:numCache>
            </c:numRef>
          </c:val>
          <c:extLst>
            <c:ext xmlns:c16="http://schemas.microsoft.com/office/drawing/2014/chart" uri="{C3380CC4-5D6E-409C-BE32-E72D297353CC}">
              <c16:uniqueId val="{00000003-589C-4AFB-9E15-602B151868E1}"/>
            </c:ext>
          </c:extLst>
        </c:ser>
        <c:ser>
          <c:idx val="4"/>
          <c:order val="4"/>
          <c:tx>
            <c:strRef>
              <c:f>Resultados!$J$9</c:f>
              <c:strCache>
                <c:ptCount val="1"/>
                <c:pt idx="0">
                  <c:v>Ninguno</c:v>
                </c:pt>
              </c:strCache>
            </c:strRef>
          </c:tx>
          <c:spPr>
            <a:solidFill>
              <a:schemeClr val="accent5"/>
            </a:solidFill>
            <a:ln>
              <a:noFill/>
            </a:ln>
            <a:effectLst/>
          </c:spPr>
          <c:invertIfNegative val="0"/>
          <c:val>
            <c:numRef>
              <c:f>Resultados!$J$137</c:f>
            </c:numRef>
          </c:val>
          <c:extLst>
            <c:ext xmlns:c16="http://schemas.microsoft.com/office/drawing/2014/chart" uri="{C3380CC4-5D6E-409C-BE32-E72D297353CC}">
              <c16:uniqueId val="{00000004-589C-4AFB-9E15-602B151868E1}"/>
            </c:ext>
          </c:extLst>
        </c:ser>
        <c:ser>
          <c:idx val="5"/>
          <c:order val="5"/>
          <c:tx>
            <c:strRef>
              <c:f>Resultados!$K$9</c:f>
              <c:strCache>
                <c:ptCount val="1"/>
                <c:pt idx="0">
                  <c:v>Ninguno</c:v>
                </c:pt>
              </c:strCache>
            </c:strRef>
          </c:tx>
          <c:spPr>
            <a:solidFill>
              <a:schemeClr val="accent6"/>
            </a:solidFill>
            <a:ln>
              <a:noFill/>
            </a:ln>
            <a:effectLst/>
          </c:spPr>
          <c:invertIfNegative val="0"/>
          <c:val>
            <c:numRef>
              <c:f>Resultados!$K$137</c:f>
            </c:numRef>
          </c:val>
          <c:extLst>
            <c:ext xmlns:c16="http://schemas.microsoft.com/office/drawing/2014/chart" uri="{C3380CC4-5D6E-409C-BE32-E72D297353CC}">
              <c16:uniqueId val="{00000005-589C-4AFB-9E15-602B151868E1}"/>
            </c:ext>
          </c:extLst>
        </c:ser>
        <c:ser>
          <c:idx val="6"/>
          <c:order val="6"/>
          <c:tx>
            <c:strRef>
              <c:f>Resultados!$N$9</c:f>
              <c:strCache>
                <c:ptCount val="1"/>
                <c:pt idx="0">
                  <c:v>Abrysvo, Pfizer</c:v>
                </c:pt>
              </c:strCache>
            </c:strRef>
          </c:tx>
          <c:spPr>
            <a:solidFill>
              <a:schemeClr val="accent1">
                <a:lumMod val="60000"/>
              </a:schemeClr>
            </a:solidFill>
            <a:ln>
              <a:noFill/>
            </a:ln>
            <a:effectLst/>
          </c:spPr>
          <c:invertIfNegative val="0"/>
          <c:val>
            <c:numRef>
              <c:f>Resultados!$N$137</c:f>
            </c:numRef>
          </c:val>
          <c:extLst>
            <c:ext xmlns:c16="http://schemas.microsoft.com/office/drawing/2014/chart" uri="{C3380CC4-5D6E-409C-BE32-E72D297353CC}">
              <c16:uniqueId val="{00000007-589C-4AFB-9E15-602B151868E1}"/>
            </c:ext>
          </c:extLst>
        </c:ser>
        <c:ser>
          <c:idx val="7"/>
          <c:order val="7"/>
          <c:tx>
            <c:strRef>
              <c:f>Resultados!$O$9</c:f>
              <c:strCache>
                <c:ptCount val="1"/>
                <c:pt idx="0">
                  <c:v>Anticuerpo monoclonal contra el VSR_2</c:v>
                </c:pt>
              </c:strCache>
            </c:strRef>
          </c:tx>
          <c:spPr>
            <a:solidFill>
              <a:schemeClr val="accent2">
                <a:lumMod val="60000"/>
              </a:schemeClr>
            </a:solidFill>
            <a:ln>
              <a:noFill/>
            </a:ln>
            <a:effectLst/>
          </c:spPr>
          <c:invertIfNegative val="0"/>
          <c:val>
            <c:numRef>
              <c:f>Resultados!$O$137</c:f>
            </c:numRef>
          </c:val>
          <c:extLst>
            <c:ext xmlns:c16="http://schemas.microsoft.com/office/drawing/2014/chart" uri="{C3380CC4-5D6E-409C-BE32-E72D297353CC}">
              <c16:uniqueId val="{00000008-589C-4AFB-9E15-602B151868E1}"/>
            </c:ext>
          </c:extLst>
        </c:ser>
        <c:ser>
          <c:idx val="8"/>
          <c:order val="8"/>
          <c:tx>
            <c:strRef>
              <c:f>Resultados!$M$9</c:f>
              <c:strCache>
                <c:ptCount val="1"/>
                <c:pt idx="0">
                  <c:v>Los dos, total</c:v>
                </c:pt>
              </c:strCache>
            </c:strRef>
          </c:tx>
          <c:spPr>
            <a:solidFill>
              <a:schemeClr val="accent3">
                <a:lumMod val="60000"/>
              </a:schemeClr>
            </a:solidFill>
            <a:ln>
              <a:noFill/>
            </a:ln>
            <a:effectLst/>
          </c:spPr>
          <c:invertIfNegative val="0"/>
          <c:val>
            <c:numRef>
              <c:f>Resultados!$M$137</c:f>
              <c:numCache>
                <c:formatCode>"$ "#,##0</c:formatCode>
                <c:ptCount val="1"/>
                <c:pt idx="0">
                  <c:v>15955475.584538128</c:v>
                </c:pt>
              </c:numCache>
            </c:numRef>
          </c:val>
          <c:extLst>
            <c:ext xmlns:c16="http://schemas.microsoft.com/office/drawing/2014/chart" uri="{C3380CC4-5D6E-409C-BE32-E72D297353CC}">
              <c16:uniqueId val="{00000006-589C-4AFB-9E15-602B151868E1}"/>
            </c:ext>
          </c:extLst>
        </c:ser>
        <c:dLbls>
          <c:showLegendKey val="0"/>
          <c:showVal val="0"/>
          <c:showCatName val="0"/>
          <c:showSerName val="0"/>
          <c:showPercent val="0"/>
          <c:showBubbleSize val="0"/>
        </c:dLbls>
        <c:gapWidth val="182"/>
        <c:axId val="640941360"/>
        <c:axId val="640940704"/>
        <c:extLst/>
      </c:barChart>
      <c:catAx>
        <c:axId val="640941360"/>
        <c:scaling>
          <c:orientation val="minMax"/>
        </c:scaling>
        <c:delete val="1"/>
        <c:axPos val="l"/>
        <c:numFmt formatCode="General" sourceLinked="1"/>
        <c:majorTickMark val="none"/>
        <c:minorTickMark val="none"/>
        <c:tickLblPos val="nextTo"/>
        <c:crossAx val="640940704"/>
        <c:crosses val="autoZero"/>
        <c:auto val="1"/>
        <c:lblAlgn val="ctr"/>
        <c:lblOffset val="100"/>
        <c:noMultiLvlLbl val="0"/>
      </c:catAx>
      <c:valAx>
        <c:axId val="640940704"/>
        <c:scaling>
          <c:orientation val="minMax"/>
        </c:scaling>
        <c:delete val="0"/>
        <c:axPos val="b"/>
        <c:majorGridlines>
          <c:spPr>
            <a:ln w="9525" cap="flat" cmpd="sng" algn="ctr">
              <a:solidFill>
                <a:schemeClr val="tx1">
                  <a:lumMod val="15000"/>
                  <a:lumOff val="85000"/>
                </a:schemeClr>
              </a:solidFill>
              <a:round/>
            </a:ln>
            <a:effectLst/>
          </c:spPr>
        </c:majorGridlines>
        <c:numFmt formatCode="&quot;$ &quot;#,##0" sourceLinked="1"/>
        <c:majorTickMark val="none"/>
        <c:minorTickMark val="none"/>
        <c:tickLblPos val="nextTo"/>
        <c:spPr>
          <a:noFill/>
          <a:ln>
            <a:solidFill>
              <a:schemeClr val="tx1"/>
            </a:solidFill>
          </a:ln>
          <a:effectLst/>
        </c:spPr>
        <c:txPr>
          <a:bodyPr rot="-150000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40941360"/>
        <c:crosses val="autoZero"/>
        <c:crossBetween val="between"/>
      </c:valAx>
      <c:spPr>
        <a:noFill/>
        <a:ln>
          <a:noFill/>
        </a:ln>
        <a:effectLst/>
      </c:spPr>
    </c:plotArea>
    <c:legend>
      <c:legendPos val="b"/>
      <c:layout>
        <c:manualLayout>
          <c:xMode val="edge"/>
          <c:yMode val="edge"/>
          <c:x val="6.1660409612079539E-2"/>
          <c:y val="0.80169000496559539"/>
          <c:w val="0.91793181675893221"/>
          <c:h val="0.17237114279633964"/>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defRPr>
      </a:pPr>
      <a:endParaRPr lang="en-US"/>
    </a:p>
  </c:txPr>
  <c:printSettings>
    <c:headerFooter/>
    <c:pageMargins b="0.75" l="0.7" r="0.7" t="0.75" header="0.3" footer="0.3"/>
    <c:pageSetup/>
  </c:printSettings>
  <c:userShapes r:id="rId3"/>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b="1"/>
              <a:t>Vaccine Cost</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1"/>
          <c:order val="0"/>
          <c:tx>
            <c:strRef>
              <c:f>'Datos del modelo'!$E$78</c:f>
              <c:strCache>
                <c:ptCount val="1"/>
                <c:pt idx="0">
                  <c:v>Abrysvo, Pfizer</c:v>
                </c:pt>
              </c:strCache>
            </c:strRef>
          </c:tx>
          <c:spPr>
            <a:solidFill>
              <a:schemeClr val="accent2"/>
            </a:solidFill>
            <a:ln>
              <a:noFill/>
            </a:ln>
            <a:effectLst/>
          </c:spPr>
          <c:invertIfNegative val="0"/>
          <c:cat>
            <c:numRef>
              <c:f>Resultados!$D$129:$D$133</c:f>
              <c:numCache>
                <c:formatCode>General</c:formatCode>
                <c:ptCount val="5"/>
                <c:pt idx="0">
                  <c:v>2025</c:v>
                </c:pt>
                <c:pt idx="1">
                  <c:v>2026</c:v>
                </c:pt>
                <c:pt idx="2">
                  <c:v>2027</c:v>
                </c:pt>
                <c:pt idx="3">
                  <c:v>2028</c:v>
                </c:pt>
                <c:pt idx="4">
                  <c:v>2029</c:v>
                </c:pt>
              </c:numCache>
            </c:numRef>
          </c:cat>
          <c:val>
            <c:numRef>
              <c:f>Resultados!$E$129:$E$133</c:f>
              <c:numCache>
                <c:formatCode>"$ "#,##0</c:formatCode>
                <c:ptCount val="5"/>
                <c:pt idx="0">
                  <c:v>629793.33333333337</c:v>
                </c:pt>
                <c:pt idx="1">
                  <c:v>641301.65555555548</c:v>
                </c:pt>
                <c:pt idx="2">
                  <c:v>640713.79722222232</c:v>
                </c:pt>
                <c:pt idx="3">
                  <c:v>774633.80744444451</c:v>
                </c:pt>
                <c:pt idx="4">
                  <c:v>894977.02703250013</c:v>
                </c:pt>
              </c:numCache>
            </c:numRef>
          </c:val>
          <c:extLst>
            <c:ext xmlns:c16="http://schemas.microsoft.com/office/drawing/2014/chart" uri="{C3380CC4-5D6E-409C-BE32-E72D297353CC}">
              <c16:uniqueId val="{00000000-3331-45B7-89A8-EF22E0FC9BA8}"/>
            </c:ext>
          </c:extLst>
        </c:ser>
        <c:ser>
          <c:idx val="0"/>
          <c:order val="1"/>
          <c:tx>
            <c:strRef>
              <c:f>'Datos del modelo'!$F$78</c:f>
              <c:strCache>
                <c:ptCount val="1"/>
                <c:pt idx="0">
                  <c:v>Ninguno</c:v>
                </c:pt>
              </c:strCache>
            </c:strRef>
          </c:tx>
          <c:spPr>
            <a:solidFill>
              <a:schemeClr val="accent1"/>
            </a:solidFill>
            <a:ln>
              <a:noFill/>
            </a:ln>
            <a:effectLst/>
          </c:spPr>
          <c:invertIfNegative val="0"/>
          <c:cat>
            <c:numRef>
              <c:f>Resultados!$D$129:$D$133</c:f>
              <c:numCache>
                <c:formatCode>General</c:formatCode>
                <c:ptCount val="5"/>
                <c:pt idx="0">
                  <c:v>2025</c:v>
                </c:pt>
                <c:pt idx="1">
                  <c:v>2026</c:v>
                </c:pt>
                <c:pt idx="2">
                  <c:v>2027</c:v>
                </c:pt>
                <c:pt idx="3">
                  <c:v>2028</c:v>
                </c:pt>
                <c:pt idx="4">
                  <c:v>2029</c:v>
                </c:pt>
              </c:numCache>
            </c:numRef>
          </c:cat>
          <c:val>
            <c:numRef>
              <c:f>Resultados!$F$129:$F$133</c:f>
            </c:numRef>
          </c:val>
          <c:extLst>
            <c:ext xmlns:c16="http://schemas.microsoft.com/office/drawing/2014/chart" uri="{C3380CC4-5D6E-409C-BE32-E72D297353CC}">
              <c16:uniqueId val="{00000001-3331-45B7-89A8-EF22E0FC9BA8}"/>
            </c:ext>
          </c:extLst>
        </c:ser>
        <c:ser>
          <c:idx val="2"/>
          <c:order val="2"/>
          <c:tx>
            <c:strRef>
              <c:f>'Datos del modelo'!$G$78</c:f>
              <c:strCache>
                <c:ptCount val="1"/>
                <c:pt idx="0">
                  <c:v>Ninguno</c:v>
                </c:pt>
              </c:strCache>
            </c:strRef>
          </c:tx>
          <c:spPr>
            <a:solidFill>
              <a:schemeClr val="accent3"/>
            </a:solidFill>
            <a:ln>
              <a:noFill/>
            </a:ln>
            <a:effectLst/>
          </c:spPr>
          <c:invertIfNegative val="0"/>
          <c:cat>
            <c:numRef>
              <c:f>Resultados!$D$129:$D$133</c:f>
              <c:numCache>
                <c:formatCode>General</c:formatCode>
                <c:ptCount val="5"/>
                <c:pt idx="0">
                  <c:v>2025</c:v>
                </c:pt>
                <c:pt idx="1">
                  <c:v>2026</c:v>
                </c:pt>
                <c:pt idx="2">
                  <c:v>2027</c:v>
                </c:pt>
                <c:pt idx="3">
                  <c:v>2028</c:v>
                </c:pt>
                <c:pt idx="4">
                  <c:v>2029</c:v>
                </c:pt>
              </c:numCache>
            </c:numRef>
          </c:cat>
          <c:val>
            <c:numRef>
              <c:f>Resultados!$G$129:$G$133</c:f>
            </c:numRef>
          </c:val>
          <c:extLst>
            <c:ext xmlns:c16="http://schemas.microsoft.com/office/drawing/2014/chart" uri="{C3380CC4-5D6E-409C-BE32-E72D297353CC}">
              <c16:uniqueId val="{00000002-3331-45B7-89A8-EF22E0FC9BA8}"/>
            </c:ext>
          </c:extLst>
        </c:ser>
        <c:ser>
          <c:idx val="3"/>
          <c:order val="3"/>
          <c:tx>
            <c:strRef>
              <c:f>'Datos del modelo'!$H$78</c:f>
              <c:strCache>
                <c:ptCount val="1"/>
                <c:pt idx="0">
                  <c:v>Ninguno</c:v>
                </c:pt>
              </c:strCache>
            </c:strRef>
          </c:tx>
          <c:spPr>
            <a:solidFill>
              <a:schemeClr val="accent4"/>
            </a:solidFill>
            <a:ln>
              <a:noFill/>
            </a:ln>
            <a:effectLst/>
          </c:spPr>
          <c:invertIfNegative val="0"/>
          <c:cat>
            <c:numRef>
              <c:f>Resultados!$D$129:$D$133</c:f>
              <c:numCache>
                <c:formatCode>General</c:formatCode>
                <c:ptCount val="5"/>
                <c:pt idx="0">
                  <c:v>2025</c:v>
                </c:pt>
                <c:pt idx="1">
                  <c:v>2026</c:v>
                </c:pt>
                <c:pt idx="2">
                  <c:v>2027</c:v>
                </c:pt>
                <c:pt idx="3">
                  <c:v>2028</c:v>
                </c:pt>
                <c:pt idx="4">
                  <c:v>2029</c:v>
                </c:pt>
              </c:numCache>
            </c:numRef>
          </c:cat>
          <c:val>
            <c:numRef>
              <c:f>Resultados!$I$129:$I$133</c:f>
              <c:numCache>
                <c:formatCode>"$ "#,##0</c:formatCode>
                <c:ptCount val="5"/>
                <c:pt idx="0">
                  <c:v>0</c:v>
                </c:pt>
                <c:pt idx="1">
                  <c:v>0</c:v>
                </c:pt>
                <c:pt idx="2">
                  <c:v>0</c:v>
                </c:pt>
                <c:pt idx="3">
                  <c:v>0</c:v>
                </c:pt>
                <c:pt idx="4">
                  <c:v>0</c:v>
                </c:pt>
              </c:numCache>
            </c:numRef>
          </c:val>
          <c:extLst>
            <c:ext xmlns:c16="http://schemas.microsoft.com/office/drawing/2014/chart" uri="{C3380CC4-5D6E-409C-BE32-E72D297353CC}">
              <c16:uniqueId val="{00000003-3331-45B7-89A8-EF22E0FC9BA8}"/>
            </c:ext>
          </c:extLst>
        </c:ser>
        <c:ser>
          <c:idx val="4"/>
          <c:order val="4"/>
          <c:tx>
            <c:strRef>
              <c:f>'Datos del modelo'!$I$78</c:f>
              <c:strCache>
                <c:ptCount val="1"/>
                <c:pt idx="0">
                  <c:v>Ninguno</c:v>
                </c:pt>
              </c:strCache>
            </c:strRef>
          </c:tx>
          <c:spPr>
            <a:solidFill>
              <a:schemeClr val="accent5"/>
            </a:solidFill>
            <a:ln>
              <a:noFill/>
            </a:ln>
            <a:effectLst/>
          </c:spPr>
          <c:invertIfNegative val="0"/>
          <c:cat>
            <c:numRef>
              <c:f>Resultados!$D$129:$D$133</c:f>
              <c:numCache>
                <c:formatCode>General</c:formatCode>
                <c:ptCount val="5"/>
                <c:pt idx="0">
                  <c:v>2025</c:v>
                </c:pt>
                <c:pt idx="1">
                  <c:v>2026</c:v>
                </c:pt>
                <c:pt idx="2">
                  <c:v>2027</c:v>
                </c:pt>
                <c:pt idx="3">
                  <c:v>2028</c:v>
                </c:pt>
                <c:pt idx="4">
                  <c:v>2029</c:v>
                </c:pt>
              </c:numCache>
            </c:numRef>
          </c:cat>
          <c:val>
            <c:numRef>
              <c:f>Resultados!$J$129:$J$133</c:f>
            </c:numRef>
          </c:val>
          <c:extLst>
            <c:ext xmlns:c16="http://schemas.microsoft.com/office/drawing/2014/chart" uri="{C3380CC4-5D6E-409C-BE32-E72D297353CC}">
              <c16:uniqueId val="{00000004-3331-45B7-89A8-EF22E0FC9BA8}"/>
            </c:ext>
          </c:extLst>
        </c:ser>
        <c:ser>
          <c:idx val="6"/>
          <c:order val="5"/>
          <c:tx>
            <c:strRef>
              <c:f>'Datos del modelo'!$J$78</c:f>
              <c:strCache>
                <c:ptCount val="1"/>
                <c:pt idx="0">
                  <c:v>Ninguno</c:v>
                </c:pt>
              </c:strCache>
            </c:strRef>
          </c:tx>
          <c:spPr>
            <a:solidFill>
              <a:schemeClr val="accent1">
                <a:lumMod val="60000"/>
              </a:schemeClr>
            </a:solidFill>
            <a:ln>
              <a:noFill/>
            </a:ln>
            <a:effectLst/>
          </c:spPr>
          <c:invertIfNegative val="0"/>
          <c:cat>
            <c:numRef>
              <c:f>Resultados!$D$129:$D$133</c:f>
              <c:numCache>
                <c:formatCode>General</c:formatCode>
                <c:ptCount val="5"/>
                <c:pt idx="0">
                  <c:v>2025</c:v>
                </c:pt>
                <c:pt idx="1">
                  <c:v>2026</c:v>
                </c:pt>
                <c:pt idx="2">
                  <c:v>2027</c:v>
                </c:pt>
                <c:pt idx="3">
                  <c:v>2028</c:v>
                </c:pt>
                <c:pt idx="4">
                  <c:v>2029</c:v>
                </c:pt>
              </c:numCache>
            </c:numRef>
          </c:cat>
          <c:val>
            <c:numRef>
              <c:f>Resultados!$K$129:$K$133</c:f>
            </c:numRef>
          </c:val>
          <c:extLst>
            <c:ext xmlns:c16="http://schemas.microsoft.com/office/drawing/2014/chart" uri="{C3380CC4-5D6E-409C-BE32-E72D297353CC}">
              <c16:uniqueId val="{00000005-3331-45B7-89A8-EF22E0FC9BA8}"/>
            </c:ext>
          </c:extLst>
        </c:ser>
        <c:ser>
          <c:idx val="7"/>
          <c:order val="6"/>
          <c:tx>
            <c:strRef>
              <c:f>'Datos del modelo'!$K$78</c:f>
              <c:strCache>
                <c:ptCount val="1"/>
                <c:pt idx="0">
                  <c:v>Abrysvo, Pfizer</c:v>
                </c:pt>
              </c:strCache>
            </c:strRef>
          </c:tx>
          <c:spPr>
            <a:solidFill>
              <a:schemeClr val="accent2">
                <a:lumMod val="60000"/>
              </a:schemeClr>
            </a:solidFill>
            <a:ln>
              <a:noFill/>
            </a:ln>
            <a:effectLst/>
          </c:spPr>
          <c:invertIfNegative val="0"/>
          <c:cat>
            <c:numRef>
              <c:f>Resultados!$D$129:$D$133</c:f>
              <c:numCache>
                <c:formatCode>General</c:formatCode>
                <c:ptCount val="5"/>
                <c:pt idx="0">
                  <c:v>2025</c:v>
                </c:pt>
                <c:pt idx="1">
                  <c:v>2026</c:v>
                </c:pt>
                <c:pt idx="2">
                  <c:v>2027</c:v>
                </c:pt>
                <c:pt idx="3">
                  <c:v>2028</c:v>
                </c:pt>
                <c:pt idx="4">
                  <c:v>2029</c:v>
                </c:pt>
              </c:numCache>
            </c:numRef>
          </c:cat>
          <c:val>
            <c:numRef>
              <c:f>Resultados!$N$129:$N$133</c:f>
            </c:numRef>
          </c:val>
          <c:extLst>
            <c:ext xmlns:c16="http://schemas.microsoft.com/office/drawing/2014/chart" uri="{C3380CC4-5D6E-409C-BE32-E72D297353CC}">
              <c16:uniqueId val="{00000006-3331-45B7-89A8-EF22E0FC9BA8}"/>
            </c:ext>
          </c:extLst>
        </c:ser>
        <c:ser>
          <c:idx val="5"/>
          <c:order val="7"/>
          <c:tx>
            <c:strRef>
              <c:f>'Datos del modelo'!$L$78</c:f>
              <c:strCache>
                <c:ptCount val="1"/>
                <c:pt idx="0">
                  <c:v>Anticuerpo monoclonal contra el VSR_2</c:v>
                </c:pt>
              </c:strCache>
            </c:strRef>
          </c:tx>
          <c:spPr>
            <a:solidFill>
              <a:schemeClr val="accent6"/>
            </a:solidFill>
            <a:ln>
              <a:noFill/>
            </a:ln>
            <a:effectLst/>
          </c:spPr>
          <c:invertIfNegative val="0"/>
          <c:cat>
            <c:numRef>
              <c:f>Resultados!$D$129:$D$133</c:f>
              <c:numCache>
                <c:formatCode>General</c:formatCode>
                <c:ptCount val="5"/>
                <c:pt idx="0">
                  <c:v>2025</c:v>
                </c:pt>
                <c:pt idx="1">
                  <c:v>2026</c:v>
                </c:pt>
                <c:pt idx="2">
                  <c:v>2027</c:v>
                </c:pt>
                <c:pt idx="3">
                  <c:v>2028</c:v>
                </c:pt>
                <c:pt idx="4">
                  <c:v>2029</c:v>
                </c:pt>
              </c:numCache>
            </c:numRef>
          </c:cat>
          <c:val>
            <c:numRef>
              <c:f>Resultados!$O$129:$O$133</c:f>
            </c:numRef>
          </c:val>
          <c:extLst>
            <c:ext xmlns:c16="http://schemas.microsoft.com/office/drawing/2014/chart" uri="{C3380CC4-5D6E-409C-BE32-E72D297353CC}">
              <c16:uniqueId val="{00000007-3331-45B7-89A8-EF22E0FC9BA8}"/>
            </c:ext>
          </c:extLst>
        </c:ser>
        <c:ser>
          <c:idx val="8"/>
          <c:order val="8"/>
          <c:tx>
            <c:strRef>
              <c:f>'Datos del modelo'!$K$76:$L$76</c:f>
              <c:strCache>
                <c:ptCount val="1"/>
                <c:pt idx="0">
                  <c:v>Vacunas contra el VSR para mujeres embarazadas y AcM contra el VSR para bebés (Vacuna materna y AcM)</c:v>
                </c:pt>
              </c:strCache>
            </c:strRef>
          </c:tx>
          <c:spPr>
            <a:solidFill>
              <a:schemeClr val="accent3">
                <a:lumMod val="60000"/>
              </a:schemeClr>
            </a:solidFill>
            <a:ln>
              <a:noFill/>
            </a:ln>
            <a:effectLst/>
          </c:spPr>
          <c:invertIfNegative val="0"/>
          <c:cat>
            <c:numRef>
              <c:f>Resultados!$D$129:$D$133</c:f>
              <c:numCache>
                <c:formatCode>General</c:formatCode>
                <c:ptCount val="5"/>
                <c:pt idx="0">
                  <c:v>2025</c:v>
                </c:pt>
                <c:pt idx="1">
                  <c:v>2026</c:v>
                </c:pt>
                <c:pt idx="2">
                  <c:v>2027</c:v>
                </c:pt>
                <c:pt idx="3">
                  <c:v>2028</c:v>
                </c:pt>
                <c:pt idx="4">
                  <c:v>2029</c:v>
                </c:pt>
              </c:numCache>
            </c:numRef>
          </c:cat>
          <c:val>
            <c:numRef>
              <c:f>Resultados!$M$129:$M$133</c:f>
              <c:numCache>
                <c:formatCode>"$ "#,##0</c:formatCode>
                <c:ptCount val="5"/>
                <c:pt idx="0">
                  <c:v>4493546.666666667</c:v>
                </c:pt>
                <c:pt idx="1">
                  <c:v>3285196.4</c:v>
                </c:pt>
                <c:pt idx="2">
                  <c:v>2830827.2933333339</c:v>
                </c:pt>
                <c:pt idx="3">
                  <c:v>2249417.9814666663</c:v>
                </c:pt>
                <c:pt idx="4">
                  <c:v>1530848.3784059999</c:v>
                </c:pt>
              </c:numCache>
            </c:numRef>
          </c:val>
          <c:extLst>
            <c:ext xmlns:c16="http://schemas.microsoft.com/office/drawing/2014/chart" uri="{C3380CC4-5D6E-409C-BE32-E72D297353CC}">
              <c16:uniqueId val="{00000008-3331-45B7-89A8-EF22E0FC9BA8}"/>
            </c:ext>
          </c:extLst>
        </c:ser>
        <c:dLbls>
          <c:showLegendKey val="0"/>
          <c:showVal val="0"/>
          <c:showCatName val="0"/>
          <c:showSerName val="0"/>
          <c:showPercent val="0"/>
          <c:showBubbleSize val="0"/>
        </c:dLbls>
        <c:gapWidth val="128"/>
        <c:axId val="747696848"/>
        <c:axId val="747696192"/>
      </c:barChart>
      <c:catAx>
        <c:axId val="747696848"/>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192"/>
        <c:crosses val="autoZero"/>
        <c:auto val="1"/>
        <c:lblAlgn val="ctr"/>
        <c:lblOffset val="100"/>
        <c:noMultiLvlLbl val="0"/>
      </c:catAx>
      <c:valAx>
        <c:axId val="747696192"/>
        <c:scaling>
          <c:orientation val="minMax"/>
        </c:scaling>
        <c:delete val="0"/>
        <c:axPos val="l"/>
        <c:majorGridlines>
          <c:spPr>
            <a:ln w="9525" cap="flat" cmpd="sng" algn="ctr">
              <a:solidFill>
                <a:schemeClr val="tx1">
                  <a:lumMod val="15000"/>
                  <a:lumOff val="85000"/>
                </a:schemeClr>
              </a:solidFill>
              <a:round/>
            </a:ln>
            <a:effectLst/>
          </c:spPr>
        </c:majorGridlines>
        <c:numFmt formatCode="&quot;$ &quot;#,##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848"/>
        <c:crosses val="autoZero"/>
        <c:crossBetween val="between"/>
      </c:valAx>
      <c:spPr>
        <a:noFill/>
        <a:ln>
          <a:noFill/>
        </a:ln>
        <a:effectLst/>
      </c:spPr>
    </c:plotArea>
    <c:legend>
      <c:legendPos val="b"/>
      <c:layout>
        <c:manualLayout>
          <c:xMode val="edge"/>
          <c:yMode val="edge"/>
          <c:x val="0.10051581938924121"/>
          <c:y val="0.80294891232331245"/>
          <c:w val="0.87776090637858195"/>
          <c:h val="0.1820947824634848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sz="1400" b="1" i="0" u="none" strike="noStrike" kern="1200" spc="0" baseline="0">
                <a:solidFill>
                  <a:sysClr val="windowText" lastClr="000000"/>
                </a:solidFill>
              </a:rPr>
              <a:t>Vaccination Program Cost</a:t>
            </a:r>
          </a:p>
          <a:p>
            <a:pPr>
              <a:defRPr b="1"/>
            </a:pPr>
            <a:r>
              <a:rPr lang="fr-CH" sz="1000" b="1" i="0" u="none" strike="noStrike" kern="1200" spc="0" baseline="0">
                <a:solidFill>
                  <a:sysClr val="windowText" lastClr="000000"/>
                </a:solidFill>
                <a:effectLst/>
              </a:rPr>
              <a:t>Vaccine cost + incremental health system costs</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1"/>
          <c:order val="0"/>
          <c:tx>
            <c:strRef>
              <c:f>'Datos del modelo'!$E$78</c:f>
              <c:strCache>
                <c:ptCount val="1"/>
                <c:pt idx="0">
                  <c:v>Abrysvo, Pfizer</c:v>
                </c:pt>
              </c:strCache>
            </c:strRef>
          </c:tx>
          <c:spPr>
            <a:solidFill>
              <a:schemeClr val="accent2"/>
            </a:solidFill>
            <a:ln>
              <a:noFill/>
            </a:ln>
            <a:effectLst/>
          </c:spPr>
          <c:invertIfNegative val="0"/>
          <c:cat>
            <c:numRef>
              <c:f>Resultados!$D$138:$D$142</c:f>
              <c:numCache>
                <c:formatCode>General</c:formatCode>
                <c:ptCount val="5"/>
                <c:pt idx="0">
                  <c:v>2025</c:v>
                </c:pt>
                <c:pt idx="1">
                  <c:v>2026</c:v>
                </c:pt>
                <c:pt idx="2">
                  <c:v>2027</c:v>
                </c:pt>
                <c:pt idx="3">
                  <c:v>2028</c:v>
                </c:pt>
                <c:pt idx="4">
                  <c:v>2029</c:v>
                </c:pt>
              </c:numCache>
            </c:numRef>
          </c:cat>
          <c:val>
            <c:numRef>
              <c:f>Resultados!$E$138:$E$142</c:f>
              <c:numCache>
                <c:formatCode>"$ "#,##0</c:formatCode>
                <c:ptCount val="5"/>
                <c:pt idx="0">
                  <c:v>953193.33333333337</c:v>
                </c:pt>
                <c:pt idx="1">
                  <c:v>831645.65555555548</c:v>
                </c:pt>
                <c:pt idx="2">
                  <c:v>836768.11722222227</c:v>
                </c:pt>
                <c:pt idx="3">
                  <c:v>1005417.7498444446</c:v>
                </c:pt>
                <c:pt idx="4">
                  <c:v>1162397.9202885001</c:v>
                </c:pt>
              </c:numCache>
            </c:numRef>
          </c:val>
          <c:extLst>
            <c:ext xmlns:c16="http://schemas.microsoft.com/office/drawing/2014/chart" uri="{C3380CC4-5D6E-409C-BE32-E72D297353CC}">
              <c16:uniqueId val="{00000000-5844-4519-B2E8-B6CFA217A6DD}"/>
            </c:ext>
          </c:extLst>
        </c:ser>
        <c:ser>
          <c:idx val="0"/>
          <c:order val="1"/>
          <c:tx>
            <c:strRef>
              <c:f>'Datos del modelo'!$F$78</c:f>
              <c:strCache>
                <c:ptCount val="1"/>
                <c:pt idx="0">
                  <c:v>Ninguno</c:v>
                </c:pt>
              </c:strCache>
            </c:strRef>
          </c:tx>
          <c:spPr>
            <a:solidFill>
              <a:schemeClr val="accent1"/>
            </a:solidFill>
            <a:ln>
              <a:noFill/>
            </a:ln>
            <a:effectLst/>
          </c:spPr>
          <c:invertIfNegative val="0"/>
          <c:cat>
            <c:numRef>
              <c:f>Resultados!$D$138:$D$142</c:f>
              <c:numCache>
                <c:formatCode>General</c:formatCode>
                <c:ptCount val="5"/>
                <c:pt idx="0">
                  <c:v>2025</c:v>
                </c:pt>
                <c:pt idx="1">
                  <c:v>2026</c:v>
                </c:pt>
                <c:pt idx="2">
                  <c:v>2027</c:v>
                </c:pt>
                <c:pt idx="3">
                  <c:v>2028</c:v>
                </c:pt>
                <c:pt idx="4">
                  <c:v>2029</c:v>
                </c:pt>
              </c:numCache>
            </c:numRef>
          </c:cat>
          <c:val>
            <c:numRef>
              <c:f>Resultados!$F$138:$F$142</c:f>
            </c:numRef>
          </c:val>
          <c:extLst>
            <c:ext xmlns:c16="http://schemas.microsoft.com/office/drawing/2014/chart" uri="{C3380CC4-5D6E-409C-BE32-E72D297353CC}">
              <c16:uniqueId val="{00000001-5844-4519-B2E8-B6CFA217A6DD}"/>
            </c:ext>
          </c:extLst>
        </c:ser>
        <c:ser>
          <c:idx val="2"/>
          <c:order val="2"/>
          <c:tx>
            <c:strRef>
              <c:f>'Datos del modelo'!$G$78</c:f>
              <c:strCache>
                <c:ptCount val="1"/>
                <c:pt idx="0">
                  <c:v>Ninguno</c:v>
                </c:pt>
              </c:strCache>
            </c:strRef>
          </c:tx>
          <c:spPr>
            <a:solidFill>
              <a:schemeClr val="accent3"/>
            </a:solidFill>
            <a:ln>
              <a:noFill/>
            </a:ln>
            <a:effectLst/>
          </c:spPr>
          <c:invertIfNegative val="0"/>
          <c:cat>
            <c:numRef>
              <c:f>Resultados!$D$138:$D$142</c:f>
              <c:numCache>
                <c:formatCode>General</c:formatCode>
                <c:ptCount val="5"/>
                <c:pt idx="0">
                  <c:v>2025</c:v>
                </c:pt>
                <c:pt idx="1">
                  <c:v>2026</c:v>
                </c:pt>
                <c:pt idx="2">
                  <c:v>2027</c:v>
                </c:pt>
                <c:pt idx="3">
                  <c:v>2028</c:v>
                </c:pt>
                <c:pt idx="4">
                  <c:v>2029</c:v>
                </c:pt>
              </c:numCache>
            </c:numRef>
          </c:cat>
          <c:val>
            <c:numRef>
              <c:f>Resultados!$G$138:$G$142</c:f>
            </c:numRef>
          </c:val>
          <c:extLst>
            <c:ext xmlns:c16="http://schemas.microsoft.com/office/drawing/2014/chart" uri="{C3380CC4-5D6E-409C-BE32-E72D297353CC}">
              <c16:uniqueId val="{00000002-5844-4519-B2E8-B6CFA217A6DD}"/>
            </c:ext>
          </c:extLst>
        </c:ser>
        <c:ser>
          <c:idx val="3"/>
          <c:order val="3"/>
          <c:tx>
            <c:strRef>
              <c:f>'Datos del modelo'!$H$78</c:f>
              <c:strCache>
                <c:ptCount val="1"/>
                <c:pt idx="0">
                  <c:v>Ninguno</c:v>
                </c:pt>
              </c:strCache>
            </c:strRef>
          </c:tx>
          <c:spPr>
            <a:solidFill>
              <a:schemeClr val="accent4"/>
            </a:solidFill>
            <a:ln>
              <a:noFill/>
            </a:ln>
            <a:effectLst/>
          </c:spPr>
          <c:invertIfNegative val="0"/>
          <c:cat>
            <c:numRef>
              <c:f>Resultados!$D$138:$D$142</c:f>
              <c:numCache>
                <c:formatCode>General</c:formatCode>
                <c:ptCount val="5"/>
                <c:pt idx="0">
                  <c:v>2025</c:v>
                </c:pt>
                <c:pt idx="1">
                  <c:v>2026</c:v>
                </c:pt>
                <c:pt idx="2">
                  <c:v>2027</c:v>
                </c:pt>
                <c:pt idx="3">
                  <c:v>2028</c:v>
                </c:pt>
                <c:pt idx="4">
                  <c:v>2029</c:v>
                </c:pt>
              </c:numCache>
            </c:numRef>
          </c:cat>
          <c:val>
            <c:numRef>
              <c:f>Resultados!$I$138:$I$142</c:f>
              <c:numCache>
                <c:formatCode>"$ "#,##0</c:formatCode>
                <c:ptCount val="5"/>
                <c:pt idx="0">
                  <c:v>0</c:v>
                </c:pt>
                <c:pt idx="1">
                  <c:v>0</c:v>
                </c:pt>
                <c:pt idx="2">
                  <c:v>0</c:v>
                </c:pt>
                <c:pt idx="3">
                  <c:v>0</c:v>
                </c:pt>
                <c:pt idx="4">
                  <c:v>0</c:v>
                </c:pt>
              </c:numCache>
            </c:numRef>
          </c:val>
          <c:extLst>
            <c:ext xmlns:c16="http://schemas.microsoft.com/office/drawing/2014/chart" uri="{C3380CC4-5D6E-409C-BE32-E72D297353CC}">
              <c16:uniqueId val="{00000003-5844-4519-B2E8-B6CFA217A6DD}"/>
            </c:ext>
          </c:extLst>
        </c:ser>
        <c:ser>
          <c:idx val="4"/>
          <c:order val="4"/>
          <c:tx>
            <c:strRef>
              <c:f>'Datos del modelo'!$I$78</c:f>
              <c:strCache>
                <c:ptCount val="1"/>
                <c:pt idx="0">
                  <c:v>Ninguno</c:v>
                </c:pt>
              </c:strCache>
            </c:strRef>
          </c:tx>
          <c:spPr>
            <a:solidFill>
              <a:schemeClr val="accent5"/>
            </a:solidFill>
            <a:ln>
              <a:noFill/>
            </a:ln>
            <a:effectLst/>
          </c:spPr>
          <c:invertIfNegative val="0"/>
          <c:cat>
            <c:numRef>
              <c:f>Resultados!$D$138:$D$142</c:f>
              <c:numCache>
                <c:formatCode>General</c:formatCode>
                <c:ptCount val="5"/>
                <c:pt idx="0">
                  <c:v>2025</c:v>
                </c:pt>
                <c:pt idx="1">
                  <c:v>2026</c:v>
                </c:pt>
                <c:pt idx="2">
                  <c:v>2027</c:v>
                </c:pt>
                <c:pt idx="3">
                  <c:v>2028</c:v>
                </c:pt>
                <c:pt idx="4">
                  <c:v>2029</c:v>
                </c:pt>
              </c:numCache>
            </c:numRef>
          </c:cat>
          <c:val>
            <c:numRef>
              <c:f>Resultados!$J$138:$J$142</c:f>
            </c:numRef>
          </c:val>
          <c:extLst>
            <c:ext xmlns:c16="http://schemas.microsoft.com/office/drawing/2014/chart" uri="{C3380CC4-5D6E-409C-BE32-E72D297353CC}">
              <c16:uniqueId val="{00000004-5844-4519-B2E8-B6CFA217A6DD}"/>
            </c:ext>
          </c:extLst>
        </c:ser>
        <c:ser>
          <c:idx val="6"/>
          <c:order val="5"/>
          <c:tx>
            <c:strRef>
              <c:f>'Datos del modelo'!$J$78</c:f>
              <c:strCache>
                <c:ptCount val="1"/>
                <c:pt idx="0">
                  <c:v>Ninguno</c:v>
                </c:pt>
              </c:strCache>
            </c:strRef>
          </c:tx>
          <c:spPr>
            <a:solidFill>
              <a:schemeClr val="accent1">
                <a:lumMod val="60000"/>
              </a:schemeClr>
            </a:solidFill>
            <a:ln>
              <a:noFill/>
            </a:ln>
            <a:effectLst/>
          </c:spPr>
          <c:invertIfNegative val="0"/>
          <c:cat>
            <c:numRef>
              <c:f>Resultados!$D$138:$D$142</c:f>
              <c:numCache>
                <c:formatCode>General</c:formatCode>
                <c:ptCount val="5"/>
                <c:pt idx="0">
                  <c:v>2025</c:v>
                </c:pt>
                <c:pt idx="1">
                  <c:v>2026</c:v>
                </c:pt>
                <c:pt idx="2">
                  <c:v>2027</c:v>
                </c:pt>
                <c:pt idx="3">
                  <c:v>2028</c:v>
                </c:pt>
                <c:pt idx="4">
                  <c:v>2029</c:v>
                </c:pt>
              </c:numCache>
            </c:numRef>
          </c:cat>
          <c:val>
            <c:numRef>
              <c:f>Resultados!$K$138:$K$142</c:f>
            </c:numRef>
          </c:val>
          <c:extLst>
            <c:ext xmlns:c16="http://schemas.microsoft.com/office/drawing/2014/chart" uri="{C3380CC4-5D6E-409C-BE32-E72D297353CC}">
              <c16:uniqueId val="{00000005-5844-4519-B2E8-B6CFA217A6DD}"/>
            </c:ext>
          </c:extLst>
        </c:ser>
        <c:ser>
          <c:idx val="7"/>
          <c:order val="6"/>
          <c:tx>
            <c:strRef>
              <c:f>'Datos del modelo'!$K$78</c:f>
              <c:strCache>
                <c:ptCount val="1"/>
                <c:pt idx="0">
                  <c:v>Abrysvo, Pfizer</c:v>
                </c:pt>
              </c:strCache>
            </c:strRef>
          </c:tx>
          <c:spPr>
            <a:solidFill>
              <a:schemeClr val="accent2">
                <a:lumMod val="60000"/>
              </a:schemeClr>
            </a:solidFill>
            <a:ln>
              <a:noFill/>
            </a:ln>
            <a:effectLst/>
          </c:spPr>
          <c:invertIfNegative val="0"/>
          <c:cat>
            <c:numRef>
              <c:f>Resultados!$D$138:$D$142</c:f>
              <c:numCache>
                <c:formatCode>General</c:formatCode>
                <c:ptCount val="5"/>
                <c:pt idx="0">
                  <c:v>2025</c:v>
                </c:pt>
                <c:pt idx="1">
                  <c:v>2026</c:v>
                </c:pt>
                <c:pt idx="2">
                  <c:v>2027</c:v>
                </c:pt>
                <c:pt idx="3">
                  <c:v>2028</c:v>
                </c:pt>
                <c:pt idx="4">
                  <c:v>2029</c:v>
                </c:pt>
              </c:numCache>
            </c:numRef>
          </c:cat>
          <c:val>
            <c:numRef>
              <c:f>Resultados!$N$138:$N$142</c:f>
            </c:numRef>
          </c:val>
          <c:extLst>
            <c:ext xmlns:c16="http://schemas.microsoft.com/office/drawing/2014/chart" uri="{C3380CC4-5D6E-409C-BE32-E72D297353CC}">
              <c16:uniqueId val="{00000006-5844-4519-B2E8-B6CFA217A6DD}"/>
            </c:ext>
          </c:extLst>
        </c:ser>
        <c:ser>
          <c:idx val="5"/>
          <c:order val="7"/>
          <c:tx>
            <c:strRef>
              <c:f>'Datos del modelo'!$L$78</c:f>
              <c:strCache>
                <c:ptCount val="1"/>
                <c:pt idx="0">
                  <c:v>Anticuerpo monoclonal contra el VSR_2</c:v>
                </c:pt>
              </c:strCache>
            </c:strRef>
          </c:tx>
          <c:spPr>
            <a:solidFill>
              <a:schemeClr val="accent6"/>
            </a:solidFill>
            <a:ln>
              <a:noFill/>
            </a:ln>
            <a:effectLst/>
          </c:spPr>
          <c:invertIfNegative val="0"/>
          <c:cat>
            <c:numRef>
              <c:f>Resultados!$D$138:$D$142</c:f>
              <c:numCache>
                <c:formatCode>General</c:formatCode>
                <c:ptCount val="5"/>
                <c:pt idx="0">
                  <c:v>2025</c:v>
                </c:pt>
                <c:pt idx="1">
                  <c:v>2026</c:v>
                </c:pt>
                <c:pt idx="2">
                  <c:v>2027</c:v>
                </c:pt>
                <c:pt idx="3">
                  <c:v>2028</c:v>
                </c:pt>
                <c:pt idx="4">
                  <c:v>2029</c:v>
                </c:pt>
              </c:numCache>
            </c:numRef>
          </c:cat>
          <c:val>
            <c:numRef>
              <c:f>Resultados!$O$138:$O$142</c:f>
            </c:numRef>
          </c:val>
          <c:extLst>
            <c:ext xmlns:c16="http://schemas.microsoft.com/office/drawing/2014/chart" uri="{C3380CC4-5D6E-409C-BE32-E72D297353CC}">
              <c16:uniqueId val="{00000007-5844-4519-B2E8-B6CFA217A6DD}"/>
            </c:ext>
          </c:extLst>
        </c:ser>
        <c:ser>
          <c:idx val="8"/>
          <c:order val="8"/>
          <c:tx>
            <c:strRef>
              <c:f>'Datos del modelo'!$K$76:$L$76</c:f>
              <c:strCache>
                <c:ptCount val="1"/>
                <c:pt idx="0">
                  <c:v>Vacunas contra el VSR para mujeres embarazadas y AcM contra el VSR para bebés (Vacuna materna y AcM)</c:v>
                </c:pt>
              </c:strCache>
            </c:strRef>
          </c:tx>
          <c:spPr>
            <a:solidFill>
              <a:schemeClr val="accent3">
                <a:lumMod val="60000"/>
              </a:schemeClr>
            </a:solidFill>
            <a:ln>
              <a:noFill/>
            </a:ln>
            <a:effectLst/>
          </c:spPr>
          <c:invertIfNegative val="0"/>
          <c:cat>
            <c:numRef>
              <c:f>Resultados!$D$138:$D$142</c:f>
              <c:numCache>
                <c:formatCode>General</c:formatCode>
                <c:ptCount val="5"/>
                <c:pt idx="0">
                  <c:v>2025</c:v>
                </c:pt>
                <c:pt idx="1">
                  <c:v>2026</c:v>
                </c:pt>
                <c:pt idx="2">
                  <c:v>2027</c:v>
                </c:pt>
                <c:pt idx="3">
                  <c:v>2028</c:v>
                </c:pt>
                <c:pt idx="4">
                  <c:v>2029</c:v>
                </c:pt>
              </c:numCache>
            </c:numRef>
          </c:cat>
          <c:val>
            <c:numRef>
              <c:f>Resultados!$M$138:$M$142</c:f>
              <c:numCache>
                <c:formatCode>"$ "#,##0</c:formatCode>
                <c:ptCount val="5"/>
                <c:pt idx="0">
                  <c:v>4801596.666666667</c:v>
                </c:pt>
                <c:pt idx="1">
                  <c:v>3594295.2800000003</c:v>
                </c:pt>
                <c:pt idx="2">
                  <c:v>3146672.075933334</c:v>
                </c:pt>
                <c:pt idx="3">
                  <c:v>2567296.6366746663</c:v>
                </c:pt>
                <c:pt idx="4">
                  <c:v>1845614.9252634598</c:v>
                </c:pt>
              </c:numCache>
            </c:numRef>
          </c:val>
          <c:extLst>
            <c:ext xmlns:c16="http://schemas.microsoft.com/office/drawing/2014/chart" uri="{C3380CC4-5D6E-409C-BE32-E72D297353CC}">
              <c16:uniqueId val="{00000008-5844-4519-B2E8-B6CFA217A6DD}"/>
            </c:ext>
          </c:extLst>
        </c:ser>
        <c:dLbls>
          <c:showLegendKey val="0"/>
          <c:showVal val="0"/>
          <c:showCatName val="0"/>
          <c:showSerName val="0"/>
          <c:showPercent val="0"/>
          <c:showBubbleSize val="0"/>
        </c:dLbls>
        <c:gapWidth val="128"/>
        <c:axId val="747696848"/>
        <c:axId val="747696192"/>
      </c:barChart>
      <c:catAx>
        <c:axId val="747696848"/>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192"/>
        <c:crosses val="autoZero"/>
        <c:auto val="1"/>
        <c:lblAlgn val="ctr"/>
        <c:lblOffset val="100"/>
        <c:noMultiLvlLbl val="0"/>
      </c:catAx>
      <c:valAx>
        <c:axId val="747696192"/>
        <c:scaling>
          <c:orientation val="minMax"/>
        </c:scaling>
        <c:delete val="0"/>
        <c:axPos val="l"/>
        <c:majorGridlines>
          <c:spPr>
            <a:ln w="9525" cap="flat" cmpd="sng" algn="ctr">
              <a:solidFill>
                <a:schemeClr val="tx1">
                  <a:lumMod val="15000"/>
                  <a:lumOff val="85000"/>
                </a:schemeClr>
              </a:solidFill>
              <a:round/>
            </a:ln>
            <a:effectLst/>
          </c:spPr>
        </c:majorGridlines>
        <c:numFmt formatCode="&quot;$ &quot;#,##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848"/>
        <c:crosses val="autoZero"/>
        <c:crossBetween val="between"/>
      </c:valAx>
      <c:spPr>
        <a:noFill/>
        <a:ln>
          <a:noFill/>
        </a:ln>
        <a:effectLst/>
      </c:spPr>
    </c:plotArea>
    <c:legend>
      <c:legendPos val="b"/>
      <c:layout>
        <c:manualLayout>
          <c:xMode val="edge"/>
          <c:yMode val="edge"/>
          <c:x val="0.11465809963705723"/>
          <c:y val="0.82687900066443676"/>
          <c:w val="0.84341536863388578"/>
          <c:h val="0.15816469412236051"/>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b="1"/>
              <a:t>Vaccine/mAb Cost</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9.9024596272896698E-2"/>
          <c:y val="8.7015783730413437E-2"/>
          <c:w val="0.87875182048053524"/>
          <c:h val="0.75123660380229318"/>
        </c:manualLayout>
      </c:layout>
      <c:barChart>
        <c:barDir val="col"/>
        <c:grouping val="clustered"/>
        <c:varyColors val="0"/>
        <c:ser>
          <c:idx val="1"/>
          <c:order val="0"/>
          <c:tx>
            <c:strRef>
              <c:f>'Datos del modelo'!$E$78</c:f>
              <c:strCache>
                <c:ptCount val="1"/>
                <c:pt idx="0">
                  <c:v>Abrysvo, Pfizer</c:v>
                </c:pt>
              </c:strCache>
            </c:strRef>
          </c:tx>
          <c:spPr>
            <a:solidFill>
              <a:schemeClr val="accent1"/>
            </a:solidFill>
            <a:ln>
              <a:noFill/>
            </a:ln>
            <a:effectLst/>
          </c:spPr>
          <c:invertIfNegative val="0"/>
          <c:cat>
            <c:numRef>
              <c:f>Resultados!$D$109:$D$113</c:f>
              <c:numCache>
                <c:formatCode>General</c:formatCode>
                <c:ptCount val="5"/>
                <c:pt idx="0">
                  <c:v>2025</c:v>
                </c:pt>
                <c:pt idx="1">
                  <c:v>2026</c:v>
                </c:pt>
                <c:pt idx="2">
                  <c:v>2027</c:v>
                </c:pt>
                <c:pt idx="3">
                  <c:v>2028</c:v>
                </c:pt>
                <c:pt idx="4">
                  <c:v>2029</c:v>
                </c:pt>
              </c:numCache>
            </c:numRef>
          </c:cat>
          <c:val>
            <c:numRef>
              <c:f>Resultados!$E$109:$E$113</c:f>
              <c:numCache>
                <c:formatCode>"$ "#,##0</c:formatCode>
                <c:ptCount val="5"/>
                <c:pt idx="0">
                  <c:v>36893.333333333343</c:v>
                </c:pt>
                <c:pt idx="1">
                  <c:v>37733.488888888889</c:v>
                </c:pt>
                <c:pt idx="2">
                  <c:v>37733.085555555568</c:v>
                </c:pt>
                <c:pt idx="3">
                  <c:v>45584.034711111119</c:v>
                </c:pt>
                <c:pt idx="4">
                  <c:v>52669.727259000014</c:v>
                </c:pt>
              </c:numCache>
            </c:numRef>
          </c:val>
          <c:extLst>
            <c:ext xmlns:c16="http://schemas.microsoft.com/office/drawing/2014/chart" uri="{C3380CC4-5D6E-409C-BE32-E72D297353CC}">
              <c16:uniqueId val="{00000000-9D83-4CAC-968B-BE431D151CFA}"/>
            </c:ext>
          </c:extLst>
        </c:ser>
        <c:ser>
          <c:idx val="0"/>
          <c:order val="1"/>
          <c:tx>
            <c:strRef>
              <c:f>'Datos del modelo'!$F$78</c:f>
              <c:strCache>
                <c:ptCount val="1"/>
                <c:pt idx="0">
                  <c:v>Ninguno</c:v>
                </c:pt>
              </c:strCache>
              <c:extLst xmlns:c15="http://schemas.microsoft.com/office/drawing/2012/chart"/>
            </c:strRef>
          </c:tx>
          <c:spPr>
            <a:solidFill>
              <a:schemeClr val="accent1"/>
            </a:solidFill>
            <a:ln>
              <a:noFill/>
            </a:ln>
            <a:effectLst/>
          </c:spPr>
          <c:invertIfNegative val="0"/>
          <c:cat>
            <c:numRef>
              <c:f>Resultados!$D$109:$D$113</c:f>
              <c:numCache>
                <c:formatCode>General</c:formatCode>
                <c:ptCount val="5"/>
                <c:pt idx="0">
                  <c:v>2025</c:v>
                </c:pt>
                <c:pt idx="1">
                  <c:v>2026</c:v>
                </c:pt>
                <c:pt idx="2">
                  <c:v>2027</c:v>
                </c:pt>
                <c:pt idx="3">
                  <c:v>2028</c:v>
                </c:pt>
                <c:pt idx="4">
                  <c:v>2029</c:v>
                </c:pt>
              </c:numCache>
              <c:extLst xmlns:c15="http://schemas.microsoft.com/office/drawing/2012/chart"/>
            </c:numRef>
          </c:cat>
          <c:val>
            <c:numRef>
              <c:f>Resultados!$F$109:$F$113</c:f>
              <c:extLst xmlns:c15="http://schemas.microsoft.com/office/drawing/2012/chart"/>
            </c:numRef>
          </c:val>
          <c:extLst xmlns:c15="http://schemas.microsoft.com/office/drawing/2012/chart">
            <c:ext xmlns:c16="http://schemas.microsoft.com/office/drawing/2014/chart" uri="{C3380CC4-5D6E-409C-BE32-E72D297353CC}">
              <c16:uniqueId val="{00000001-9D83-4CAC-968B-BE431D151CFA}"/>
            </c:ext>
          </c:extLst>
        </c:ser>
        <c:ser>
          <c:idx val="2"/>
          <c:order val="2"/>
          <c:tx>
            <c:strRef>
              <c:f>'Datos del modelo'!$G$78</c:f>
              <c:strCache>
                <c:ptCount val="1"/>
                <c:pt idx="0">
                  <c:v>Ninguno</c:v>
                </c:pt>
              </c:strCache>
              <c:extLst xmlns:c15="http://schemas.microsoft.com/office/drawing/2012/chart"/>
            </c:strRef>
          </c:tx>
          <c:spPr>
            <a:solidFill>
              <a:schemeClr val="accent3"/>
            </a:solidFill>
            <a:ln>
              <a:noFill/>
            </a:ln>
            <a:effectLst/>
          </c:spPr>
          <c:invertIfNegative val="0"/>
          <c:cat>
            <c:numRef>
              <c:f>Resultados!$D$109:$D$113</c:f>
              <c:numCache>
                <c:formatCode>General</c:formatCode>
                <c:ptCount val="5"/>
                <c:pt idx="0">
                  <c:v>2025</c:v>
                </c:pt>
                <c:pt idx="1">
                  <c:v>2026</c:v>
                </c:pt>
                <c:pt idx="2">
                  <c:v>2027</c:v>
                </c:pt>
                <c:pt idx="3">
                  <c:v>2028</c:v>
                </c:pt>
                <c:pt idx="4">
                  <c:v>2029</c:v>
                </c:pt>
              </c:numCache>
              <c:extLst xmlns:c15="http://schemas.microsoft.com/office/drawing/2012/chart"/>
            </c:numRef>
          </c:cat>
          <c:val>
            <c:numRef>
              <c:f>Resultados!$G$109:$G$113</c:f>
              <c:extLst xmlns:c15="http://schemas.microsoft.com/office/drawing/2012/chart"/>
            </c:numRef>
          </c:val>
          <c:extLst xmlns:c15="http://schemas.microsoft.com/office/drawing/2012/chart">
            <c:ext xmlns:c16="http://schemas.microsoft.com/office/drawing/2014/chart" uri="{C3380CC4-5D6E-409C-BE32-E72D297353CC}">
              <c16:uniqueId val="{00000002-9D83-4CAC-968B-BE431D151CFA}"/>
            </c:ext>
          </c:extLst>
        </c:ser>
        <c:ser>
          <c:idx val="3"/>
          <c:order val="3"/>
          <c:tx>
            <c:strRef>
              <c:f>'Datos del modelo'!$H$78</c:f>
              <c:strCache>
                <c:ptCount val="1"/>
                <c:pt idx="0">
                  <c:v>Ninguno</c:v>
                </c:pt>
              </c:strCache>
            </c:strRef>
          </c:tx>
          <c:spPr>
            <a:solidFill>
              <a:schemeClr val="accent4"/>
            </a:solidFill>
            <a:ln>
              <a:noFill/>
            </a:ln>
            <a:effectLst/>
          </c:spPr>
          <c:invertIfNegative val="0"/>
          <c:cat>
            <c:numRef>
              <c:f>Resultados!$D$109:$D$113</c:f>
              <c:numCache>
                <c:formatCode>General</c:formatCode>
                <c:ptCount val="5"/>
                <c:pt idx="0">
                  <c:v>2025</c:v>
                </c:pt>
                <c:pt idx="1">
                  <c:v>2026</c:v>
                </c:pt>
                <c:pt idx="2">
                  <c:v>2027</c:v>
                </c:pt>
                <c:pt idx="3">
                  <c:v>2028</c:v>
                </c:pt>
                <c:pt idx="4">
                  <c:v>2029</c:v>
                </c:pt>
              </c:numCache>
            </c:numRef>
          </c:cat>
          <c:val>
            <c:numRef>
              <c:f>Resultados!$I$109:$I$113</c:f>
              <c:numCache>
                <c:formatCode>"$ "#,##0</c:formatCode>
                <c:ptCount val="5"/>
                <c:pt idx="0">
                  <c:v>0</c:v>
                </c:pt>
                <c:pt idx="1">
                  <c:v>0</c:v>
                </c:pt>
                <c:pt idx="2">
                  <c:v>0</c:v>
                </c:pt>
                <c:pt idx="3">
                  <c:v>0</c:v>
                </c:pt>
                <c:pt idx="4">
                  <c:v>0</c:v>
                </c:pt>
              </c:numCache>
            </c:numRef>
          </c:val>
          <c:extLst>
            <c:ext xmlns:c16="http://schemas.microsoft.com/office/drawing/2014/chart" uri="{C3380CC4-5D6E-409C-BE32-E72D297353CC}">
              <c16:uniqueId val="{00000003-9D83-4CAC-968B-BE431D151CFA}"/>
            </c:ext>
          </c:extLst>
        </c:ser>
        <c:ser>
          <c:idx val="4"/>
          <c:order val="4"/>
          <c:tx>
            <c:strRef>
              <c:f>'Datos del modelo'!$I$78</c:f>
              <c:strCache>
                <c:ptCount val="1"/>
                <c:pt idx="0">
                  <c:v>Ninguno</c:v>
                </c:pt>
              </c:strCache>
              <c:extLst xmlns:c15="http://schemas.microsoft.com/office/drawing/2012/chart"/>
            </c:strRef>
          </c:tx>
          <c:spPr>
            <a:solidFill>
              <a:schemeClr val="accent5"/>
            </a:solidFill>
            <a:ln>
              <a:noFill/>
            </a:ln>
            <a:effectLst/>
          </c:spPr>
          <c:invertIfNegative val="0"/>
          <c:cat>
            <c:numRef>
              <c:f>Resultados!$D$109:$D$113</c:f>
              <c:numCache>
                <c:formatCode>General</c:formatCode>
                <c:ptCount val="5"/>
                <c:pt idx="0">
                  <c:v>2025</c:v>
                </c:pt>
                <c:pt idx="1">
                  <c:v>2026</c:v>
                </c:pt>
                <c:pt idx="2">
                  <c:v>2027</c:v>
                </c:pt>
                <c:pt idx="3">
                  <c:v>2028</c:v>
                </c:pt>
                <c:pt idx="4">
                  <c:v>2029</c:v>
                </c:pt>
              </c:numCache>
              <c:extLst xmlns:c15="http://schemas.microsoft.com/office/drawing/2012/chart"/>
            </c:numRef>
          </c:cat>
          <c:val>
            <c:numRef>
              <c:f>Resultados!$J$109:$J$113</c:f>
              <c:extLst xmlns:c15="http://schemas.microsoft.com/office/drawing/2012/chart"/>
            </c:numRef>
          </c:val>
          <c:extLst xmlns:c15="http://schemas.microsoft.com/office/drawing/2012/chart">
            <c:ext xmlns:c16="http://schemas.microsoft.com/office/drawing/2014/chart" uri="{C3380CC4-5D6E-409C-BE32-E72D297353CC}">
              <c16:uniqueId val="{00000004-9D83-4CAC-968B-BE431D151CFA}"/>
            </c:ext>
          </c:extLst>
        </c:ser>
        <c:ser>
          <c:idx val="6"/>
          <c:order val="5"/>
          <c:tx>
            <c:strRef>
              <c:f>'Datos del modelo'!$J$78</c:f>
              <c:strCache>
                <c:ptCount val="1"/>
                <c:pt idx="0">
                  <c:v>Ninguno</c:v>
                </c:pt>
              </c:strCache>
              <c:extLst xmlns:c15="http://schemas.microsoft.com/office/drawing/2012/chart"/>
            </c:strRef>
          </c:tx>
          <c:spPr>
            <a:solidFill>
              <a:schemeClr val="accent1">
                <a:lumMod val="60000"/>
              </a:schemeClr>
            </a:solidFill>
            <a:ln>
              <a:noFill/>
            </a:ln>
            <a:effectLst/>
          </c:spPr>
          <c:invertIfNegative val="0"/>
          <c:cat>
            <c:numRef>
              <c:f>Resultados!$D$109:$D$113</c:f>
              <c:numCache>
                <c:formatCode>General</c:formatCode>
                <c:ptCount val="5"/>
                <c:pt idx="0">
                  <c:v>2025</c:v>
                </c:pt>
                <c:pt idx="1">
                  <c:v>2026</c:v>
                </c:pt>
                <c:pt idx="2">
                  <c:v>2027</c:v>
                </c:pt>
                <c:pt idx="3">
                  <c:v>2028</c:v>
                </c:pt>
                <c:pt idx="4">
                  <c:v>2029</c:v>
                </c:pt>
              </c:numCache>
              <c:extLst xmlns:c15="http://schemas.microsoft.com/office/drawing/2012/chart"/>
            </c:numRef>
          </c:cat>
          <c:val>
            <c:numRef>
              <c:f>Resultados!$K$109:$K$113</c:f>
              <c:extLst xmlns:c15="http://schemas.microsoft.com/office/drawing/2012/chart"/>
            </c:numRef>
          </c:val>
          <c:extLst xmlns:c15="http://schemas.microsoft.com/office/drawing/2012/chart">
            <c:ext xmlns:c16="http://schemas.microsoft.com/office/drawing/2014/chart" uri="{C3380CC4-5D6E-409C-BE32-E72D297353CC}">
              <c16:uniqueId val="{00000005-9D83-4CAC-968B-BE431D151CFA}"/>
            </c:ext>
          </c:extLst>
        </c:ser>
        <c:ser>
          <c:idx val="7"/>
          <c:order val="6"/>
          <c:tx>
            <c:strRef>
              <c:f>'Datos del modelo'!$K$78</c:f>
              <c:strCache>
                <c:ptCount val="1"/>
                <c:pt idx="0">
                  <c:v>Abrysvo, Pfizer</c:v>
                </c:pt>
              </c:strCache>
              <c:extLst xmlns:c15="http://schemas.microsoft.com/office/drawing/2012/chart"/>
            </c:strRef>
          </c:tx>
          <c:spPr>
            <a:solidFill>
              <a:schemeClr val="accent2">
                <a:lumMod val="60000"/>
              </a:schemeClr>
            </a:solidFill>
            <a:ln>
              <a:noFill/>
            </a:ln>
            <a:effectLst/>
          </c:spPr>
          <c:invertIfNegative val="0"/>
          <c:cat>
            <c:numRef>
              <c:f>Resultados!$D$109:$D$113</c:f>
              <c:numCache>
                <c:formatCode>General</c:formatCode>
                <c:ptCount val="5"/>
                <c:pt idx="0">
                  <c:v>2025</c:v>
                </c:pt>
                <c:pt idx="1">
                  <c:v>2026</c:v>
                </c:pt>
                <c:pt idx="2">
                  <c:v>2027</c:v>
                </c:pt>
                <c:pt idx="3">
                  <c:v>2028</c:v>
                </c:pt>
                <c:pt idx="4">
                  <c:v>2029</c:v>
                </c:pt>
              </c:numCache>
              <c:extLst xmlns:c15="http://schemas.microsoft.com/office/drawing/2012/chart"/>
            </c:numRef>
          </c:cat>
          <c:val>
            <c:numRef>
              <c:f>Resultados!$N$109:$N$113</c:f>
              <c:extLst xmlns:c15="http://schemas.microsoft.com/office/drawing/2012/chart"/>
            </c:numRef>
          </c:val>
          <c:extLst xmlns:c15="http://schemas.microsoft.com/office/drawing/2012/chart">
            <c:ext xmlns:c16="http://schemas.microsoft.com/office/drawing/2014/chart" uri="{C3380CC4-5D6E-409C-BE32-E72D297353CC}">
              <c16:uniqueId val="{00000006-9D83-4CAC-968B-BE431D151CFA}"/>
            </c:ext>
          </c:extLst>
        </c:ser>
        <c:ser>
          <c:idx val="5"/>
          <c:order val="7"/>
          <c:tx>
            <c:strRef>
              <c:f>'Datos del modelo'!$L$78</c:f>
              <c:strCache>
                <c:ptCount val="1"/>
                <c:pt idx="0">
                  <c:v>Anticuerpo monoclonal contra el VSR_2</c:v>
                </c:pt>
              </c:strCache>
              <c:extLst xmlns:c15="http://schemas.microsoft.com/office/drawing/2012/chart"/>
            </c:strRef>
          </c:tx>
          <c:spPr>
            <a:solidFill>
              <a:schemeClr val="accent6"/>
            </a:solidFill>
            <a:ln>
              <a:noFill/>
            </a:ln>
            <a:effectLst/>
          </c:spPr>
          <c:invertIfNegative val="0"/>
          <c:cat>
            <c:numRef>
              <c:f>Resultados!$D$109:$D$113</c:f>
              <c:numCache>
                <c:formatCode>General</c:formatCode>
                <c:ptCount val="5"/>
                <c:pt idx="0">
                  <c:v>2025</c:v>
                </c:pt>
                <c:pt idx="1">
                  <c:v>2026</c:v>
                </c:pt>
                <c:pt idx="2">
                  <c:v>2027</c:v>
                </c:pt>
                <c:pt idx="3">
                  <c:v>2028</c:v>
                </c:pt>
                <c:pt idx="4">
                  <c:v>2029</c:v>
                </c:pt>
              </c:numCache>
              <c:extLst xmlns:c15="http://schemas.microsoft.com/office/drawing/2012/chart"/>
            </c:numRef>
          </c:cat>
          <c:val>
            <c:numRef>
              <c:f>Resultados!$O$109:$O$113</c:f>
              <c:extLst xmlns:c15="http://schemas.microsoft.com/office/drawing/2012/chart"/>
            </c:numRef>
          </c:val>
          <c:extLst xmlns:c15="http://schemas.microsoft.com/office/drawing/2012/chart">
            <c:ext xmlns:c16="http://schemas.microsoft.com/office/drawing/2014/chart" uri="{C3380CC4-5D6E-409C-BE32-E72D297353CC}">
              <c16:uniqueId val="{00000007-9D83-4CAC-968B-BE431D151CFA}"/>
            </c:ext>
          </c:extLst>
        </c:ser>
        <c:ser>
          <c:idx val="8"/>
          <c:order val="8"/>
          <c:tx>
            <c:strRef>
              <c:f>'Datos del modelo'!$K$76:$L$76</c:f>
              <c:strCache>
                <c:ptCount val="1"/>
                <c:pt idx="0">
                  <c:v>Vacunas contra el VSR para mujeres embarazadas y AcM contra el VSR para bebés (Vacuna materna y AcM)</c:v>
                </c:pt>
              </c:strCache>
            </c:strRef>
          </c:tx>
          <c:spPr>
            <a:solidFill>
              <a:schemeClr val="accent3">
                <a:lumMod val="60000"/>
              </a:schemeClr>
            </a:solidFill>
            <a:ln>
              <a:noFill/>
            </a:ln>
            <a:effectLst/>
          </c:spPr>
          <c:invertIfNegative val="0"/>
          <c:cat>
            <c:numRef>
              <c:f>Resultados!$D$109:$D$113</c:f>
              <c:numCache>
                <c:formatCode>General</c:formatCode>
                <c:ptCount val="5"/>
                <c:pt idx="0">
                  <c:v>2025</c:v>
                </c:pt>
                <c:pt idx="1">
                  <c:v>2026</c:v>
                </c:pt>
                <c:pt idx="2">
                  <c:v>2027</c:v>
                </c:pt>
                <c:pt idx="3">
                  <c:v>2028</c:v>
                </c:pt>
                <c:pt idx="4">
                  <c:v>2029</c:v>
                </c:pt>
              </c:numCache>
            </c:numRef>
          </c:cat>
          <c:val>
            <c:numRef>
              <c:f>Resultados!$M$109:$M$113</c:f>
              <c:numCache>
                <c:formatCode>"$ "#,##0</c:formatCode>
                <c:ptCount val="5"/>
                <c:pt idx="0">
                  <c:v>72249.444444444467</c:v>
                </c:pt>
                <c:pt idx="1">
                  <c:v>61555.613333333342</c:v>
                </c:pt>
                <c:pt idx="2">
                  <c:v>62282.285655555577</c:v>
                </c:pt>
                <c:pt idx="3">
                  <c:v>61998.025319111119</c:v>
                </c:pt>
                <c:pt idx="4">
                  <c:v>60609.583954210015</c:v>
                </c:pt>
              </c:numCache>
            </c:numRef>
          </c:val>
          <c:extLst>
            <c:ext xmlns:c16="http://schemas.microsoft.com/office/drawing/2014/chart" uri="{C3380CC4-5D6E-409C-BE32-E72D297353CC}">
              <c16:uniqueId val="{00000008-9D83-4CAC-968B-BE431D151CFA}"/>
            </c:ext>
          </c:extLst>
        </c:ser>
        <c:dLbls>
          <c:showLegendKey val="0"/>
          <c:showVal val="0"/>
          <c:showCatName val="0"/>
          <c:showSerName val="0"/>
          <c:showPercent val="0"/>
          <c:showBubbleSize val="0"/>
        </c:dLbls>
        <c:gapWidth val="128"/>
        <c:axId val="747696848"/>
        <c:axId val="747696192"/>
        <c:extLst/>
      </c:barChart>
      <c:catAx>
        <c:axId val="747696848"/>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192"/>
        <c:crosses val="autoZero"/>
        <c:auto val="1"/>
        <c:lblAlgn val="ctr"/>
        <c:lblOffset val="100"/>
        <c:noMultiLvlLbl val="0"/>
      </c:catAx>
      <c:valAx>
        <c:axId val="747696192"/>
        <c:scaling>
          <c:orientation val="minMax"/>
        </c:scaling>
        <c:delete val="0"/>
        <c:axPos val="l"/>
        <c:majorGridlines>
          <c:spPr>
            <a:ln w="9525" cap="flat" cmpd="sng" algn="ctr">
              <a:solidFill>
                <a:schemeClr val="tx1">
                  <a:lumMod val="15000"/>
                  <a:lumOff val="85000"/>
                </a:schemeClr>
              </a:solidFill>
              <a:round/>
            </a:ln>
            <a:effectLst/>
          </c:spPr>
        </c:majorGridlines>
        <c:numFmt formatCode="&quot;$ &quot;#,##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848"/>
        <c:crosses val="autoZero"/>
        <c:crossBetween val="between"/>
      </c:valAx>
      <c:spPr>
        <a:noFill/>
        <a:ln>
          <a:noFill/>
        </a:ln>
        <a:effectLst/>
      </c:spPr>
    </c:plotArea>
    <c:legend>
      <c:legendPos val="b"/>
      <c:layout>
        <c:manualLayout>
          <c:xMode val="edge"/>
          <c:yMode val="edge"/>
          <c:x val="9.6475167889865196E-2"/>
          <c:y val="0.88670422151724759"/>
          <c:w val="0.85553732313201392"/>
          <c:h val="0.11329577848275234"/>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sz="1400" b="1"/>
              <a:t>Vaccine/mAb</a:t>
            </a:r>
            <a:r>
              <a:rPr lang="fr-CH" sz="1400" b="1" baseline="0"/>
              <a:t> Cost</a:t>
            </a:r>
            <a:endParaRPr lang="fr-CH" sz="1400" b="1"/>
          </a:p>
        </c:rich>
      </c:tx>
      <c:layout>
        <c:manualLayout>
          <c:xMode val="edge"/>
          <c:yMode val="edge"/>
          <c:x val="0.4328871804357296"/>
          <c:y val="1.9342658547895145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fr-CH"/>
        </a:p>
      </c:txPr>
    </c:title>
    <c:autoTitleDeleted val="0"/>
    <c:plotArea>
      <c:layout>
        <c:manualLayout>
          <c:layoutTarget val="inner"/>
          <c:xMode val="edge"/>
          <c:yMode val="edge"/>
          <c:x val="4.4842946574879916E-2"/>
          <c:y val="0.14264844607639021"/>
          <c:w val="0.91057363748010556"/>
          <c:h val="0.43634901767801038"/>
        </c:manualLayout>
      </c:layout>
      <c:barChart>
        <c:barDir val="bar"/>
        <c:grouping val="clustered"/>
        <c:varyColors val="0"/>
        <c:ser>
          <c:idx val="0"/>
          <c:order val="0"/>
          <c:tx>
            <c:strRef>
              <c:f>'Datos del modelo'!$E$78</c:f>
              <c:strCache>
                <c:ptCount val="1"/>
                <c:pt idx="0">
                  <c:v>Abrysvo, Pfizer</c:v>
                </c:pt>
              </c:strCache>
            </c:strRef>
          </c:tx>
          <c:spPr>
            <a:solidFill>
              <a:schemeClr val="accent1"/>
            </a:solidFill>
            <a:ln>
              <a:noFill/>
            </a:ln>
            <a:effectLst/>
          </c:spPr>
          <c:invertIfNegative val="0"/>
          <c:val>
            <c:numRef>
              <c:f>Resultados!$E$108</c:f>
              <c:numCache>
                <c:formatCode>"$ "#,##0</c:formatCode>
                <c:ptCount val="1"/>
                <c:pt idx="0">
                  <c:v>210613.66974788893</c:v>
                </c:pt>
              </c:numCache>
            </c:numRef>
          </c:val>
          <c:extLs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Ninguno</c:v>
                      </c:pt>
                      <c:pt idx="2">
                        <c:v>Los dos, total</c:v>
                      </c:pt>
                    </c:strCache>
                  </c:strRef>
                </c15:cat>
              </c15:filteredCategoryTitle>
            </c:ext>
            <c:ext xmlns:c16="http://schemas.microsoft.com/office/drawing/2014/chart" uri="{C3380CC4-5D6E-409C-BE32-E72D297353CC}">
              <c16:uniqueId val="{00000000-CF8C-463A-9D4F-EF0BEA2123DE}"/>
            </c:ext>
          </c:extLst>
        </c:ser>
        <c:ser>
          <c:idx val="1"/>
          <c:order val="1"/>
          <c:tx>
            <c:strRef>
              <c:f>'Datos del modelo'!$F$78</c:f>
              <c:strCache>
                <c:ptCount val="1"/>
                <c:pt idx="0">
                  <c:v>Ninguno</c:v>
                </c:pt>
              </c:strCache>
              <c:extLst xmlns:c15="http://schemas.microsoft.com/office/drawing/2012/chart"/>
            </c:strRef>
          </c:tx>
          <c:spPr>
            <a:solidFill>
              <a:schemeClr val="accent2"/>
            </a:solidFill>
            <a:ln>
              <a:noFill/>
            </a:ln>
            <a:effectLst/>
          </c:spPr>
          <c:invertIfNegative val="0"/>
          <c:val>
            <c:numRef>
              <c:f>Resultados!$F$108</c:f>
              <c:extLst xmlns:c15="http://schemas.microsoft.com/office/drawing/2012/chart"/>
            </c:numRef>
          </c:val>
          <c:extLst xmlns:c15="http://schemas.microsoft.com/office/drawing/2012/char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Ninguno</c:v>
                      </c:pt>
                      <c:pt idx="2">
                        <c:v>Los dos, total</c:v>
                      </c:pt>
                    </c:strCache>
                  </c:strRef>
                </c15:cat>
              </c15:filteredCategoryTitle>
            </c:ext>
            <c:ext xmlns:c16="http://schemas.microsoft.com/office/drawing/2014/chart" uri="{C3380CC4-5D6E-409C-BE32-E72D297353CC}">
              <c16:uniqueId val="{00000001-CF8C-463A-9D4F-EF0BEA2123DE}"/>
            </c:ext>
          </c:extLst>
        </c:ser>
        <c:ser>
          <c:idx val="2"/>
          <c:order val="2"/>
          <c:tx>
            <c:strRef>
              <c:f>'Datos del modelo'!$G$78</c:f>
              <c:strCache>
                <c:ptCount val="1"/>
                <c:pt idx="0">
                  <c:v>Ninguno</c:v>
                </c:pt>
              </c:strCache>
              <c:extLst xmlns:c15="http://schemas.microsoft.com/office/drawing/2012/chart"/>
            </c:strRef>
          </c:tx>
          <c:spPr>
            <a:solidFill>
              <a:schemeClr val="accent3"/>
            </a:solidFill>
            <a:ln>
              <a:noFill/>
            </a:ln>
            <a:effectLst/>
          </c:spPr>
          <c:invertIfNegative val="0"/>
          <c:val>
            <c:numRef>
              <c:f>Resultados!$G$108</c:f>
              <c:extLst xmlns:c15="http://schemas.microsoft.com/office/drawing/2012/chart"/>
            </c:numRef>
          </c:val>
          <c:extLst xmlns:c15="http://schemas.microsoft.com/office/drawing/2012/char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Ninguno</c:v>
                      </c:pt>
                      <c:pt idx="2">
                        <c:v>Los dos, total</c:v>
                      </c:pt>
                    </c:strCache>
                  </c:strRef>
                </c15:cat>
              </c15:filteredCategoryTitle>
            </c:ext>
            <c:ext xmlns:c16="http://schemas.microsoft.com/office/drawing/2014/chart" uri="{C3380CC4-5D6E-409C-BE32-E72D297353CC}">
              <c16:uniqueId val="{00000002-CF8C-463A-9D4F-EF0BEA2123DE}"/>
            </c:ext>
          </c:extLst>
        </c:ser>
        <c:ser>
          <c:idx val="3"/>
          <c:order val="3"/>
          <c:tx>
            <c:strRef>
              <c:f>'Datos del modelo'!$H$78</c:f>
              <c:strCache>
                <c:ptCount val="1"/>
                <c:pt idx="0">
                  <c:v>Ninguno</c:v>
                </c:pt>
              </c:strCache>
            </c:strRef>
          </c:tx>
          <c:spPr>
            <a:solidFill>
              <a:schemeClr val="accent4"/>
            </a:solidFill>
            <a:ln>
              <a:noFill/>
            </a:ln>
            <a:effectLst/>
          </c:spPr>
          <c:invertIfNegative val="0"/>
          <c:val>
            <c:numRef>
              <c:f>Resultados!$I$108</c:f>
              <c:numCache>
                <c:formatCode>"$ "#,##0</c:formatCode>
                <c:ptCount val="1"/>
                <c:pt idx="0">
                  <c:v>0</c:v>
                </c:pt>
              </c:numCache>
            </c:numRef>
          </c:val>
          <c:extLs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Ninguno</c:v>
                      </c:pt>
                      <c:pt idx="2">
                        <c:v>Los dos, total</c:v>
                      </c:pt>
                    </c:strCache>
                  </c:strRef>
                </c15:cat>
              </c15:filteredCategoryTitle>
            </c:ext>
            <c:ext xmlns:c16="http://schemas.microsoft.com/office/drawing/2014/chart" uri="{C3380CC4-5D6E-409C-BE32-E72D297353CC}">
              <c16:uniqueId val="{00000003-CF8C-463A-9D4F-EF0BEA2123DE}"/>
            </c:ext>
          </c:extLst>
        </c:ser>
        <c:ser>
          <c:idx val="4"/>
          <c:order val="4"/>
          <c:tx>
            <c:strRef>
              <c:f>'Datos del modelo'!$I$78</c:f>
              <c:strCache>
                <c:ptCount val="1"/>
                <c:pt idx="0">
                  <c:v>Ninguno</c:v>
                </c:pt>
              </c:strCache>
              <c:extLst xmlns:c15="http://schemas.microsoft.com/office/drawing/2012/chart"/>
            </c:strRef>
          </c:tx>
          <c:spPr>
            <a:solidFill>
              <a:schemeClr val="accent5"/>
            </a:solidFill>
            <a:ln>
              <a:noFill/>
            </a:ln>
            <a:effectLst/>
          </c:spPr>
          <c:invertIfNegative val="0"/>
          <c:val>
            <c:numRef>
              <c:f>Resultados!$J$108</c:f>
              <c:extLst xmlns:c15="http://schemas.microsoft.com/office/drawing/2012/chart"/>
            </c:numRef>
          </c:val>
          <c:extLst xmlns:c15="http://schemas.microsoft.com/office/drawing/2012/char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Ninguno</c:v>
                      </c:pt>
                      <c:pt idx="2">
                        <c:v>Los dos, total</c:v>
                      </c:pt>
                    </c:strCache>
                  </c:strRef>
                </c15:cat>
              </c15:filteredCategoryTitle>
            </c:ext>
            <c:ext xmlns:c16="http://schemas.microsoft.com/office/drawing/2014/chart" uri="{C3380CC4-5D6E-409C-BE32-E72D297353CC}">
              <c16:uniqueId val="{00000004-CF8C-463A-9D4F-EF0BEA2123DE}"/>
            </c:ext>
          </c:extLst>
        </c:ser>
        <c:ser>
          <c:idx val="5"/>
          <c:order val="5"/>
          <c:tx>
            <c:strRef>
              <c:f>'Datos del modelo'!$J$78</c:f>
              <c:strCache>
                <c:ptCount val="1"/>
                <c:pt idx="0">
                  <c:v>Ninguno</c:v>
                </c:pt>
              </c:strCache>
              <c:extLst xmlns:c15="http://schemas.microsoft.com/office/drawing/2012/chart"/>
            </c:strRef>
          </c:tx>
          <c:spPr>
            <a:solidFill>
              <a:schemeClr val="accent6"/>
            </a:solidFill>
            <a:ln>
              <a:noFill/>
            </a:ln>
            <a:effectLst/>
          </c:spPr>
          <c:invertIfNegative val="0"/>
          <c:val>
            <c:numRef>
              <c:f>Resultados!$K$108</c:f>
              <c:extLst xmlns:c15="http://schemas.microsoft.com/office/drawing/2012/chart"/>
            </c:numRef>
          </c:val>
          <c:extLst xmlns:c15="http://schemas.microsoft.com/office/drawing/2012/char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Ninguno</c:v>
                      </c:pt>
                      <c:pt idx="2">
                        <c:v>Los dos, total</c:v>
                      </c:pt>
                    </c:strCache>
                  </c:strRef>
                </c15:cat>
              </c15:filteredCategoryTitle>
            </c:ext>
            <c:ext xmlns:c16="http://schemas.microsoft.com/office/drawing/2014/chart" uri="{C3380CC4-5D6E-409C-BE32-E72D297353CC}">
              <c16:uniqueId val="{00000005-CF8C-463A-9D4F-EF0BEA2123DE}"/>
            </c:ext>
          </c:extLst>
        </c:ser>
        <c:ser>
          <c:idx val="6"/>
          <c:order val="6"/>
          <c:tx>
            <c:strRef>
              <c:f>'Datos del modelo'!$K$78</c:f>
              <c:strCache>
                <c:ptCount val="1"/>
                <c:pt idx="0">
                  <c:v>Abrysvo, Pfizer</c:v>
                </c:pt>
              </c:strCache>
              <c:extLst xmlns:c15="http://schemas.microsoft.com/office/drawing/2012/chart"/>
            </c:strRef>
          </c:tx>
          <c:spPr>
            <a:solidFill>
              <a:schemeClr val="accent1">
                <a:lumMod val="60000"/>
              </a:schemeClr>
            </a:solidFill>
            <a:ln>
              <a:noFill/>
            </a:ln>
            <a:effectLst/>
          </c:spPr>
          <c:invertIfNegative val="0"/>
          <c:val>
            <c:numRef>
              <c:f>Resultados!$N$108</c:f>
              <c:extLst xmlns:c15="http://schemas.microsoft.com/office/drawing/2012/chart"/>
            </c:numRef>
          </c:val>
          <c:extLst xmlns:c15="http://schemas.microsoft.com/office/drawing/2012/char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Ninguno</c:v>
                      </c:pt>
                      <c:pt idx="2">
                        <c:v>Los dos, total</c:v>
                      </c:pt>
                    </c:strCache>
                  </c:strRef>
                </c15:cat>
              </c15:filteredCategoryTitle>
            </c:ext>
            <c:ext xmlns:c16="http://schemas.microsoft.com/office/drawing/2014/chart" uri="{C3380CC4-5D6E-409C-BE32-E72D297353CC}">
              <c16:uniqueId val="{00000006-CF8C-463A-9D4F-EF0BEA2123DE}"/>
            </c:ext>
          </c:extLst>
        </c:ser>
        <c:ser>
          <c:idx val="7"/>
          <c:order val="7"/>
          <c:tx>
            <c:strRef>
              <c:f>'Datos del modelo'!$L$78</c:f>
              <c:strCache>
                <c:ptCount val="1"/>
                <c:pt idx="0">
                  <c:v>Anticuerpo monoclonal contra el VSR_2</c:v>
                </c:pt>
              </c:strCache>
              <c:extLst xmlns:c15="http://schemas.microsoft.com/office/drawing/2012/chart"/>
            </c:strRef>
          </c:tx>
          <c:spPr>
            <a:solidFill>
              <a:schemeClr val="accent2">
                <a:lumMod val="60000"/>
              </a:schemeClr>
            </a:solidFill>
            <a:ln>
              <a:noFill/>
            </a:ln>
            <a:effectLst/>
          </c:spPr>
          <c:invertIfNegative val="0"/>
          <c:val>
            <c:numRef>
              <c:f>Resultados!$O$108</c:f>
              <c:extLst xmlns:c15="http://schemas.microsoft.com/office/drawing/2012/chart"/>
            </c:numRef>
          </c:val>
          <c:extLst xmlns:c15="http://schemas.microsoft.com/office/drawing/2012/char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Ninguno</c:v>
                      </c:pt>
                      <c:pt idx="2">
                        <c:v>Los dos, total</c:v>
                      </c:pt>
                    </c:strCache>
                  </c:strRef>
                </c15:cat>
              </c15:filteredCategoryTitle>
            </c:ext>
            <c:ext xmlns:c16="http://schemas.microsoft.com/office/drawing/2014/chart" uri="{C3380CC4-5D6E-409C-BE32-E72D297353CC}">
              <c16:uniqueId val="{00000007-CF8C-463A-9D4F-EF0BEA2123DE}"/>
            </c:ext>
          </c:extLst>
        </c:ser>
        <c:ser>
          <c:idx val="8"/>
          <c:order val="8"/>
          <c:tx>
            <c:strRef>
              <c:f>'Datos del modelo'!$K$76:$L$76</c:f>
              <c:strCache>
                <c:ptCount val="1"/>
                <c:pt idx="0">
                  <c:v>Vacunas contra el VSR para mujeres embarazadas y AcM contra el VSR para bebés (Vacuna materna y AcM)</c:v>
                </c:pt>
              </c:strCache>
            </c:strRef>
          </c:tx>
          <c:spPr>
            <a:solidFill>
              <a:schemeClr val="accent3">
                <a:lumMod val="60000"/>
              </a:schemeClr>
            </a:solidFill>
            <a:ln>
              <a:noFill/>
            </a:ln>
            <a:effectLst/>
          </c:spPr>
          <c:invertIfNegative val="0"/>
          <c:val>
            <c:numRef>
              <c:f>Resultados!$M$108</c:f>
              <c:numCache>
                <c:formatCode>"$ "#,##0</c:formatCode>
                <c:ptCount val="1"/>
                <c:pt idx="0">
                  <c:v>318694.95270665456</c:v>
                </c:pt>
              </c:numCache>
            </c:numRef>
          </c:val>
          <c:extLs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Ninguno</c:v>
                      </c:pt>
                      <c:pt idx="2">
                        <c:v>Los dos, total</c:v>
                      </c:pt>
                    </c:strCache>
                  </c:strRef>
                </c15:cat>
              </c15:filteredCategoryTitle>
            </c:ext>
            <c:ext xmlns:c16="http://schemas.microsoft.com/office/drawing/2014/chart" uri="{C3380CC4-5D6E-409C-BE32-E72D297353CC}">
              <c16:uniqueId val="{00000008-CF8C-463A-9D4F-EF0BEA2123DE}"/>
            </c:ext>
          </c:extLst>
        </c:ser>
        <c:dLbls>
          <c:showLegendKey val="0"/>
          <c:showVal val="0"/>
          <c:showCatName val="0"/>
          <c:showSerName val="0"/>
          <c:showPercent val="0"/>
          <c:showBubbleSize val="0"/>
        </c:dLbls>
        <c:gapWidth val="182"/>
        <c:axId val="640941360"/>
        <c:axId val="640940704"/>
        <c:extLst/>
      </c:barChart>
      <c:catAx>
        <c:axId val="640941360"/>
        <c:scaling>
          <c:orientation val="minMax"/>
        </c:scaling>
        <c:delete val="1"/>
        <c:axPos val="l"/>
        <c:numFmt formatCode="General" sourceLinked="1"/>
        <c:majorTickMark val="none"/>
        <c:minorTickMark val="none"/>
        <c:tickLblPos val="nextTo"/>
        <c:crossAx val="640940704"/>
        <c:crosses val="autoZero"/>
        <c:auto val="1"/>
        <c:lblAlgn val="ctr"/>
        <c:lblOffset val="100"/>
        <c:noMultiLvlLbl val="0"/>
      </c:catAx>
      <c:valAx>
        <c:axId val="640940704"/>
        <c:scaling>
          <c:orientation val="minMax"/>
        </c:scaling>
        <c:delete val="0"/>
        <c:axPos val="b"/>
        <c:majorGridlines>
          <c:spPr>
            <a:ln w="9525" cap="flat" cmpd="sng" algn="ctr">
              <a:solidFill>
                <a:schemeClr val="tx1">
                  <a:lumMod val="15000"/>
                  <a:lumOff val="85000"/>
                </a:schemeClr>
              </a:solidFill>
              <a:round/>
            </a:ln>
            <a:effectLst/>
          </c:spPr>
        </c:majorGridlines>
        <c:numFmt formatCode="&quot;$ &quot;#,##0" sourceLinked="1"/>
        <c:majorTickMark val="none"/>
        <c:minorTickMark val="none"/>
        <c:tickLblPos val="nextTo"/>
        <c:spPr>
          <a:noFill/>
          <a:ln>
            <a:solidFill>
              <a:schemeClr val="tx1"/>
            </a:solidFill>
          </a:ln>
          <a:effectLst/>
        </c:spPr>
        <c:txPr>
          <a:bodyPr rot="-150000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40941360"/>
        <c:crosses val="autoZero"/>
        <c:crossBetween val="between"/>
      </c:valAx>
      <c:spPr>
        <a:noFill/>
        <a:ln>
          <a:noFill/>
        </a:ln>
        <a:effectLst/>
      </c:spPr>
    </c:plotArea>
    <c:legend>
      <c:legendPos val="b"/>
      <c:layout>
        <c:manualLayout>
          <c:xMode val="edge"/>
          <c:yMode val="edge"/>
          <c:x val="1.9446909198461995E-2"/>
          <c:y val="0.78070027084480376"/>
          <c:w val="0.93107478674035327"/>
          <c:h val="0.17502363936615434"/>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671081925231174E-2"/>
          <c:y val="0.14264852765778027"/>
          <c:w val="0.91863216863177199"/>
          <c:h val="0.46985152778013894"/>
        </c:manualLayout>
      </c:layout>
      <c:barChart>
        <c:barDir val="bar"/>
        <c:grouping val="clustered"/>
        <c:varyColors val="0"/>
        <c:ser>
          <c:idx val="0"/>
          <c:order val="0"/>
          <c:tx>
            <c:strRef>
              <c:f>'Datos del modelo'!$E$78</c:f>
              <c:strCache>
                <c:ptCount val="1"/>
                <c:pt idx="0">
                  <c:v>Abrysvo, Pfizer</c:v>
                </c:pt>
              </c:strCache>
            </c:strRef>
          </c:tx>
          <c:spPr>
            <a:solidFill>
              <a:schemeClr val="accent1"/>
            </a:solidFill>
            <a:ln>
              <a:noFill/>
            </a:ln>
            <a:effectLst/>
          </c:spPr>
          <c:invertIfNegative val="0"/>
          <c:val>
            <c:numRef>
              <c:f>Resultados!$E$117</c:f>
              <c:numCache>
                <c:formatCode>"$ "#,##0</c:formatCode>
                <c:ptCount val="1"/>
                <c:pt idx="0">
                  <c:v>1253616.8254038889</c:v>
                </c:pt>
              </c:numCache>
            </c:numRef>
          </c:val>
          <c:extLst>
            <c:ext xmlns:c16="http://schemas.microsoft.com/office/drawing/2014/chart" uri="{C3380CC4-5D6E-409C-BE32-E72D297353CC}">
              <c16:uniqueId val="{00000000-F176-4778-9C5F-59B94DA89B41}"/>
            </c:ext>
          </c:extLst>
        </c:ser>
        <c:ser>
          <c:idx val="1"/>
          <c:order val="1"/>
          <c:tx>
            <c:strRef>
              <c:f>'Datos del modelo'!$F$78</c:f>
              <c:strCache>
                <c:ptCount val="1"/>
                <c:pt idx="0">
                  <c:v>Ninguno</c:v>
                </c:pt>
              </c:strCache>
              <c:extLst xmlns:c15="http://schemas.microsoft.com/office/drawing/2012/chart"/>
            </c:strRef>
          </c:tx>
          <c:spPr>
            <a:solidFill>
              <a:schemeClr val="accent2"/>
            </a:solidFill>
            <a:ln>
              <a:noFill/>
            </a:ln>
            <a:effectLst/>
          </c:spPr>
          <c:invertIfNegative val="0"/>
          <c:val>
            <c:numRef>
              <c:f>Resultados!$F$117</c:f>
              <c:extLst xmlns:c15="http://schemas.microsoft.com/office/drawing/2012/chart"/>
            </c:numRef>
          </c:val>
          <c:extLst xmlns:c15="http://schemas.microsoft.com/office/drawing/2012/chart">
            <c:ext xmlns:c16="http://schemas.microsoft.com/office/drawing/2014/chart" uri="{C3380CC4-5D6E-409C-BE32-E72D297353CC}">
              <c16:uniqueId val="{00000001-F176-4778-9C5F-59B94DA89B41}"/>
            </c:ext>
          </c:extLst>
        </c:ser>
        <c:ser>
          <c:idx val="2"/>
          <c:order val="2"/>
          <c:tx>
            <c:strRef>
              <c:f>'Datos del modelo'!$G$78</c:f>
              <c:strCache>
                <c:ptCount val="1"/>
                <c:pt idx="0">
                  <c:v>Ninguno</c:v>
                </c:pt>
              </c:strCache>
              <c:extLst xmlns:c15="http://schemas.microsoft.com/office/drawing/2012/chart"/>
            </c:strRef>
          </c:tx>
          <c:spPr>
            <a:solidFill>
              <a:schemeClr val="accent3"/>
            </a:solidFill>
            <a:ln>
              <a:noFill/>
            </a:ln>
            <a:effectLst/>
          </c:spPr>
          <c:invertIfNegative val="0"/>
          <c:val>
            <c:numRef>
              <c:f>Resultados!$G$117</c:f>
              <c:extLst xmlns:c15="http://schemas.microsoft.com/office/drawing/2012/chart"/>
            </c:numRef>
          </c:val>
          <c:extLst xmlns:c15="http://schemas.microsoft.com/office/drawing/2012/chart">
            <c:ext xmlns:c16="http://schemas.microsoft.com/office/drawing/2014/chart" uri="{C3380CC4-5D6E-409C-BE32-E72D297353CC}">
              <c16:uniqueId val="{00000002-F176-4778-9C5F-59B94DA89B41}"/>
            </c:ext>
          </c:extLst>
        </c:ser>
        <c:ser>
          <c:idx val="3"/>
          <c:order val="3"/>
          <c:tx>
            <c:strRef>
              <c:f>'Datos del modelo'!$H$78</c:f>
              <c:strCache>
                <c:ptCount val="1"/>
                <c:pt idx="0">
                  <c:v>Ninguno</c:v>
                </c:pt>
              </c:strCache>
            </c:strRef>
          </c:tx>
          <c:spPr>
            <a:solidFill>
              <a:schemeClr val="accent4"/>
            </a:solidFill>
            <a:ln>
              <a:noFill/>
            </a:ln>
            <a:effectLst/>
          </c:spPr>
          <c:invertIfNegative val="0"/>
          <c:val>
            <c:numRef>
              <c:f>Resultados!$I$117</c:f>
              <c:numCache>
                <c:formatCode>"$ "#,##0</c:formatCode>
                <c:ptCount val="1"/>
                <c:pt idx="0">
                  <c:v>0</c:v>
                </c:pt>
              </c:numCache>
            </c:numRef>
          </c:val>
          <c:extLst>
            <c:ext xmlns:c16="http://schemas.microsoft.com/office/drawing/2014/chart" uri="{C3380CC4-5D6E-409C-BE32-E72D297353CC}">
              <c16:uniqueId val="{00000003-F176-4778-9C5F-59B94DA89B41}"/>
            </c:ext>
          </c:extLst>
        </c:ser>
        <c:ser>
          <c:idx val="4"/>
          <c:order val="4"/>
          <c:tx>
            <c:strRef>
              <c:f>'Datos del modelo'!$I$78</c:f>
              <c:strCache>
                <c:ptCount val="1"/>
                <c:pt idx="0">
                  <c:v>Ninguno</c:v>
                </c:pt>
              </c:strCache>
              <c:extLst xmlns:c15="http://schemas.microsoft.com/office/drawing/2012/chart"/>
            </c:strRef>
          </c:tx>
          <c:spPr>
            <a:solidFill>
              <a:schemeClr val="accent5"/>
            </a:solidFill>
            <a:ln>
              <a:noFill/>
            </a:ln>
            <a:effectLst/>
          </c:spPr>
          <c:invertIfNegative val="0"/>
          <c:val>
            <c:numRef>
              <c:f>Resultados!$J$117</c:f>
              <c:extLst xmlns:c15="http://schemas.microsoft.com/office/drawing/2012/chart"/>
            </c:numRef>
          </c:val>
          <c:extLst xmlns:c15="http://schemas.microsoft.com/office/drawing/2012/chart">
            <c:ext xmlns:c16="http://schemas.microsoft.com/office/drawing/2014/chart" uri="{C3380CC4-5D6E-409C-BE32-E72D297353CC}">
              <c16:uniqueId val="{00000004-F176-4778-9C5F-59B94DA89B41}"/>
            </c:ext>
          </c:extLst>
        </c:ser>
        <c:ser>
          <c:idx val="5"/>
          <c:order val="5"/>
          <c:tx>
            <c:strRef>
              <c:f>'Datos del modelo'!$J$78</c:f>
              <c:strCache>
                <c:ptCount val="1"/>
                <c:pt idx="0">
                  <c:v>Ninguno</c:v>
                </c:pt>
              </c:strCache>
              <c:extLst xmlns:c15="http://schemas.microsoft.com/office/drawing/2012/chart"/>
            </c:strRef>
          </c:tx>
          <c:spPr>
            <a:solidFill>
              <a:schemeClr val="accent6"/>
            </a:solidFill>
            <a:ln>
              <a:noFill/>
            </a:ln>
            <a:effectLst/>
          </c:spPr>
          <c:invertIfNegative val="0"/>
          <c:val>
            <c:numRef>
              <c:f>Resultados!$K$117</c:f>
              <c:extLst xmlns:c15="http://schemas.microsoft.com/office/drawing/2012/chart"/>
            </c:numRef>
          </c:val>
          <c:extLst xmlns:c15="http://schemas.microsoft.com/office/drawing/2012/chart">
            <c:ext xmlns:c16="http://schemas.microsoft.com/office/drawing/2014/chart" uri="{C3380CC4-5D6E-409C-BE32-E72D297353CC}">
              <c16:uniqueId val="{00000005-F176-4778-9C5F-59B94DA89B41}"/>
            </c:ext>
          </c:extLst>
        </c:ser>
        <c:ser>
          <c:idx val="6"/>
          <c:order val="6"/>
          <c:tx>
            <c:strRef>
              <c:f>'Datos del modelo'!$K$78</c:f>
              <c:strCache>
                <c:ptCount val="1"/>
                <c:pt idx="0">
                  <c:v>Abrysvo, Pfizer</c:v>
                </c:pt>
              </c:strCache>
              <c:extLst xmlns:c15="http://schemas.microsoft.com/office/drawing/2012/chart"/>
            </c:strRef>
          </c:tx>
          <c:spPr>
            <a:solidFill>
              <a:schemeClr val="accent1">
                <a:lumMod val="60000"/>
              </a:schemeClr>
            </a:solidFill>
            <a:ln>
              <a:noFill/>
            </a:ln>
            <a:effectLst/>
          </c:spPr>
          <c:invertIfNegative val="0"/>
          <c:val>
            <c:numRef>
              <c:f>Resultados!$N$117</c:f>
              <c:extLst xmlns:c15="http://schemas.microsoft.com/office/drawing/2012/chart"/>
            </c:numRef>
          </c:val>
          <c:extLst xmlns:c15="http://schemas.microsoft.com/office/drawing/2012/chart">
            <c:ext xmlns:c16="http://schemas.microsoft.com/office/drawing/2014/chart" uri="{C3380CC4-5D6E-409C-BE32-E72D297353CC}">
              <c16:uniqueId val="{00000006-F176-4778-9C5F-59B94DA89B41}"/>
            </c:ext>
          </c:extLst>
        </c:ser>
        <c:ser>
          <c:idx val="7"/>
          <c:order val="7"/>
          <c:tx>
            <c:strRef>
              <c:f>'Datos del modelo'!$L$78</c:f>
              <c:strCache>
                <c:ptCount val="1"/>
                <c:pt idx="0">
                  <c:v>Anticuerpo monoclonal contra el VSR_2</c:v>
                </c:pt>
              </c:strCache>
              <c:extLst xmlns:c15="http://schemas.microsoft.com/office/drawing/2012/chart"/>
            </c:strRef>
          </c:tx>
          <c:spPr>
            <a:solidFill>
              <a:schemeClr val="accent2">
                <a:lumMod val="60000"/>
              </a:schemeClr>
            </a:solidFill>
            <a:ln>
              <a:noFill/>
            </a:ln>
            <a:effectLst/>
          </c:spPr>
          <c:invertIfNegative val="0"/>
          <c:val>
            <c:numRef>
              <c:f>Resultados!$O$117</c:f>
              <c:extLst xmlns:c15="http://schemas.microsoft.com/office/drawing/2012/chart"/>
            </c:numRef>
          </c:val>
          <c:extLst xmlns:c15="http://schemas.microsoft.com/office/drawing/2012/chart">
            <c:ext xmlns:c16="http://schemas.microsoft.com/office/drawing/2014/chart" uri="{C3380CC4-5D6E-409C-BE32-E72D297353CC}">
              <c16:uniqueId val="{00000007-F176-4778-9C5F-59B94DA89B41}"/>
            </c:ext>
          </c:extLst>
        </c:ser>
        <c:ser>
          <c:idx val="8"/>
          <c:order val="8"/>
          <c:tx>
            <c:strRef>
              <c:f>'Datos del modelo'!$K$76:$L$76</c:f>
              <c:strCache>
                <c:ptCount val="1"/>
                <c:pt idx="0">
                  <c:v>Vacunas contra el VSR para mujeres embarazadas y AcM contra el VSR para bebés (Vacuna materna y AcM)</c:v>
                </c:pt>
              </c:strCache>
            </c:strRef>
          </c:tx>
          <c:spPr>
            <a:solidFill>
              <a:schemeClr val="accent3">
                <a:lumMod val="60000"/>
              </a:schemeClr>
            </a:solidFill>
            <a:ln>
              <a:noFill/>
            </a:ln>
            <a:effectLst/>
          </c:spPr>
          <c:invertIfNegative val="0"/>
          <c:val>
            <c:numRef>
              <c:f>Resultados!$M$117</c:f>
              <c:numCache>
                <c:formatCode>"$ "#,##0</c:formatCode>
                <c:ptCount val="1"/>
                <c:pt idx="0">
                  <c:v>1874333.8173721144</c:v>
                </c:pt>
              </c:numCache>
            </c:numRef>
          </c:val>
          <c:extLst>
            <c:ext xmlns:c16="http://schemas.microsoft.com/office/drawing/2014/chart" uri="{C3380CC4-5D6E-409C-BE32-E72D297353CC}">
              <c16:uniqueId val="{00000008-F176-4778-9C5F-59B94DA89B41}"/>
            </c:ext>
          </c:extLst>
        </c:ser>
        <c:dLbls>
          <c:showLegendKey val="0"/>
          <c:showVal val="0"/>
          <c:showCatName val="0"/>
          <c:showSerName val="0"/>
          <c:showPercent val="0"/>
          <c:showBubbleSize val="0"/>
        </c:dLbls>
        <c:gapWidth val="182"/>
        <c:axId val="640941360"/>
        <c:axId val="640940704"/>
        <c:extLst/>
      </c:barChart>
      <c:catAx>
        <c:axId val="640941360"/>
        <c:scaling>
          <c:orientation val="minMax"/>
        </c:scaling>
        <c:delete val="1"/>
        <c:axPos val="l"/>
        <c:numFmt formatCode="General" sourceLinked="1"/>
        <c:majorTickMark val="none"/>
        <c:minorTickMark val="none"/>
        <c:tickLblPos val="nextTo"/>
        <c:crossAx val="640940704"/>
        <c:crosses val="autoZero"/>
        <c:auto val="1"/>
        <c:lblAlgn val="ctr"/>
        <c:lblOffset val="100"/>
        <c:noMultiLvlLbl val="0"/>
      </c:catAx>
      <c:valAx>
        <c:axId val="640940704"/>
        <c:scaling>
          <c:orientation val="minMax"/>
        </c:scaling>
        <c:delete val="0"/>
        <c:axPos val="b"/>
        <c:majorGridlines>
          <c:spPr>
            <a:ln w="9525" cap="flat" cmpd="sng" algn="ctr">
              <a:solidFill>
                <a:schemeClr val="tx1">
                  <a:lumMod val="15000"/>
                  <a:lumOff val="85000"/>
                </a:schemeClr>
              </a:solidFill>
              <a:round/>
            </a:ln>
            <a:effectLst/>
          </c:spPr>
        </c:majorGridlines>
        <c:numFmt formatCode="&quot;$ &quot;#,##0" sourceLinked="1"/>
        <c:majorTickMark val="none"/>
        <c:minorTickMark val="none"/>
        <c:tickLblPos val="nextTo"/>
        <c:spPr>
          <a:noFill/>
          <a:ln>
            <a:solidFill>
              <a:schemeClr val="tx1"/>
            </a:solidFill>
          </a:ln>
          <a:effectLst/>
        </c:spPr>
        <c:txPr>
          <a:bodyPr rot="-150000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40941360"/>
        <c:crosses val="autoZero"/>
        <c:crossBetween val="between"/>
      </c:valAx>
      <c:spPr>
        <a:noFill/>
        <a:ln>
          <a:noFill/>
        </a:ln>
        <a:effectLst/>
      </c:spPr>
    </c:plotArea>
    <c:legend>
      <c:legendPos val="b"/>
      <c:layout>
        <c:manualLayout>
          <c:xMode val="edge"/>
          <c:yMode val="edge"/>
          <c:x val="7.3748322048637821E-2"/>
          <c:y val="0.80264133644343183"/>
          <c:w val="0.89835461620243473"/>
          <c:h val="0.16013362323921163"/>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solidFill>
                <a:latin typeface="Arial" panose="020B0604020202020204" pitchFamily="34" charset="0"/>
                <a:ea typeface="+mn-ea"/>
                <a:cs typeface="Arial" panose="020B0604020202020204" pitchFamily="34" charset="0"/>
              </a:defRPr>
            </a:pPr>
            <a:r>
              <a:rPr lang="es-419" sz="1100" b="1"/>
              <a:t>Costo del programa de vacunación</a:t>
            </a:r>
          </a:p>
          <a:p>
            <a:pPr>
              <a:defRPr sz="1100" b="1"/>
            </a:pPr>
            <a:r>
              <a:rPr lang="es-419" sz="1100" b="1"/>
              <a:t>Costo de la vacuna/AcM + costos incrementales del sistema de salud</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bar"/>
        <c:grouping val="clustered"/>
        <c:varyColors val="0"/>
        <c:ser>
          <c:idx val="0"/>
          <c:order val="0"/>
          <c:spPr>
            <a:solidFill>
              <a:schemeClr val="accent1"/>
            </a:solidFill>
            <a:ln>
              <a:noFill/>
            </a:ln>
            <a:effectLst/>
          </c:spPr>
          <c:invertIfNegative val="0"/>
          <c:cat>
            <c:multiLvlStrRef>
              <c:f>Resultados!$E$8:$O$9</c:f>
              <c:multiLvlStrCache>
                <c:ptCount val="3"/>
                <c:lvl>
                  <c:pt idx="0">
                    <c:v>Abrysvo, Pfizer</c:v>
                  </c:pt>
                  <c:pt idx="1">
                    <c:v>Ninguno</c:v>
                  </c:pt>
                  <c:pt idx="2">
                    <c:v>Los dos, total</c:v>
                  </c:pt>
                </c:lvl>
                <c:lvl>
                  <c:pt idx="0">
                    <c:v>Situación A: 
Vacuna materna</c:v>
                  </c:pt>
                  <c:pt idx="1">
                    <c:v>Situación B: 
AcM</c:v>
                  </c:pt>
                  <c:pt idx="2">
                    <c:v>Situación C: 
Vacuna materna y AcM</c:v>
                  </c:pt>
                </c:lvl>
              </c:multiLvlStrCache>
            </c:multiLvlStrRef>
          </c:cat>
          <c:val>
            <c:numRef>
              <c:f>Resultados!$E$117:$M$117</c:f>
              <c:numCache>
                <c:formatCode>"$ "#,##0</c:formatCode>
                <c:ptCount val="3"/>
                <c:pt idx="0">
                  <c:v>1253616.8254038889</c:v>
                </c:pt>
                <c:pt idx="1">
                  <c:v>0</c:v>
                </c:pt>
                <c:pt idx="2">
                  <c:v>1874333.8173721144</c:v>
                </c:pt>
              </c:numCache>
            </c:numRef>
          </c:val>
          <c:extLst>
            <c:ext xmlns:c16="http://schemas.microsoft.com/office/drawing/2014/chart" uri="{C3380CC4-5D6E-409C-BE32-E72D297353CC}">
              <c16:uniqueId val="{00000000-4A89-42CC-97D5-5DF84A8188D9}"/>
            </c:ext>
          </c:extLst>
        </c:ser>
        <c:dLbls>
          <c:showLegendKey val="0"/>
          <c:showVal val="0"/>
          <c:showCatName val="0"/>
          <c:showSerName val="0"/>
          <c:showPercent val="0"/>
          <c:showBubbleSize val="0"/>
        </c:dLbls>
        <c:gapWidth val="182"/>
        <c:axId val="1117979216"/>
        <c:axId val="1117973936"/>
      </c:barChart>
      <c:catAx>
        <c:axId val="111797921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117973936"/>
        <c:crosses val="autoZero"/>
        <c:auto val="1"/>
        <c:lblAlgn val="ctr"/>
        <c:lblOffset val="100"/>
        <c:noMultiLvlLbl val="0"/>
      </c:catAx>
      <c:valAx>
        <c:axId val="1117973936"/>
        <c:scaling>
          <c:orientation val="minMax"/>
        </c:scaling>
        <c:delete val="0"/>
        <c:axPos val="b"/>
        <c:numFmt formatCode="&quot;$ &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117979216"/>
        <c:crosses val="autoZero"/>
        <c:crossBetween val="between"/>
        <c:dispUnits>
          <c:builtInUnit val="thousands"/>
          <c:dispUnitsLbl>
            <c:tx>
              <c:rich>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r>
                    <a:rPr lang="en-US"/>
                    <a:t>Miles</a:t>
                  </a:r>
                </a:p>
              </c:rich>
            </c:tx>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ispUnitsLbl>
        </c:dispUnits>
      </c:valAx>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sz="1400" b="1" i="0" u="none" strike="noStrike" kern="1200" spc="0" baseline="0">
                <a:solidFill>
                  <a:sysClr val="windowText" lastClr="000000"/>
                </a:solidFill>
              </a:rPr>
              <a:t>Immunization Program Cost</a:t>
            </a:r>
          </a:p>
          <a:p>
            <a:pPr>
              <a:defRPr b="1"/>
            </a:pPr>
            <a:r>
              <a:rPr lang="fr-CH" sz="1000" b="1" i="0" u="none" strike="noStrike" kern="1200" spc="0" baseline="0">
                <a:solidFill>
                  <a:sysClr val="windowText" lastClr="000000"/>
                </a:solidFill>
                <a:effectLst/>
              </a:rPr>
              <a:t>Vaccine/mAb cost + incremental health system costs</a:t>
            </a:r>
          </a:p>
        </c:rich>
      </c:tx>
      <c:layout>
        <c:manualLayout>
          <c:xMode val="edge"/>
          <c:yMode val="edge"/>
          <c:x val="0.29180702597750302"/>
          <c:y val="6.2684691559234812E-3"/>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9.9024596272896698E-2"/>
          <c:y val="0.11455045939410241"/>
          <c:w val="0.87875182048053524"/>
          <c:h val="0.7147281450106826"/>
        </c:manualLayout>
      </c:layout>
      <c:barChart>
        <c:barDir val="col"/>
        <c:grouping val="clustered"/>
        <c:varyColors val="0"/>
        <c:ser>
          <c:idx val="1"/>
          <c:order val="0"/>
          <c:tx>
            <c:strRef>
              <c:f>'Datos del modelo'!$E$78</c:f>
              <c:strCache>
                <c:ptCount val="1"/>
                <c:pt idx="0">
                  <c:v>Abrysvo, Pfizer</c:v>
                </c:pt>
              </c:strCache>
            </c:strRef>
          </c:tx>
          <c:spPr>
            <a:solidFill>
              <a:schemeClr val="accent1"/>
            </a:solidFill>
            <a:ln>
              <a:noFill/>
            </a:ln>
            <a:effectLst/>
          </c:spPr>
          <c:invertIfNegative val="0"/>
          <c:cat>
            <c:numRef>
              <c:f>Resultados!$D$118:$D$122</c:f>
              <c:numCache>
                <c:formatCode>General</c:formatCode>
                <c:ptCount val="5"/>
                <c:pt idx="0">
                  <c:v>2025</c:v>
                </c:pt>
                <c:pt idx="1">
                  <c:v>2026</c:v>
                </c:pt>
                <c:pt idx="2">
                  <c:v>2027</c:v>
                </c:pt>
                <c:pt idx="3">
                  <c:v>2028</c:v>
                </c:pt>
                <c:pt idx="4">
                  <c:v>2029</c:v>
                </c:pt>
              </c:numCache>
            </c:numRef>
          </c:cat>
          <c:val>
            <c:numRef>
              <c:f>Resultados!$E$118:$E$122</c:f>
              <c:numCache>
                <c:formatCode>"$ "#,##0</c:formatCode>
                <c:ptCount val="5"/>
                <c:pt idx="0">
                  <c:v>195293.33333333334</c:v>
                </c:pt>
                <c:pt idx="1">
                  <c:v>228077.48888888888</c:v>
                </c:pt>
                <c:pt idx="2">
                  <c:v>233787.40555555557</c:v>
                </c:pt>
                <c:pt idx="3">
                  <c:v>276367.97711111116</c:v>
                </c:pt>
                <c:pt idx="4">
                  <c:v>320090.62051500002</c:v>
                </c:pt>
              </c:numCache>
            </c:numRef>
          </c:val>
          <c:extLst>
            <c:ext xmlns:c16="http://schemas.microsoft.com/office/drawing/2014/chart" uri="{C3380CC4-5D6E-409C-BE32-E72D297353CC}">
              <c16:uniqueId val="{00000000-A8B9-4523-8E34-E26D02F1C9C2}"/>
            </c:ext>
          </c:extLst>
        </c:ser>
        <c:ser>
          <c:idx val="0"/>
          <c:order val="1"/>
          <c:tx>
            <c:strRef>
              <c:f>'Datos del modelo'!$F$78</c:f>
              <c:strCache>
                <c:ptCount val="1"/>
                <c:pt idx="0">
                  <c:v>Ninguno</c:v>
                </c:pt>
              </c:strCache>
              <c:extLst xmlns:c15="http://schemas.microsoft.com/office/drawing/2012/chart"/>
            </c:strRef>
          </c:tx>
          <c:spPr>
            <a:solidFill>
              <a:schemeClr val="accent1"/>
            </a:solidFill>
            <a:ln>
              <a:noFill/>
            </a:ln>
            <a:effectLst/>
          </c:spPr>
          <c:invertIfNegative val="0"/>
          <c:cat>
            <c:numRef>
              <c:f>Resultados!$D$118:$D$122</c:f>
              <c:numCache>
                <c:formatCode>General</c:formatCode>
                <c:ptCount val="5"/>
                <c:pt idx="0">
                  <c:v>2025</c:v>
                </c:pt>
                <c:pt idx="1">
                  <c:v>2026</c:v>
                </c:pt>
                <c:pt idx="2">
                  <c:v>2027</c:v>
                </c:pt>
                <c:pt idx="3">
                  <c:v>2028</c:v>
                </c:pt>
                <c:pt idx="4">
                  <c:v>2029</c:v>
                </c:pt>
              </c:numCache>
              <c:extLst xmlns:c15="http://schemas.microsoft.com/office/drawing/2012/chart"/>
            </c:numRef>
          </c:cat>
          <c:val>
            <c:numRef>
              <c:f>Resultados!$F$118:$F$122</c:f>
              <c:extLst xmlns:c15="http://schemas.microsoft.com/office/drawing/2012/chart"/>
            </c:numRef>
          </c:val>
          <c:extLst xmlns:c15="http://schemas.microsoft.com/office/drawing/2012/chart">
            <c:ext xmlns:c16="http://schemas.microsoft.com/office/drawing/2014/chart" uri="{C3380CC4-5D6E-409C-BE32-E72D297353CC}">
              <c16:uniqueId val="{00000001-A8B9-4523-8E34-E26D02F1C9C2}"/>
            </c:ext>
          </c:extLst>
        </c:ser>
        <c:ser>
          <c:idx val="2"/>
          <c:order val="2"/>
          <c:tx>
            <c:strRef>
              <c:f>'Datos del modelo'!$G$78</c:f>
              <c:strCache>
                <c:ptCount val="1"/>
                <c:pt idx="0">
                  <c:v>Ninguno</c:v>
                </c:pt>
              </c:strCache>
              <c:extLst xmlns:c15="http://schemas.microsoft.com/office/drawing/2012/chart"/>
            </c:strRef>
          </c:tx>
          <c:spPr>
            <a:solidFill>
              <a:schemeClr val="accent3"/>
            </a:solidFill>
            <a:ln>
              <a:noFill/>
            </a:ln>
            <a:effectLst/>
          </c:spPr>
          <c:invertIfNegative val="0"/>
          <c:cat>
            <c:numRef>
              <c:f>Resultados!$D$118:$D$122</c:f>
              <c:numCache>
                <c:formatCode>General</c:formatCode>
                <c:ptCount val="5"/>
                <c:pt idx="0">
                  <c:v>2025</c:v>
                </c:pt>
                <c:pt idx="1">
                  <c:v>2026</c:v>
                </c:pt>
                <c:pt idx="2">
                  <c:v>2027</c:v>
                </c:pt>
                <c:pt idx="3">
                  <c:v>2028</c:v>
                </c:pt>
                <c:pt idx="4">
                  <c:v>2029</c:v>
                </c:pt>
              </c:numCache>
              <c:extLst xmlns:c15="http://schemas.microsoft.com/office/drawing/2012/chart"/>
            </c:numRef>
          </c:cat>
          <c:val>
            <c:numRef>
              <c:f>Resultados!$G$118:$G$122</c:f>
              <c:extLst xmlns:c15="http://schemas.microsoft.com/office/drawing/2012/chart"/>
            </c:numRef>
          </c:val>
          <c:extLst xmlns:c15="http://schemas.microsoft.com/office/drawing/2012/chart">
            <c:ext xmlns:c16="http://schemas.microsoft.com/office/drawing/2014/chart" uri="{C3380CC4-5D6E-409C-BE32-E72D297353CC}">
              <c16:uniqueId val="{00000002-A8B9-4523-8E34-E26D02F1C9C2}"/>
            </c:ext>
          </c:extLst>
        </c:ser>
        <c:ser>
          <c:idx val="3"/>
          <c:order val="3"/>
          <c:tx>
            <c:strRef>
              <c:f>'Datos del modelo'!$H$78</c:f>
              <c:strCache>
                <c:ptCount val="1"/>
                <c:pt idx="0">
                  <c:v>Ninguno</c:v>
                </c:pt>
              </c:strCache>
            </c:strRef>
          </c:tx>
          <c:spPr>
            <a:solidFill>
              <a:schemeClr val="accent4"/>
            </a:solidFill>
            <a:ln>
              <a:noFill/>
            </a:ln>
            <a:effectLst/>
          </c:spPr>
          <c:invertIfNegative val="0"/>
          <c:cat>
            <c:numRef>
              <c:f>Resultados!$D$118:$D$122</c:f>
              <c:numCache>
                <c:formatCode>General</c:formatCode>
                <c:ptCount val="5"/>
                <c:pt idx="0">
                  <c:v>2025</c:v>
                </c:pt>
                <c:pt idx="1">
                  <c:v>2026</c:v>
                </c:pt>
                <c:pt idx="2">
                  <c:v>2027</c:v>
                </c:pt>
                <c:pt idx="3">
                  <c:v>2028</c:v>
                </c:pt>
                <c:pt idx="4">
                  <c:v>2029</c:v>
                </c:pt>
              </c:numCache>
            </c:numRef>
          </c:cat>
          <c:val>
            <c:numRef>
              <c:f>Resultados!$I$118:$I$122</c:f>
              <c:numCache>
                <c:formatCode>"$ "#,##0</c:formatCode>
                <c:ptCount val="5"/>
                <c:pt idx="0">
                  <c:v>0</c:v>
                </c:pt>
                <c:pt idx="1">
                  <c:v>0</c:v>
                </c:pt>
                <c:pt idx="2">
                  <c:v>0</c:v>
                </c:pt>
                <c:pt idx="3">
                  <c:v>0</c:v>
                </c:pt>
                <c:pt idx="4">
                  <c:v>0</c:v>
                </c:pt>
              </c:numCache>
            </c:numRef>
          </c:val>
          <c:extLst>
            <c:ext xmlns:c16="http://schemas.microsoft.com/office/drawing/2014/chart" uri="{C3380CC4-5D6E-409C-BE32-E72D297353CC}">
              <c16:uniqueId val="{00000003-A8B9-4523-8E34-E26D02F1C9C2}"/>
            </c:ext>
          </c:extLst>
        </c:ser>
        <c:ser>
          <c:idx val="4"/>
          <c:order val="4"/>
          <c:tx>
            <c:strRef>
              <c:f>'Datos del modelo'!$I$78</c:f>
              <c:strCache>
                <c:ptCount val="1"/>
                <c:pt idx="0">
                  <c:v>Ninguno</c:v>
                </c:pt>
              </c:strCache>
              <c:extLst xmlns:c15="http://schemas.microsoft.com/office/drawing/2012/chart"/>
            </c:strRef>
          </c:tx>
          <c:spPr>
            <a:solidFill>
              <a:schemeClr val="accent5"/>
            </a:solidFill>
            <a:ln>
              <a:noFill/>
            </a:ln>
            <a:effectLst/>
          </c:spPr>
          <c:invertIfNegative val="0"/>
          <c:cat>
            <c:numRef>
              <c:f>Resultados!$D$118:$D$122</c:f>
              <c:numCache>
                <c:formatCode>General</c:formatCode>
                <c:ptCount val="5"/>
                <c:pt idx="0">
                  <c:v>2025</c:v>
                </c:pt>
                <c:pt idx="1">
                  <c:v>2026</c:v>
                </c:pt>
                <c:pt idx="2">
                  <c:v>2027</c:v>
                </c:pt>
                <c:pt idx="3">
                  <c:v>2028</c:v>
                </c:pt>
                <c:pt idx="4">
                  <c:v>2029</c:v>
                </c:pt>
              </c:numCache>
              <c:extLst xmlns:c15="http://schemas.microsoft.com/office/drawing/2012/chart"/>
            </c:numRef>
          </c:cat>
          <c:val>
            <c:numRef>
              <c:f>Resultados!$J$118:$J$122</c:f>
              <c:extLst xmlns:c15="http://schemas.microsoft.com/office/drawing/2012/chart"/>
            </c:numRef>
          </c:val>
          <c:extLst xmlns:c15="http://schemas.microsoft.com/office/drawing/2012/chart">
            <c:ext xmlns:c16="http://schemas.microsoft.com/office/drawing/2014/chart" uri="{C3380CC4-5D6E-409C-BE32-E72D297353CC}">
              <c16:uniqueId val="{00000004-A8B9-4523-8E34-E26D02F1C9C2}"/>
            </c:ext>
          </c:extLst>
        </c:ser>
        <c:ser>
          <c:idx val="6"/>
          <c:order val="5"/>
          <c:tx>
            <c:strRef>
              <c:f>'Datos del modelo'!$J$78</c:f>
              <c:strCache>
                <c:ptCount val="1"/>
                <c:pt idx="0">
                  <c:v>Ninguno</c:v>
                </c:pt>
              </c:strCache>
              <c:extLst xmlns:c15="http://schemas.microsoft.com/office/drawing/2012/chart"/>
            </c:strRef>
          </c:tx>
          <c:spPr>
            <a:solidFill>
              <a:schemeClr val="accent1">
                <a:lumMod val="60000"/>
              </a:schemeClr>
            </a:solidFill>
            <a:ln>
              <a:noFill/>
            </a:ln>
            <a:effectLst/>
          </c:spPr>
          <c:invertIfNegative val="0"/>
          <c:cat>
            <c:numRef>
              <c:f>Resultados!$D$118:$D$122</c:f>
              <c:numCache>
                <c:formatCode>General</c:formatCode>
                <c:ptCount val="5"/>
                <c:pt idx="0">
                  <c:v>2025</c:v>
                </c:pt>
                <c:pt idx="1">
                  <c:v>2026</c:v>
                </c:pt>
                <c:pt idx="2">
                  <c:v>2027</c:v>
                </c:pt>
                <c:pt idx="3">
                  <c:v>2028</c:v>
                </c:pt>
                <c:pt idx="4">
                  <c:v>2029</c:v>
                </c:pt>
              </c:numCache>
              <c:extLst xmlns:c15="http://schemas.microsoft.com/office/drawing/2012/chart"/>
            </c:numRef>
          </c:cat>
          <c:val>
            <c:numRef>
              <c:f>Resultados!$K$118:$K$122</c:f>
              <c:extLst xmlns:c15="http://schemas.microsoft.com/office/drawing/2012/chart"/>
            </c:numRef>
          </c:val>
          <c:extLst xmlns:c15="http://schemas.microsoft.com/office/drawing/2012/chart">
            <c:ext xmlns:c16="http://schemas.microsoft.com/office/drawing/2014/chart" uri="{C3380CC4-5D6E-409C-BE32-E72D297353CC}">
              <c16:uniqueId val="{00000005-A8B9-4523-8E34-E26D02F1C9C2}"/>
            </c:ext>
          </c:extLst>
        </c:ser>
        <c:ser>
          <c:idx val="7"/>
          <c:order val="6"/>
          <c:tx>
            <c:strRef>
              <c:f>'Datos del modelo'!$K$78</c:f>
              <c:strCache>
                <c:ptCount val="1"/>
                <c:pt idx="0">
                  <c:v>Abrysvo, Pfizer</c:v>
                </c:pt>
              </c:strCache>
              <c:extLst xmlns:c15="http://schemas.microsoft.com/office/drawing/2012/chart"/>
            </c:strRef>
          </c:tx>
          <c:spPr>
            <a:solidFill>
              <a:schemeClr val="accent2">
                <a:lumMod val="60000"/>
              </a:schemeClr>
            </a:solidFill>
            <a:ln>
              <a:noFill/>
            </a:ln>
            <a:effectLst/>
          </c:spPr>
          <c:invertIfNegative val="0"/>
          <c:cat>
            <c:numRef>
              <c:f>Resultados!$D$118:$D$122</c:f>
              <c:numCache>
                <c:formatCode>General</c:formatCode>
                <c:ptCount val="5"/>
                <c:pt idx="0">
                  <c:v>2025</c:v>
                </c:pt>
                <c:pt idx="1">
                  <c:v>2026</c:v>
                </c:pt>
                <c:pt idx="2">
                  <c:v>2027</c:v>
                </c:pt>
                <c:pt idx="3">
                  <c:v>2028</c:v>
                </c:pt>
                <c:pt idx="4">
                  <c:v>2029</c:v>
                </c:pt>
              </c:numCache>
              <c:extLst xmlns:c15="http://schemas.microsoft.com/office/drawing/2012/chart"/>
            </c:numRef>
          </c:cat>
          <c:val>
            <c:numRef>
              <c:f>Resultados!$N$118:$N$122</c:f>
              <c:extLst xmlns:c15="http://schemas.microsoft.com/office/drawing/2012/chart"/>
            </c:numRef>
          </c:val>
          <c:extLst xmlns:c15="http://schemas.microsoft.com/office/drawing/2012/chart">
            <c:ext xmlns:c16="http://schemas.microsoft.com/office/drawing/2014/chart" uri="{C3380CC4-5D6E-409C-BE32-E72D297353CC}">
              <c16:uniqueId val="{00000006-A8B9-4523-8E34-E26D02F1C9C2}"/>
            </c:ext>
          </c:extLst>
        </c:ser>
        <c:ser>
          <c:idx val="5"/>
          <c:order val="7"/>
          <c:tx>
            <c:strRef>
              <c:f>'Datos del modelo'!$L$78</c:f>
              <c:strCache>
                <c:ptCount val="1"/>
                <c:pt idx="0">
                  <c:v>Anticuerpo monoclonal contra el VSR_2</c:v>
                </c:pt>
              </c:strCache>
              <c:extLst xmlns:c15="http://schemas.microsoft.com/office/drawing/2012/chart"/>
            </c:strRef>
          </c:tx>
          <c:spPr>
            <a:solidFill>
              <a:schemeClr val="accent6"/>
            </a:solidFill>
            <a:ln>
              <a:noFill/>
            </a:ln>
            <a:effectLst/>
          </c:spPr>
          <c:invertIfNegative val="0"/>
          <c:cat>
            <c:numRef>
              <c:f>Resultados!$D$118:$D$122</c:f>
              <c:numCache>
                <c:formatCode>General</c:formatCode>
                <c:ptCount val="5"/>
                <c:pt idx="0">
                  <c:v>2025</c:v>
                </c:pt>
                <c:pt idx="1">
                  <c:v>2026</c:v>
                </c:pt>
                <c:pt idx="2">
                  <c:v>2027</c:v>
                </c:pt>
                <c:pt idx="3">
                  <c:v>2028</c:v>
                </c:pt>
                <c:pt idx="4">
                  <c:v>2029</c:v>
                </c:pt>
              </c:numCache>
              <c:extLst xmlns:c15="http://schemas.microsoft.com/office/drawing/2012/chart"/>
            </c:numRef>
          </c:cat>
          <c:val>
            <c:numRef>
              <c:f>Resultados!$O$118:$O$122</c:f>
              <c:extLst xmlns:c15="http://schemas.microsoft.com/office/drawing/2012/chart"/>
            </c:numRef>
          </c:val>
          <c:extLst xmlns:c15="http://schemas.microsoft.com/office/drawing/2012/chart">
            <c:ext xmlns:c16="http://schemas.microsoft.com/office/drawing/2014/chart" uri="{C3380CC4-5D6E-409C-BE32-E72D297353CC}">
              <c16:uniqueId val="{00000007-A8B9-4523-8E34-E26D02F1C9C2}"/>
            </c:ext>
          </c:extLst>
        </c:ser>
        <c:ser>
          <c:idx val="8"/>
          <c:order val="8"/>
          <c:tx>
            <c:strRef>
              <c:f>'Datos del modelo'!$K$76:$L$76</c:f>
              <c:strCache>
                <c:ptCount val="1"/>
                <c:pt idx="0">
                  <c:v>Vacunas contra el VSR para mujeres embarazadas y AcM contra el VSR para bebés (Vacuna materna y AcM)</c:v>
                </c:pt>
              </c:strCache>
            </c:strRef>
          </c:tx>
          <c:spPr>
            <a:solidFill>
              <a:schemeClr val="accent3">
                <a:lumMod val="60000"/>
              </a:schemeClr>
            </a:solidFill>
            <a:ln>
              <a:noFill/>
            </a:ln>
            <a:effectLst/>
          </c:spPr>
          <c:invertIfNegative val="0"/>
          <c:cat>
            <c:numRef>
              <c:f>Resultados!$D$118:$D$122</c:f>
              <c:numCache>
                <c:formatCode>General</c:formatCode>
                <c:ptCount val="5"/>
                <c:pt idx="0">
                  <c:v>2025</c:v>
                </c:pt>
                <c:pt idx="1">
                  <c:v>2026</c:v>
                </c:pt>
                <c:pt idx="2">
                  <c:v>2027</c:v>
                </c:pt>
                <c:pt idx="3">
                  <c:v>2028</c:v>
                </c:pt>
                <c:pt idx="4">
                  <c:v>2029</c:v>
                </c:pt>
              </c:numCache>
            </c:numRef>
          </c:cat>
          <c:val>
            <c:numRef>
              <c:f>Resultados!$M$118:$M$122</c:f>
              <c:numCache>
                <c:formatCode>"$ "#,##0</c:formatCode>
                <c:ptCount val="5"/>
                <c:pt idx="0">
                  <c:v>370299.44444444444</c:v>
                </c:pt>
                <c:pt idx="1">
                  <c:v>370654.49333333335</c:v>
                </c:pt>
                <c:pt idx="2">
                  <c:v>378127.06825555558</c:v>
                </c:pt>
                <c:pt idx="3">
                  <c:v>379876.68052711117</c:v>
                </c:pt>
                <c:pt idx="4">
                  <c:v>375376.13081166998</c:v>
                </c:pt>
              </c:numCache>
            </c:numRef>
          </c:val>
          <c:extLst>
            <c:ext xmlns:c16="http://schemas.microsoft.com/office/drawing/2014/chart" uri="{C3380CC4-5D6E-409C-BE32-E72D297353CC}">
              <c16:uniqueId val="{00000008-A8B9-4523-8E34-E26D02F1C9C2}"/>
            </c:ext>
          </c:extLst>
        </c:ser>
        <c:dLbls>
          <c:showLegendKey val="0"/>
          <c:showVal val="0"/>
          <c:showCatName val="0"/>
          <c:showSerName val="0"/>
          <c:showPercent val="0"/>
          <c:showBubbleSize val="0"/>
        </c:dLbls>
        <c:gapWidth val="128"/>
        <c:axId val="747696848"/>
        <c:axId val="747696192"/>
        <c:extLst/>
      </c:barChart>
      <c:catAx>
        <c:axId val="747696848"/>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192"/>
        <c:crosses val="autoZero"/>
        <c:auto val="1"/>
        <c:lblAlgn val="ctr"/>
        <c:lblOffset val="100"/>
        <c:noMultiLvlLbl val="0"/>
      </c:catAx>
      <c:valAx>
        <c:axId val="747696192"/>
        <c:scaling>
          <c:orientation val="minMax"/>
        </c:scaling>
        <c:delete val="0"/>
        <c:axPos val="l"/>
        <c:majorGridlines>
          <c:spPr>
            <a:ln w="9525" cap="flat" cmpd="sng" algn="ctr">
              <a:solidFill>
                <a:schemeClr val="tx1">
                  <a:lumMod val="15000"/>
                  <a:lumOff val="85000"/>
                </a:schemeClr>
              </a:solidFill>
              <a:round/>
            </a:ln>
            <a:effectLst/>
          </c:spPr>
        </c:majorGridlines>
        <c:numFmt formatCode="&quot;$ &quot;#,##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848"/>
        <c:crosses val="autoZero"/>
        <c:crossBetween val="between"/>
      </c:valAx>
      <c:spPr>
        <a:noFill/>
        <a:ln>
          <a:noFill/>
        </a:ln>
        <a:effectLst/>
      </c:spPr>
    </c:plotArea>
    <c:legend>
      <c:legendPos val="b"/>
      <c:layout>
        <c:manualLayout>
          <c:xMode val="edge"/>
          <c:yMode val="edge"/>
          <c:x val="0.10455647088861722"/>
          <c:y val="0.88969548255988817"/>
          <c:w val="0.88382188362764602"/>
          <c:h val="0.10432199535483069"/>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sz="1400" b="1"/>
              <a:t>Vaccine/mAb</a:t>
            </a:r>
            <a:r>
              <a:rPr lang="fr-CH" sz="1400" b="1" baseline="0"/>
              <a:t> Cost</a:t>
            </a:r>
            <a:endParaRPr lang="fr-CH" sz="1400" b="1"/>
          </a:p>
        </c:rich>
      </c:tx>
      <c:layout>
        <c:manualLayout>
          <c:xMode val="edge"/>
          <c:yMode val="edge"/>
          <c:x val="0.4328871804357296"/>
          <c:y val="1.9342658547895145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fr-CH"/>
        </a:p>
      </c:txPr>
    </c:title>
    <c:autoTitleDeleted val="0"/>
    <c:plotArea>
      <c:layout>
        <c:manualLayout>
          <c:layoutTarget val="inner"/>
          <c:xMode val="edge"/>
          <c:yMode val="edge"/>
          <c:x val="4.4842946574879916E-2"/>
          <c:y val="0.14264844607639021"/>
          <c:w val="0.91057363748010556"/>
          <c:h val="0.43634901767801038"/>
        </c:manualLayout>
      </c:layout>
      <c:barChart>
        <c:barDir val="bar"/>
        <c:grouping val="clustered"/>
        <c:varyColors val="0"/>
        <c:ser>
          <c:idx val="0"/>
          <c:order val="0"/>
          <c:tx>
            <c:strRef>
              <c:f>'Datos del modelo'!$E$78</c:f>
              <c:strCache>
                <c:ptCount val="1"/>
                <c:pt idx="0">
                  <c:v>Abrysvo, Pfizer</c:v>
                </c:pt>
              </c:strCache>
            </c:strRef>
          </c:tx>
          <c:spPr>
            <a:solidFill>
              <a:schemeClr val="accent1"/>
            </a:solidFill>
            <a:ln>
              <a:noFill/>
            </a:ln>
            <a:effectLst/>
          </c:spPr>
          <c:invertIfNegative val="0"/>
          <c:val>
            <c:numRef>
              <c:f>Resultados!$E$128</c:f>
              <c:numCache>
                <c:formatCode>"$ "#,##0</c:formatCode>
                <c:ptCount val="1"/>
                <c:pt idx="0">
                  <c:v>3581419.6205880558</c:v>
                </c:pt>
              </c:numCache>
            </c:numRef>
          </c:val>
          <c:extLs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Ninguno</c:v>
                      </c:pt>
                      <c:pt idx="2">
                        <c:v>Los dos, total</c:v>
                      </c:pt>
                    </c:strCache>
                  </c:strRef>
                </c15:cat>
              </c15:filteredCategoryTitle>
            </c:ext>
            <c:ext xmlns:c16="http://schemas.microsoft.com/office/drawing/2014/chart" uri="{C3380CC4-5D6E-409C-BE32-E72D297353CC}">
              <c16:uniqueId val="{00000000-A471-42FA-B100-DA757465F34E}"/>
            </c:ext>
          </c:extLst>
        </c:ser>
        <c:ser>
          <c:idx val="1"/>
          <c:order val="1"/>
          <c:tx>
            <c:strRef>
              <c:f>'Datos del modelo'!$F$78</c:f>
              <c:strCache>
                <c:ptCount val="1"/>
                <c:pt idx="0">
                  <c:v>Ninguno</c:v>
                </c:pt>
              </c:strCache>
              <c:extLst xmlns:c15="http://schemas.microsoft.com/office/drawing/2012/chart"/>
            </c:strRef>
          </c:tx>
          <c:spPr>
            <a:solidFill>
              <a:schemeClr val="accent2"/>
            </a:solidFill>
            <a:ln>
              <a:noFill/>
            </a:ln>
            <a:effectLst/>
          </c:spPr>
          <c:invertIfNegative val="0"/>
          <c:val>
            <c:numRef>
              <c:f>Resultados!$F$128</c:f>
              <c:extLst xmlns:c15="http://schemas.microsoft.com/office/drawing/2012/chart"/>
            </c:numRef>
          </c:val>
          <c:extLst xmlns:c15="http://schemas.microsoft.com/office/drawing/2012/char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Ninguno</c:v>
                      </c:pt>
                      <c:pt idx="2">
                        <c:v>Los dos, total</c:v>
                      </c:pt>
                    </c:strCache>
                  </c:strRef>
                </c15:cat>
              </c15:filteredCategoryTitle>
            </c:ext>
            <c:ext xmlns:c16="http://schemas.microsoft.com/office/drawing/2014/chart" uri="{C3380CC4-5D6E-409C-BE32-E72D297353CC}">
              <c16:uniqueId val="{00000001-A471-42FA-B100-DA757465F34E}"/>
            </c:ext>
          </c:extLst>
        </c:ser>
        <c:ser>
          <c:idx val="2"/>
          <c:order val="2"/>
          <c:tx>
            <c:strRef>
              <c:f>'Datos del modelo'!$G$78</c:f>
              <c:strCache>
                <c:ptCount val="1"/>
                <c:pt idx="0">
                  <c:v>Ninguno</c:v>
                </c:pt>
              </c:strCache>
              <c:extLst xmlns:c15="http://schemas.microsoft.com/office/drawing/2012/chart"/>
            </c:strRef>
          </c:tx>
          <c:spPr>
            <a:solidFill>
              <a:schemeClr val="accent3"/>
            </a:solidFill>
            <a:ln>
              <a:noFill/>
            </a:ln>
            <a:effectLst/>
          </c:spPr>
          <c:invertIfNegative val="0"/>
          <c:val>
            <c:numRef>
              <c:f>Resultados!$G$128</c:f>
              <c:extLst xmlns:c15="http://schemas.microsoft.com/office/drawing/2012/chart"/>
            </c:numRef>
          </c:val>
          <c:extLst xmlns:c15="http://schemas.microsoft.com/office/drawing/2012/char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Ninguno</c:v>
                      </c:pt>
                      <c:pt idx="2">
                        <c:v>Los dos, total</c:v>
                      </c:pt>
                    </c:strCache>
                  </c:strRef>
                </c15:cat>
              </c15:filteredCategoryTitle>
            </c:ext>
            <c:ext xmlns:c16="http://schemas.microsoft.com/office/drawing/2014/chart" uri="{C3380CC4-5D6E-409C-BE32-E72D297353CC}">
              <c16:uniqueId val="{00000002-A471-42FA-B100-DA757465F34E}"/>
            </c:ext>
          </c:extLst>
        </c:ser>
        <c:ser>
          <c:idx val="3"/>
          <c:order val="3"/>
          <c:tx>
            <c:strRef>
              <c:f>'Datos del modelo'!$H$78</c:f>
              <c:strCache>
                <c:ptCount val="1"/>
                <c:pt idx="0">
                  <c:v>Ninguno</c:v>
                </c:pt>
              </c:strCache>
            </c:strRef>
          </c:tx>
          <c:spPr>
            <a:solidFill>
              <a:schemeClr val="accent4"/>
            </a:solidFill>
            <a:ln>
              <a:noFill/>
            </a:ln>
            <a:effectLst/>
          </c:spPr>
          <c:invertIfNegative val="0"/>
          <c:val>
            <c:numRef>
              <c:f>Resultados!$I$128</c:f>
              <c:numCache>
                <c:formatCode>"$ "#,##0</c:formatCode>
                <c:ptCount val="1"/>
                <c:pt idx="0">
                  <c:v>0</c:v>
                </c:pt>
              </c:numCache>
            </c:numRef>
          </c:val>
          <c:extLs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Ninguno</c:v>
                      </c:pt>
                      <c:pt idx="2">
                        <c:v>Los dos, total</c:v>
                      </c:pt>
                    </c:strCache>
                  </c:strRef>
                </c15:cat>
              </c15:filteredCategoryTitle>
            </c:ext>
            <c:ext xmlns:c16="http://schemas.microsoft.com/office/drawing/2014/chart" uri="{C3380CC4-5D6E-409C-BE32-E72D297353CC}">
              <c16:uniqueId val="{00000003-A471-42FA-B100-DA757465F34E}"/>
            </c:ext>
          </c:extLst>
        </c:ser>
        <c:ser>
          <c:idx val="4"/>
          <c:order val="4"/>
          <c:tx>
            <c:strRef>
              <c:f>'Datos del modelo'!$I$78</c:f>
              <c:strCache>
                <c:ptCount val="1"/>
                <c:pt idx="0">
                  <c:v>Ninguno</c:v>
                </c:pt>
              </c:strCache>
              <c:extLst xmlns:c15="http://schemas.microsoft.com/office/drawing/2012/chart"/>
            </c:strRef>
          </c:tx>
          <c:spPr>
            <a:solidFill>
              <a:schemeClr val="accent5"/>
            </a:solidFill>
            <a:ln>
              <a:noFill/>
            </a:ln>
            <a:effectLst/>
          </c:spPr>
          <c:invertIfNegative val="0"/>
          <c:val>
            <c:numRef>
              <c:f>Resultados!$J$128</c:f>
              <c:extLst xmlns:c15="http://schemas.microsoft.com/office/drawing/2012/chart"/>
            </c:numRef>
          </c:val>
          <c:extLst xmlns:c15="http://schemas.microsoft.com/office/drawing/2012/char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Ninguno</c:v>
                      </c:pt>
                      <c:pt idx="2">
                        <c:v>Los dos, total</c:v>
                      </c:pt>
                    </c:strCache>
                  </c:strRef>
                </c15:cat>
              </c15:filteredCategoryTitle>
            </c:ext>
            <c:ext xmlns:c16="http://schemas.microsoft.com/office/drawing/2014/chart" uri="{C3380CC4-5D6E-409C-BE32-E72D297353CC}">
              <c16:uniqueId val="{00000004-A471-42FA-B100-DA757465F34E}"/>
            </c:ext>
          </c:extLst>
        </c:ser>
        <c:ser>
          <c:idx val="5"/>
          <c:order val="5"/>
          <c:tx>
            <c:strRef>
              <c:f>'Datos del modelo'!$J$78</c:f>
              <c:strCache>
                <c:ptCount val="1"/>
                <c:pt idx="0">
                  <c:v>Ninguno</c:v>
                </c:pt>
              </c:strCache>
              <c:extLst xmlns:c15="http://schemas.microsoft.com/office/drawing/2012/chart"/>
            </c:strRef>
          </c:tx>
          <c:spPr>
            <a:solidFill>
              <a:schemeClr val="accent6"/>
            </a:solidFill>
            <a:ln>
              <a:noFill/>
            </a:ln>
            <a:effectLst/>
          </c:spPr>
          <c:invertIfNegative val="0"/>
          <c:val>
            <c:numRef>
              <c:f>Resultados!$K$128</c:f>
              <c:extLst xmlns:c15="http://schemas.microsoft.com/office/drawing/2012/chart"/>
            </c:numRef>
          </c:val>
          <c:extLst xmlns:c15="http://schemas.microsoft.com/office/drawing/2012/char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Ninguno</c:v>
                      </c:pt>
                      <c:pt idx="2">
                        <c:v>Los dos, total</c:v>
                      </c:pt>
                    </c:strCache>
                  </c:strRef>
                </c15:cat>
              </c15:filteredCategoryTitle>
            </c:ext>
            <c:ext xmlns:c16="http://schemas.microsoft.com/office/drawing/2014/chart" uri="{C3380CC4-5D6E-409C-BE32-E72D297353CC}">
              <c16:uniqueId val="{00000005-A471-42FA-B100-DA757465F34E}"/>
            </c:ext>
          </c:extLst>
        </c:ser>
        <c:ser>
          <c:idx val="6"/>
          <c:order val="6"/>
          <c:tx>
            <c:strRef>
              <c:f>'Datos del modelo'!$K$78</c:f>
              <c:strCache>
                <c:ptCount val="1"/>
                <c:pt idx="0">
                  <c:v>Abrysvo, Pfizer</c:v>
                </c:pt>
              </c:strCache>
              <c:extLst xmlns:c15="http://schemas.microsoft.com/office/drawing/2012/chart"/>
            </c:strRef>
          </c:tx>
          <c:spPr>
            <a:solidFill>
              <a:schemeClr val="accent1">
                <a:lumMod val="60000"/>
              </a:schemeClr>
            </a:solidFill>
            <a:ln>
              <a:noFill/>
            </a:ln>
            <a:effectLst/>
          </c:spPr>
          <c:invertIfNegative val="0"/>
          <c:val>
            <c:numRef>
              <c:f>Resultados!$N$128</c:f>
              <c:extLst xmlns:c15="http://schemas.microsoft.com/office/drawing/2012/chart"/>
            </c:numRef>
          </c:val>
          <c:extLst xmlns:c15="http://schemas.microsoft.com/office/drawing/2012/char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Ninguno</c:v>
                      </c:pt>
                      <c:pt idx="2">
                        <c:v>Los dos, total</c:v>
                      </c:pt>
                    </c:strCache>
                  </c:strRef>
                </c15:cat>
              </c15:filteredCategoryTitle>
            </c:ext>
            <c:ext xmlns:c16="http://schemas.microsoft.com/office/drawing/2014/chart" uri="{C3380CC4-5D6E-409C-BE32-E72D297353CC}">
              <c16:uniqueId val="{00000006-A471-42FA-B100-DA757465F34E}"/>
            </c:ext>
          </c:extLst>
        </c:ser>
        <c:ser>
          <c:idx val="7"/>
          <c:order val="7"/>
          <c:tx>
            <c:strRef>
              <c:f>'Datos del modelo'!$L$78</c:f>
              <c:strCache>
                <c:ptCount val="1"/>
                <c:pt idx="0">
                  <c:v>Anticuerpo monoclonal contra el VSR_2</c:v>
                </c:pt>
              </c:strCache>
              <c:extLst xmlns:c15="http://schemas.microsoft.com/office/drawing/2012/chart"/>
            </c:strRef>
          </c:tx>
          <c:spPr>
            <a:solidFill>
              <a:schemeClr val="accent2">
                <a:lumMod val="60000"/>
              </a:schemeClr>
            </a:solidFill>
            <a:ln>
              <a:noFill/>
            </a:ln>
            <a:effectLst/>
          </c:spPr>
          <c:invertIfNegative val="0"/>
          <c:val>
            <c:numRef>
              <c:f>Resultados!$O$128</c:f>
              <c:extLst xmlns:c15="http://schemas.microsoft.com/office/drawing/2012/chart"/>
            </c:numRef>
          </c:val>
          <c:extLst xmlns:c15="http://schemas.microsoft.com/office/drawing/2012/char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Ninguno</c:v>
                      </c:pt>
                      <c:pt idx="2">
                        <c:v>Los dos, total</c:v>
                      </c:pt>
                    </c:strCache>
                  </c:strRef>
                </c15:cat>
              </c15:filteredCategoryTitle>
            </c:ext>
            <c:ext xmlns:c16="http://schemas.microsoft.com/office/drawing/2014/chart" uri="{C3380CC4-5D6E-409C-BE32-E72D297353CC}">
              <c16:uniqueId val="{00000007-A471-42FA-B100-DA757465F34E}"/>
            </c:ext>
          </c:extLst>
        </c:ser>
        <c:ser>
          <c:idx val="8"/>
          <c:order val="8"/>
          <c:tx>
            <c:strRef>
              <c:f>'Datos del modelo'!$K$76:$L$76</c:f>
              <c:strCache>
                <c:ptCount val="1"/>
                <c:pt idx="0">
                  <c:v>Vacunas contra el VSR para mujeres embarazadas y AcM contra el VSR para bebés (Vacuna materna y AcM)</c:v>
                </c:pt>
              </c:strCache>
            </c:strRef>
          </c:tx>
          <c:spPr>
            <a:solidFill>
              <a:schemeClr val="accent3">
                <a:lumMod val="60000"/>
              </a:schemeClr>
            </a:solidFill>
            <a:ln>
              <a:noFill/>
            </a:ln>
            <a:effectLst/>
          </c:spPr>
          <c:invertIfNegative val="0"/>
          <c:val>
            <c:numRef>
              <c:f>Resultados!$M$128</c:f>
              <c:numCache>
                <c:formatCode>"$ "#,##0</c:formatCode>
                <c:ptCount val="1"/>
                <c:pt idx="0">
                  <c:v>14389836.719872665</c:v>
                </c:pt>
              </c:numCache>
            </c:numRef>
          </c:val>
          <c:extLst>
            <c:ext xmlns:c15="http://schemas.microsoft.com/office/drawing/2012/chart" uri="{02D57815-91ED-43cb-92C2-25804820EDAC}">
              <c15:filteredCategoryTitle>
                <c15:cat>
                  <c:strRef>
                    <c:extLst>
                      <c:ext uri="{02D57815-91ED-43cb-92C2-25804820EDAC}">
                        <c15:formulaRef>
                          <c15:sqref>Resultados!$E$9:$O$9</c15:sqref>
                        </c15:formulaRef>
                      </c:ext>
                    </c:extLst>
                    <c:strCache>
                      <c:ptCount val="3"/>
                      <c:pt idx="0">
                        <c:v>Abrysvo, Pfizer</c:v>
                      </c:pt>
                      <c:pt idx="1">
                        <c:v>Ninguno</c:v>
                      </c:pt>
                      <c:pt idx="2">
                        <c:v>Los dos, total</c:v>
                      </c:pt>
                    </c:strCache>
                  </c:strRef>
                </c15:cat>
              </c15:filteredCategoryTitle>
            </c:ext>
            <c:ext xmlns:c16="http://schemas.microsoft.com/office/drawing/2014/chart" uri="{C3380CC4-5D6E-409C-BE32-E72D297353CC}">
              <c16:uniqueId val="{00000008-A471-42FA-B100-DA757465F34E}"/>
            </c:ext>
          </c:extLst>
        </c:ser>
        <c:dLbls>
          <c:showLegendKey val="0"/>
          <c:showVal val="0"/>
          <c:showCatName val="0"/>
          <c:showSerName val="0"/>
          <c:showPercent val="0"/>
          <c:showBubbleSize val="0"/>
        </c:dLbls>
        <c:gapWidth val="182"/>
        <c:axId val="640941360"/>
        <c:axId val="640940704"/>
        <c:extLst/>
      </c:barChart>
      <c:catAx>
        <c:axId val="640941360"/>
        <c:scaling>
          <c:orientation val="minMax"/>
        </c:scaling>
        <c:delete val="1"/>
        <c:axPos val="l"/>
        <c:numFmt formatCode="General" sourceLinked="1"/>
        <c:majorTickMark val="none"/>
        <c:minorTickMark val="none"/>
        <c:tickLblPos val="nextTo"/>
        <c:crossAx val="640940704"/>
        <c:crosses val="autoZero"/>
        <c:auto val="1"/>
        <c:lblAlgn val="ctr"/>
        <c:lblOffset val="100"/>
        <c:noMultiLvlLbl val="0"/>
      </c:catAx>
      <c:valAx>
        <c:axId val="640940704"/>
        <c:scaling>
          <c:orientation val="minMax"/>
        </c:scaling>
        <c:delete val="0"/>
        <c:axPos val="b"/>
        <c:majorGridlines>
          <c:spPr>
            <a:ln w="9525" cap="flat" cmpd="sng" algn="ctr">
              <a:solidFill>
                <a:schemeClr val="tx1">
                  <a:lumMod val="15000"/>
                  <a:lumOff val="85000"/>
                </a:schemeClr>
              </a:solidFill>
              <a:round/>
            </a:ln>
            <a:effectLst/>
          </c:spPr>
        </c:majorGridlines>
        <c:numFmt formatCode="&quot;$ &quot;#,##0" sourceLinked="1"/>
        <c:majorTickMark val="none"/>
        <c:minorTickMark val="none"/>
        <c:tickLblPos val="nextTo"/>
        <c:spPr>
          <a:noFill/>
          <a:ln>
            <a:solidFill>
              <a:schemeClr val="tx1"/>
            </a:solidFill>
          </a:ln>
          <a:effectLst/>
        </c:spPr>
        <c:txPr>
          <a:bodyPr rot="-150000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40941360"/>
        <c:crosses val="autoZero"/>
        <c:crossBetween val="between"/>
      </c:valAx>
      <c:spPr>
        <a:noFill/>
        <a:ln>
          <a:noFill/>
        </a:ln>
        <a:effectLst/>
      </c:spPr>
    </c:plotArea>
    <c:legend>
      <c:legendPos val="b"/>
      <c:layout>
        <c:manualLayout>
          <c:xMode val="edge"/>
          <c:yMode val="edge"/>
          <c:x val="3.5469932666203234E-2"/>
          <c:y val="0.81008634450690309"/>
          <c:w val="0.93913339503139204"/>
          <c:h val="0.16013362323921163"/>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b="1"/>
              <a:t>Vaccine/mAb Cost</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1"/>
          <c:order val="0"/>
          <c:tx>
            <c:strRef>
              <c:f>'Datos del modelo'!$E$78</c:f>
              <c:strCache>
                <c:ptCount val="1"/>
                <c:pt idx="0">
                  <c:v>Abrysvo, Pfizer</c:v>
                </c:pt>
              </c:strCache>
            </c:strRef>
          </c:tx>
          <c:spPr>
            <a:solidFill>
              <a:schemeClr val="accent1"/>
            </a:solidFill>
            <a:ln>
              <a:noFill/>
            </a:ln>
            <a:effectLst/>
          </c:spPr>
          <c:invertIfNegative val="0"/>
          <c:cat>
            <c:numRef>
              <c:f>Resultados!$D$129:$D$133</c:f>
              <c:numCache>
                <c:formatCode>General</c:formatCode>
                <c:ptCount val="5"/>
                <c:pt idx="0">
                  <c:v>2025</c:v>
                </c:pt>
                <c:pt idx="1">
                  <c:v>2026</c:v>
                </c:pt>
                <c:pt idx="2">
                  <c:v>2027</c:v>
                </c:pt>
                <c:pt idx="3">
                  <c:v>2028</c:v>
                </c:pt>
                <c:pt idx="4">
                  <c:v>2029</c:v>
                </c:pt>
              </c:numCache>
            </c:numRef>
          </c:cat>
          <c:val>
            <c:numRef>
              <c:f>Resultados!$E$129:$E$133</c:f>
              <c:numCache>
                <c:formatCode>"$ "#,##0</c:formatCode>
                <c:ptCount val="5"/>
                <c:pt idx="0">
                  <c:v>629793.33333333337</c:v>
                </c:pt>
                <c:pt idx="1">
                  <c:v>641301.65555555548</c:v>
                </c:pt>
                <c:pt idx="2">
                  <c:v>640713.79722222232</c:v>
                </c:pt>
                <c:pt idx="3">
                  <c:v>774633.80744444451</c:v>
                </c:pt>
                <c:pt idx="4">
                  <c:v>894977.02703250013</c:v>
                </c:pt>
              </c:numCache>
            </c:numRef>
          </c:val>
          <c:extLst>
            <c:ext xmlns:c16="http://schemas.microsoft.com/office/drawing/2014/chart" uri="{C3380CC4-5D6E-409C-BE32-E72D297353CC}">
              <c16:uniqueId val="{00000000-0802-4B3D-B649-827C3F025B3B}"/>
            </c:ext>
          </c:extLst>
        </c:ser>
        <c:ser>
          <c:idx val="0"/>
          <c:order val="1"/>
          <c:tx>
            <c:strRef>
              <c:f>'Datos del modelo'!$F$78</c:f>
              <c:strCache>
                <c:ptCount val="1"/>
                <c:pt idx="0">
                  <c:v>Ninguno</c:v>
                </c:pt>
              </c:strCache>
              <c:extLst xmlns:c15="http://schemas.microsoft.com/office/drawing/2012/chart"/>
            </c:strRef>
          </c:tx>
          <c:spPr>
            <a:solidFill>
              <a:schemeClr val="accent1"/>
            </a:solidFill>
            <a:ln>
              <a:noFill/>
            </a:ln>
            <a:effectLst/>
          </c:spPr>
          <c:invertIfNegative val="0"/>
          <c:cat>
            <c:numRef>
              <c:f>Resultados!$D$129:$D$133</c:f>
              <c:numCache>
                <c:formatCode>General</c:formatCode>
                <c:ptCount val="5"/>
                <c:pt idx="0">
                  <c:v>2025</c:v>
                </c:pt>
                <c:pt idx="1">
                  <c:v>2026</c:v>
                </c:pt>
                <c:pt idx="2">
                  <c:v>2027</c:v>
                </c:pt>
                <c:pt idx="3">
                  <c:v>2028</c:v>
                </c:pt>
                <c:pt idx="4">
                  <c:v>2029</c:v>
                </c:pt>
              </c:numCache>
              <c:extLst xmlns:c15="http://schemas.microsoft.com/office/drawing/2012/chart"/>
            </c:numRef>
          </c:cat>
          <c:val>
            <c:numRef>
              <c:f>Resultados!$F$129:$F$133</c:f>
              <c:extLst xmlns:c15="http://schemas.microsoft.com/office/drawing/2012/chart"/>
            </c:numRef>
          </c:val>
          <c:extLst xmlns:c15="http://schemas.microsoft.com/office/drawing/2012/chart">
            <c:ext xmlns:c16="http://schemas.microsoft.com/office/drawing/2014/chart" uri="{C3380CC4-5D6E-409C-BE32-E72D297353CC}">
              <c16:uniqueId val="{00000001-0802-4B3D-B649-827C3F025B3B}"/>
            </c:ext>
          </c:extLst>
        </c:ser>
        <c:ser>
          <c:idx val="2"/>
          <c:order val="2"/>
          <c:tx>
            <c:strRef>
              <c:f>'Datos del modelo'!$G$78</c:f>
              <c:strCache>
                <c:ptCount val="1"/>
                <c:pt idx="0">
                  <c:v>Ninguno</c:v>
                </c:pt>
              </c:strCache>
              <c:extLst xmlns:c15="http://schemas.microsoft.com/office/drawing/2012/chart"/>
            </c:strRef>
          </c:tx>
          <c:spPr>
            <a:solidFill>
              <a:schemeClr val="accent3"/>
            </a:solidFill>
            <a:ln>
              <a:noFill/>
            </a:ln>
            <a:effectLst/>
          </c:spPr>
          <c:invertIfNegative val="0"/>
          <c:cat>
            <c:numRef>
              <c:f>Resultados!$D$129:$D$133</c:f>
              <c:numCache>
                <c:formatCode>General</c:formatCode>
                <c:ptCount val="5"/>
                <c:pt idx="0">
                  <c:v>2025</c:v>
                </c:pt>
                <c:pt idx="1">
                  <c:v>2026</c:v>
                </c:pt>
                <c:pt idx="2">
                  <c:v>2027</c:v>
                </c:pt>
                <c:pt idx="3">
                  <c:v>2028</c:v>
                </c:pt>
                <c:pt idx="4">
                  <c:v>2029</c:v>
                </c:pt>
              </c:numCache>
              <c:extLst xmlns:c15="http://schemas.microsoft.com/office/drawing/2012/chart"/>
            </c:numRef>
          </c:cat>
          <c:val>
            <c:numRef>
              <c:f>Resultados!$G$129:$G$133</c:f>
              <c:extLst xmlns:c15="http://schemas.microsoft.com/office/drawing/2012/chart"/>
            </c:numRef>
          </c:val>
          <c:extLst xmlns:c15="http://schemas.microsoft.com/office/drawing/2012/chart">
            <c:ext xmlns:c16="http://schemas.microsoft.com/office/drawing/2014/chart" uri="{C3380CC4-5D6E-409C-BE32-E72D297353CC}">
              <c16:uniqueId val="{00000002-0802-4B3D-B649-827C3F025B3B}"/>
            </c:ext>
          </c:extLst>
        </c:ser>
        <c:ser>
          <c:idx val="3"/>
          <c:order val="3"/>
          <c:tx>
            <c:strRef>
              <c:f>'Datos del modelo'!$H$78</c:f>
              <c:strCache>
                <c:ptCount val="1"/>
                <c:pt idx="0">
                  <c:v>Ninguno</c:v>
                </c:pt>
              </c:strCache>
            </c:strRef>
          </c:tx>
          <c:spPr>
            <a:solidFill>
              <a:schemeClr val="accent4"/>
            </a:solidFill>
            <a:ln>
              <a:noFill/>
            </a:ln>
            <a:effectLst/>
          </c:spPr>
          <c:invertIfNegative val="0"/>
          <c:cat>
            <c:numRef>
              <c:f>Resultados!$D$129:$D$133</c:f>
              <c:numCache>
                <c:formatCode>General</c:formatCode>
                <c:ptCount val="5"/>
                <c:pt idx="0">
                  <c:v>2025</c:v>
                </c:pt>
                <c:pt idx="1">
                  <c:v>2026</c:v>
                </c:pt>
                <c:pt idx="2">
                  <c:v>2027</c:v>
                </c:pt>
                <c:pt idx="3">
                  <c:v>2028</c:v>
                </c:pt>
                <c:pt idx="4">
                  <c:v>2029</c:v>
                </c:pt>
              </c:numCache>
            </c:numRef>
          </c:cat>
          <c:val>
            <c:numRef>
              <c:f>Resultados!$I$129:$I$133</c:f>
              <c:numCache>
                <c:formatCode>"$ "#,##0</c:formatCode>
                <c:ptCount val="5"/>
                <c:pt idx="0">
                  <c:v>0</c:v>
                </c:pt>
                <c:pt idx="1">
                  <c:v>0</c:v>
                </c:pt>
                <c:pt idx="2">
                  <c:v>0</c:v>
                </c:pt>
                <c:pt idx="3">
                  <c:v>0</c:v>
                </c:pt>
                <c:pt idx="4">
                  <c:v>0</c:v>
                </c:pt>
              </c:numCache>
            </c:numRef>
          </c:val>
          <c:extLst>
            <c:ext xmlns:c16="http://schemas.microsoft.com/office/drawing/2014/chart" uri="{C3380CC4-5D6E-409C-BE32-E72D297353CC}">
              <c16:uniqueId val="{00000003-0802-4B3D-B649-827C3F025B3B}"/>
            </c:ext>
          </c:extLst>
        </c:ser>
        <c:ser>
          <c:idx val="4"/>
          <c:order val="4"/>
          <c:tx>
            <c:strRef>
              <c:f>'Datos del modelo'!$I$78</c:f>
              <c:strCache>
                <c:ptCount val="1"/>
                <c:pt idx="0">
                  <c:v>Ninguno</c:v>
                </c:pt>
              </c:strCache>
              <c:extLst xmlns:c15="http://schemas.microsoft.com/office/drawing/2012/chart"/>
            </c:strRef>
          </c:tx>
          <c:spPr>
            <a:solidFill>
              <a:schemeClr val="accent5"/>
            </a:solidFill>
            <a:ln>
              <a:noFill/>
            </a:ln>
            <a:effectLst/>
          </c:spPr>
          <c:invertIfNegative val="0"/>
          <c:cat>
            <c:numRef>
              <c:f>Resultados!$D$129:$D$133</c:f>
              <c:numCache>
                <c:formatCode>General</c:formatCode>
                <c:ptCount val="5"/>
                <c:pt idx="0">
                  <c:v>2025</c:v>
                </c:pt>
                <c:pt idx="1">
                  <c:v>2026</c:v>
                </c:pt>
                <c:pt idx="2">
                  <c:v>2027</c:v>
                </c:pt>
                <c:pt idx="3">
                  <c:v>2028</c:v>
                </c:pt>
                <c:pt idx="4">
                  <c:v>2029</c:v>
                </c:pt>
              </c:numCache>
              <c:extLst xmlns:c15="http://schemas.microsoft.com/office/drawing/2012/chart"/>
            </c:numRef>
          </c:cat>
          <c:val>
            <c:numRef>
              <c:f>Resultados!$J$129:$J$133</c:f>
              <c:extLst xmlns:c15="http://schemas.microsoft.com/office/drawing/2012/chart"/>
            </c:numRef>
          </c:val>
          <c:extLst xmlns:c15="http://schemas.microsoft.com/office/drawing/2012/chart">
            <c:ext xmlns:c16="http://schemas.microsoft.com/office/drawing/2014/chart" uri="{C3380CC4-5D6E-409C-BE32-E72D297353CC}">
              <c16:uniqueId val="{00000004-0802-4B3D-B649-827C3F025B3B}"/>
            </c:ext>
          </c:extLst>
        </c:ser>
        <c:ser>
          <c:idx val="6"/>
          <c:order val="5"/>
          <c:tx>
            <c:strRef>
              <c:f>'Datos del modelo'!$J$78</c:f>
              <c:strCache>
                <c:ptCount val="1"/>
                <c:pt idx="0">
                  <c:v>Ninguno</c:v>
                </c:pt>
              </c:strCache>
              <c:extLst xmlns:c15="http://schemas.microsoft.com/office/drawing/2012/chart"/>
            </c:strRef>
          </c:tx>
          <c:spPr>
            <a:solidFill>
              <a:schemeClr val="accent1">
                <a:lumMod val="60000"/>
              </a:schemeClr>
            </a:solidFill>
            <a:ln>
              <a:noFill/>
            </a:ln>
            <a:effectLst/>
          </c:spPr>
          <c:invertIfNegative val="0"/>
          <c:cat>
            <c:numRef>
              <c:f>Resultados!$D$129:$D$133</c:f>
              <c:numCache>
                <c:formatCode>General</c:formatCode>
                <c:ptCount val="5"/>
                <c:pt idx="0">
                  <c:v>2025</c:v>
                </c:pt>
                <c:pt idx="1">
                  <c:v>2026</c:v>
                </c:pt>
                <c:pt idx="2">
                  <c:v>2027</c:v>
                </c:pt>
                <c:pt idx="3">
                  <c:v>2028</c:v>
                </c:pt>
                <c:pt idx="4">
                  <c:v>2029</c:v>
                </c:pt>
              </c:numCache>
              <c:extLst xmlns:c15="http://schemas.microsoft.com/office/drawing/2012/chart"/>
            </c:numRef>
          </c:cat>
          <c:val>
            <c:numRef>
              <c:f>Resultados!$K$129:$K$133</c:f>
              <c:extLst xmlns:c15="http://schemas.microsoft.com/office/drawing/2012/chart"/>
            </c:numRef>
          </c:val>
          <c:extLst xmlns:c15="http://schemas.microsoft.com/office/drawing/2012/chart">
            <c:ext xmlns:c16="http://schemas.microsoft.com/office/drawing/2014/chart" uri="{C3380CC4-5D6E-409C-BE32-E72D297353CC}">
              <c16:uniqueId val="{00000005-0802-4B3D-B649-827C3F025B3B}"/>
            </c:ext>
          </c:extLst>
        </c:ser>
        <c:ser>
          <c:idx val="7"/>
          <c:order val="6"/>
          <c:tx>
            <c:strRef>
              <c:f>'Datos del modelo'!$K$78</c:f>
              <c:strCache>
                <c:ptCount val="1"/>
                <c:pt idx="0">
                  <c:v>Abrysvo, Pfizer</c:v>
                </c:pt>
              </c:strCache>
              <c:extLst xmlns:c15="http://schemas.microsoft.com/office/drawing/2012/chart"/>
            </c:strRef>
          </c:tx>
          <c:spPr>
            <a:solidFill>
              <a:schemeClr val="accent2">
                <a:lumMod val="60000"/>
              </a:schemeClr>
            </a:solidFill>
            <a:ln>
              <a:noFill/>
            </a:ln>
            <a:effectLst/>
          </c:spPr>
          <c:invertIfNegative val="0"/>
          <c:cat>
            <c:numRef>
              <c:f>Resultados!$D$129:$D$133</c:f>
              <c:numCache>
                <c:formatCode>General</c:formatCode>
                <c:ptCount val="5"/>
                <c:pt idx="0">
                  <c:v>2025</c:v>
                </c:pt>
                <c:pt idx="1">
                  <c:v>2026</c:v>
                </c:pt>
                <c:pt idx="2">
                  <c:v>2027</c:v>
                </c:pt>
                <c:pt idx="3">
                  <c:v>2028</c:v>
                </c:pt>
                <c:pt idx="4">
                  <c:v>2029</c:v>
                </c:pt>
              </c:numCache>
              <c:extLst xmlns:c15="http://schemas.microsoft.com/office/drawing/2012/chart"/>
            </c:numRef>
          </c:cat>
          <c:val>
            <c:numRef>
              <c:f>Resultados!$N$129:$N$133</c:f>
              <c:extLst xmlns:c15="http://schemas.microsoft.com/office/drawing/2012/chart"/>
            </c:numRef>
          </c:val>
          <c:extLst xmlns:c15="http://schemas.microsoft.com/office/drawing/2012/chart">
            <c:ext xmlns:c16="http://schemas.microsoft.com/office/drawing/2014/chart" uri="{C3380CC4-5D6E-409C-BE32-E72D297353CC}">
              <c16:uniqueId val="{00000006-0802-4B3D-B649-827C3F025B3B}"/>
            </c:ext>
          </c:extLst>
        </c:ser>
        <c:ser>
          <c:idx val="5"/>
          <c:order val="7"/>
          <c:tx>
            <c:strRef>
              <c:f>'Datos del modelo'!$L$78</c:f>
              <c:strCache>
                <c:ptCount val="1"/>
                <c:pt idx="0">
                  <c:v>Anticuerpo monoclonal contra el VSR_2</c:v>
                </c:pt>
              </c:strCache>
              <c:extLst xmlns:c15="http://schemas.microsoft.com/office/drawing/2012/chart"/>
            </c:strRef>
          </c:tx>
          <c:spPr>
            <a:solidFill>
              <a:schemeClr val="accent6"/>
            </a:solidFill>
            <a:ln>
              <a:noFill/>
            </a:ln>
            <a:effectLst/>
          </c:spPr>
          <c:invertIfNegative val="0"/>
          <c:cat>
            <c:numRef>
              <c:f>Resultados!$D$129:$D$133</c:f>
              <c:numCache>
                <c:formatCode>General</c:formatCode>
                <c:ptCount val="5"/>
                <c:pt idx="0">
                  <c:v>2025</c:v>
                </c:pt>
                <c:pt idx="1">
                  <c:v>2026</c:v>
                </c:pt>
                <c:pt idx="2">
                  <c:v>2027</c:v>
                </c:pt>
                <c:pt idx="3">
                  <c:v>2028</c:v>
                </c:pt>
                <c:pt idx="4">
                  <c:v>2029</c:v>
                </c:pt>
              </c:numCache>
              <c:extLst xmlns:c15="http://schemas.microsoft.com/office/drawing/2012/chart"/>
            </c:numRef>
          </c:cat>
          <c:val>
            <c:numRef>
              <c:f>Resultados!$O$129:$O$133</c:f>
              <c:extLst xmlns:c15="http://schemas.microsoft.com/office/drawing/2012/chart"/>
            </c:numRef>
          </c:val>
          <c:extLst xmlns:c15="http://schemas.microsoft.com/office/drawing/2012/chart">
            <c:ext xmlns:c16="http://schemas.microsoft.com/office/drawing/2014/chart" uri="{C3380CC4-5D6E-409C-BE32-E72D297353CC}">
              <c16:uniqueId val="{00000007-0802-4B3D-B649-827C3F025B3B}"/>
            </c:ext>
          </c:extLst>
        </c:ser>
        <c:ser>
          <c:idx val="8"/>
          <c:order val="8"/>
          <c:tx>
            <c:strRef>
              <c:f>'Datos del modelo'!$K$76:$L$76</c:f>
              <c:strCache>
                <c:ptCount val="1"/>
                <c:pt idx="0">
                  <c:v>Vacunas contra el VSR para mujeres embarazadas y AcM contra el VSR para bebés (Vacuna materna y AcM)</c:v>
                </c:pt>
              </c:strCache>
            </c:strRef>
          </c:tx>
          <c:spPr>
            <a:solidFill>
              <a:schemeClr val="accent3">
                <a:lumMod val="60000"/>
              </a:schemeClr>
            </a:solidFill>
            <a:ln>
              <a:noFill/>
            </a:ln>
            <a:effectLst/>
          </c:spPr>
          <c:invertIfNegative val="0"/>
          <c:cat>
            <c:numRef>
              <c:f>Resultados!$D$129:$D$133</c:f>
              <c:numCache>
                <c:formatCode>General</c:formatCode>
                <c:ptCount val="5"/>
                <c:pt idx="0">
                  <c:v>2025</c:v>
                </c:pt>
                <c:pt idx="1">
                  <c:v>2026</c:v>
                </c:pt>
                <c:pt idx="2">
                  <c:v>2027</c:v>
                </c:pt>
                <c:pt idx="3">
                  <c:v>2028</c:v>
                </c:pt>
                <c:pt idx="4">
                  <c:v>2029</c:v>
                </c:pt>
              </c:numCache>
            </c:numRef>
          </c:cat>
          <c:val>
            <c:numRef>
              <c:f>Resultados!$M$129:$M$133</c:f>
              <c:numCache>
                <c:formatCode>"$ "#,##0</c:formatCode>
                <c:ptCount val="5"/>
                <c:pt idx="0">
                  <c:v>4493546.666666667</c:v>
                </c:pt>
                <c:pt idx="1">
                  <c:v>3285196.4</c:v>
                </c:pt>
                <c:pt idx="2">
                  <c:v>2830827.2933333339</c:v>
                </c:pt>
                <c:pt idx="3">
                  <c:v>2249417.9814666663</c:v>
                </c:pt>
                <c:pt idx="4">
                  <c:v>1530848.3784059999</c:v>
                </c:pt>
              </c:numCache>
            </c:numRef>
          </c:val>
          <c:extLst>
            <c:ext xmlns:c16="http://schemas.microsoft.com/office/drawing/2014/chart" uri="{C3380CC4-5D6E-409C-BE32-E72D297353CC}">
              <c16:uniqueId val="{00000008-0802-4B3D-B649-827C3F025B3B}"/>
            </c:ext>
          </c:extLst>
        </c:ser>
        <c:dLbls>
          <c:showLegendKey val="0"/>
          <c:showVal val="0"/>
          <c:showCatName val="0"/>
          <c:showSerName val="0"/>
          <c:showPercent val="0"/>
          <c:showBubbleSize val="0"/>
        </c:dLbls>
        <c:gapWidth val="128"/>
        <c:axId val="747696848"/>
        <c:axId val="747696192"/>
        <c:extLst/>
      </c:barChart>
      <c:catAx>
        <c:axId val="747696848"/>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192"/>
        <c:crosses val="autoZero"/>
        <c:auto val="1"/>
        <c:lblAlgn val="ctr"/>
        <c:lblOffset val="100"/>
        <c:noMultiLvlLbl val="0"/>
      </c:catAx>
      <c:valAx>
        <c:axId val="747696192"/>
        <c:scaling>
          <c:orientation val="minMax"/>
        </c:scaling>
        <c:delete val="0"/>
        <c:axPos val="l"/>
        <c:majorGridlines>
          <c:spPr>
            <a:ln w="9525" cap="flat" cmpd="sng" algn="ctr">
              <a:solidFill>
                <a:schemeClr val="tx1">
                  <a:lumMod val="15000"/>
                  <a:lumOff val="85000"/>
                </a:schemeClr>
              </a:solidFill>
              <a:round/>
            </a:ln>
            <a:effectLst/>
          </c:spPr>
        </c:majorGridlines>
        <c:numFmt formatCode="&quot;$ &quot;#,##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848"/>
        <c:crosses val="autoZero"/>
        <c:crossBetween val="between"/>
      </c:valAx>
      <c:spPr>
        <a:noFill/>
        <a:ln>
          <a:noFill/>
        </a:ln>
        <a:effectLst/>
      </c:spPr>
    </c:plotArea>
    <c:legend>
      <c:legendPos val="b"/>
      <c:layout>
        <c:manualLayout>
          <c:xMode val="edge"/>
          <c:yMode val="edge"/>
          <c:x val="8.0312561892361176E-2"/>
          <c:y val="0.8717479163040448"/>
          <c:w val="0.891903186626398"/>
          <c:h val="0.11329577848275234"/>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sz="1400" b="1" i="0" u="none" strike="noStrike" kern="1200" spc="0" baseline="0">
                <a:solidFill>
                  <a:sysClr val="windowText" lastClr="000000"/>
                </a:solidFill>
              </a:rPr>
              <a:t>Immunization Program Cost</a:t>
            </a:r>
          </a:p>
          <a:p>
            <a:pPr>
              <a:defRPr b="1"/>
            </a:pPr>
            <a:r>
              <a:rPr lang="fr-CH" sz="1000" b="1" i="0" u="none" strike="noStrike" kern="1200" spc="0" baseline="0">
                <a:solidFill>
                  <a:sysClr val="windowText" lastClr="000000"/>
                </a:solidFill>
                <a:effectLst/>
              </a:rPr>
              <a:t>Vaccine/mAb cost + incremental health system costs</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11071337138246068"/>
          <c:y val="0.15438125015258183"/>
          <c:w val="0.87205325068549044"/>
          <c:h val="0.70132701190397218"/>
        </c:manualLayout>
      </c:layout>
      <c:barChart>
        <c:barDir val="col"/>
        <c:grouping val="clustered"/>
        <c:varyColors val="0"/>
        <c:ser>
          <c:idx val="1"/>
          <c:order val="0"/>
          <c:tx>
            <c:strRef>
              <c:f>'Datos del modelo'!$E$78</c:f>
              <c:strCache>
                <c:ptCount val="1"/>
                <c:pt idx="0">
                  <c:v>Abrysvo, Pfizer</c:v>
                </c:pt>
              </c:strCache>
            </c:strRef>
          </c:tx>
          <c:spPr>
            <a:solidFill>
              <a:schemeClr val="accent1"/>
            </a:solidFill>
            <a:ln>
              <a:noFill/>
            </a:ln>
            <a:effectLst/>
          </c:spPr>
          <c:invertIfNegative val="0"/>
          <c:cat>
            <c:numRef>
              <c:f>Resultados!$D$138:$D$142</c:f>
              <c:numCache>
                <c:formatCode>General</c:formatCode>
                <c:ptCount val="5"/>
                <c:pt idx="0">
                  <c:v>2025</c:v>
                </c:pt>
                <c:pt idx="1">
                  <c:v>2026</c:v>
                </c:pt>
                <c:pt idx="2">
                  <c:v>2027</c:v>
                </c:pt>
                <c:pt idx="3">
                  <c:v>2028</c:v>
                </c:pt>
                <c:pt idx="4">
                  <c:v>2029</c:v>
                </c:pt>
              </c:numCache>
            </c:numRef>
          </c:cat>
          <c:val>
            <c:numRef>
              <c:f>Resultados!$E$138:$E$142</c:f>
              <c:numCache>
                <c:formatCode>"$ "#,##0</c:formatCode>
                <c:ptCount val="5"/>
                <c:pt idx="0">
                  <c:v>953193.33333333337</c:v>
                </c:pt>
                <c:pt idx="1">
                  <c:v>831645.65555555548</c:v>
                </c:pt>
                <c:pt idx="2">
                  <c:v>836768.11722222227</c:v>
                </c:pt>
                <c:pt idx="3">
                  <c:v>1005417.7498444446</c:v>
                </c:pt>
                <c:pt idx="4">
                  <c:v>1162397.9202885001</c:v>
                </c:pt>
              </c:numCache>
            </c:numRef>
          </c:val>
          <c:extLst>
            <c:ext xmlns:c16="http://schemas.microsoft.com/office/drawing/2014/chart" uri="{C3380CC4-5D6E-409C-BE32-E72D297353CC}">
              <c16:uniqueId val="{00000000-1A90-4573-A3B3-B32365DD1AE3}"/>
            </c:ext>
          </c:extLst>
        </c:ser>
        <c:ser>
          <c:idx val="0"/>
          <c:order val="1"/>
          <c:tx>
            <c:strRef>
              <c:f>'Datos del modelo'!$F$78</c:f>
              <c:strCache>
                <c:ptCount val="1"/>
                <c:pt idx="0">
                  <c:v>Ninguno</c:v>
                </c:pt>
              </c:strCache>
              <c:extLst xmlns:c15="http://schemas.microsoft.com/office/drawing/2012/chart"/>
            </c:strRef>
          </c:tx>
          <c:spPr>
            <a:solidFill>
              <a:schemeClr val="accent1"/>
            </a:solidFill>
            <a:ln>
              <a:noFill/>
            </a:ln>
            <a:effectLst/>
          </c:spPr>
          <c:invertIfNegative val="0"/>
          <c:cat>
            <c:numRef>
              <c:f>Resultados!$D$138:$D$142</c:f>
              <c:numCache>
                <c:formatCode>General</c:formatCode>
                <c:ptCount val="5"/>
                <c:pt idx="0">
                  <c:v>2025</c:v>
                </c:pt>
                <c:pt idx="1">
                  <c:v>2026</c:v>
                </c:pt>
                <c:pt idx="2">
                  <c:v>2027</c:v>
                </c:pt>
                <c:pt idx="3">
                  <c:v>2028</c:v>
                </c:pt>
                <c:pt idx="4">
                  <c:v>2029</c:v>
                </c:pt>
              </c:numCache>
              <c:extLst xmlns:c15="http://schemas.microsoft.com/office/drawing/2012/chart"/>
            </c:numRef>
          </c:cat>
          <c:val>
            <c:numRef>
              <c:f>Resultados!$F$138:$F$142</c:f>
              <c:extLst xmlns:c15="http://schemas.microsoft.com/office/drawing/2012/chart"/>
            </c:numRef>
          </c:val>
          <c:extLst xmlns:c15="http://schemas.microsoft.com/office/drawing/2012/chart">
            <c:ext xmlns:c16="http://schemas.microsoft.com/office/drawing/2014/chart" uri="{C3380CC4-5D6E-409C-BE32-E72D297353CC}">
              <c16:uniqueId val="{00000001-1A90-4573-A3B3-B32365DD1AE3}"/>
            </c:ext>
          </c:extLst>
        </c:ser>
        <c:ser>
          <c:idx val="2"/>
          <c:order val="2"/>
          <c:tx>
            <c:strRef>
              <c:f>'Datos del modelo'!$G$78</c:f>
              <c:strCache>
                <c:ptCount val="1"/>
                <c:pt idx="0">
                  <c:v>Ninguno</c:v>
                </c:pt>
              </c:strCache>
              <c:extLst xmlns:c15="http://schemas.microsoft.com/office/drawing/2012/chart"/>
            </c:strRef>
          </c:tx>
          <c:spPr>
            <a:solidFill>
              <a:schemeClr val="accent3"/>
            </a:solidFill>
            <a:ln>
              <a:noFill/>
            </a:ln>
            <a:effectLst/>
          </c:spPr>
          <c:invertIfNegative val="0"/>
          <c:cat>
            <c:numRef>
              <c:f>Resultados!$D$138:$D$142</c:f>
              <c:numCache>
                <c:formatCode>General</c:formatCode>
                <c:ptCount val="5"/>
                <c:pt idx="0">
                  <c:v>2025</c:v>
                </c:pt>
                <c:pt idx="1">
                  <c:v>2026</c:v>
                </c:pt>
                <c:pt idx="2">
                  <c:v>2027</c:v>
                </c:pt>
                <c:pt idx="3">
                  <c:v>2028</c:v>
                </c:pt>
                <c:pt idx="4">
                  <c:v>2029</c:v>
                </c:pt>
              </c:numCache>
              <c:extLst xmlns:c15="http://schemas.microsoft.com/office/drawing/2012/chart"/>
            </c:numRef>
          </c:cat>
          <c:val>
            <c:numRef>
              <c:f>Resultados!$G$138:$G$142</c:f>
              <c:extLst xmlns:c15="http://schemas.microsoft.com/office/drawing/2012/chart"/>
            </c:numRef>
          </c:val>
          <c:extLst xmlns:c15="http://schemas.microsoft.com/office/drawing/2012/chart">
            <c:ext xmlns:c16="http://schemas.microsoft.com/office/drawing/2014/chart" uri="{C3380CC4-5D6E-409C-BE32-E72D297353CC}">
              <c16:uniqueId val="{00000002-1A90-4573-A3B3-B32365DD1AE3}"/>
            </c:ext>
          </c:extLst>
        </c:ser>
        <c:ser>
          <c:idx val="3"/>
          <c:order val="3"/>
          <c:tx>
            <c:strRef>
              <c:f>'Datos del modelo'!$H$78</c:f>
              <c:strCache>
                <c:ptCount val="1"/>
                <c:pt idx="0">
                  <c:v>Ninguno</c:v>
                </c:pt>
              </c:strCache>
            </c:strRef>
          </c:tx>
          <c:spPr>
            <a:solidFill>
              <a:schemeClr val="accent4"/>
            </a:solidFill>
            <a:ln>
              <a:noFill/>
            </a:ln>
            <a:effectLst/>
          </c:spPr>
          <c:invertIfNegative val="0"/>
          <c:cat>
            <c:numRef>
              <c:f>Resultados!$D$138:$D$142</c:f>
              <c:numCache>
                <c:formatCode>General</c:formatCode>
                <c:ptCount val="5"/>
                <c:pt idx="0">
                  <c:v>2025</c:v>
                </c:pt>
                <c:pt idx="1">
                  <c:v>2026</c:v>
                </c:pt>
                <c:pt idx="2">
                  <c:v>2027</c:v>
                </c:pt>
                <c:pt idx="3">
                  <c:v>2028</c:v>
                </c:pt>
                <c:pt idx="4">
                  <c:v>2029</c:v>
                </c:pt>
              </c:numCache>
            </c:numRef>
          </c:cat>
          <c:val>
            <c:numRef>
              <c:f>Resultados!$I$138:$I$142</c:f>
              <c:numCache>
                <c:formatCode>"$ "#,##0</c:formatCode>
                <c:ptCount val="5"/>
                <c:pt idx="0">
                  <c:v>0</c:v>
                </c:pt>
                <c:pt idx="1">
                  <c:v>0</c:v>
                </c:pt>
                <c:pt idx="2">
                  <c:v>0</c:v>
                </c:pt>
                <c:pt idx="3">
                  <c:v>0</c:v>
                </c:pt>
                <c:pt idx="4">
                  <c:v>0</c:v>
                </c:pt>
              </c:numCache>
            </c:numRef>
          </c:val>
          <c:extLst>
            <c:ext xmlns:c16="http://schemas.microsoft.com/office/drawing/2014/chart" uri="{C3380CC4-5D6E-409C-BE32-E72D297353CC}">
              <c16:uniqueId val="{00000003-1A90-4573-A3B3-B32365DD1AE3}"/>
            </c:ext>
          </c:extLst>
        </c:ser>
        <c:ser>
          <c:idx val="4"/>
          <c:order val="4"/>
          <c:tx>
            <c:strRef>
              <c:f>'Datos del modelo'!$I$78</c:f>
              <c:strCache>
                <c:ptCount val="1"/>
                <c:pt idx="0">
                  <c:v>Ninguno</c:v>
                </c:pt>
              </c:strCache>
              <c:extLst xmlns:c15="http://schemas.microsoft.com/office/drawing/2012/chart"/>
            </c:strRef>
          </c:tx>
          <c:spPr>
            <a:solidFill>
              <a:schemeClr val="accent5"/>
            </a:solidFill>
            <a:ln>
              <a:noFill/>
            </a:ln>
            <a:effectLst/>
          </c:spPr>
          <c:invertIfNegative val="0"/>
          <c:cat>
            <c:numRef>
              <c:f>Resultados!$D$138:$D$142</c:f>
              <c:numCache>
                <c:formatCode>General</c:formatCode>
                <c:ptCount val="5"/>
                <c:pt idx="0">
                  <c:v>2025</c:v>
                </c:pt>
                <c:pt idx="1">
                  <c:v>2026</c:v>
                </c:pt>
                <c:pt idx="2">
                  <c:v>2027</c:v>
                </c:pt>
                <c:pt idx="3">
                  <c:v>2028</c:v>
                </c:pt>
                <c:pt idx="4">
                  <c:v>2029</c:v>
                </c:pt>
              </c:numCache>
              <c:extLst xmlns:c15="http://schemas.microsoft.com/office/drawing/2012/chart"/>
            </c:numRef>
          </c:cat>
          <c:val>
            <c:numRef>
              <c:f>Resultados!$J$138:$J$142</c:f>
              <c:extLst xmlns:c15="http://schemas.microsoft.com/office/drawing/2012/chart"/>
            </c:numRef>
          </c:val>
          <c:extLst xmlns:c15="http://schemas.microsoft.com/office/drawing/2012/chart">
            <c:ext xmlns:c16="http://schemas.microsoft.com/office/drawing/2014/chart" uri="{C3380CC4-5D6E-409C-BE32-E72D297353CC}">
              <c16:uniqueId val="{00000004-1A90-4573-A3B3-B32365DD1AE3}"/>
            </c:ext>
          </c:extLst>
        </c:ser>
        <c:ser>
          <c:idx val="6"/>
          <c:order val="5"/>
          <c:tx>
            <c:strRef>
              <c:f>'Datos del modelo'!$J$78</c:f>
              <c:strCache>
                <c:ptCount val="1"/>
                <c:pt idx="0">
                  <c:v>Ninguno</c:v>
                </c:pt>
              </c:strCache>
              <c:extLst xmlns:c15="http://schemas.microsoft.com/office/drawing/2012/chart"/>
            </c:strRef>
          </c:tx>
          <c:spPr>
            <a:solidFill>
              <a:schemeClr val="accent1">
                <a:lumMod val="60000"/>
              </a:schemeClr>
            </a:solidFill>
            <a:ln>
              <a:noFill/>
            </a:ln>
            <a:effectLst/>
          </c:spPr>
          <c:invertIfNegative val="0"/>
          <c:cat>
            <c:numRef>
              <c:f>Resultados!$D$138:$D$142</c:f>
              <c:numCache>
                <c:formatCode>General</c:formatCode>
                <c:ptCount val="5"/>
                <c:pt idx="0">
                  <c:v>2025</c:v>
                </c:pt>
                <c:pt idx="1">
                  <c:v>2026</c:v>
                </c:pt>
                <c:pt idx="2">
                  <c:v>2027</c:v>
                </c:pt>
                <c:pt idx="3">
                  <c:v>2028</c:v>
                </c:pt>
                <c:pt idx="4">
                  <c:v>2029</c:v>
                </c:pt>
              </c:numCache>
              <c:extLst xmlns:c15="http://schemas.microsoft.com/office/drawing/2012/chart"/>
            </c:numRef>
          </c:cat>
          <c:val>
            <c:numRef>
              <c:f>Resultados!$K$138:$K$142</c:f>
              <c:extLst xmlns:c15="http://schemas.microsoft.com/office/drawing/2012/chart"/>
            </c:numRef>
          </c:val>
          <c:extLst xmlns:c15="http://schemas.microsoft.com/office/drawing/2012/chart">
            <c:ext xmlns:c16="http://schemas.microsoft.com/office/drawing/2014/chart" uri="{C3380CC4-5D6E-409C-BE32-E72D297353CC}">
              <c16:uniqueId val="{00000005-1A90-4573-A3B3-B32365DD1AE3}"/>
            </c:ext>
          </c:extLst>
        </c:ser>
        <c:ser>
          <c:idx val="7"/>
          <c:order val="6"/>
          <c:tx>
            <c:strRef>
              <c:f>'Datos del modelo'!$K$78</c:f>
              <c:strCache>
                <c:ptCount val="1"/>
                <c:pt idx="0">
                  <c:v>Abrysvo, Pfizer</c:v>
                </c:pt>
              </c:strCache>
              <c:extLst xmlns:c15="http://schemas.microsoft.com/office/drawing/2012/chart"/>
            </c:strRef>
          </c:tx>
          <c:spPr>
            <a:solidFill>
              <a:schemeClr val="accent2">
                <a:lumMod val="60000"/>
              </a:schemeClr>
            </a:solidFill>
            <a:ln>
              <a:noFill/>
            </a:ln>
            <a:effectLst/>
          </c:spPr>
          <c:invertIfNegative val="0"/>
          <c:cat>
            <c:numRef>
              <c:f>Resultados!$D$138:$D$142</c:f>
              <c:numCache>
                <c:formatCode>General</c:formatCode>
                <c:ptCount val="5"/>
                <c:pt idx="0">
                  <c:v>2025</c:v>
                </c:pt>
                <c:pt idx="1">
                  <c:v>2026</c:v>
                </c:pt>
                <c:pt idx="2">
                  <c:v>2027</c:v>
                </c:pt>
                <c:pt idx="3">
                  <c:v>2028</c:v>
                </c:pt>
                <c:pt idx="4">
                  <c:v>2029</c:v>
                </c:pt>
              </c:numCache>
              <c:extLst xmlns:c15="http://schemas.microsoft.com/office/drawing/2012/chart"/>
            </c:numRef>
          </c:cat>
          <c:val>
            <c:numRef>
              <c:f>Resultados!$N$138:$N$142</c:f>
              <c:extLst xmlns:c15="http://schemas.microsoft.com/office/drawing/2012/chart"/>
            </c:numRef>
          </c:val>
          <c:extLst xmlns:c15="http://schemas.microsoft.com/office/drawing/2012/chart">
            <c:ext xmlns:c16="http://schemas.microsoft.com/office/drawing/2014/chart" uri="{C3380CC4-5D6E-409C-BE32-E72D297353CC}">
              <c16:uniqueId val="{00000006-1A90-4573-A3B3-B32365DD1AE3}"/>
            </c:ext>
          </c:extLst>
        </c:ser>
        <c:ser>
          <c:idx val="5"/>
          <c:order val="7"/>
          <c:tx>
            <c:strRef>
              <c:f>'Datos del modelo'!$L$78</c:f>
              <c:strCache>
                <c:ptCount val="1"/>
                <c:pt idx="0">
                  <c:v>Anticuerpo monoclonal contra el VSR_2</c:v>
                </c:pt>
              </c:strCache>
              <c:extLst xmlns:c15="http://schemas.microsoft.com/office/drawing/2012/chart"/>
            </c:strRef>
          </c:tx>
          <c:spPr>
            <a:solidFill>
              <a:schemeClr val="accent6"/>
            </a:solidFill>
            <a:ln>
              <a:noFill/>
            </a:ln>
            <a:effectLst/>
          </c:spPr>
          <c:invertIfNegative val="0"/>
          <c:cat>
            <c:numRef>
              <c:f>Resultados!$D$138:$D$142</c:f>
              <c:numCache>
                <c:formatCode>General</c:formatCode>
                <c:ptCount val="5"/>
                <c:pt idx="0">
                  <c:v>2025</c:v>
                </c:pt>
                <c:pt idx="1">
                  <c:v>2026</c:v>
                </c:pt>
                <c:pt idx="2">
                  <c:v>2027</c:v>
                </c:pt>
                <c:pt idx="3">
                  <c:v>2028</c:v>
                </c:pt>
                <c:pt idx="4">
                  <c:v>2029</c:v>
                </c:pt>
              </c:numCache>
              <c:extLst xmlns:c15="http://schemas.microsoft.com/office/drawing/2012/chart"/>
            </c:numRef>
          </c:cat>
          <c:val>
            <c:numRef>
              <c:f>Resultados!$O$138:$O$142</c:f>
              <c:extLst xmlns:c15="http://schemas.microsoft.com/office/drawing/2012/chart"/>
            </c:numRef>
          </c:val>
          <c:extLst xmlns:c15="http://schemas.microsoft.com/office/drawing/2012/chart">
            <c:ext xmlns:c16="http://schemas.microsoft.com/office/drawing/2014/chart" uri="{C3380CC4-5D6E-409C-BE32-E72D297353CC}">
              <c16:uniqueId val="{00000007-1A90-4573-A3B3-B32365DD1AE3}"/>
            </c:ext>
          </c:extLst>
        </c:ser>
        <c:ser>
          <c:idx val="8"/>
          <c:order val="8"/>
          <c:tx>
            <c:strRef>
              <c:f>'Datos del modelo'!$K$76:$L$76</c:f>
              <c:strCache>
                <c:ptCount val="1"/>
                <c:pt idx="0">
                  <c:v>Vacunas contra el VSR para mujeres embarazadas y AcM contra el VSR para bebés (Vacuna materna y AcM)</c:v>
                </c:pt>
              </c:strCache>
            </c:strRef>
          </c:tx>
          <c:spPr>
            <a:solidFill>
              <a:schemeClr val="accent3">
                <a:lumMod val="60000"/>
              </a:schemeClr>
            </a:solidFill>
            <a:ln>
              <a:noFill/>
            </a:ln>
            <a:effectLst/>
          </c:spPr>
          <c:invertIfNegative val="0"/>
          <c:cat>
            <c:numRef>
              <c:f>Resultados!$D$138:$D$142</c:f>
              <c:numCache>
                <c:formatCode>General</c:formatCode>
                <c:ptCount val="5"/>
                <c:pt idx="0">
                  <c:v>2025</c:v>
                </c:pt>
                <c:pt idx="1">
                  <c:v>2026</c:v>
                </c:pt>
                <c:pt idx="2">
                  <c:v>2027</c:v>
                </c:pt>
                <c:pt idx="3">
                  <c:v>2028</c:v>
                </c:pt>
                <c:pt idx="4">
                  <c:v>2029</c:v>
                </c:pt>
              </c:numCache>
            </c:numRef>
          </c:cat>
          <c:val>
            <c:numRef>
              <c:f>Resultados!$M$138:$M$142</c:f>
              <c:numCache>
                <c:formatCode>"$ "#,##0</c:formatCode>
                <c:ptCount val="5"/>
                <c:pt idx="0">
                  <c:v>4801596.666666667</c:v>
                </c:pt>
                <c:pt idx="1">
                  <c:v>3594295.2800000003</c:v>
                </c:pt>
                <c:pt idx="2">
                  <c:v>3146672.075933334</c:v>
                </c:pt>
                <c:pt idx="3">
                  <c:v>2567296.6366746663</c:v>
                </c:pt>
                <c:pt idx="4">
                  <c:v>1845614.9252634598</c:v>
                </c:pt>
              </c:numCache>
            </c:numRef>
          </c:val>
          <c:extLst>
            <c:ext xmlns:c16="http://schemas.microsoft.com/office/drawing/2014/chart" uri="{C3380CC4-5D6E-409C-BE32-E72D297353CC}">
              <c16:uniqueId val="{00000008-1A90-4573-A3B3-B32365DD1AE3}"/>
            </c:ext>
          </c:extLst>
        </c:ser>
        <c:dLbls>
          <c:showLegendKey val="0"/>
          <c:showVal val="0"/>
          <c:showCatName val="0"/>
          <c:showSerName val="0"/>
          <c:showPercent val="0"/>
          <c:showBubbleSize val="0"/>
        </c:dLbls>
        <c:gapWidth val="128"/>
        <c:axId val="747696848"/>
        <c:axId val="747696192"/>
        <c:extLst/>
      </c:barChart>
      <c:catAx>
        <c:axId val="747696848"/>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192"/>
        <c:crosses val="autoZero"/>
        <c:auto val="1"/>
        <c:lblAlgn val="ctr"/>
        <c:lblOffset val="100"/>
        <c:noMultiLvlLbl val="0"/>
      </c:catAx>
      <c:valAx>
        <c:axId val="747696192"/>
        <c:scaling>
          <c:orientation val="minMax"/>
        </c:scaling>
        <c:delete val="0"/>
        <c:axPos val="l"/>
        <c:majorGridlines>
          <c:spPr>
            <a:ln w="9525" cap="flat" cmpd="sng" algn="ctr">
              <a:solidFill>
                <a:schemeClr val="tx1">
                  <a:lumMod val="15000"/>
                  <a:lumOff val="85000"/>
                </a:schemeClr>
              </a:solidFill>
              <a:round/>
            </a:ln>
            <a:effectLst/>
          </c:spPr>
        </c:majorGridlines>
        <c:numFmt formatCode="&quot;$ &quot;#,##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848"/>
        <c:crosses val="autoZero"/>
        <c:crossBetween val="between"/>
      </c:valAx>
      <c:spPr>
        <a:noFill/>
        <a:ln>
          <a:noFill/>
        </a:ln>
        <a:effectLst/>
      </c:spPr>
    </c:plotArea>
    <c:legend>
      <c:legendPos val="b"/>
      <c:layout>
        <c:manualLayout>
          <c:xMode val="edge"/>
          <c:yMode val="edge"/>
          <c:x val="9.8495493639553205E-2"/>
          <c:y val="0.88371296047460712"/>
          <c:w val="0.87169992912951799"/>
          <c:h val="0.10133073431219014"/>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671081925231174E-2"/>
          <c:y val="0.14264852765778027"/>
          <c:w val="0.91863216863177199"/>
          <c:h val="0.46985152778013894"/>
        </c:manualLayout>
      </c:layout>
      <c:barChart>
        <c:barDir val="bar"/>
        <c:grouping val="clustered"/>
        <c:varyColors val="0"/>
        <c:ser>
          <c:idx val="0"/>
          <c:order val="0"/>
          <c:tx>
            <c:strRef>
              <c:f>'Datos del modelo'!$E$78</c:f>
              <c:strCache>
                <c:ptCount val="1"/>
                <c:pt idx="0">
                  <c:v>Abrysvo, Pfizer</c:v>
                </c:pt>
              </c:strCache>
            </c:strRef>
          </c:tx>
          <c:spPr>
            <a:solidFill>
              <a:schemeClr val="accent1"/>
            </a:solidFill>
            <a:ln>
              <a:noFill/>
            </a:ln>
            <a:effectLst/>
          </c:spPr>
          <c:invertIfNegative val="0"/>
          <c:cat>
            <c:multiLvlStrRef>
              <c:f>Resultados!$E$138:$M$142</c:f>
              <c:multiLvlStrCache>
                <c:ptCount val="3"/>
                <c:lvl>
                  <c:pt idx="0">
                    <c:v>$ 1,162,398</c:v>
                  </c:pt>
                  <c:pt idx="2">
                    <c:v>$ 1,845,615</c:v>
                  </c:pt>
                </c:lvl>
                <c:lvl>
                  <c:pt idx="0">
                    <c:v>$ 1,005,418</c:v>
                  </c:pt>
                  <c:pt idx="2">
                    <c:v>$ 2,567,297</c:v>
                  </c:pt>
                </c:lvl>
                <c:lvl>
                  <c:pt idx="0">
                    <c:v>$ 836,768</c:v>
                  </c:pt>
                  <c:pt idx="2">
                    <c:v>$ 3,146,672</c:v>
                  </c:pt>
                </c:lvl>
                <c:lvl>
                  <c:pt idx="0">
                    <c:v>$ 831,646</c:v>
                  </c:pt>
                  <c:pt idx="2">
                    <c:v>$ 3,594,295</c:v>
                  </c:pt>
                </c:lvl>
                <c:lvl>
                  <c:pt idx="0">
                    <c:v>$ 953,193</c:v>
                  </c:pt>
                  <c:pt idx="2">
                    <c:v>$ 4,801,597</c:v>
                  </c:pt>
                </c:lvl>
              </c:multiLvlStrCache>
            </c:multiLvlStrRef>
          </c:cat>
          <c:val>
            <c:numRef>
              <c:f>Resultados!$E$137</c:f>
              <c:numCache>
                <c:formatCode>"$ "#,##0</c:formatCode>
                <c:ptCount val="1"/>
                <c:pt idx="0">
                  <c:v>4789422.7762440555</c:v>
                </c:pt>
              </c:numCache>
            </c:numRef>
          </c:val>
          <c:extLst>
            <c:ext xmlns:c16="http://schemas.microsoft.com/office/drawing/2014/chart" uri="{C3380CC4-5D6E-409C-BE32-E72D297353CC}">
              <c16:uniqueId val="{00000000-5572-4F1A-80A1-46046BEEB9C6}"/>
            </c:ext>
          </c:extLst>
        </c:ser>
        <c:ser>
          <c:idx val="1"/>
          <c:order val="1"/>
          <c:tx>
            <c:strRef>
              <c:f>'Datos del modelo'!$F$78</c:f>
              <c:strCache>
                <c:ptCount val="1"/>
                <c:pt idx="0">
                  <c:v>Ninguno</c:v>
                </c:pt>
              </c:strCache>
              <c:extLst xmlns:c15="http://schemas.microsoft.com/office/drawing/2012/chart"/>
            </c:strRef>
          </c:tx>
          <c:spPr>
            <a:solidFill>
              <a:schemeClr val="accent2"/>
            </a:solidFill>
            <a:ln>
              <a:noFill/>
            </a:ln>
            <a:effectLst/>
          </c:spPr>
          <c:invertIfNegative val="0"/>
          <c:cat>
            <c:multiLvlStrRef>
              <c:f>Resultados!$E$138:$M$142</c:f>
              <c:multiLvlStrCache>
                <c:ptCount val="3"/>
                <c:lvl>
                  <c:pt idx="0">
                    <c:v>$ 1,162,398</c:v>
                  </c:pt>
                  <c:pt idx="2">
                    <c:v>$ 1,845,615</c:v>
                  </c:pt>
                </c:lvl>
                <c:lvl>
                  <c:pt idx="0">
                    <c:v>$ 1,005,418</c:v>
                  </c:pt>
                  <c:pt idx="2">
                    <c:v>$ 2,567,297</c:v>
                  </c:pt>
                </c:lvl>
                <c:lvl>
                  <c:pt idx="0">
                    <c:v>$ 836,768</c:v>
                  </c:pt>
                  <c:pt idx="2">
                    <c:v>$ 3,146,672</c:v>
                  </c:pt>
                </c:lvl>
                <c:lvl>
                  <c:pt idx="0">
                    <c:v>$ 831,646</c:v>
                  </c:pt>
                  <c:pt idx="2">
                    <c:v>$ 3,594,295</c:v>
                  </c:pt>
                </c:lvl>
                <c:lvl>
                  <c:pt idx="0">
                    <c:v>$ 953,193</c:v>
                  </c:pt>
                  <c:pt idx="2">
                    <c:v>$ 4,801,597</c:v>
                  </c:pt>
                </c:lvl>
              </c:multiLvlStrCache>
            </c:multiLvlStrRef>
          </c:cat>
          <c:val>
            <c:numRef>
              <c:f>Resultados!$F$117</c:f>
              <c:extLst xmlns:c15="http://schemas.microsoft.com/office/drawing/2012/chart"/>
            </c:numRef>
          </c:val>
          <c:extLst xmlns:c15="http://schemas.microsoft.com/office/drawing/2012/chart">
            <c:ext xmlns:c16="http://schemas.microsoft.com/office/drawing/2014/chart" uri="{C3380CC4-5D6E-409C-BE32-E72D297353CC}">
              <c16:uniqueId val="{00000001-5572-4F1A-80A1-46046BEEB9C6}"/>
            </c:ext>
          </c:extLst>
        </c:ser>
        <c:ser>
          <c:idx val="2"/>
          <c:order val="2"/>
          <c:tx>
            <c:strRef>
              <c:f>'Datos del modelo'!$G$78</c:f>
              <c:strCache>
                <c:ptCount val="1"/>
                <c:pt idx="0">
                  <c:v>Ninguno</c:v>
                </c:pt>
              </c:strCache>
              <c:extLst xmlns:c15="http://schemas.microsoft.com/office/drawing/2012/chart"/>
            </c:strRef>
          </c:tx>
          <c:spPr>
            <a:solidFill>
              <a:schemeClr val="accent3"/>
            </a:solidFill>
            <a:ln>
              <a:noFill/>
            </a:ln>
            <a:effectLst/>
          </c:spPr>
          <c:invertIfNegative val="0"/>
          <c:cat>
            <c:multiLvlStrRef>
              <c:f>Resultados!$E$138:$M$142</c:f>
              <c:multiLvlStrCache>
                <c:ptCount val="3"/>
                <c:lvl>
                  <c:pt idx="0">
                    <c:v>$ 1,162,398</c:v>
                  </c:pt>
                  <c:pt idx="2">
                    <c:v>$ 1,845,615</c:v>
                  </c:pt>
                </c:lvl>
                <c:lvl>
                  <c:pt idx="0">
                    <c:v>$ 1,005,418</c:v>
                  </c:pt>
                  <c:pt idx="2">
                    <c:v>$ 2,567,297</c:v>
                  </c:pt>
                </c:lvl>
                <c:lvl>
                  <c:pt idx="0">
                    <c:v>$ 836,768</c:v>
                  </c:pt>
                  <c:pt idx="2">
                    <c:v>$ 3,146,672</c:v>
                  </c:pt>
                </c:lvl>
                <c:lvl>
                  <c:pt idx="0">
                    <c:v>$ 831,646</c:v>
                  </c:pt>
                  <c:pt idx="2">
                    <c:v>$ 3,594,295</c:v>
                  </c:pt>
                </c:lvl>
                <c:lvl>
                  <c:pt idx="0">
                    <c:v>$ 953,193</c:v>
                  </c:pt>
                  <c:pt idx="2">
                    <c:v>$ 4,801,597</c:v>
                  </c:pt>
                </c:lvl>
              </c:multiLvlStrCache>
            </c:multiLvlStrRef>
          </c:cat>
          <c:val>
            <c:numRef>
              <c:f>Resultados!$G$117</c:f>
              <c:extLst xmlns:c15="http://schemas.microsoft.com/office/drawing/2012/chart"/>
            </c:numRef>
          </c:val>
          <c:extLst xmlns:c15="http://schemas.microsoft.com/office/drawing/2012/chart">
            <c:ext xmlns:c16="http://schemas.microsoft.com/office/drawing/2014/chart" uri="{C3380CC4-5D6E-409C-BE32-E72D297353CC}">
              <c16:uniqueId val="{00000002-5572-4F1A-80A1-46046BEEB9C6}"/>
            </c:ext>
          </c:extLst>
        </c:ser>
        <c:ser>
          <c:idx val="3"/>
          <c:order val="3"/>
          <c:tx>
            <c:strRef>
              <c:f>'Datos del modelo'!$H$78</c:f>
              <c:strCache>
                <c:ptCount val="1"/>
                <c:pt idx="0">
                  <c:v>Ninguno</c:v>
                </c:pt>
              </c:strCache>
            </c:strRef>
          </c:tx>
          <c:spPr>
            <a:solidFill>
              <a:schemeClr val="accent4"/>
            </a:solidFill>
            <a:ln>
              <a:noFill/>
            </a:ln>
            <a:effectLst/>
          </c:spPr>
          <c:invertIfNegative val="0"/>
          <c:cat>
            <c:multiLvlStrRef>
              <c:f>Resultados!$E$138:$M$142</c:f>
              <c:multiLvlStrCache>
                <c:ptCount val="3"/>
                <c:lvl>
                  <c:pt idx="0">
                    <c:v>$ 1,162,398</c:v>
                  </c:pt>
                  <c:pt idx="2">
                    <c:v>$ 1,845,615</c:v>
                  </c:pt>
                </c:lvl>
                <c:lvl>
                  <c:pt idx="0">
                    <c:v>$ 1,005,418</c:v>
                  </c:pt>
                  <c:pt idx="2">
                    <c:v>$ 2,567,297</c:v>
                  </c:pt>
                </c:lvl>
                <c:lvl>
                  <c:pt idx="0">
                    <c:v>$ 836,768</c:v>
                  </c:pt>
                  <c:pt idx="2">
                    <c:v>$ 3,146,672</c:v>
                  </c:pt>
                </c:lvl>
                <c:lvl>
                  <c:pt idx="0">
                    <c:v>$ 831,646</c:v>
                  </c:pt>
                  <c:pt idx="2">
                    <c:v>$ 3,594,295</c:v>
                  </c:pt>
                </c:lvl>
                <c:lvl>
                  <c:pt idx="0">
                    <c:v>$ 953,193</c:v>
                  </c:pt>
                  <c:pt idx="2">
                    <c:v>$ 4,801,597</c:v>
                  </c:pt>
                </c:lvl>
              </c:multiLvlStrCache>
            </c:multiLvlStrRef>
          </c:cat>
          <c:val>
            <c:numRef>
              <c:f>Resultados!$I$137</c:f>
              <c:numCache>
                <c:formatCode>"$ "#,##0</c:formatCode>
                <c:ptCount val="1"/>
                <c:pt idx="0">
                  <c:v>0</c:v>
                </c:pt>
              </c:numCache>
            </c:numRef>
          </c:val>
          <c:extLst>
            <c:ext xmlns:c16="http://schemas.microsoft.com/office/drawing/2014/chart" uri="{C3380CC4-5D6E-409C-BE32-E72D297353CC}">
              <c16:uniqueId val="{00000003-5572-4F1A-80A1-46046BEEB9C6}"/>
            </c:ext>
          </c:extLst>
        </c:ser>
        <c:ser>
          <c:idx val="4"/>
          <c:order val="4"/>
          <c:tx>
            <c:strRef>
              <c:f>'Datos del modelo'!$I$78</c:f>
              <c:strCache>
                <c:ptCount val="1"/>
                <c:pt idx="0">
                  <c:v>Ninguno</c:v>
                </c:pt>
              </c:strCache>
              <c:extLst xmlns:c15="http://schemas.microsoft.com/office/drawing/2012/chart"/>
            </c:strRef>
          </c:tx>
          <c:spPr>
            <a:solidFill>
              <a:schemeClr val="accent5"/>
            </a:solidFill>
            <a:ln>
              <a:noFill/>
            </a:ln>
            <a:effectLst/>
          </c:spPr>
          <c:invertIfNegative val="0"/>
          <c:cat>
            <c:multiLvlStrRef>
              <c:f>Resultados!$E$138:$M$142</c:f>
              <c:multiLvlStrCache>
                <c:ptCount val="3"/>
                <c:lvl>
                  <c:pt idx="0">
                    <c:v>$ 1,162,398</c:v>
                  </c:pt>
                  <c:pt idx="2">
                    <c:v>$ 1,845,615</c:v>
                  </c:pt>
                </c:lvl>
                <c:lvl>
                  <c:pt idx="0">
                    <c:v>$ 1,005,418</c:v>
                  </c:pt>
                  <c:pt idx="2">
                    <c:v>$ 2,567,297</c:v>
                  </c:pt>
                </c:lvl>
                <c:lvl>
                  <c:pt idx="0">
                    <c:v>$ 836,768</c:v>
                  </c:pt>
                  <c:pt idx="2">
                    <c:v>$ 3,146,672</c:v>
                  </c:pt>
                </c:lvl>
                <c:lvl>
                  <c:pt idx="0">
                    <c:v>$ 831,646</c:v>
                  </c:pt>
                  <c:pt idx="2">
                    <c:v>$ 3,594,295</c:v>
                  </c:pt>
                </c:lvl>
                <c:lvl>
                  <c:pt idx="0">
                    <c:v>$ 953,193</c:v>
                  </c:pt>
                  <c:pt idx="2">
                    <c:v>$ 4,801,597</c:v>
                  </c:pt>
                </c:lvl>
              </c:multiLvlStrCache>
            </c:multiLvlStrRef>
          </c:cat>
          <c:val>
            <c:numRef>
              <c:f>Resultados!$J$117</c:f>
              <c:extLst xmlns:c15="http://schemas.microsoft.com/office/drawing/2012/chart"/>
            </c:numRef>
          </c:val>
          <c:extLst xmlns:c15="http://schemas.microsoft.com/office/drawing/2012/chart">
            <c:ext xmlns:c16="http://schemas.microsoft.com/office/drawing/2014/chart" uri="{C3380CC4-5D6E-409C-BE32-E72D297353CC}">
              <c16:uniqueId val="{00000004-5572-4F1A-80A1-46046BEEB9C6}"/>
            </c:ext>
          </c:extLst>
        </c:ser>
        <c:ser>
          <c:idx val="5"/>
          <c:order val="5"/>
          <c:tx>
            <c:strRef>
              <c:f>'Datos del modelo'!$J$78</c:f>
              <c:strCache>
                <c:ptCount val="1"/>
                <c:pt idx="0">
                  <c:v>Ninguno</c:v>
                </c:pt>
              </c:strCache>
              <c:extLst xmlns:c15="http://schemas.microsoft.com/office/drawing/2012/chart"/>
            </c:strRef>
          </c:tx>
          <c:spPr>
            <a:solidFill>
              <a:schemeClr val="accent6"/>
            </a:solidFill>
            <a:ln>
              <a:noFill/>
            </a:ln>
            <a:effectLst/>
          </c:spPr>
          <c:invertIfNegative val="0"/>
          <c:cat>
            <c:multiLvlStrRef>
              <c:f>Resultados!$E$138:$M$142</c:f>
              <c:multiLvlStrCache>
                <c:ptCount val="3"/>
                <c:lvl>
                  <c:pt idx="0">
                    <c:v>$ 1,162,398</c:v>
                  </c:pt>
                  <c:pt idx="2">
                    <c:v>$ 1,845,615</c:v>
                  </c:pt>
                </c:lvl>
                <c:lvl>
                  <c:pt idx="0">
                    <c:v>$ 1,005,418</c:v>
                  </c:pt>
                  <c:pt idx="2">
                    <c:v>$ 2,567,297</c:v>
                  </c:pt>
                </c:lvl>
                <c:lvl>
                  <c:pt idx="0">
                    <c:v>$ 836,768</c:v>
                  </c:pt>
                  <c:pt idx="2">
                    <c:v>$ 3,146,672</c:v>
                  </c:pt>
                </c:lvl>
                <c:lvl>
                  <c:pt idx="0">
                    <c:v>$ 831,646</c:v>
                  </c:pt>
                  <c:pt idx="2">
                    <c:v>$ 3,594,295</c:v>
                  </c:pt>
                </c:lvl>
                <c:lvl>
                  <c:pt idx="0">
                    <c:v>$ 953,193</c:v>
                  </c:pt>
                  <c:pt idx="2">
                    <c:v>$ 4,801,597</c:v>
                  </c:pt>
                </c:lvl>
              </c:multiLvlStrCache>
            </c:multiLvlStrRef>
          </c:cat>
          <c:val>
            <c:numRef>
              <c:f>Resultados!$K$117</c:f>
              <c:extLst xmlns:c15="http://schemas.microsoft.com/office/drawing/2012/chart"/>
            </c:numRef>
          </c:val>
          <c:extLst xmlns:c15="http://schemas.microsoft.com/office/drawing/2012/chart">
            <c:ext xmlns:c16="http://schemas.microsoft.com/office/drawing/2014/chart" uri="{C3380CC4-5D6E-409C-BE32-E72D297353CC}">
              <c16:uniqueId val="{00000005-5572-4F1A-80A1-46046BEEB9C6}"/>
            </c:ext>
          </c:extLst>
        </c:ser>
        <c:ser>
          <c:idx val="6"/>
          <c:order val="6"/>
          <c:tx>
            <c:strRef>
              <c:f>'Datos del modelo'!$K$78</c:f>
              <c:strCache>
                <c:ptCount val="1"/>
                <c:pt idx="0">
                  <c:v>Abrysvo, Pfizer</c:v>
                </c:pt>
              </c:strCache>
              <c:extLst xmlns:c15="http://schemas.microsoft.com/office/drawing/2012/chart"/>
            </c:strRef>
          </c:tx>
          <c:spPr>
            <a:solidFill>
              <a:schemeClr val="accent1">
                <a:lumMod val="60000"/>
              </a:schemeClr>
            </a:solidFill>
            <a:ln>
              <a:noFill/>
            </a:ln>
            <a:effectLst/>
          </c:spPr>
          <c:invertIfNegative val="0"/>
          <c:cat>
            <c:multiLvlStrRef>
              <c:f>Resultados!$E$138:$M$142</c:f>
              <c:multiLvlStrCache>
                <c:ptCount val="3"/>
                <c:lvl>
                  <c:pt idx="0">
                    <c:v>$ 1,162,398</c:v>
                  </c:pt>
                  <c:pt idx="2">
                    <c:v>$ 1,845,615</c:v>
                  </c:pt>
                </c:lvl>
                <c:lvl>
                  <c:pt idx="0">
                    <c:v>$ 1,005,418</c:v>
                  </c:pt>
                  <c:pt idx="2">
                    <c:v>$ 2,567,297</c:v>
                  </c:pt>
                </c:lvl>
                <c:lvl>
                  <c:pt idx="0">
                    <c:v>$ 836,768</c:v>
                  </c:pt>
                  <c:pt idx="2">
                    <c:v>$ 3,146,672</c:v>
                  </c:pt>
                </c:lvl>
                <c:lvl>
                  <c:pt idx="0">
                    <c:v>$ 831,646</c:v>
                  </c:pt>
                  <c:pt idx="2">
                    <c:v>$ 3,594,295</c:v>
                  </c:pt>
                </c:lvl>
                <c:lvl>
                  <c:pt idx="0">
                    <c:v>$ 953,193</c:v>
                  </c:pt>
                  <c:pt idx="2">
                    <c:v>$ 4,801,597</c:v>
                  </c:pt>
                </c:lvl>
              </c:multiLvlStrCache>
            </c:multiLvlStrRef>
          </c:cat>
          <c:val>
            <c:numRef>
              <c:f>Resultados!$N$137</c:f>
            </c:numRef>
          </c:val>
          <c:extLst xmlns:c15="http://schemas.microsoft.com/office/drawing/2012/chart">
            <c:ext xmlns:c16="http://schemas.microsoft.com/office/drawing/2014/chart" uri="{C3380CC4-5D6E-409C-BE32-E72D297353CC}">
              <c16:uniqueId val="{00000006-5572-4F1A-80A1-46046BEEB9C6}"/>
            </c:ext>
          </c:extLst>
        </c:ser>
        <c:ser>
          <c:idx val="7"/>
          <c:order val="7"/>
          <c:tx>
            <c:strRef>
              <c:f>'Datos del modelo'!$L$78</c:f>
              <c:strCache>
                <c:ptCount val="1"/>
                <c:pt idx="0">
                  <c:v>Anticuerpo monoclonal contra el VSR_2</c:v>
                </c:pt>
              </c:strCache>
              <c:extLst xmlns:c15="http://schemas.microsoft.com/office/drawing/2012/chart"/>
            </c:strRef>
          </c:tx>
          <c:spPr>
            <a:solidFill>
              <a:schemeClr val="accent2">
                <a:lumMod val="60000"/>
              </a:schemeClr>
            </a:solidFill>
            <a:ln>
              <a:noFill/>
            </a:ln>
            <a:effectLst/>
          </c:spPr>
          <c:invertIfNegative val="0"/>
          <c:cat>
            <c:multiLvlStrRef>
              <c:f>Resultados!$E$138:$M$142</c:f>
              <c:multiLvlStrCache>
                <c:ptCount val="3"/>
                <c:lvl>
                  <c:pt idx="0">
                    <c:v>$ 1,162,398</c:v>
                  </c:pt>
                  <c:pt idx="2">
                    <c:v>$ 1,845,615</c:v>
                  </c:pt>
                </c:lvl>
                <c:lvl>
                  <c:pt idx="0">
                    <c:v>$ 1,005,418</c:v>
                  </c:pt>
                  <c:pt idx="2">
                    <c:v>$ 2,567,297</c:v>
                  </c:pt>
                </c:lvl>
                <c:lvl>
                  <c:pt idx="0">
                    <c:v>$ 836,768</c:v>
                  </c:pt>
                  <c:pt idx="2">
                    <c:v>$ 3,146,672</c:v>
                  </c:pt>
                </c:lvl>
                <c:lvl>
                  <c:pt idx="0">
                    <c:v>$ 831,646</c:v>
                  </c:pt>
                  <c:pt idx="2">
                    <c:v>$ 3,594,295</c:v>
                  </c:pt>
                </c:lvl>
                <c:lvl>
                  <c:pt idx="0">
                    <c:v>$ 953,193</c:v>
                  </c:pt>
                  <c:pt idx="2">
                    <c:v>$ 4,801,597</c:v>
                  </c:pt>
                </c:lvl>
              </c:multiLvlStrCache>
            </c:multiLvlStrRef>
          </c:cat>
          <c:val>
            <c:numRef>
              <c:f>Resultados!$O$137</c:f>
            </c:numRef>
          </c:val>
          <c:extLst xmlns:c15="http://schemas.microsoft.com/office/drawing/2012/chart">
            <c:ext xmlns:c16="http://schemas.microsoft.com/office/drawing/2014/chart" uri="{C3380CC4-5D6E-409C-BE32-E72D297353CC}">
              <c16:uniqueId val="{00000007-5572-4F1A-80A1-46046BEEB9C6}"/>
            </c:ext>
          </c:extLst>
        </c:ser>
        <c:ser>
          <c:idx val="8"/>
          <c:order val="8"/>
          <c:tx>
            <c:strRef>
              <c:f>'Datos del modelo'!$K$76:$L$76</c:f>
              <c:strCache>
                <c:ptCount val="2"/>
                <c:pt idx="0">
                  <c:v>Vacunas contra el VSR para mujeres embarazadas y AcM contra el VSR para bebés (Vacuna materna y AcM)</c:v>
                </c:pt>
              </c:strCache>
            </c:strRef>
          </c:tx>
          <c:spPr>
            <a:solidFill>
              <a:schemeClr val="accent3">
                <a:lumMod val="60000"/>
              </a:schemeClr>
            </a:solidFill>
            <a:ln>
              <a:noFill/>
            </a:ln>
            <a:effectLst/>
          </c:spPr>
          <c:invertIfNegative val="0"/>
          <c:cat>
            <c:multiLvlStrRef>
              <c:f>Resultados!$E$138:$M$142</c:f>
              <c:multiLvlStrCache>
                <c:ptCount val="3"/>
                <c:lvl>
                  <c:pt idx="0">
                    <c:v>$ 1,162,398</c:v>
                  </c:pt>
                  <c:pt idx="2">
                    <c:v>$ 1,845,615</c:v>
                  </c:pt>
                </c:lvl>
                <c:lvl>
                  <c:pt idx="0">
                    <c:v>$ 1,005,418</c:v>
                  </c:pt>
                  <c:pt idx="2">
                    <c:v>$ 2,567,297</c:v>
                  </c:pt>
                </c:lvl>
                <c:lvl>
                  <c:pt idx="0">
                    <c:v>$ 836,768</c:v>
                  </c:pt>
                  <c:pt idx="2">
                    <c:v>$ 3,146,672</c:v>
                  </c:pt>
                </c:lvl>
                <c:lvl>
                  <c:pt idx="0">
                    <c:v>$ 831,646</c:v>
                  </c:pt>
                  <c:pt idx="2">
                    <c:v>$ 3,594,295</c:v>
                  </c:pt>
                </c:lvl>
                <c:lvl>
                  <c:pt idx="0">
                    <c:v>$ 953,193</c:v>
                  </c:pt>
                  <c:pt idx="2">
                    <c:v>$ 4,801,597</c:v>
                  </c:pt>
                </c:lvl>
              </c:multiLvlStrCache>
            </c:multiLvlStrRef>
          </c:cat>
          <c:val>
            <c:numRef>
              <c:f>Resultados!$M$137</c:f>
              <c:numCache>
                <c:formatCode>"$ "#,##0</c:formatCode>
                <c:ptCount val="1"/>
                <c:pt idx="0">
                  <c:v>15955475.584538128</c:v>
                </c:pt>
              </c:numCache>
            </c:numRef>
          </c:val>
          <c:extLst>
            <c:ext xmlns:c16="http://schemas.microsoft.com/office/drawing/2014/chart" uri="{C3380CC4-5D6E-409C-BE32-E72D297353CC}">
              <c16:uniqueId val="{00000008-5572-4F1A-80A1-46046BEEB9C6}"/>
            </c:ext>
          </c:extLst>
        </c:ser>
        <c:dLbls>
          <c:showLegendKey val="0"/>
          <c:showVal val="0"/>
          <c:showCatName val="0"/>
          <c:showSerName val="0"/>
          <c:showPercent val="0"/>
          <c:showBubbleSize val="0"/>
        </c:dLbls>
        <c:gapWidth val="182"/>
        <c:axId val="640941360"/>
        <c:axId val="640940704"/>
        <c:extLst/>
      </c:barChart>
      <c:catAx>
        <c:axId val="640941360"/>
        <c:scaling>
          <c:orientation val="minMax"/>
        </c:scaling>
        <c:delete val="1"/>
        <c:axPos val="l"/>
        <c:numFmt formatCode="General" sourceLinked="1"/>
        <c:majorTickMark val="none"/>
        <c:minorTickMark val="none"/>
        <c:tickLblPos val="nextTo"/>
        <c:crossAx val="640940704"/>
        <c:crosses val="autoZero"/>
        <c:auto val="1"/>
        <c:lblAlgn val="ctr"/>
        <c:lblOffset val="100"/>
        <c:noMultiLvlLbl val="0"/>
      </c:catAx>
      <c:valAx>
        <c:axId val="640940704"/>
        <c:scaling>
          <c:orientation val="minMax"/>
        </c:scaling>
        <c:delete val="0"/>
        <c:axPos val="b"/>
        <c:majorGridlines>
          <c:spPr>
            <a:ln w="9525" cap="flat" cmpd="sng" algn="ctr">
              <a:solidFill>
                <a:schemeClr val="tx1">
                  <a:lumMod val="15000"/>
                  <a:lumOff val="85000"/>
                </a:schemeClr>
              </a:solidFill>
              <a:round/>
            </a:ln>
            <a:effectLst/>
          </c:spPr>
        </c:majorGridlines>
        <c:numFmt formatCode="&quot;$ &quot;#,##0" sourceLinked="1"/>
        <c:majorTickMark val="none"/>
        <c:minorTickMark val="none"/>
        <c:tickLblPos val="nextTo"/>
        <c:spPr>
          <a:noFill/>
          <a:ln>
            <a:solidFill>
              <a:schemeClr val="tx1"/>
            </a:solidFill>
          </a:ln>
          <a:effectLst/>
        </c:spPr>
        <c:txPr>
          <a:bodyPr rot="-150000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40941360"/>
        <c:crosses val="autoZero"/>
        <c:crossBetween val="between"/>
      </c:valAx>
      <c:spPr>
        <a:noFill/>
        <a:ln>
          <a:noFill/>
        </a:ln>
        <a:effectLst/>
      </c:spPr>
    </c:plotArea>
    <c:legend>
      <c:legendPos val="b"/>
      <c:layout>
        <c:manualLayout>
          <c:xMode val="edge"/>
          <c:yMode val="edge"/>
          <c:x val="7.3748322048637821E-2"/>
          <c:y val="0.80264133644343183"/>
          <c:w val="0.89835461620243473"/>
          <c:h val="0.16013362323921163"/>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defRPr>
      </a:pPr>
      <a:endParaRPr lang="en-US"/>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solidFill>
                <a:latin typeface="Arial" panose="020B0604020202020204" pitchFamily="34" charset="0"/>
                <a:ea typeface="+mn-ea"/>
                <a:cs typeface="Arial" panose="020B0604020202020204" pitchFamily="34" charset="0"/>
              </a:defRPr>
            </a:pPr>
            <a:r>
              <a:rPr lang="es-419" sz="1200" b="1"/>
              <a:t>Costo de la vacuna/AcM</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Resultados!$E$10:$E$11</c:f>
              <c:strCache>
                <c:ptCount val="2"/>
                <c:pt idx="0">
                  <c:v>Situación A: Vacuna materna</c:v>
                </c:pt>
                <c:pt idx="1">
                  <c:v>Abrysvo, Pfizer</c:v>
                </c:pt>
              </c:strCache>
            </c:strRef>
          </c:tx>
          <c:spPr>
            <a:solidFill>
              <a:schemeClr val="accent1"/>
            </a:solidFill>
            <a:ln>
              <a:noFill/>
            </a:ln>
            <a:effectLst/>
          </c:spPr>
          <c:invertIfNegative val="0"/>
          <c:cat>
            <c:numRef>
              <c:f>Resultados!$D$109:$D$113</c:f>
              <c:numCache>
                <c:formatCode>General</c:formatCode>
                <c:ptCount val="5"/>
                <c:pt idx="0">
                  <c:v>2025</c:v>
                </c:pt>
                <c:pt idx="1">
                  <c:v>2026</c:v>
                </c:pt>
                <c:pt idx="2">
                  <c:v>2027</c:v>
                </c:pt>
                <c:pt idx="3">
                  <c:v>2028</c:v>
                </c:pt>
                <c:pt idx="4">
                  <c:v>2029</c:v>
                </c:pt>
              </c:numCache>
            </c:numRef>
          </c:cat>
          <c:val>
            <c:numRef>
              <c:f>Resultados!$E$109:$E$113</c:f>
              <c:numCache>
                <c:formatCode>"$ "#,##0</c:formatCode>
                <c:ptCount val="5"/>
                <c:pt idx="0">
                  <c:v>36893.333333333343</c:v>
                </c:pt>
                <c:pt idx="1">
                  <c:v>37733.488888888889</c:v>
                </c:pt>
                <c:pt idx="2">
                  <c:v>37733.085555555568</c:v>
                </c:pt>
                <c:pt idx="3">
                  <c:v>45584.034711111119</c:v>
                </c:pt>
                <c:pt idx="4">
                  <c:v>52669.727259000014</c:v>
                </c:pt>
              </c:numCache>
            </c:numRef>
          </c:val>
          <c:extLst>
            <c:ext xmlns:c16="http://schemas.microsoft.com/office/drawing/2014/chart" uri="{C3380CC4-5D6E-409C-BE32-E72D297353CC}">
              <c16:uniqueId val="{00000000-1E23-46A8-AB60-3960902D2401}"/>
            </c:ext>
          </c:extLst>
        </c:ser>
        <c:ser>
          <c:idx val="1"/>
          <c:order val="1"/>
          <c:tx>
            <c:strRef>
              <c:f>Resultados!$F$10:$F$11</c:f>
              <c:strCache>
                <c:ptCount val="2"/>
                <c:pt idx="0">
                  <c:v>Situación A: Vacuna materna</c:v>
                </c:pt>
                <c:pt idx="1">
                  <c:v>Ninguno</c:v>
                </c:pt>
              </c:strCache>
            </c:strRef>
          </c:tx>
          <c:spPr>
            <a:solidFill>
              <a:schemeClr val="accent2"/>
            </a:solidFill>
            <a:ln>
              <a:noFill/>
            </a:ln>
            <a:effectLst/>
          </c:spPr>
          <c:invertIfNegative val="0"/>
          <c:cat>
            <c:numRef>
              <c:f>Resultados!$D$109:$D$113</c:f>
              <c:numCache>
                <c:formatCode>General</c:formatCode>
                <c:ptCount val="5"/>
                <c:pt idx="0">
                  <c:v>2025</c:v>
                </c:pt>
                <c:pt idx="1">
                  <c:v>2026</c:v>
                </c:pt>
                <c:pt idx="2">
                  <c:v>2027</c:v>
                </c:pt>
                <c:pt idx="3">
                  <c:v>2028</c:v>
                </c:pt>
                <c:pt idx="4">
                  <c:v>2029</c:v>
                </c:pt>
              </c:numCache>
            </c:numRef>
          </c:cat>
          <c:val>
            <c:numRef>
              <c:f>Resultados!$F$109:$F$113</c:f>
            </c:numRef>
          </c:val>
          <c:extLst>
            <c:ext xmlns:c16="http://schemas.microsoft.com/office/drawing/2014/chart" uri="{C3380CC4-5D6E-409C-BE32-E72D297353CC}">
              <c16:uniqueId val="{00000001-1E23-46A8-AB60-3960902D2401}"/>
            </c:ext>
          </c:extLst>
        </c:ser>
        <c:ser>
          <c:idx val="2"/>
          <c:order val="2"/>
          <c:tx>
            <c:strRef>
              <c:f>Resultados!$G$10:$G$11</c:f>
              <c:strCache>
                <c:ptCount val="2"/>
                <c:pt idx="0">
                  <c:v>Situación A: Vacuna materna</c:v>
                </c:pt>
                <c:pt idx="1">
                  <c:v>Ninguno</c:v>
                </c:pt>
              </c:strCache>
            </c:strRef>
          </c:tx>
          <c:spPr>
            <a:solidFill>
              <a:schemeClr val="accent3"/>
            </a:solidFill>
            <a:ln>
              <a:noFill/>
            </a:ln>
            <a:effectLst/>
          </c:spPr>
          <c:invertIfNegative val="0"/>
          <c:cat>
            <c:numRef>
              <c:f>Resultados!$D$109:$D$113</c:f>
              <c:numCache>
                <c:formatCode>General</c:formatCode>
                <c:ptCount val="5"/>
                <c:pt idx="0">
                  <c:v>2025</c:v>
                </c:pt>
                <c:pt idx="1">
                  <c:v>2026</c:v>
                </c:pt>
                <c:pt idx="2">
                  <c:v>2027</c:v>
                </c:pt>
                <c:pt idx="3">
                  <c:v>2028</c:v>
                </c:pt>
                <c:pt idx="4">
                  <c:v>2029</c:v>
                </c:pt>
              </c:numCache>
            </c:numRef>
          </c:cat>
          <c:val>
            <c:numRef>
              <c:f>Resultados!$G$109:$G$113</c:f>
            </c:numRef>
          </c:val>
          <c:extLst>
            <c:ext xmlns:c16="http://schemas.microsoft.com/office/drawing/2014/chart" uri="{C3380CC4-5D6E-409C-BE32-E72D297353CC}">
              <c16:uniqueId val="{00000002-1E23-46A8-AB60-3960902D2401}"/>
            </c:ext>
          </c:extLst>
        </c:ser>
        <c:ser>
          <c:idx val="3"/>
          <c:order val="3"/>
          <c:tx>
            <c:strRef>
              <c:f>Resultados!$I$10:$I$11</c:f>
              <c:strCache>
                <c:ptCount val="2"/>
                <c:pt idx="0">
                  <c:v>Situación B: AcM</c:v>
                </c:pt>
                <c:pt idx="1">
                  <c:v>Ninguno</c:v>
                </c:pt>
              </c:strCache>
            </c:strRef>
          </c:tx>
          <c:spPr>
            <a:solidFill>
              <a:schemeClr val="accent4"/>
            </a:solidFill>
            <a:ln>
              <a:noFill/>
            </a:ln>
            <a:effectLst/>
          </c:spPr>
          <c:invertIfNegative val="0"/>
          <c:cat>
            <c:numRef>
              <c:f>Resultados!$D$109:$D$113</c:f>
              <c:numCache>
                <c:formatCode>General</c:formatCode>
                <c:ptCount val="5"/>
                <c:pt idx="0">
                  <c:v>2025</c:v>
                </c:pt>
                <c:pt idx="1">
                  <c:v>2026</c:v>
                </c:pt>
                <c:pt idx="2">
                  <c:v>2027</c:v>
                </c:pt>
                <c:pt idx="3">
                  <c:v>2028</c:v>
                </c:pt>
                <c:pt idx="4">
                  <c:v>2029</c:v>
                </c:pt>
              </c:numCache>
            </c:numRef>
          </c:cat>
          <c:val>
            <c:numRef>
              <c:f>Resultados!$I$109:$I$113</c:f>
              <c:numCache>
                <c:formatCode>"$ "#,##0</c:formatCode>
                <c:ptCount val="5"/>
                <c:pt idx="0">
                  <c:v>0</c:v>
                </c:pt>
                <c:pt idx="1">
                  <c:v>0</c:v>
                </c:pt>
                <c:pt idx="2">
                  <c:v>0</c:v>
                </c:pt>
                <c:pt idx="3">
                  <c:v>0</c:v>
                </c:pt>
                <c:pt idx="4">
                  <c:v>0</c:v>
                </c:pt>
              </c:numCache>
            </c:numRef>
          </c:val>
          <c:extLst>
            <c:ext xmlns:c16="http://schemas.microsoft.com/office/drawing/2014/chart" uri="{C3380CC4-5D6E-409C-BE32-E72D297353CC}">
              <c16:uniqueId val="{00000003-1E23-46A8-AB60-3960902D2401}"/>
            </c:ext>
          </c:extLst>
        </c:ser>
        <c:ser>
          <c:idx val="4"/>
          <c:order val="4"/>
          <c:tx>
            <c:strRef>
              <c:f>Resultados!$J$10:$J$11</c:f>
              <c:strCache>
                <c:ptCount val="2"/>
                <c:pt idx="0">
                  <c:v>Situación B: AcM</c:v>
                </c:pt>
                <c:pt idx="1">
                  <c:v>Ninguno</c:v>
                </c:pt>
              </c:strCache>
            </c:strRef>
          </c:tx>
          <c:spPr>
            <a:solidFill>
              <a:schemeClr val="accent5"/>
            </a:solidFill>
            <a:ln>
              <a:noFill/>
            </a:ln>
            <a:effectLst/>
          </c:spPr>
          <c:invertIfNegative val="0"/>
          <c:cat>
            <c:numRef>
              <c:f>Resultados!$D$109:$D$113</c:f>
              <c:numCache>
                <c:formatCode>General</c:formatCode>
                <c:ptCount val="5"/>
                <c:pt idx="0">
                  <c:v>2025</c:v>
                </c:pt>
                <c:pt idx="1">
                  <c:v>2026</c:v>
                </c:pt>
                <c:pt idx="2">
                  <c:v>2027</c:v>
                </c:pt>
                <c:pt idx="3">
                  <c:v>2028</c:v>
                </c:pt>
                <c:pt idx="4">
                  <c:v>2029</c:v>
                </c:pt>
              </c:numCache>
            </c:numRef>
          </c:cat>
          <c:val>
            <c:numRef>
              <c:f>Resultados!$J$109:$J$113</c:f>
            </c:numRef>
          </c:val>
          <c:extLst>
            <c:ext xmlns:c16="http://schemas.microsoft.com/office/drawing/2014/chart" uri="{C3380CC4-5D6E-409C-BE32-E72D297353CC}">
              <c16:uniqueId val="{00000004-1E23-46A8-AB60-3960902D2401}"/>
            </c:ext>
          </c:extLst>
        </c:ser>
        <c:ser>
          <c:idx val="5"/>
          <c:order val="5"/>
          <c:tx>
            <c:strRef>
              <c:f>Resultados!$K$10:$K$11</c:f>
              <c:strCache>
                <c:ptCount val="2"/>
                <c:pt idx="0">
                  <c:v>Situación B: AcM</c:v>
                </c:pt>
                <c:pt idx="1">
                  <c:v>Ninguno</c:v>
                </c:pt>
              </c:strCache>
            </c:strRef>
          </c:tx>
          <c:spPr>
            <a:solidFill>
              <a:schemeClr val="accent6"/>
            </a:solidFill>
            <a:ln>
              <a:noFill/>
            </a:ln>
            <a:effectLst/>
          </c:spPr>
          <c:invertIfNegative val="0"/>
          <c:cat>
            <c:numRef>
              <c:f>Resultados!$D$109:$D$113</c:f>
              <c:numCache>
                <c:formatCode>General</c:formatCode>
                <c:ptCount val="5"/>
                <c:pt idx="0">
                  <c:v>2025</c:v>
                </c:pt>
                <c:pt idx="1">
                  <c:v>2026</c:v>
                </c:pt>
                <c:pt idx="2">
                  <c:v>2027</c:v>
                </c:pt>
                <c:pt idx="3">
                  <c:v>2028</c:v>
                </c:pt>
                <c:pt idx="4">
                  <c:v>2029</c:v>
                </c:pt>
              </c:numCache>
            </c:numRef>
          </c:cat>
          <c:val>
            <c:numRef>
              <c:f>Resultados!$K$109:$K$113</c:f>
            </c:numRef>
          </c:val>
          <c:extLst>
            <c:ext xmlns:c16="http://schemas.microsoft.com/office/drawing/2014/chart" uri="{C3380CC4-5D6E-409C-BE32-E72D297353CC}">
              <c16:uniqueId val="{00000005-1E23-46A8-AB60-3960902D2401}"/>
            </c:ext>
          </c:extLst>
        </c:ser>
        <c:ser>
          <c:idx val="6"/>
          <c:order val="6"/>
          <c:tx>
            <c:strRef>
              <c:f>Resultados!$M$10:$M$11</c:f>
              <c:strCache>
                <c:ptCount val="2"/>
                <c:pt idx="0">
                  <c:v>Situación C: Vacuna materna y AcM</c:v>
                </c:pt>
                <c:pt idx="1">
                  <c:v>Los dos, total</c:v>
                </c:pt>
              </c:strCache>
            </c:strRef>
          </c:tx>
          <c:spPr>
            <a:solidFill>
              <a:schemeClr val="accent1">
                <a:lumMod val="60000"/>
              </a:schemeClr>
            </a:solidFill>
            <a:ln>
              <a:noFill/>
            </a:ln>
            <a:effectLst/>
          </c:spPr>
          <c:invertIfNegative val="0"/>
          <c:cat>
            <c:numRef>
              <c:f>Resultados!$D$109:$D$113</c:f>
              <c:numCache>
                <c:formatCode>General</c:formatCode>
                <c:ptCount val="5"/>
                <c:pt idx="0">
                  <c:v>2025</c:v>
                </c:pt>
                <c:pt idx="1">
                  <c:v>2026</c:v>
                </c:pt>
                <c:pt idx="2">
                  <c:v>2027</c:v>
                </c:pt>
                <c:pt idx="3">
                  <c:v>2028</c:v>
                </c:pt>
                <c:pt idx="4">
                  <c:v>2029</c:v>
                </c:pt>
              </c:numCache>
            </c:numRef>
          </c:cat>
          <c:val>
            <c:numRef>
              <c:f>Resultados!$M$109:$M$113</c:f>
              <c:numCache>
                <c:formatCode>"$ "#,##0</c:formatCode>
                <c:ptCount val="5"/>
                <c:pt idx="0">
                  <c:v>72249.444444444467</c:v>
                </c:pt>
                <c:pt idx="1">
                  <c:v>61555.613333333342</c:v>
                </c:pt>
                <c:pt idx="2">
                  <c:v>62282.285655555577</c:v>
                </c:pt>
                <c:pt idx="3">
                  <c:v>61998.025319111119</c:v>
                </c:pt>
                <c:pt idx="4">
                  <c:v>60609.583954210015</c:v>
                </c:pt>
              </c:numCache>
            </c:numRef>
          </c:val>
          <c:extLst>
            <c:ext xmlns:c16="http://schemas.microsoft.com/office/drawing/2014/chart" uri="{C3380CC4-5D6E-409C-BE32-E72D297353CC}">
              <c16:uniqueId val="{00000006-1E23-46A8-AB60-3960902D2401}"/>
            </c:ext>
          </c:extLst>
        </c:ser>
        <c:dLbls>
          <c:showLegendKey val="0"/>
          <c:showVal val="0"/>
          <c:showCatName val="0"/>
          <c:showSerName val="0"/>
          <c:showPercent val="0"/>
          <c:showBubbleSize val="0"/>
        </c:dLbls>
        <c:gapWidth val="219"/>
        <c:overlap val="-27"/>
        <c:axId val="749296128"/>
        <c:axId val="749293728"/>
      </c:barChart>
      <c:catAx>
        <c:axId val="749296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749293728"/>
        <c:crosses val="autoZero"/>
        <c:auto val="1"/>
        <c:lblAlgn val="ctr"/>
        <c:lblOffset val="100"/>
        <c:noMultiLvlLbl val="0"/>
      </c:catAx>
      <c:valAx>
        <c:axId val="749293728"/>
        <c:scaling>
          <c:orientation val="minMax"/>
        </c:scaling>
        <c:delete val="0"/>
        <c:axPos val="l"/>
        <c:numFmt formatCode="&quot;$ &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749296128"/>
        <c:crosses val="autoZero"/>
        <c:crossBetween val="between"/>
        <c:dispUnits>
          <c:builtInUnit val="thousands"/>
          <c:dispUnitsLbl>
            <c:tx>
              <c:rich>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r>
                    <a:rPr lang="en-US"/>
                    <a:t>Miles</a:t>
                  </a:r>
                </a:p>
              </c:rich>
            </c:tx>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ispUnitsLbl>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solidFill>
                <a:latin typeface="Arial" panose="020B0604020202020204" pitchFamily="34" charset="0"/>
                <a:ea typeface="+mn-ea"/>
                <a:cs typeface="Arial" panose="020B0604020202020204" pitchFamily="34" charset="0"/>
              </a:defRPr>
            </a:pPr>
            <a:r>
              <a:rPr lang="es-419" sz="1100" b="1"/>
              <a:t>Costo del programa de vacunación</a:t>
            </a:r>
          </a:p>
          <a:p>
            <a:pPr>
              <a:defRPr sz="1100" b="1"/>
            </a:pPr>
            <a:r>
              <a:rPr lang="es-419" sz="1100" b="1"/>
              <a:t>Costo de la vacuna/AcM + costos incrementales del sistema de salud</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Resultados!$E$10:$E$11</c:f>
              <c:strCache>
                <c:ptCount val="2"/>
                <c:pt idx="0">
                  <c:v>Situación A: Vacuna materna</c:v>
                </c:pt>
                <c:pt idx="1">
                  <c:v>Abrysvo, Pfizer</c:v>
                </c:pt>
              </c:strCache>
            </c:strRef>
          </c:tx>
          <c:spPr>
            <a:solidFill>
              <a:schemeClr val="accent1"/>
            </a:solidFill>
            <a:ln>
              <a:noFill/>
            </a:ln>
            <a:effectLst/>
          </c:spPr>
          <c:invertIfNegative val="0"/>
          <c:cat>
            <c:numRef>
              <c:f>Resultados!$D$118:$D$122</c:f>
              <c:numCache>
                <c:formatCode>General</c:formatCode>
                <c:ptCount val="5"/>
                <c:pt idx="0">
                  <c:v>2025</c:v>
                </c:pt>
                <c:pt idx="1">
                  <c:v>2026</c:v>
                </c:pt>
                <c:pt idx="2">
                  <c:v>2027</c:v>
                </c:pt>
                <c:pt idx="3">
                  <c:v>2028</c:v>
                </c:pt>
                <c:pt idx="4">
                  <c:v>2029</c:v>
                </c:pt>
              </c:numCache>
            </c:numRef>
          </c:cat>
          <c:val>
            <c:numRef>
              <c:f>Resultados!$E$118:$E$122</c:f>
              <c:numCache>
                <c:formatCode>"$ "#,##0</c:formatCode>
                <c:ptCount val="5"/>
                <c:pt idx="0">
                  <c:v>195293.33333333334</c:v>
                </c:pt>
                <c:pt idx="1">
                  <c:v>228077.48888888888</c:v>
                </c:pt>
                <c:pt idx="2">
                  <c:v>233787.40555555557</c:v>
                </c:pt>
                <c:pt idx="3">
                  <c:v>276367.97711111116</c:v>
                </c:pt>
                <c:pt idx="4">
                  <c:v>320090.62051500002</c:v>
                </c:pt>
              </c:numCache>
            </c:numRef>
          </c:val>
          <c:extLst>
            <c:ext xmlns:c16="http://schemas.microsoft.com/office/drawing/2014/chart" uri="{C3380CC4-5D6E-409C-BE32-E72D297353CC}">
              <c16:uniqueId val="{00000000-59FB-4361-8807-8BFD14F4DB86}"/>
            </c:ext>
          </c:extLst>
        </c:ser>
        <c:ser>
          <c:idx val="1"/>
          <c:order val="1"/>
          <c:tx>
            <c:strRef>
              <c:f>Resultados!$F$10:$F$11</c:f>
              <c:strCache>
                <c:ptCount val="2"/>
                <c:pt idx="0">
                  <c:v>Situación A: Vacuna materna</c:v>
                </c:pt>
                <c:pt idx="1">
                  <c:v>Ninguno</c:v>
                </c:pt>
              </c:strCache>
            </c:strRef>
          </c:tx>
          <c:spPr>
            <a:solidFill>
              <a:schemeClr val="accent2"/>
            </a:solidFill>
            <a:ln>
              <a:noFill/>
            </a:ln>
            <a:effectLst/>
          </c:spPr>
          <c:invertIfNegative val="0"/>
          <c:cat>
            <c:numRef>
              <c:f>Resultados!$D$118:$D$122</c:f>
              <c:numCache>
                <c:formatCode>General</c:formatCode>
                <c:ptCount val="5"/>
                <c:pt idx="0">
                  <c:v>2025</c:v>
                </c:pt>
                <c:pt idx="1">
                  <c:v>2026</c:v>
                </c:pt>
                <c:pt idx="2">
                  <c:v>2027</c:v>
                </c:pt>
                <c:pt idx="3">
                  <c:v>2028</c:v>
                </c:pt>
                <c:pt idx="4">
                  <c:v>2029</c:v>
                </c:pt>
              </c:numCache>
            </c:numRef>
          </c:cat>
          <c:val>
            <c:numRef>
              <c:f>Resultados!$F$118:$F$122</c:f>
            </c:numRef>
          </c:val>
          <c:extLst>
            <c:ext xmlns:c16="http://schemas.microsoft.com/office/drawing/2014/chart" uri="{C3380CC4-5D6E-409C-BE32-E72D297353CC}">
              <c16:uniqueId val="{00000001-59FB-4361-8807-8BFD14F4DB86}"/>
            </c:ext>
          </c:extLst>
        </c:ser>
        <c:ser>
          <c:idx val="2"/>
          <c:order val="2"/>
          <c:tx>
            <c:strRef>
              <c:f>Resultados!$G$10:$G$11</c:f>
              <c:strCache>
                <c:ptCount val="2"/>
                <c:pt idx="0">
                  <c:v>Situación A: Vacuna materna</c:v>
                </c:pt>
                <c:pt idx="1">
                  <c:v>Ninguno</c:v>
                </c:pt>
              </c:strCache>
            </c:strRef>
          </c:tx>
          <c:spPr>
            <a:solidFill>
              <a:schemeClr val="accent3"/>
            </a:solidFill>
            <a:ln>
              <a:noFill/>
            </a:ln>
            <a:effectLst/>
          </c:spPr>
          <c:invertIfNegative val="0"/>
          <c:cat>
            <c:numRef>
              <c:f>Resultados!$D$118:$D$122</c:f>
              <c:numCache>
                <c:formatCode>General</c:formatCode>
                <c:ptCount val="5"/>
                <c:pt idx="0">
                  <c:v>2025</c:v>
                </c:pt>
                <c:pt idx="1">
                  <c:v>2026</c:v>
                </c:pt>
                <c:pt idx="2">
                  <c:v>2027</c:v>
                </c:pt>
                <c:pt idx="3">
                  <c:v>2028</c:v>
                </c:pt>
                <c:pt idx="4">
                  <c:v>2029</c:v>
                </c:pt>
              </c:numCache>
            </c:numRef>
          </c:cat>
          <c:val>
            <c:numRef>
              <c:f>Resultados!$G$118:$G$122</c:f>
            </c:numRef>
          </c:val>
          <c:extLst>
            <c:ext xmlns:c16="http://schemas.microsoft.com/office/drawing/2014/chart" uri="{C3380CC4-5D6E-409C-BE32-E72D297353CC}">
              <c16:uniqueId val="{00000002-59FB-4361-8807-8BFD14F4DB86}"/>
            </c:ext>
          </c:extLst>
        </c:ser>
        <c:ser>
          <c:idx val="3"/>
          <c:order val="3"/>
          <c:tx>
            <c:strRef>
              <c:f>Resultados!$I$10:$I$11</c:f>
              <c:strCache>
                <c:ptCount val="2"/>
                <c:pt idx="0">
                  <c:v>Situación B: AcM</c:v>
                </c:pt>
                <c:pt idx="1">
                  <c:v>Ninguno</c:v>
                </c:pt>
              </c:strCache>
            </c:strRef>
          </c:tx>
          <c:spPr>
            <a:solidFill>
              <a:schemeClr val="accent4"/>
            </a:solidFill>
            <a:ln>
              <a:noFill/>
            </a:ln>
            <a:effectLst/>
          </c:spPr>
          <c:invertIfNegative val="0"/>
          <c:cat>
            <c:numRef>
              <c:f>Resultados!$D$118:$D$122</c:f>
              <c:numCache>
                <c:formatCode>General</c:formatCode>
                <c:ptCount val="5"/>
                <c:pt idx="0">
                  <c:v>2025</c:v>
                </c:pt>
                <c:pt idx="1">
                  <c:v>2026</c:v>
                </c:pt>
                <c:pt idx="2">
                  <c:v>2027</c:v>
                </c:pt>
                <c:pt idx="3">
                  <c:v>2028</c:v>
                </c:pt>
                <c:pt idx="4">
                  <c:v>2029</c:v>
                </c:pt>
              </c:numCache>
            </c:numRef>
          </c:cat>
          <c:val>
            <c:numRef>
              <c:f>Resultados!$I$118:$I$122</c:f>
              <c:numCache>
                <c:formatCode>"$ "#,##0</c:formatCode>
                <c:ptCount val="5"/>
                <c:pt idx="0">
                  <c:v>0</c:v>
                </c:pt>
                <c:pt idx="1">
                  <c:v>0</c:v>
                </c:pt>
                <c:pt idx="2">
                  <c:v>0</c:v>
                </c:pt>
                <c:pt idx="3">
                  <c:v>0</c:v>
                </c:pt>
                <c:pt idx="4">
                  <c:v>0</c:v>
                </c:pt>
              </c:numCache>
            </c:numRef>
          </c:val>
          <c:extLst>
            <c:ext xmlns:c16="http://schemas.microsoft.com/office/drawing/2014/chart" uri="{C3380CC4-5D6E-409C-BE32-E72D297353CC}">
              <c16:uniqueId val="{00000003-59FB-4361-8807-8BFD14F4DB86}"/>
            </c:ext>
          </c:extLst>
        </c:ser>
        <c:ser>
          <c:idx val="4"/>
          <c:order val="4"/>
          <c:tx>
            <c:strRef>
              <c:f>Resultados!$J$10:$J$11</c:f>
              <c:strCache>
                <c:ptCount val="2"/>
                <c:pt idx="0">
                  <c:v>Situación B: AcM</c:v>
                </c:pt>
                <c:pt idx="1">
                  <c:v>Ninguno</c:v>
                </c:pt>
              </c:strCache>
            </c:strRef>
          </c:tx>
          <c:spPr>
            <a:solidFill>
              <a:schemeClr val="accent5"/>
            </a:solidFill>
            <a:ln>
              <a:noFill/>
            </a:ln>
            <a:effectLst/>
          </c:spPr>
          <c:invertIfNegative val="0"/>
          <c:cat>
            <c:numRef>
              <c:f>Resultados!$D$118:$D$122</c:f>
              <c:numCache>
                <c:formatCode>General</c:formatCode>
                <c:ptCount val="5"/>
                <c:pt idx="0">
                  <c:v>2025</c:v>
                </c:pt>
                <c:pt idx="1">
                  <c:v>2026</c:v>
                </c:pt>
                <c:pt idx="2">
                  <c:v>2027</c:v>
                </c:pt>
                <c:pt idx="3">
                  <c:v>2028</c:v>
                </c:pt>
                <c:pt idx="4">
                  <c:v>2029</c:v>
                </c:pt>
              </c:numCache>
            </c:numRef>
          </c:cat>
          <c:val>
            <c:numRef>
              <c:f>Resultados!$J$118:$J$122</c:f>
            </c:numRef>
          </c:val>
          <c:extLst>
            <c:ext xmlns:c16="http://schemas.microsoft.com/office/drawing/2014/chart" uri="{C3380CC4-5D6E-409C-BE32-E72D297353CC}">
              <c16:uniqueId val="{00000004-59FB-4361-8807-8BFD14F4DB86}"/>
            </c:ext>
          </c:extLst>
        </c:ser>
        <c:ser>
          <c:idx val="5"/>
          <c:order val="5"/>
          <c:tx>
            <c:strRef>
              <c:f>Resultados!$K$10:$K$11</c:f>
              <c:strCache>
                <c:ptCount val="2"/>
                <c:pt idx="0">
                  <c:v>Situación B: AcM</c:v>
                </c:pt>
                <c:pt idx="1">
                  <c:v>Ninguno</c:v>
                </c:pt>
              </c:strCache>
            </c:strRef>
          </c:tx>
          <c:spPr>
            <a:solidFill>
              <a:schemeClr val="accent6"/>
            </a:solidFill>
            <a:ln>
              <a:noFill/>
            </a:ln>
            <a:effectLst/>
          </c:spPr>
          <c:invertIfNegative val="0"/>
          <c:cat>
            <c:numRef>
              <c:f>Resultados!$D$118:$D$122</c:f>
              <c:numCache>
                <c:formatCode>General</c:formatCode>
                <c:ptCount val="5"/>
                <c:pt idx="0">
                  <c:v>2025</c:v>
                </c:pt>
                <c:pt idx="1">
                  <c:v>2026</c:v>
                </c:pt>
                <c:pt idx="2">
                  <c:v>2027</c:v>
                </c:pt>
                <c:pt idx="3">
                  <c:v>2028</c:v>
                </c:pt>
                <c:pt idx="4">
                  <c:v>2029</c:v>
                </c:pt>
              </c:numCache>
            </c:numRef>
          </c:cat>
          <c:val>
            <c:numRef>
              <c:f>Resultados!$K$118:$K$122</c:f>
            </c:numRef>
          </c:val>
          <c:extLst>
            <c:ext xmlns:c16="http://schemas.microsoft.com/office/drawing/2014/chart" uri="{C3380CC4-5D6E-409C-BE32-E72D297353CC}">
              <c16:uniqueId val="{00000005-59FB-4361-8807-8BFD14F4DB86}"/>
            </c:ext>
          </c:extLst>
        </c:ser>
        <c:ser>
          <c:idx val="6"/>
          <c:order val="6"/>
          <c:tx>
            <c:strRef>
              <c:f>Resultados!$M$10:$M$11</c:f>
              <c:strCache>
                <c:ptCount val="2"/>
                <c:pt idx="0">
                  <c:v>Situación C: Vacuna materna y AcM</c:v>
                </c:pt>
                <c:pt idx="1">
                  <c:v>Los dos, total</c:v>
                </c:pt>
              </c:strCache>
            </c:strRef>
          </c:tx>
          <c:spPr>
            <a:solidFill>
              <a:schemeClr val="accent1">
                <a:lumMod val="60000"/>
              </a:schemeClr>
            </a:solidFill>
            <a:ln>
              <a:noFill/>
            </a:ln>
            <a:effectLst/>
          </c:spPr>
          <c:invertIfNegative val="0"/>
          <c:cat>
            <c:numRef>
              <c:f>Resultados!$D$118:$D$122</c:f>
              <c:numCache>
                <c:formatCode>General</c:formatCode>
                <c:ptCount val="5"/>
                <c:pt idx="0">
                  <c:v>2025</c:v>
                </c:pt>
                <c:pt idx="1">
                  <c:v>2026</c:v>
                </c:pt>
                <c:pt idx="2">
                  <c:v>2027</c:v>
                </c:pt>
                <c:pt idx="3">
                  <c:v>2028</c:v>
                </c:pt>
                <c:pt idx="4">
                  <c:v>2029</c:v>
                </c:pt>
              </c:numCache>
            </c:numRef>
          </c:cat>
          <c:val>
            <c:numRef>
              <c:f>Resultados!$M$118:$M$122</c:f>
              <c:numCache>
                <c:formatCode>"$ "#,##0</c:formatCode>
                <c:ptCount val="5"/>
                <c:pt idx="0">
                  <c:v>370299.44444444444</c:v>
                </c:pt>
                <c:pt idx="1">
                  <c:v>370654.49333333335</c:v>
                </c:pt>
                <c:pt idx="2">
                  <c:v>378127.06825555558</c:v>
                </c:pt>
                <c:pt idx="3">
                  <c:v>379876.68052711117</c:v>
                </c:pt>
                <c:pt idx="4">
                  <c:v>375376.13081166998</c:v>
                </c:pt>
              </c:numCache>
            </c:numRef>
          </c:val>
          <c:extLst>
            <c:ext xmlns:c16="http://schemas.microsoft.com/office/drawing/2014/chart" uri="{C3380CC4-5D6E-409C-BE32-E72D297353CC}">
              <c16:uniqueId val="{00000006-59FB-4361-8807-8BFD14F4DB86}"/>
            </c:ext>
          </c:extLst>
        </c:ser>
        <c:dLbls>
          <c:showLegendKey val="0"/>
          <c:showVal val="0"/>
          <c:showCatName val="0"/>
          <c:showSerName val="0"/>
          <c:showPercent val="0"/>
          <c:showBubbleSize val="0"/>
        </c:dLbls>
        <c:gapWidth val="219"/>
        <c:overlap val="-27"/>
        <c:axId val="1110724400"/>
        <c:axId val="1110734960"/>
      </c:barChart>
      <c:catAx>
        <c:axId val="1110724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110734960"/>
        <c:crosses val="autoZero"/>
        <c:auto val="1"/>
        <c:lblAlgn val="ctr"/>
        <c:lblOffset val="100"/>
        <c:noMultiLvlLbl val="0"/>
      </c:catAx>
      <c:valAx>
        <c:axId val="1110734960"/>
        <c:scaling>
          <c:orientation val="minMax"/>
        </c:scaling>
        <c:delete val="0"/>
        <c:axPos val="l"/>
        <c:numFmt formatCode="&quot;$ &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110724400"/>
        <c:crosses val="autoZero"/>
        <c:crossBetween val="between"/>
        <c:dispUnits>
          <c:builtInUnit val="thousands"/>
          <c:dispUnitsLbl>
            <c:tx>
              <c:rich>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r>
                    <a:rPr lang="en-US"/>
                    <a:t>Miles</a:t>
                  </a:r>
                </a:p>
              </c:rich>
            </c:tx>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ispUnitsLbl>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solidFill>
                <a:latin typeface="Arial" panose="020B0604020202020204" pitchFamily="34" charset="0"/>
                <a:ea typeface="+mn-ea"/>
                <a:cs typeface="Arial" panose="020B0604020202020204" pitchFamily="34" charset="0"/>
              </a:defRPr>
            </a:pPr>
            <a:r>
              <a:rPr lang="es-419" sz="1200" b="1"/>
              <a:t>Costo de la vacuna/AcM</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bar"/>
        <c:grouping val="stacked"/>
        <c:varyColors val="0"/>
        <c:ser>
          <c:idx val="0"/>
          <c:order val="0"/>
          <c:spPr>
            <a:solidFill>
              <a:schemeClr val="accent1"/>
            </a:solidFill>
            <a:ln>
              <a:noFill/>
            </a:ln>
            <a:effectLst/>
          </c:spPr>
          <c:invertIfNegative val="0"/>
          <c:cat>
            <c:multiLvlStrRef>
              <c:f>Resultados!$E$8:$O$9</c:f>
              <c:multiLvlStrCache>
                <c:ptCount val="3"/>
                <c:lvl>
                  <c:pt idx="0">
                    <c:v>Abrysvo, Pfizer</c:v>
                  </c:pt>
                  <c:pt idx="1">
                    <c:v>Ninguno</c:v>
                  </c:pt>
                  <c:pt idx="2">
                    <c:v>Los dos, total</c:v>
                  </c:pt>
                </c:lvl>
                <c:lvl>
                  <c:pt idx="0">
                    <c:v>Situación A: 
Vacuna materna</c:v>
                  </c:pt>
                  <c:pt idx="1">
                    <c:v>Situación B: 
AcM</c:v>
                  </c:pt>
                  <c:pt idx="2">
                    <c:v>Situación C: 
Vacuna materna y AcM</c:v>
                  </c:pt>
                </c:lvl>
              </c:multiLvlStrCache>
            </c:multiLvlStrRef>
          </c:cat>
          <c:val>
            <c:numRef>
              <c:f>Resultados!$E$128:$M$128</c:f>
              <c:numCache>
                <c:formatCode>"$ "#,##0</c:formatCode>
                <c:ptCount val="3"/>
                <c:pt idx="0">
                  <c:v>3581419.6205880558</c:v>
                </c:pt>
                <c:pt idx="1">
                  <c:v>0</c:v>
                </c:pt>
                <c:pt idx="2">
                  <c:v>14389836.719872665</c:v>
                </c:pt>
              </c:numCache>
            </c:numRef>
          </c:val>
          <c:extLst>
            <c:ext xmlns:c16="http://schemas.microsoft.com/office/drawing/2014/chart" uri="{C3380CC4-5D6E-409C-BE32-E72D297353CC}">
              <c16:uniqueId val="{00000000-0953-44BC-A829-823725498DAA}"/>
            </c:ext>
          </c:extLst>
        </c:ser>
        <c:dLbls>
          <c:showLegendKey val="0"/>
          <c:showVal val="0"/>
          <c:showCatName val="0"/>
          <c:showSerName val="0"/>
          <c:showPercent val="0"/>
          <c:showBubbleSize val="0"/>
        </c:dLbls>
        <c:gapWidth val="182"/>
        <c:overlap val="100"/>
        <c:axId val="749278848"/>
        <c:axId val="749288448"/>
      </c:barChart>
      <c:catAx>
        <c:axId val="7492788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749288448"/>
        <c:crosses val="autoZero"/>
        <c:auto val="1"/>
        <c:lblAlgn val="ctr"/>
        <c:lblOffset val="100"/>
        <c:noMultiLvlLbl val="0"/>
      </c:catAx>
      <c:valAx>
        <c:axId val="749288448"/>
        <c:scaling>
          <c:orientation val="minMax"/>
        </c:scaling>
        <c:delete val="0"/>
        <c:axPos val="b"/>
        <c:numFmt formatCode="&quot;$ &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749278848"/>
        <c:crosses val="autoZero"/>
        <c:crossBetween val="between"/>
        <c:dispUnits>
          <c:builtInUnit val="thousands"/>
          <c:dispUnitsLbl>
            <c:tx>
              <c:rich>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r>
                    <a:rPr lang="en-US"/>
                    <a:t>Miles</a:t>
                  </a:r>
                </a:p>
              </c:rich>
            </c:tx>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ispUnitsLbl>
        </c:dispUnits>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solidFill>
                <a:latin typeface="Arial" panose="020B0604020202020204" pitchFamily="34" charset="0"/>
                <a:ea typeface="+mn-ea"/>
                <a:cs typeface="Arial" panose="020B0604020202020204" pitchFamily="34" charset="0"/>
              </a:defRPr>
            </a:pPr>
            <a:r>
              <a:rPr lang="es-419" sz="1100" b="1"/>
              <a:t>Costo del programa de vacunación</a:t>
            </a:r>
          </a:p>
          <a:p>
            <a:pPr>
              <a:defRPr sz="1100" b="1"/>
            </a:pPr>
            <a:r>
              <a:rPr lang="es-419" sz="1100" b="1"/>
              <a:t>Costo de la vacuna/AcM + costos incrementales del sistema de salud</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bar"/>
        <c:grouping val="clustered"/>
        <c:varyColors val="0"/>
        <c:ser>
          <c:idx val="0"/>
          <c:order val="0"/>
          <c:spPr>
            <a:solidFill>
              <a:schemeClr val="accent1"/>
            </a:solidFill>
            <a:ln>
              <a:noFill/>
            </a:ln>
            <a:effectLst/>
          </c:spPr>
          <c:invertIfNegative val="0"/>
          <c:cat>
            <c:multiLvlStrRef>
              <c:f>Resultados!$E$8:$O$9</c:f>
              <c:multiLvlStrCache>
                <c:ptCount val="3"/>
                <c:lvl>
                  <c:pt idx="0">
                    <c:v>Abrysvo, Pfizer</c:v>
                  </c:pt>
                  <c:pt idx="1">
                    <c:v>Ninguno</c:v>
                  </c:pt>
                  <c:pt idx="2">
                    <c:v>Los dos, total</c:v>
                  </c:pt>
                </c:lvl>
                <c:lvl>
                  <c:pt idx="0">
                    <c:v>Situación A: 
Vacuna materna</c:v>
                  </c:pt>
                  <c:pt idx="1">
                    <c:v>Situación B: 
AcM</c:v>
                  </c:pt>
                  <c:pt idx="2">
                    <c:v>Situación C: 
Vacuna materna y AcM</c:v>
                  </c:pt>
                </c:lvl>
              </c:multiLvlStrCache>
            </c:multiLvlStrRef>
          </c:cat>
          <c:val>
            <c:numRef>
              <c:f>Resultados!$E$137:$M$137</c:f>
              <c:numCache>
                <c:formatCode>"$ "#,##0</c:formatCode>
                <c:ptCount val="3"/>
                <c:pt idx="0">
                  <c:v>4789422.7762440555</c:v>
                </c:pt>
                <c:pt idx="1">
                  <c:v>0</c:v>
                </c:pt>
                <c:pt idx="2">
                  <c:v>15955475.584538128</c:v>
                </c:pt>
              </c:numCache>
            </c:numRef>
          </c:val>
          <c:extLst>
            <c:ext xmlns:c16="http://schemas.microsoft.com/office/drawing/2014/chart" uri="{C3380CC4-5D6E-409C-BE32-E72D297353CC}">
              <c16:uniqueId val="{00000000-1DBA-497A-8722-E22336373DE2}"/>
            </c:ext>
          </c:extLst>
        </c:ser>
        <c:dLbls>
          <c:showLegendKey val="0"/>
          <c:showVal val="0"/>
          <c:showCatName val="0"/>
          <c:showSerName val="0"/>
          <c:showPercent val="0"/>
          <c:showBubbleSize val="0"/>
        </c:dLbls>
        <c:gapWidth val="182"/>
        <c:axId val="1117979216"/>
        <c:axId val="1117973936"/>
      </c:barChart>
      <c:catAx>
        <c:axId val="111797921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117973936"/>
        <c:crosses val="autoZero"/>
        <c:auto val="1"/>
        <c:lblAlgn val="ctr"/>
        <c:lblOffset val="100"/>
        <c:noMultiLvlLbl val="0"/>
      </c:catAx>
      <c:valAx>
        <c:axId val="1117973936"/>
        <c:scaling>
          <c:orientation val="minMax"/>
        </c:scaling>
        <c:delete val="0"/>
        <c:axPos val="b"/>
        <c:numFmt formatCode="&quot;$ &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117979216"/>
        <c:crosses val="autoZero"/>
        <c:crossBetween val="between"/>
        <c:dispUnits>
          <c:builtInUnit val="thousands"/>
          <c:dispUnitsLbl>
            <c:tx>
              <c:rich>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r>
                    <a:rPr lang="en-US"/>
                    <a:t>Miles</a:t>
                  </a:r>
                </a:p>
              </c:rich>
            </c:tx>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ispUnitsLbl>
        </c:dispUnits>
      </c:valAx>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a:defRPr sz="1200" b="1" i="0" u="none" strike="noStrike" kern="1200" spc="0" baseline="0">
                <a:solidFill>
                  <a:schemeClr val="tx1"/>
                </a:solidFill>
                <a:latin typeface="Arial" panose="020B0604020202020204" pitchFamily="34" charset="0"/>
                <a:ea typeface="+mn-ea"/>
                <a:cs typeface="Arial" panose="020B0604020202020204" pitchFamily="34" charset="0"/>
              </a:defRPr>
            </a:pPr>
            <a:r>
              <a:rPr lang="es-419" sz="1200" b="1"/>
              <a:t>Costo de la vacuna/AcM</a:t>
            </a:r>
          </a:p>
        </c:rich>
      </c:tx>
      <c:layout>
        <c:manualLayout>
          <c:xMode val="edge"/>
          <c:yMode val="edge"/>
          <c:x val="0.40087175816309673"/>
          <c:y val="1.9623875715453803E-2"/>
        </c:manualLayout>
      </c:layout>
      <c:overlay val="0"/>
      <c:spPr>
        <a:noFill/>
        <a:ln>
          <a:noFill/>
        </a:ln>
        <a:effectLst/>
      </c:spPr>
      <c:txPr>
        <a:bodyPr rot="0" spcFirstLastPara="1" vertOverflow="ellipsis" vert="horz" wrap="square" anchor="ctr" anchorCtr="1"/>
        <a:lstStyle/>
        <a:p>
          <a:pPr algn="ctr">
            <a:defRPr sz="12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Resultados!$E$10:$E$11</c:f>
              <c:strCache>
                <c:ptCount val="2"/>
                <c:pt idx="0">
                  <c:v>Situación A: Vacuna materna</c:v>
                </c:pt>
                <c:pt idx="1">
                  <c:v>Abrysvo, Pfizer</c:v>
                </c:pt>
              </c:strCache>
            </c:strRef>
          </c:tx>
          <c:spPr>
            <a:solidFill>
              <a:schemeClr val="accent1"/>
            </a:solidFill>
            <a:ln>
              <a:noFill/>
            </a:ln>
            <a:effectLst/>
          </c:spPr>
          <c:invertIfNegative val="0"/>
          <c:cat>
            <c:numRef>
              <c:f>Resultados!$D$129:$D$133</c:f>
              <c:numCache>
                <c:formatCode>General</c:formatCode>
                <c:ptCount val="5"/>
                <c:pt idx="0">
                  <c:v>2025</c:v>
                </c:pt>
                <c:pt idx="1">
                  <c:v>2026</c:v>
                </c:pt>
                <c:pt idx="2">
                  <c:v>2027</c:v>
                </c:pt>
                <c:pt idx="3">
                  <c:v>2028</c:v>
                </c:pt>
                <c:pt idx="4">
                  <c:v>2029</c:v>
                </c:pt>
              </c:numCache>
            </c:numRef>
          </c:cat>
          <c:val>
            <c:numRef>
              <c:f>Resultados!$E$129:$E$133</c:f>
              <c:numCache>
                <c:formatCode>"$ "#,##0</c:formatCode>
                <c:ptCount val="5"/>
                <c:pt idx="0">
                  <c:v>629793.33333333337</c:v>
                </c:pt>
                <c:pt idx="1">
                  <c:v>641301.65555555548</c:v>
                </c:pt>
                <c:pt idx="2">
                  <c:v>640713.79722222232</c:v>
                </c:pt>
                <c:pt idx="3">
                  <c:v>774633.80744444451</c:v>
                </c:pt>
                <c:pt idx="4">
                  <c:v>894977.02703250013</c:v>
                </c:pt>
              </c:numCache>
            </c:numRef>
          </c:val>
          <c:extLst>
            <c:ext xmlns:c16="http://schemas.microsoft.com/office/drawing/2014/chart" uri="{C3380CC4-5D6E-409C-BE32-E72D297353CC}">
              <c16:uniqueId val="{00000000-B9B2-40EE-9B93-E5C1E15CC92B}"/>
            </c:ext>
          </c:extLst>
        </c:ser>
        <c:ser>
          <c:idx val="1"/>
          <c:order val="1"/>
          <c:tx>
            <c:strRef>
              <c:f>Resultados!$F$10:$F$11</c:f>
              <c:strCache>
                <c:ptCount val="2"/>
                <c:pt idx="0">
                  <c:v>Situación A: Vacuna materna</c:v>
                </c:pt>
                <c:pt idx="1">
                  <c:v>Ninguno</c:v>
                </c:pt>
              </c:strCache>
            </c:strRef>
          </c:tx>
          <c:spPr>
            <a:solidFill>
              <a:schemeClr val="accent2"/>
            </a:solidFill>
            <a:ln>
              <a:noFill/>
            </a:ln>
            <a:effectLst/>
          </c:spPr>
          <c:invertIfNegative val="0"/>
          <c:cat>
            <c:numRef>
              <c:f>Resultados!$D$129:$D$133</c:f>
              <c:numCache>
                <c:formatCode>General</c:formatCode>
                <c:ptCount val="5"/>
                <c:pt idx="0">
                  <c:v>2025</c:v>
                </c:pt>
                <c:pt idx="1">
                  <c:v>2026</c:v>
                </c:pt>
                <c:pt idx="2">
                  <c:v>2027</c:v>
                </c:pt>
                <c:pt idx="3">
                  <c:v>2028</c:v>
                </c:pt>
                <c:pt idx="4">
                  <c:v>2029</c:v>
                </c:pt>
              </c:numCache>
            </c:numRef>
          </c:cat>
          <c:val>
            <c:numRef>
              <c:f>Resultados!$F$129:$F$133</c:f>
            </c:numRef>
          </c:val>
          <c:extLst>
            <c:ext xmlns:c16="http://schemas.microsoft.com/office/drawing/2014/chart" uri="{C3380CC4-5D6E-409C-BE32-E72D297353CC}">
              <c16:uniqueId val="{00000001-B9B2-40EE-9B93-E5C1E15CC92B}"/>
            </c:ext>
          </c:extLst>
        </c:ser>
        <c:ser>
          <c:idx val="2"/>
          <c:order val="2"/>
          <c:tx>
            <c:strRef>
              <c:f>Resultados!$G$10:$G$11</c:f>
              <c:strCache>
                <c:ptCount val="2"/>
                <c:pt idx="0">
                  <c:v>Situación A: Vacuna materna</c:v>
                </c:pt>
                <c:pt idx="1">
                  <c:v>Ninguno</c:v>
                </c:pt>
              </c:strCache>
            </c:strRef>
          </c:tx>
          <c:spPr>
            <a:solidFill>
              <a:schemeClr val="accent3"/>
            </a:solidFill>
            <a:ln>
              <a:noFill/>
            </a:ln>
            <a:effectLst/>
          </c:spPr>
          <c:invertIfNegative val="0"/>
          <c:cat>
            <c:numRef>
              <c:f>Resultados!$D$129:$D$133</c:f>
              <c:numCache>
                <c:formatCode>General</c:formatCode>
                <c:ptCount val="5"/>
                <c:pt idx="0">
                  <c:v>2025</c:v>
                </c:pt>
                <c:pt idx="1">
                  <c:v>2026</c:v>
                </c:pt>
                <c:pt idx="2">
                  <c:v>2027</c:v>
                </c:pt>
                <c:pt idx="3">
                  <c:v>2028</c:v>
                </c:pt>
                <c:pt idx="4">
                  <c:v>2029</c:v>
                </c:pt>
              </c:numCache>
            </c:numRef>
          </c:cat>
          <c:val>
            <c:numRef>
              <c:f>Resultados!$G$129:$G$133</c:f>
            </c:numRef>
          </c:val>
          <c:extLst>
            <c:ext xmlns:c16="http://schemas.microsoft.com/office/drawing/2014/chart" uri="{C3380CC4-5D6E-409C-BE32-E72D297353CC}">
              <c16:uniqueId val="{00000002-B9B2-40EE-9B93-E5C1E15CC92B}"/>
            </c:ext>
          </c:extLst>
        </c:ser>
        <c:ser>
          <c:idx val="3"/>
          <c:order val="3"/>
          <c:tx>
            <c:strRef>
              <c:f>Resultados!$I$10:$I$11</c:f>
              <c:strCache>
                <c:ptCount val="2"/>
                <c:pt idx="0">
                  <c:v>Situación B: AcM</c:v>
                </c:pt>
                <c:pt idx="1">
                  <c:v>Ninguno</c:v>
                </c:pt>
              </c:strCache>
            </c:strRef>
          </c:tx>
          <c:spPr>
            <a:solidFill>
              <a:schemeClr val="accent4"/>
            </a:solidFill>
            <a:ln>
              <a:noFill/>
            </a:ln>
            <a:effectLst/>
          </c:spPr>
          <c:invertIfNegative val="0"/>
          <c:cat>
            <c:numRef>
              <c:f>Resultados!$D$129:$D$133</c:f>
              <c:numCache>
                <c:formatCode>General</c:formatCode>
                <c:ptCount val="5"/>
                <c:pt idx="0">
                  <c:v>2025</c:v>
                </c:pt>
                <c:pt idx="1">
                  <c:v>2026</c:v>
                </c:pt>
                <c:pt idx="2">
                  <c:v>2027</c:v>
                </c:pt>
                <c:pt idx="3">
                  <c:v>2028</c:v>
                </c:pt>
                <c:pt idx="4">
                  <c:v>2029</c:v>
                </c:pt>
              </c:numCache>
            </c:numRef>
          </c:cat>
          <c:val>
            <c:numRef>
              <c:f>Resultados!$I$129:$I$133</c:f>
              <c:numCache>
                <c:formatCode>"$ "#,##0</c:formatCode>
                <c:ptCount val="5"/>
                <c:pt idx="0">
                  <c:v>0</c:v>
                </c:pt>
                <c:pt idx="1">
                  <c:v>0</c:v>
                </c:pt>
                <c:pt idx="2">
                  <c:v>0</c:v>
                </c:pt>
                <c:pt idx="3">
                  <c:v>0</c:v>
                </c:pt>
                <c:pt idx="4">
                  <c:v>0</c:v>
                </c:pt>
              </c:numCache>
            </c:numRef>
          </c:val>
          <c:extLst>
            <c:ext xmlns:c16="http://schemas.microsoft.com/office/drawing/2014/chart" uri="{C3380CC4-5D6E-409C-BE32-E72D297353CC}">
              <c16:uniqueId val="{00000003-B9B2-40EE-9B93-E5C1E15CC92B}"/>
            </c:ext>
          </c:extLst>
        </c:ser>
        <c:ser>
          <c:idx val="4"/>
          <c:order val="4"/>
          <c:tx>
            <c:strRef>
              <c:f>Resultados!$J$10:$J$11</c:f>
              <c:strCache>
                <c:ptCount val="2"/>
                <c:pt idx="0">
                  <c:v>Situación B: AcM</c:v>
                </c:pt>
                <c:pt idx="1">
                  <c:v>Ninguno</c:v>
                </c:pt>
              </c:strCache>
            </c:strRef>
          </c:tx>
          <c:spPr>
            <a:solidFill>
              <a:schemeClr val="accent5"/>
            </a:solidFill>
            <a:ln>
              <a:noFill/>
            </a:ln>
            <a:effectLst/>
          </c:spPr>
          <c:invertIfNegative val="0"/>
          <c:cat>
            <c:numRef>
              <c:f>Resultados!$D$129:$D$133</c:f>
              <c:numCache>
                <c:formatCode>General</c:formatCode>
                <c:ptCount val="5"/>
                <c:pt idx="0">
                  <c:v>2025</c:v>
                </c:pt>
                <c:pt idx="1">
                  <c:v>2026</c:v>
                </c:pt>
                <c:pt idx="2">
                  <c:v>2027</c:v>
                </c:pt>
                <c:pt idx="3">
                  <c:v>2028</c:v>
                </c:pt>
                <c:pt idx="4">
                  <c:v>2029</c:v>
                </c:pt>
              </c:numCache>
            </c:numRef>
          </c:cat>
          <c:val>
            <c:numRef>
              <c:f>Resultados!$J$129:$J$133</c:f>
            </c:numRef>
          </c:val>
          <c:extLst>
            <c:ext xmlns:c16="http://schemas.microsoft.com/office/drawing/2014/chart" uri="{C3380CC4-5D6E-409C-BE32-E72D297353CC}">
              <c16:uniqueId val="{00000004-B9B2-40EE-9B93-E5C1E15CC92B}"/>
            </c:ext>
          </c:extLst>
        </c:ser>
        <c:ser>
          <c:idx val="5"/>
          <c:order val="5"/>
          <c:tx>
            <c:strRef>
              <c:f>Resultados!$K$10:$K$11</c:f>
              <c:strCache>
                <c:ptCount val="2"/>
                <c:pt idx="0">
                  <c:v>Situación B: AcM</c:v>
                </c:pt>
                <c:pt idx="1">
                  <c:v>Ninguno</c:v>
                </c:pt>
              </c:strCache>
            </c:strRef>
          </c:tx>
          <c:spPr>
            <a:solidFill>
              <a:schemeClr val="accent6"/>
            </a:solidFill>
            <a:ln>
              <a:noFill/>
            </a:ln>
            <a:effectLst/>
          </c:spPr>
          <c:invertIfNegative val="0"/>
          <c:cat>
            <c:numRef>
              <c:f>Resultados!$D$129:$D$133</c:f>
              <c:numCache>
                <c:formatCode>General</c:formatCode>
                <c:ptCount val="5"/>
                <c:pt idx="0">
                  <c:v>2025</c:v>
                </c:pt>
                <c:pt idx="1">
                  <c:v>2026</c:v>
                </c:pt>
                <c:pt idx="2">
                  <c:v>2027</c:v>
                </c:pt>
                <c:pt idx="3">
                  <c:v>2028</c:v>
                </c:pt>
                <c:pt idx="4">
                  <c:v>2029</c:v>
                </c:pt>
              </c:numCache>
            </c:numRef>
          </c:cat>
          <c:val>
            <c:numRef>
              <c:f>Resultados!$K$129:$K$133</c:f>
            </c:numRef>
          </c:val>
          <c:extLst>
            <c:ext xmlns:c16="http://schemas.microsoft.com/office/drawing/2014/chart" uri="{C3380CC4-5D6E-409C-BE32-E72D297353CC}">
              <c16:uniqueId val="{00000005-B9B2-40EE-9B93-E5C1E15CC92B}"/>
            </c:ext>
          </c:extLst>
        </c:ser>
        <c:ser>
          <c:idx val="6"/>
          <c:order val="6"/>
          <c:tx>
            <c:strRef>
              <c:f>Resultados!$M$10:$M$11</c:f>
              <c:strCache>
                <c:ptCount val="2"/>
                <c:pt idx="0">
                  <c:v>Situación C: Vacuna materna y AcM</c:v>
                </c:pt>
                <c:pt idx="1">
                  <c:v>Los dos, total</c:v>
                </c:pt>
              </c:strCache>
            </c:strRef>
          </c:tx>
          <c:spPr>
            <a:solidFill>
              <a:schemeClr val="accent1">
                <a:lumMod val="60000"/>
              </a:schemeClr>
            </a:solidFill>
            <a:ln>
              <a:noFill/>
            </a:ln>
            <a:effectLst/>
          </c:spPr>
          <c:invertIfNegative val="0"/>
          <c:cat>
            <c:numRef>
              <c:f>Resultados!$D$129:$D$133</c:f>
              <c:numCache>
                <c:formatCode>General</c:formatCode>
                <c:ptCount val="5"/>
                <c:pt idx="0">
                  <c:v>2025</c:v>
                </c:pt>
                <c:pt idx="1">
                  <c:v>2026</c:v>
                </c:pt>
                <c:pt idx="2">
                  <c:v>2027</c:v>
                </c:pt>
                <c:pt idx="3">
                  <c:v>2028</c:v>
                </c:pt>
                <c:pt idx="4">
                  <c:v>2029</c:v>
                </c:pt>
              </c:numCache>
            </c:numRef>
          </c:cat>
          <c:val>
            <c:numRef>
              <c:f>Resultados!$M$129:$M$133</c:f>
              <c:numCache>
                <c:formatCode>"$ "#,##0</c:formatCode>
                <c:ptCount val="5"/>
                <c:pt idx="0">
                  <c:v>4493546.666666667</c:v>
                </c:pt>
                <c:pt idx="1">
                  <c:v>3285196.4</c:v>
                </c:pt>
                <c:pt idx="2">
                  <c:v>2830827.2933333339</c:v>
                </c:pt>
                <c:pt idx="3">
                  <c:v>2249417.9814666663</c:v>
                </c:pt>
                <c:pt idx="4">
                  <c:v>1530848.3784059999</c:v>
                </c:pt>
              </c:numCache>
            </c:numRef>
          </c:val>
          <c:extLst>
            <c:ext xmlns:c16="http://schemas.microsoft.com/office/drawing/2014/chart" uri="{C3380CC4-5D6E-409C-BE32-E72D297353CC}">
              <c16:uniqueId val="{00000006-B9B2-40EE-9B93-E5C1E15CC92B}"/>
            </c:ext>
          </c:extLst>
        </c:ser>
        <c:dLbls>
          <c:showLegendKey val="0"/>
          <c:showVal val="0"/>
          <c:showCatName val="0"/>
          <c:showSerName val="0"/>
          <c:showPercent val="0"/>
          <c:showBubbleSize val="0"/>
        </c:dLbls>
        <c:gapWidth val="219"/>
        <c:overlap val="-27"/>
        <c:axId val="1147657952"/>
        <c:axId val="1147677632"/>
      </c:barChart>
      <c:catAx>
        <c:axId val="11476579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147677632"/>
        <c:crosses val="autoZero"/>
        <c:auto val="1"/>
        <c:lblAlgn val="ctr"/>
        <c:lblOffset val="100"/>
        <c:noMultiLvlLbl val="0"/>
      </c:catAx>
      <c:valAx>
        <c:axId val="1147677632"/>
        <c:scaling>
          <c:orientation val="minMax"/>
        </c:scaling>
        <c:delete val="0"/>
        <c:axPos val="l"/>
        <c:numFmt formatCode="&quot;$ &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147657952"/>
        <c:crosses val="autoZero"/>
        <c:crossBetween val="between"/>
        <c:dispUnits>
          <c:builtInUnit val="thousands"/>
          <c:dispUnitsLbl>
            <c:tx>
              <c:rich>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r>
                    <a:rPr lang="en-US"/>
                    <a:t>Miles</a:t>
                  </a:r>
                </a:p>
              </c:rich>
            </c:tx>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ispUnitsLbl>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solidFill>
                <a:latin typeface="Arial" panose="020B0604020202020204" pitchFamily="34" charset="0"/>
                <a:ea typeface="+mn-ea"/>
                <a:cs typeface="Arial" panose="020B0604020202020204" pitchFamily="34" charset="0"/>
              </a:defRPr>
            </a:pPr>
            <a:r>
              <a:rPr lang="es-419" sz="1100" b="1"/>
              <a:t>Costo del programa de vacunación</a:t>
            </a:r>
          </a:p>
          <a:p>
            <a:pPr>
              <a:defRPr sz="1100" b="1"/>
            </a:pPr>
            <a:r>
              <a:rPr lang="es-419" sz="1100" b="1"/>
              <a:t>Costo de la vacuna/AcM + costos incrementales del sistema de salud</a:t>
            </a:r>
          </a:p>
        </c:rich>
      </c:tx>
      <c:layout>
        <c:manualLayout>
          <c:xMode val="edge"/>
          <c:yMode val="edge"/>
          <c:x val="0.29773616171460876"/>
          <c:y val="2.5457438345266509E-2"/>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Resultados!$E$10:$E$11</c:f>
              <c:strCache>
                <c:ptCount val="2"/>
                <c:pt idx="0">
                  <c:v>Situación A: Vacuna materna</c:v>
                </c:pt>
                <c:pt idx="1">
                  <c:v>Abrysvo, Pfizer</c:v>
                </c:pt>
              </c:strCache>
            </c:strRef>
          </c:tx>
          <c:spPr>
            <a:solidFill>
              <a:schemeClr val="accent1"/>
            </a:solidFill>
            <a:ln>
              <a:noFill/>
            </a:ln>
            <a:effectLst/>
          </c:spPr>
          <c:invertIfNegative val="0"/>
          <c:cat>
            <c:numRef>
              <c:f>Resultados!$D$138:$D$142</c:f>
              <c:numCache>
                <c:formatCode>General</c:formatCode>
                <c:ptCount val="5"/>
                <c:pt idx="0">
                  <c:v>2025</c:v>
                </c:pt>
                <c:pt idx="1">
                  <c:v>2026</c:v>
                </c:pt>
                <c:pt idx="2">
                  <c:v>2027</c:v>
                </c:pt>
                <c:pt idx="3">
                  <c:v>2028</c:v>
                </c:pt>
                <c:pt idx="4">
                  <c:v>2029</c:v>
                </c:pt>
              </c:numCache>
            </c:numRef>
          </c:cat>
          <c:val>
            <c:numRef>
              <c:f>Resultados!$E$138:$E$142</c:f>
              <c:numCache>
                <c:formatCode>"$ "#,##0</c:formatCode>
                <c:ptCount val="5"/>
                <c:pt idx="0">
                  <c:v>953193.33333333337</c:v>
                </c:pt>
                <c:pt idx="1">
                  <c:v>831645.65555555548</c:v>
                </c:pt>
                <c:pt idx="2">
                  <c:v>836768.11722222227</c:v>
                </c:pt>
                <c:pt idx="3">
                  <c:v>1005417.7498444446</c:v>
                </c:pt>
                <c:pt idx="4">
                  <c:v>1162397.9202885001</c:v>
                </c:pt>
              </c:numCache>
            </c:numRef>
          </c:val>
          <c:extLst>
            <c:ext xmlns:c16="http://schemas.microsoft.com/office/drawing/2014/chart" uri="{C3380CC4-5D6E-409C-BE32-E72D297353CC}">
              <c16:uniqueId val="{00000000-6EFB-438D-A460-188DB5238737}"/>
            </c:ext>
          </c:extLst>
        </c:ser>
        <c:ser>
          <c:idx val="1"/>
          <c:order val="1"/>
          <c:tx>
            <c:strRef>
              <c:f>Resultados!$F$10:$F$11</c:f>
              <c:strCache>
                <c:ptCount val="2"/>
                <c:pt idx="0">
                  <c:v>Situación A: Vacuna materna</c:v>
                </c:pt>
                <c:pt idx="1">
                  <c:v>Ninguno</c:v>
                </c:pt>
              </c:strCache>
            </c:strRef>
          </c:tx>
          <c:spPr>
            <a:solidFill>
              <a:schemeClr val="accent2"/>
            </a:solidFill>
            <a:ln>
              <a:noFill/>
            </a:ln>
            <a:effectLst/>
          </c:spPr>
          <c:invertIfNegative val="0"/>
          <c:cat>
            <c:numRef>
              <c:f>Resultados!$D$138:$D$142</c:f>
              <c:numCache>
                <c:formatCode>General</c:formatCode>
                <c:ptCount val="5"/>
                <c:pt idx="0">
                  <c:v>2025</c:v>
                </c:pt>
                <c:pt idx="1">
                  <c:v>2026</c:v>
                </c:pt>
                <c:pt idx="2">
                  <c:v>2027</c:v>
                </c:pt>
                <c:pt idx="3">
                  <c:v>2028</c:v>
                </c:pt>
                <c:pt idx="4">
                  <c:v>2029</c:v>
                </c:pt>
              </c:numCache>
            </c:numRef>
          </c:cat>
          <c:val>
            <c:numRef>
              <c:f>Resultados!$F$138:$F$142</c:f>
            </c:numRef>
          </c:val>
          <c:extLst>
            <c:ext xmlns:c16="http://schemas.microsoft.com/office/drawing/2014/chart" uri="{C3380CC4-5D6E-409C-BE32-E72D297353CC}">
              <c16:uniqueId val="{00000001-6EFB-438D-A460-188DB5238737}"/>
            </c:ext>
          </c:extLst>
        </c:ser>
        <c:ser>
          <c:idx val="2"/>
          <c:order val="2"/>
          <c:tx>
            <c:strRef>
              <c:f>Resultados!$G$10:$G$11</c:f>
              <c:strCache>
                <c:ptCount val="2"/>
                <c:pt idx="0">
                  <c:v>Situación A: Vacuna materna</c:v>
                </c:pt>
                <c:pt idx="1">
                  <c:v>Ninguno</c:v>
                </c:pt>
              </c:strCache>
            </c:strRef>
          </c:tx>
          <c:spPr>
            <a:solidFill>
              <a:schemeClr val="accent3"/>
            </a:solidFill>
            <a:ln>
              <a:noFill/>
            </a:ln>
            <a:effectLst/>
          </c:spPr>
          <c:invertIfNegative val="0"/>
          <c:cat>
            <c:numRef>
              <c:f>Resultados!$D$138:$D$142</c:f>
              <c:numCache>
                <c:formatCode>General</c:formatCode>
                <c:ptCount val="5"/>
                <c:pt idx="0">
                  <c:v>2025</c:v>
                </c:pt>
                <c:pt idx="1">
                  <c:v>2026</c:v>
                </c:pt>
                <c:pt idx="2">
                  <c:v>2027</c:v>
                </c:pt>
                <c:pt idx="3">
                  <c:v>2028</c:v>
                </c:pt>
                <c:pt idx="4">
                  <c:v>2029</c:v>
                </c:pt>
              </c:numCache>
            </c:numRef>
          </c:cat>
          <c:val>
            <c:numRef>
              <c:f>Resultados!$G$138:$G$142</c:f>
            </c:numRef>
          </c:val>
          <c:extLst>
            <c:ext xmlns:c16="http://schemas.microsoft.com/office/drawing/2014/chart" uri="{C3380CC4-5D6E-409C-BE32-E72D297353CC}">
              <c16:uniqueId val="{00000002-6EFB-438D-A460-188DB5238737}"/>
            </c:ext>
          </c:extLst>
        </c:ser>
        <c:ser>
          <c:idx val="3"/>
          <c:order val="3"/>
          <c:tx>
            <c:strRef>
              <c:f>Resultados!$I$10:$I$11</c:f>
              <c:strCache>
                <c:ptCount val="2"/>
                <c:pt idx="0">
                  <c:v>Situación B: AcM</c:v>
                </c:pt>
                <c:pt idx="1">
                  <c:v>Ninguno</c:v>
                </c:pt>
              </c:strCache>
            </c:strRef>
          </c:tx>
          <c:spPr>
            <a:solidFill>
              <a:schemeClr val="accent4"/>
            </a:solidFill>
            <a:ln>
              <a:noFill/>
            </a:ln>
            <a:effectLst/>
          </c:spPr>
          <c:invertIfNegative val="0"/>
          <c:cat>
            <c:numRef>
              <c:f>Resultados!$D$138:$D$142</c:f>
              <c:numCache>
                <c:formatCode>General</c:formatCode>
                <c:ptCount val="5"/>
                <c:pt idx="0">
                  <c:v>2025</c:v>
                </c:pt>
                <c:pt idx="1">
                  <c:v>2026</c:v>
                </c:pt>
                <c:pt idx="2">
                  <c:v>2027</c:v>
                </c:pt>
                <c:pt idx="3">
                  <c:v>2028</c:v>
                </c:pt>
                <c:pt idx="4">
                  <c:v>2029</c:v>
                </c:pt>
              </c:numCache>
            </c:numRef>
          </c:cat>
          <c:val>
            <c:numRef>
              <c:f>Resultados!$I$138:$I$142</c:f>
              <c:numCache>
                <c:formatCode>"$ "#,##0</c:formatCode>
                <c:ptCount val="5"/>
                <c:pt idx="0">
                  <c:v>0</c:v>
                </c:pt>
                <c:pt idx="1">
                  <c:v>0</c:v>
                </c:pt>
                <c:pt idx="2">
                  <c:v>0</c:v>
                </c:pt>
                <c:pt idx="3">
                  <c:v>0</c:v>
                </c:pt>
                <c:pt idx="4">
                  <c:v>0</c:v>
                </c:pt>
              </c:numCache>
            </c:numRef>
          </c:val>
          <c:extLst>
            <c:ext xmlns:c16="http://schemas.microsoft.com/office/drawing/2014/chart" uri="{C3380CC4-5D6E-409C-BE32-E72D297353CC}">
              <c16:uniqueId val="{00000003-6EFB-438D-A460-188DB5238737}"/>
            </c:ext>
          </c:extLst>
        </c:ser>
        <c:ser>
          <c:idx val="4"/>
          <c:order val="4"/>
          <c:tx>
            <c:strRef>
              <c:f>Resultados!$J$10:$J$11</c:f>
              <c:strCache>
                <c:ptCount val="2"/>
                <c:pt idx="0">
                  <c:v>Situación B: AcM</c:v>
                </c:pt>
                <c:pt idx="1">
                  <c:v>Ninguno</c:v>
                </c:pt>
              </c:strCache>
            </c:strRef>
          </c:tx>
          <c:spPr>
            <a:solidFill>
              <a:schemeClr val="accent5"/>
            </a:solidFill>
            <a:ln>
              <a:noFill/>
            </a:ln>
            <a:effectLst/>
          </c:spPr>
          <c:invertIfNegative val="0"/>
          <c:cat>
            <c:numRef>
              <c:f>Resultados!$D$138:$D$142</c:f>
              <c:numCache>
                <c:formatCode>General</c:formatCode>
                <c:ptCount val="5"/>
                <c:pt idx="0">
                  <c:v>2025</c:v>
                </c:pt>
                <c:pt idx="1">
                  <c:v>2026</c:v>
                </c:pt>
                <c:pt idx="2">
                  <c:v>2027</c:v>
                </c:pt>
                <c:pt idx="3">
                  <c:v>2028</c:v>
                </c:pt>
                <c:pt idx="4">
                  <c:v>2029</c:v>
                </c:pt>
              </c:numCache>
            </c:numRef>
          </c:cat>
          <c:val>
            <c:numRef>
              <c:f>Resultados!$J$138:$J$142</c:f>
            </c:numRef>
          </c:val>
          <c:extLst>
            <c:ext xmlns:c16="http://schemas.microsoft.com/office/drawing/2014/chart" uri="{C3380CC4-5D6E-409C-BE32-E72D297353CC}">
              <c16:uniqueId val="{00000004-6EFB-438D-A460-188DB5238737}"/>
            </c:ext>
          </c:extLst>
        </c:ser>
        <c:ser>
          <c:idx val="5"/>
          <c:order val="5"/>
          <c:tx>
            <c:strRef>
              <c:f>Resultados!$K$10:$K$11</c:f>
              <c:strCache>
                <c:ptCount val="2"/>
                <c:pt idx="0">
                  <c:v>Situación B: AcM</c:v>
                </c:pt>
                <c:pt idx="1">
                  <c:v>Ninguno</c:v>
                </c:pt>
              </c:strCache>
            </c:strRef>
          </c:tx>
          <c:spPr>
            <a:solidFill>
              <a:schemeClr val="accent6"/>
            </a:solidFill>
            <a:ln>
              <a:noFill/>
            </a:ln>
            <a:effectLst/>
          </c:spPr>
          <c:invertIfNegative val="0"/>
          <c:cat>
            <c:numRef>
              <c:f>Resultados!$D$138:$D$142</c:f>
              <c:numCache>
                <c:formatCode>General</c:formatCode>
                <c:ptCount val="5"/>
                <c:pt idx="0">
                  <c:v>2025</c:v>
                </c:pt>
                <c:pt idx="1">
                  <c:v>2026</c:v>
                </c:pt>
                <c:pt idx="2">
                  <c:v>2027</c:v>
                </c:pt>
                <c:pt idx="3">
                  <c:v>2028</c:v>
                </c:pt>
                <c:pt idx="4">
                  <c:v>2029</c:v>
                </c:pt>
              </c:numCache>
            </c:numRef>
          </c:cat>
          <c:val>
            <c:numRef>
              <c:f>Resultados!$K$138:$K$142</c:f>
            </c:numRef>
          </c:val>
          <c:extLst>
            <c:ext xmlns:c16="http://schemas.microsoft.com/office/drawing/2014/chart" uri="{C3380CC4-5D6E-409C-BE32-E72D297353CC}">
              <c16:uniqueId val="{00000005-6EFB-438D-A460-188DB5238737}"/>
            </c:ext>
          </c:extLst>
        </c:ser>
        <c:ser>
          <c:idx val="6"/>
          <c:order val="6"/>
          <c:tx>
            <c:strRef>
              <c:f>Resultados!$M$10:$M$11</c:f>
              <c:strCache>
                <c:ptCount val="2"/>
                <c:pt idx="0">
                  <c:v>Situación C: Vacuna materna y AcM</c:v>
                </c:pt>
                <c:pt idx="1">
                  <c:v>Los dos, total</c:v>
                </c:pt>
              </c:strCache>
            </c:strRef>
          </c:tx>
          <c:spPr>
            <a:solidFill>
              <a:schemeClr val="accent1">
                <a:lumMod val="60000"/>
              </a:schemeClr>
            </a:solidFill>
            <a:ln>
              <a:noFill/>
            </a:ln>
            <a:effectLst/>
          </c:spPr>
          <c:invertIfNegative val="0"/>
          <c:cat>
            <c:numRef>
              <c:f>Resultados!$D$138:$D$142</c:f>
              <c:numCache>
                <c:formatCode>General</c:formatCode>
                <c:ptCount val="5"/>
                <c:pt idx="0">
                  <c:v>2025</c:v>
                </c:pt>
                <c:pt idx="1">
                  <c:v>2026</c:v>
                </c:pt>
                <c:pt idx="2">
                  <c:v>2027</c:v>
                </c:pt>
                <c:pt idx="3">
                  <c:v>2028</c:v>
                </c:pt>
                <c:pt idx="4">
                  <c:v>2029</c:v>
                </c:pt>
              </c:numCache>
            </c:numRef>
          </c:cat>
          <c:val>
            <c:numRef>
              <c:f>Resultados!$M$138:$M$142</c:f>
              <c:numCache>
                <c:formatCode>"$ "#,##0</c:formatCode>
                <c:ptCount val="5"/>
                <c:pt idx="0">
                  <c:v>4801596.666666667</c:v>
                </c:pt>
                <c:pt idx="1">
                  <c:v>3594295.2800000003</c:v>
                </c:pt>
                <c:pt idx="2">
                  <c:v>3146672.075933334</c:v>
                </c:pt>
                <c:pt idx="3">
                  <c:v>2567296.6366746663</c:v>
                </c:pt>
                <c:pt idx="4">
                  <c:v>1845614.9252634598</c:v>
                </c:pt>
              </c:numCache>
            </c:numRef>
          </c:val>
          <c:extLst>
            <c:ext xmlns:c16="http://schemas.microsoft.com/office/drawing/2014/chart" uri="{C3380CC4-5D6E-409C-BE32-E72D297353CC}">
              <c16:uniqueId val="{00000006-6EFB-438D-A460-188DB5238737}"/>
            </c:ext>
          </c:extLst>
        </c:ser>
        <c:dLbls>
          <c:showLegendKey val="0"/>
          <c:showVal val="0"/>
          <c:showCatName val="0"/>
          <c:showSerName val="0"/>
          <c:showPercent val="0"/>
          <c:showBubbleSize val="0"/>
        </c:dLbls>
        <c:gapWidth val="219"/>
        <c:overlap val="-27"/>
        <c:axId val="1328067744"/>
        <c:axId val="1328081664"/>
      </c:barChart>
      <c:catAx>
        <c:axId val="1328067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328081664"/>
        <c:crosses val="autoZero"/>
        <c:auto val="1"/>
        <c:lblAlgn val="ctr"/>
        <c:lblOffset val="100"/>
        <c:noMultiLvlLbl val="0"/>
      </c:catAx>
      <c:valAx>
        <c:axId val="1328081664"/>
        <c:scaling>
          <c:orientation val="minMax"/>
        </c:scaling>
        <c:delete val="0"/>
        <c:axPos val="l"/>
        <c:numFmt formatCode="&quot;$ &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328067744"/>
        <c:crosses val="autoZero"/>
        <c:crossBetween val="between"/>
        <c:dispUnits>
          <c:builtInUnit val="thousands"/>
          <c:dispUnitsLbl>
            <c:tx>
              <c:rich>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r>
                    <a:rPr lang="en-US"/>
                    <a:t>Miles</a:t>
                  </a:r>
                </a:p>
              </c:rich>
            </c:tx>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ispUnitsLbl>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b="1"/>
              <a:t>Vaccine Cost</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1"/>
          <c:order val="0"/>
          <c:tx>
            <c:strRef>
              <c:f>'Datos del modelo'!$E$78</c:f>
              <c:strCache>
                <c:ptCount val="1"/>
                <c:pt idx="0">
                  <c:v>Abrysvo, Pfizer</c:v>
                </c:pt>
              </c:strCache>
            </c:strRef>
          </c:tx>
          <c:spPr>
            <a:solidFill>
              <a:schemeClr val="accent1"/>
            </a:solidFill>
            <a:ln>
              <a:noFill/>
            </a:ln>
            <a:effectLst/>
          </c:spPr>
          <c:invertIfNegative val="0"/>
          <c:cat>
            <c:numRef>
              <c:f>Resultados!$D$109:$D$113</c:f>
              <c:numCache>
                <c:formatCode>General</c:formatCode>
                <c:ptCount val="5"/>
                <c:pt idx="0">
                  <c:v>2025</c:v>
                </c:pt>
                <c:pt idx="1">
                  <c:v>2026</c:v>
                </c:pt>
                <c:pt idx="2">
                  <c:v>2027</c:v>
                </c:pt>
                <c:pt idx="3">
                  <c:v>2028</c:v>
                </c:pt>
                <c:pt idx="4">
                  <c:v>2029</c:v>
                </c:pt>
              </c:numCache>
            </c:numRef>
          </c:cat>
          <c:val>
            <c:numRef>
              <c:f>Resultados!$E$109:$E$113</c:f>
              <c:numCache>
                <c:formatCode>"$ "#,##0</c:formatCode>
                <c:ptCount val="5"/>
                <c:pt idx="0">
                  <c:v>36893.333333333343</c:v>
                </c:pt>
                <c:pt idx="1">
                  <c:v>37733.488888888889</c:v>
                </c:pt>
                <c:pt idx="2">
                  <c:v>37733.085555555568</c:v>
                </c:pt>
                <c:pt idx="3">
                  <c:v>45584.034711111119</c:v>
                </c:pt>
                <c:pt idx="4">
                  <c:v>52669.727259000014</c:v>
                </c:pt>
              </c:numCache>
            </c:numRef>
          </c:val>
          <c:extLst>
            <c:ext xmlns:c16="http://schemas.microsoft.com/office/drawing/2014/chart" uri="{C3380CC4-5D6E-409C-BE32-E72D297353CC}">
              <c16:uniqueId val="{00000000-B014-4E57-8B2B-36EC42D0FCB2}"/>
            </c:ext>
          </c:extLst>
        </c:ser>
        <c:ser>
          <c:idx val="0"/>
          <c:order val="1"/>
          <c:tx>
            <c:strRef>
              <c:f>'Datos del modelo'!$F$78</c:f>
              <c:strCache>
                <c:ptCount val="1"/>
                <c:pt idx="0">
                  <c:v>Ninguno</c:v>
                </c:pt>
              </c:strCache>
            </c:strRef>
          </c:tx>
          <c:spPr>
            <a:solidFill>
              <a:schemeClr val="accent1"/>
            </a:solidFill>
            <a:ln>
              <a:noFill/>
            </a:ln>
            <a:effectLst/>
          </c:spPr>
          <c:invertIfNegative val="0"/>
          <c:cat>
            <c:numRef>
              <c:f>Resultados!$D$109:$D$113</c:f>
              <c:numCache>
                <c:formatCode>General</c:formatCode>
                <c:ptCount val="5"/>
                <c:pt idx="0">
                  <c:v>2025</c:v>
                </c:pt>
                <c:pt idx="1">
                  <c:v>2026</c:v>
                </c:pt>
                <c:pt idx="2">
                  <c:v>2027</c:v>
                </c:pt>
                <c:pt idx="3">
                  <c:v>2028</c:v>
                </c:pt>
                <c:pt idx="4">
                  <c:v>2029</c:v>
                </c:pt>
              </c:numCache>
            </c:numRef>
          </c:cat>
          <c:val>
            <c:numRef>
              <c:f>Resultados!$F$109:$F$113</c:f>
            </c:numRef>
          </c:val>
          <c:extLst>
            <c:ext xmlns:c16="http://schemas.microsoft.com/office/drawing/2014/chart" uri="{C3380CC4-5D6E-409C-BE32-E72D297353CC}">
              <c16:uniqueId val="{00000001-B014-4E57-8B2B-36EC42D0FCB2}"/>
            </c:ext>
          </c:extLst>
        </c:ser>
        <c:ser>
          <c:idx val="2"/>
          <c:order val="2"/>
          <c:tx>
            <c:strRef>
              <c:f>'Datos del modelo'!$G$78</c:f>
              <c:strCache>
                <c:ptCount val="1"/>
                <c:pt idx="0">
                  <c:v>Ninguno</c:v>
                </c:pt>
              </c:strCache>
            </c:strRef>
          </c:tx>
          <c:spPr>
            <a:solidFill>
              <a:schemeClr val="accent3"/>
            </a:solidFill>
            <a:ln>
              <a:noFill/>
            </a:ln>
            <a:effectLst/>
          </c:spPr>
          <c:invertIfNegative val="0"/>
          <c:cat>
            <c:numRef>
              <c:f>Resultados!$D$109:$D$113</c:f>
              <c:numCache>
                <c:formatCode>General</c:formatCode>
                <c:ptCount val="5"/>
                <c:pt idx="0">
                  <c:v>2025</c:v>
                </c:pt>
                <c:pt idx="1">
                  <c:v>2026</c:v>
                </c:pt>
                <c:pt idx="2">
                  <c:v>2027</c:v>
                </c:pt>
                <c:pt idx="3">
                  <c:v>2028</c:v>
                </c:pt>
                <c:pt idx="4">
                  <c:v>2029</c:v>
                </c:pt>
              </c:numCache>
            </c:numRef>
          </c:cat>
          <c:val>
            <c:numRef>
              <c:f>Resultados!$G$109:$G$113</c:f>
            </c:numRef>
          </c:val>
          <c:extLst>
            <c:ext xmlns:c16="http://schemas.microsoft.com/office/drawing/2014/chart" uri="{C3380CC4-5D6E-409C-BE32-E72D297353CC}">
              <c16:uniqueId val="{00000002-B014-4E57-8B2B-36EC42D0FCB2}"/>
            </c:ext>
          </c:extLst>
        </c:ser>
        <c:ser>
          <c:idx val="3"/>
          <c:order val="3"/>
          <c:tx>
            <c:strRef>
              <c:f>'Datos del modelo'!$H$78</c:f>
              <c:strCache>
                <c:ptCount val="1"/>
                <c:pt idx="0">
                  <c:v>Ninguno</c:v>
                </c:pt>
              </c:strCache>
            </c:strRef>
          </c:tx>
          <c:spPr>
            <a:solidFill>
              <a:schemeClr val="accent4"/>
            </a:solidFill>
            <a:ln>
              <a:noFill/>
            </a:ln>
            <a:effectLst/>
          </c:spPr>
          <c:invertIfNegative val="0"/>
          <c:cat>
            <c:numRef>
              <c:f>Resultados!$D$109:$D$113</c:f>
              <c:numCache>
                <c:formatCode>General</c:formatCode>
                <c:ptCount val="5"/>
                <c:pt idx="0">
                  <c:v>2025</c:v>
                </c:pt>
                <c:pt idx="1">
                  <c:v>2026</c:v>
                </c:pt>
                <c:pt idx="2">
                  <c:v>2027</c:v>
                </c:pt>
                <c:pt idx="3">
                  <c:v>2028</c:v>
                </c:pt>
                <c:pt idx="4">
                  <c:v>2029</c:v>
                </c:pt>
              </c:numCache>
            </c:numRef>
          </c:cat>
          <c:val>
            <c:numRef>
              <c:f>Resultados!$I$109:$I$113</c:f>
              <c:numCache>
                <c:formatCode>"$ "#,##0</c:formatCode>
                <c:ptCount val="5"/>
                <c:pt idx="0">
                  <c:v>0</c:v>
                </c:pt>
                <c:pt idx="1">
                  <c:v>0</c:v>
                </c:pt>
                <c:pt idx="2">
                  <c:v>0</c:v>
                </c:pt>
                <c:pt idx="3">
                  <c:v>0</c:v>
                </c:pt>
                <c:pt idx="4">
                  <c:v>0</c:v>
                </c:pt>
              </c:numCache>
            </c:numRef>
          </c:val>
          <c:extLst>
            <c:ext xmlns:c16="http://schemas.microsoft.com/office/drawing/2014/chart" uri="{C3380CC4-5D6E-409C-BE32-E72D297353CC}">
              <c16:uniqueId val="{00000003-B014-4E57-8B2B-36EC42D0FCB2}"/>
            </c:ext>
          </c:extLst>
        </c:ser>
        <c:ser>
          <c:idx val="4"/>
          <c:order val="4"/>
          <c:tx>
            <c:strRef>
              <c:f>'Datos del modelo'!$I$78</c:f>
              <c:strCache>
                <c:ptCount val="1"/>
                <c:pt idx="0">
                  <c:v>Ninguno</c:v>
                </c:pt>
              </c:strCache>
            </c:strRef>
          </c:tx>
          <c:spPr>
            <a:solidFill>
              <a:schemeClr val="accent5"/>
            </a:solidFill>
            <a:ln>
              <a:noFill/>
            </a:ln>
            <a:effectLst/>
          </c:spPr>
          <c:invertIfNegative val="0"/>
          <c:cat>
            <c:numRef>
              <c:f>Resultados!$D$109:$D$113</c:f>
              <c:numCache>
                <c:formatCode>General</c:formatCode>
                <c:ptCount val="5"/>
                <c:pt idx="0">
                  <c:v>2025</c:v>
                </c:pt>
                <c:pt idx="1">
                  <c:v>2026</c:v>
                </c:pt>
                <c:pt idx="2">
                  <c:v>2027</c:v>
                </c:pt>
                <c:pt idx="3">
                  <c:v>2028</c:v>
                </c:pt>
                <c:pt idx="4">
                  <c:v>2029</c:v>
                </c:pt>
              </c:numCache>
            </c:numRef>
          </c:cat>
          <c:val>
            <c:numRef>
              <c:f>Resultados!$J$109:$J$113</c:f>
            </c:numRef>
          </c:val>
          <c:extLst>
            <c:ext xmlns:c16="http://schemas.microsoft.com/office/drawing/2014/chart" uri="{C3380CC4-5D6E-409C-BE32-E72D297353CC}">
              <c16:uniqueId val="{00000004-B014-4E57-8B2B-36EC42D0FCB2}"/>
            </c:ext>
          </c:extLst>
        </c:ser>
        <c:ser>
          <c:idx val="6"/>
          <c:order val="5"/>
          <c:tx>
            <c:strRef>
              <c:f>'Datos del modelo'!$J$78</c:f>
              <c:strCache>
                <c:ptCount val="1"/>
                <c:pt idx="0">
                  <c:v>Ninguno</c:v>
                </c:pt>
              </c:strCache>
            </c:strRef>
          </c:tx>
          <c:spPr>
            <a:solidFill>
              <a:schemeClr val="accent1">
                <a:lumMod val="60000"/>
              </a:schemeClr>
            </a:solidFill>
            <a:ln>
              <a:noFill/>
            </a:ln>
            <a:effectLst/>
          </c:spPr>
          <c:invertIfNegative val="0"/>
          <c:cat>
            <c:numRef>
              <c:f>Resultados!$D$109:$D$113</c:f>
              <c:numCache>
                <c:formatCode>General</c:formatCode>
                <c:ptCount val="5"/>
                <c:pt idx="0">
                  <c:v>2025</c:v>
                </c:pt>
                <c:pt idx="1">
                  <c:v>2026</c:v>
                </c:pt>
                <c:pt idx="2">
                  <c:v>2027</c:v>
                </c:pt>
                <c:pt idx="3">
                  <c:v>2028</c:v>
                </c:pt>
                <c:pt idx="4">
                  <c:v>2029</c:v>
                </c:pt>
              </c:numCache>
            </c:numRef>
          </c:cat>
          <c:val>
            <c:numRef>
              <c:f>Resultados!$K$109:$K$113</c:f>
            </c:numRef>
          </c:val>
          <c:extLst>
            <c:ext xmlns:c16="http://schemas.microsoft.com/office/drawing/2014/chart" uri="{C3380CC4-5D6E-409C-BE32-E72D297353CC}">
              <c16:uniqueId val="{00000007-B014-4E57-8B2B-36EC42D0FCB2}"/>
            </c:ext>
          </c:extLst>
        </c:ser>
        <c:ser>
          <c:idx val="7"/>
          <c:order val="6"/>
          <c:tx>
            <c:strRef>
              <c:f>'Datos del modelo'!$K$78</c:f>
              <c:strCache>
                <c:ptCount val="1"/>
                <c:pt idx="0">
                  <c:v>Abrysvo, Pfizer</c:v>
                </c:pt>
              </c:strCache>
            </c:strRef>
          </c:tx>
          <c:spPr>
            <a:solidFill>
              <a:schemeClr val="accent2">
                <a:lumMod val="60000"/>
              </a:schemeClr>
            </a:solidFill>
            <a:ln>
              <a:noFill/>
            </a:ln>
            <a:effectLst/>
          </c:spPr>
          <c:invertIfNegative val="0"/>
          <c:cat>
            <c:numRef>
              <c:f>Resultados!$D$109:$D$113</c:f>
              <c:numCache>
                <c:formatCode>General</c:formatCode>
                <c:ptCount val="5"/>
                <c:pt idx="0">
                  <c:v>2025</c:v>
                </c:pt>
                <c:pt idx="1">
                  <c:v>2026</c:v>
                </c:pt>
                <c:pt idx="2">
                  <c:v>2027</c:v>
                </c:pt>
                <c:pt idx="3">
                  <c:v>2028</c:v>
                </c:pt>
                <c:pt idx="4">
                  <c:v>2029</c:v>
                </c:pt>
              </c:numCache>
            </c:numRef>
          </c:cat>
          <c:val>
            <c:numRef>
              <c:f>Resultados!$N$109:$N$113</c:f>
            </c:numRef>
          </c:val>
          <c:extLst>
            <c:ext xmlns:c16="http://schemas.microsoft.com/office/drawing/2014/chart" uri="{C3380CC4-5D6E-409C-BE32-E72D297353CC}">
              <c16:uniqueId val="{00000008-B014-4E57-8B2B-36EC42D0FCB2}"/>
            </c:ext>
          </c:extLst>
        </c:ser>
        <c:ser>
          <c:idx val="5"/>
          <c:order val="7"/>
          <c:tx>
            <c:strRef>
              <c:f>'Datos del modelo'!$L$78</c:f>
              <c:strCache>
                <c:ptCount val="1"/>
                <c:pt idx="0">
                  <c:v>Anticuerpo monoclonal contra el VSR_2</c:v>
                </c:pt>
              </c:strCache>
            </c:strRef>
          </c:tx>
          <c:spPr>
            <a:solidFill>
              <a:schemeClr val="accent6"/>
            </a:solidFill>
            <a:ln>
              <a:noFill/>
            </a:ln>
            <a:effectLst/>
          </c:spPr>
          <c:invertIfNegative val="0"/>
          <c:cat>
            <c:numRef>
              <c:f>Resultados!$D$109:$D$113</c:f>
              <c:numCache>
                <c:formatCode>General</c:formatCode>
                <c:ptCount val="5"/>
                <c:pt idx="0">
                  <c:v>2025</c:v>
                </c:pt>
                <c:pt idx="1">
                  <c:v>2026</c:v>
                </c:pt>
                <c:pt idx="2">
                  <c:v>2027</c:v>
                </c:pt>
                <c:pt idx="3">
                  <c:v>2028</c:v>
                </c:pt>
                <c:pt idx="4">
                  <c:v>2029</c:v>
                </c:pt>
              </c:numCache>
            </c:numRef>
          </c:cat>
          <c:val>
            <c:numRef>
              <c:f>Resultados!$O$109:$O$113</c:f>
            </c:numRef>
          </c:val>
          <c:extLst>
            <c:ext xmlns:c16="http://schemas.microsoft.com/office/drawing/2014/chart" uri="{C3380CC4-5D6E-409C-BE32-E72D297353CC}">
              <c16:uniqueId val="{00000005-B014-4E57-8B2B-36EC42D0FCB2}"/>
            </c:ext>
          </c:extLst>
        </c:ser>
        <c:ser>
          <c:idx val="8"/>
          <c:order val="8"/>
          <c:tx>
            <c:strRef>
              <c:f>'Datos del modelo'!$K$76:$L$76</c:f>
              <c:strCache>
                <c:ptCount val="1"/>
                <c:pt idx="0">
                  <c:v>Vacunas contra el VSR para mujeres embarazadas y AcM contra el VSR para bebés (Vacuna materna y AcM)</c:v>
                </c:pt>
              </c:strCache>
            </c:strRef>
          </c:tx>
          <c:spPr>
            <a:solidFill>
              <a:schemeClr val="accent3">
                <a:lumMod val="60000"/>
              </a:schemeClr>
            </a:solidFill>
            <a:ln>
              <a:noFill/>
            </a:ln>
            <a:effectLst/>
          </c:spPr>
          <c:invertIfNegative val="0"/>
          <c:cat>
            <c:numRef>
              <c:f>Resultados!$D$109:$D$113</c:f>
              <c:numCache>
                <c:formatCode>General</c:formatCode>
                <c:ptCount val="5"/>
                <c:pt idx="0">
                  <c:v>2025</c:v>
                </c:pt>
                <c:pt idx="1">
                  <c:v>2026</c:v>
                </c:pt>
                <c:pt idx="2">
                  <c:v>2027</c:v>
                </c:pt>
                <c:pt idx="3">
                  <c:v>2028</c:v>
                </c:pt>
                <c:pt idx="4">
                  <c:v>2029</c:v>
                </c:pt>
              </c:numCache>
            </c:numRef>
          </c:cat>
          <c:val>
            <c:numRef>
              <c:f>Resultados!$M$109:$M$113</c:f>
              <c:numCache>
                <c:formatCode>"$ "#,##0</c:formatCode>
                <c:ptCount val="5"/>
                <c:pt idx="0">
                  <c:v>72249.444444444467</c:v>
                </c:pt>
                <c:pt idx="1">
                  <c:v>61555.613333333342</c:v>
                </c:pt>
                <c:pt idx="2">
                  <c:v>62282.285655555577</c:v>
                </c:pt>
                <c:pt idx="3">
                  <c:v>61998.025319111119</c:v>
                </c:pt>
                <c:pt idx="4">
                  <c:v>60609.583954210015</c:v>
                </c:pt>
              </c:numCache>
            </c:numRef>
          </c:val>
          <c:extLst>
            <c:ext xmlns:c16="http://schemas.microsoft.com/office/drawing/2014/chart" uri="{C3380CC4-5D6E-409C-BE32-E72D297353CC}">
              <c16:uniqueId val="{00000009-B014-4E57-8B2B-36EC42D0FCB2}"/>
            </c:ext>
          </c:extLst>
        </c:ser>
        <c:dLbls>
          <c:showLegendKey val="0"/>
          <c:showVal val="0"/>
          <c:showCatName val="0"/>
          <c:showSerName val="0"/>
          <c:showPercent val="0"/>
          <c:showBubbleSize val="0"/>
        </c:dLbls>
        <c:gapWidth val="128"/>
        <c:axId val="747696848"/>
        <c:axId val="747696192"/>
      </c:barChart>
      <c:catAx>
        <c:axId val="747696848"/>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192"/>
        <c:crosses val="autoZero"/>
        <c:auto val="1"/>
        <c:lblAlgn val="ctr"/>
        <c:lblOffset val="100"/>
        <c:noMultiLvlLbl val="0"/>
      </c:catAx>
      <c:valAx>
        <c:axId val="747696192"/>
        <c:scaling>
          <c:orientation val="minMax"/>
        </c:scaling>
        <c:delete val="0"/>
        <c:axPos val="l"/>
        <c:majorGridlines>
          <c:spPr>
            <a:ln w="9525" cap="flat" cmpd="sng" algn="ctr">
              <a:solidFill>
                <a:schemeClr val="tx1">
                  <a:lumMod val="15000"/>
                  <a:lumOff val="85000"/>
                </a:schemeClr>
              </a:solidFill>
              <a:round/>
            </a:ln>
            <a:effectLst/>
          </c:spPr>
        </c:majorGridlines>
        <c:numFmt formatCode="&quot;$ &quot;#,##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848"/>
        <c:crosses val="autoZero"/>
        <c:crossBetween val="between"/>
      </c:valAx>
      <c:spPr>
        <a:noFill/>
        <a:ln>
          <a:noFill/>
        </a:ln>
        <a:effectLst/>
      </c:spPr>
    </c:plotArea>
    <c:legend>
      <c:legendPos val="b"/>
      <c:layout>
        <c:manualLayout>
          <c:xMode val="edge"/>
          <c:yMode val="edge"/>
          <c:x val="6.010930439548115E-2"/>
          <c:y val="0.79995765128067187"/>
          <c:w val="0.88786253512702207"/>
          <c:h val="0.20004234871932811"/>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8" Type="http://schemas.openxmlformats.org/officeDocument/2006/relationships/chart" Target="../charts/chart16.xml"/><Relationship Id="rId3" Type="http://schemas.openxmlformats.org/officeDocument/2006/relationships/chart" Target="../charts/chart11.xml"/><Relationship Id="rId7" Type="http://schemas.openxmlformats.org/officeDocument/2006/relationships/chart" Target="../charts/chart15.xml"/><Relationship Id="rId2" Type="http://schemas.openxmlformats.org/officeDocument/2006/relationships/chart" Target="../charts/chart10.xml"/><Relationship Id="rId1" Type="http://schemas.openxmlformats.org/officeDocument/2006/relationships/chart" Target="../charts/chart9.xml"/><Relationship Id="rId6" Type="http://schemas.openxmlformats.org/officeDocument/2006/relationships/chart" Target="../charts/chart14.xml"/><Relationship Id="rId5" Type="http://schemas.openxmlformats.org/officeDocument/2006/relationships/chart" Target="../charts/chart13.xml"/><Relationship Id="rId4" Type="http://schemas.openxmlformats.org/officeDocument/2006/relationships/chart" Target="../charts/chart12.xml"/></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8" Type="http://schemas.openxmlformats.org/officeDocument/2006/relationships/chart" Target="../charts/chart24.xml"/><Relationship Id="rId3" Type="http://schemas.openxmlformats.org/officeDocument/2006/relationships/chart" Target="../charts/chart19.xml"/><Relationship Id="rId7" Type="http://schemas.openxmlformats.org/officeDocument/2006/relationships/chart" Target="../charts/chart23.xml"/><Relationship Id="rId2" Type="http://schemas.openxmlformats.org/officeDocument/2006/relationships/chart" Target="../charts/chart18.xml"/><Relationship Id="rId1" Type="http://schemas.openxmlformats.org/officeDocument/2006/relationships/chart" Target="../charts/chart17.xml"/><Relationship Id="rId6" Type="http://schemas.openxmlformats.org/officeDocument/2006/relationships/chart" Target="../charts/chart22.xml"/><Relationship Id="rId5" Type="http://schemas.openxmlformats.org/officeDocument/2006/relationships/chart" Target="../charts/chart21.xml"/><Relationship Id="rId4" Type="http://schemas.openxmlformats.org/officeDocument/2006/relationships/chart" Target="../charts/chart20.xml"/></Relationships>
</file>

<file path=xl/drawings/drawing1.xml><?xml version="1.0" encoding="utf-8"?>
<xdr:wsDr xmlns:xdr="http://schemas.openxmlformats.org/drawingml/2006/spreadsheetDrawing" xmlns:a="http://schemas.openxmlformats.org/drawingml/2006/main">
  <xdr:oneCellAnchor>
    <xdr:from>
      <xdr:col>7</xdr:col>
      <xdr:colOff>393700</xdr:colOff>
      <xdr:row>1</xdr:row>
      <xdr:rowOff>140494</xdr:rowOff>
    </xdr:from>
    <xdr:ext cx="1292506" cy="581134"/>
    <xdr:pic>
      <xdr:nvPicPr>
        <xdr:cNvPr id="2" name="Picture 1">
          <a:extLst>
            <a:ext uri="{FF2B5EF4-FFF2-40B4-BE49-F238E27FC236}">
              <a16:creationId xmlns:a16="http://schemas.microsoft.com/office/drawing/2014/main" id="{E501777C-4653-4729-9AA0-9A9A6836349A}"/>
            </a:ext>
          </a:extLst>
        </xdr:cNvPr>
        <xdr:cNvPicPr>
          <a:picLocks noChangeAspect="1"/>
        </xdr:cNvPicPr>
      </xdr:nvPicPr>
      <xdr:blipFill>
        <a:blip xmlns:r="http://schemas.openxmlformats.org/officeDocument/2006/relationships" r:embed="rId1"/>
        <a:stretch>
          <a:fillRect/>
        </a:stretch>
      </xdr:blipFill>
      <xdr:spPr>
        <a:xfrm>
          <a:off x="8318500" y="254794"/>
          <a:ext cx="1292506" cy="581134"/>
        </a:xfrm>
        <a:prstGeom prst="rect">
          <a:avLst/>
        </a:prstGeom>
      </xdr:spPr>
    </xdr:pic>
    <xdr:clientData/>
  </xdr:oneCellAnchor>
  <xdr:twoCellAnchor>
    <xdr:from>
      <xdr:col>0</xdr:col>
      <xdr:colOff>76200</xdr:colOff>
      <xdr:row>1</xdr:row>
      <xdr:rowOff>292100</xdr:rowOff>
    </xdr:from>
    <xdr:to>
      <xdr:col>3</xdr:col>
      <xdr:colOff>647700</xdr:colOff>
      <xdr:row>2</xdr:row>
      <xdr:rowOff>139700</xdr:rowOff>
    </xdr:to>
    <xdr:sp macro="" textlink="">
      <xdr:nvSpPr>
        <xdr:cNvPr id="3" name="Diamond 2">
          <a:extLst>
            <a:ext uri="{FF2B5EF4-FFF2-40B4-BE49-F238E27FC236}">
              <a16:creationId xmlns:a16="http://schemas.microsoft.com/office/drawing/2014/main" id="{A6DAF832-1BCA-8542-B88D-85171239F2B7}"/>
            </a:ext>
            <a:ext uri="{147F2762-F138-4A5C-976F-8EAC2B608ADB}">
              <a16:predDERef xmlns:a16="http://schemas.microsoft.com/office/drawing/2014/main" pred="{E501777C-4653-4729-9AA0-9A9A6836349A}"/>
            </a:ext>
          </a:extLst>
        </xdr:cNvPr>
        <xdr:cNvSpPr/>
      </xdr:nvSpPr>
      <xdr:spPr>
        <a:xfrm>
          <a:off x="76200" y="406400"/>
          <a:ext cx="1397000" cy="1397000"/>
        </a:xfrm>
        <a:prstGeom prst="diamond">
          <a:avLst/>
        </a:prstGeom>
        <a:solidFill>
          <a:srgbClr val="E2E278"/>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nchorCtr="0"/>
        <a:lstStyle/>
        <a:p>
          <a:pPr marL="0" indent="0" algn="ctr"/>
          <a:endParaRPr lang="en-US" sz="1600" b="1">
            <a:solidFill>
              <a:schemeClr val="tx1"/>
            </a:solidFill>
            <a:latin typeface="Arial" panose="020B0604020202020204" pitchFamily="34" charset="0"/>
            <a:cs typeface="Arial" panose="020B0604020202020204" pitchFamily="34" charset="0"/>
          </a:endParaRPr>
        </a:p>
        <a:p>
          <a:pPr marL="0" indent="0" algn="ctr"/>
          <a:r>
            <a:rPr lang="en-US" sz="1600" b="1">
              <a:solidFill>
                <a:schemeClr val="tx1"/>
              </a:solidFill>
              <a:latin typeface="Arial" panose="020B0604020202020204" pitchFamily="34" charset="0"/>
              <a:cs typeface="Arial" panose="020B0604020202020204" pitchFamily="34" charset="0"/>
            </a:rPr>
            <a:t>VS</a:t>
          </a:r>
          <a:r>
            <a:rPr lang="en-US" sz="1600" b="1" i="0" u="none" strike="noStrike">
              <a:solidFill>
                <a:schemeClr val="tx1"/>
              </a:solidFill>
              <a:latin typeface="Arial" panose="020B0604020202020204" pitchFamily="34" charset="0"/>
              <a:cs typeface="Arial" panose="020B0604020202020204" pitchFamily="34" charset="0"/>
            </a:rPr>
            <a:t>R</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0.23705</cdr:x>
      <cdr:y>0.02045</cdr:y>
    </cdr:from>
    <cdr:to>
      <cdr:x>0.78645</cdr:x>
      <cdr:y>0.16856</cdr:y>
    </cdr:to>
    <cdr:sp macro="" textlink="">
      <cdr:nvSpPr>
        <cdr:cNvPr id="3" name="TextBox 2">
          <a:extLst xmlns:a="http://schemas.openxmlformats.org/drawingml/2006/main">
            <a:ext uri="{FF2B5EF4-FFF2-40B4-BE49-F238E27FC236}">
              <a16:creationId xmlns:a16="http://schemas.microsoft.com/office/drawing/2014/main" id="{17C8B3FD-3B24-05EA-540F-9044595F3BF4}"/>
            </a:ext>
          </a:extLst>
        </cdr:cNvPr>
        <cdr:cNvSpPr txBox="1"/>
      </cdr:nvSpPr>
      <cdr:spPr>
        <a:xfrm xmlns:a="http://schemas.openxmlformats.org/drawingml/2006/main">
          <a:off x="1572868" y="67709"/>
          <a:ext cx="3645390" cy="49038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rtl="0"/>
          <a:r>
            <a:rPr lang="fr-CH" sz="1200" b="1" i="0" baseline="0">
              <a:effectLst/>
              <a:latin typeface="+mn-lt"/>
              <a:ea typeface="+mn-ea"/>
              <a:cs typeface="+mn-cs"/>
            </a:rPr>
            <a:t>Immunization Program Cost</a:t>
          </a:r>
          <a:endParaRPr lang="en-US" sz="1200">
            <a:effectLst/>
          </a:endParaRPr>
        </a:p>
        <a:p xmlns:a="http://schemas.openxmlformats.org/drawingml/2006/main">
          <a:pPr algn="ctr" rtl="0"/>
          <a:r>
            <a:rPr lang="fr-CH" sz="1200" b="1" i="0" baseline="0">
              <a:effectLst/>
              <a:latin typeface="+mn-lt"/>
              <a:ea typeface="+mn-ea"/>
              <a:cs typeface="+mn-cs"/>
            </a:rPr>
            <a:t>Vaccine/mAb cost + incremental health system costs</a:t>
          </a:r>
          <a:endParaRPr lang="en-US" sz="1200">
            <a:effectLst/>
          </a:endParaRPr>
        </a:p>
        <a:p xmlns:a="http://schemas.openxmlformats.org/drawingml/2006/main">
          <a:endParaRPr lang="en-US" sz="1100"/>
        </a:p>
      </cdr:txBody>
    </cdr:sp>
  </cdr:relSizeAnchor>
</c:userShapes>
</file>

<file path=xl/drawings/drawing11.xml><?xml version="1.0" encoding="utf-8"?>
<xdr:wsDr xmlns:xdr="http://schemas.openxmlformats.org/drawingml/2006/spreadsheetDrawing" xmlns:a="http://schemas.openxmlformats.org/drawingml/2006/main">
  <xdr:twoCellAnchor editAs="oneCell">
    <xdr:from>
      <xdr:col>1</xdr:col>
      <xdr:colOff>1130300</xdr:colOff>
      <xdr:row>1</xdr:row>
      <xdr:rowOff>38100</xdr:rowOff>
    </xdr:from>
    <xdr:to>
      <xdr:col>1</xdr:col>
      <xdr:colOff>2816074</xdr:colOff>
      <xdr:row>2</xdr:row>
      <xdr:rowOff>76200</xdr:rowOff>
    </xdr:to>
    <xdr:pic>
      <xdr:nvPicPr>
        <xdr:cNvPr id="2" name="Picture 1" descr="File:GAVI Alliance Colour Logo.jpg">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39900" y="215900"/>
          <a:ext cx="1685774" cy="63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7</xdr:row>
      <xdr:rowOff>0</xdr:rowOff>
    </xdr:from>
    <xdr:to>
      <xdr:col>2</xdr:col>
      <xdr:colOff>249736</xdr:colOff>
      <xdr:row>7</xdr:row>
      <xdr:rowOff>704454</xdr:rowOff>
    </xdr:to>
    <xdr:pic>
      <xdr:nvPicPr>
        <xdr:cNvPr id="2" name="Picture 1">
          <a:extLst>
            <a:ext uri="{FF2B5EF4-FFF2-40B4-BE49-F238E27FC236}">
              <a16:creationId xmlns:a16="http://schemas.microsoft.com/office/drawing/2014/main" id="{82D9AFCA-C7D7-438A-9818-FD796C420275}"/>
            </a:ext>
          </a:extLst>
        </xdr:cNvPr>
        <xdr:cNvPicPr>
          <a:picLocks noChangeAspect="1"/>
        </xdr:cNvPicPr>
      </xdr:nvPicPr>
      <xdr:blipFill rotWithShape="1">
        <a:blip xmlns:r="http://schemas.openxmlformats.org/officeDocument/2006/relationships" r:embed="rId1"/>
        <a:srcRect t="2241"/>
        <a:stretch/>
      </xdr:blipFill>
      <xdr:spPr>
        <a:xfrm>
          <a:off x="793750" y="1195917"/>
          <a:ext cx="245926" cy="717154"/>
        </a:xfrm>
        <a:prstGeom prst="rect">
          <a:avLst/>
        </a:prstGeom>
      </xdr:spPr>
    </xdr:pic>
    <xdr:clientData/>
  </xdr:twoCellAnchor>
  <xdr:twoCellAnchor>
    <xdr:from>
      <xdr:col>2</xdr:col>
      <xdr:colOff>306917</xdr:colOff>
      <xdr:row>6</xdr:row>
      <xdr:rowOff>50800</xdr:rowOff>
    </xdr:from>
    <xdr:to>
      <xdr:col>3</xdr:col>
      <xdr:colOff>406400</xdr:colOff>
      <xdr:row>7</xdr:row>
      <xdr:rowOff>241300</xdr:rowOff>
    </xdr:to>
    <xdr:sp macro="" textlink="">
      <xdr:nvSpPr>
        <xdr:cNvPr id="4" name="TextBox 3">
          <a:extLst>
            <a:ext uri="{FF2B5EF4-FFF2-40B4-BE49-F238E27FC236}">
              <a16:creationId xmlns:a16="http://schemas.microsoft.com/office/drawing/2014/main" id="{ACE9F306-BCB1-46E1-8AF6-F3D6E8901C18}"/>
            </a:ext>
          </a:extLst>
        </xdr:cNvPr>
        <xdr:cNvSpPr txBox="1"/>
      </xdr:nvSpPr>
      <xdr:spPr>
        <a:xfrm>
          <a:off x="891117" y="2641600"/>
          <a:ext cx="1534583" cy="292100"/>
        </a:xfrm>
        <a:prstGeom prst="rect">
          <a:avLst/>
        </a:prstGeom>
        <a:solidFill>
          <a:srgbClr val="E8ECEB"/>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419" sz="900">
              <a:latin typeface="Arial" panose="020B0604020202020204" pitchFamily="34" charset="0"/>
              <a:cs typeface="Arial" panose="020B0604020202020204" pitchFamily="34" charset="0"/>
            </a:rPr>
            <a:t>Costo o volumen más bajo</a:t>
          </a:r>
        </a:p>
      </xdr:txBody>
    </xdr:sp>
    <xdr:clientData/>
  </xdr:twoCellAnchor>
  <xdr:twoCellAnchor>
    <xdr:from>
      <xdr:col>2</xdr:col>
      <xdr:colOff>306917</xdr:colOff>
      <xdr:row>7</xdr:row>
      <xdr:rowOff>537633</xdr:rowOff>
    </xdr:from>
    <xdr:to>
      <xdr:col>3</xdr:col>
      <xdr:colOff>406400</xdr:colOff>
      <xdr:row>7</xdr:row>
      <xdr:rowOff>838200</xdr:rowOff>
    </xdr:to>
    <xdr:sp macro="" textlink="">
      <xdr:nvSpPr>
        <xdr:cNvPr id="3" name="TextBox 2">
          <a:extLst>
            <a:ext uri="{FF2B5EF4-FFF2-40B4-BE49-F238E27FC236}">
              <a16:creationId xmlns:a16="http://schemas.microsoft.com/office/drawing/2014/main" id="{FEB02974-3415-C94B-A10D-19B4AEAD0871}"/>
            </a:ext>
          </a:extLst>
        </xdr:cNvPr>
        <xdr:cNvSpPr txBox="1"/>
      </xdr:nvSpPr>
      <xdr:spPr>
        <a:xfrm>
          <a:off x="1157817" y="2074333"/>
          <a:ext cx="1534583" cy="300567"/>
        </a:xfrm>
        <a:prstGeom prst="rect">
          <a:avLst/>
        </a:prstGeom>
        <a:solidFill>
          <a:srgbClr val="E8ECEB"/>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419" sz="900">
              <a:latin typeface="Arial" panose="020B0604020202020204" pitchFamily="34" charset="0"/>
              <a:cs typeface="Arial" panose="020B0604020202020204" pitchFamily="34" charset="0"/>
            </a:rPr>
            <a:t>Costo o volumen más alto</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0</xdr:colOff>
      <xdr:row>6</xdr:row>
      <xdr:rowOff>0</xdr:rowOff>
    </xdr:from>
    <xdr:to>
      <xdr:col>3</xdr:col>
      <xdr:colOff>287139</xdr:colOff>
      <xdr:row>7</xdr:row>
      <xdr:rowOff>97790</xdr:rowOff>
    </xdr:to>
    <xdr:pic>
      <xdr:nvPicPr>
        <xdr:cNvPr id="2" name="Picture 1">
          <a:extLst>
            <a:ext uri="{FF2B5EF4-FFF2-40B4-BE49-F238E27FC236}">
              <a16:creationId xmlns:a16="http://schemas.microsoft.com/office/drawing/2014/main" id="{66E32706-8953-4F2C-9193-447E2701AF9C}"/>
            </a:ext>
          </a:extLst>
        </xdr:cNvPr>
        <xdr:cNvPicPr>
          <a:picLocks noChangeAspect="1"/>
        </xdr:cNvPicPr>
      </xdr:nvPicPr>
      <xdr:blipFill rotWithShape="1">
        <a:blip xmlns:r="http://schemas.openxmlformats.org/officeDocument/2006/relationships" r:embed="rId1"/>
        <a:srcRect t="2241"/>
        <a:stretch/>
      </xdr:blipFill>
      <xdr:spPr>
        <a:xfrm>
          <a:off x="609600" y="1574800"/>
          <a:ext cx="273804" cy="977900"/>
        </a:xfrm>
        <a:prstGeom prst="rect">
          <a:avLst/>
        </a:prstGeom>
      </xdr:spPr>
    </xdr:pic>
    <xdr:clientData/>
  </xdr:twoCellAnchor>
  <xdr:twoCellAnchor>
    <xdr:from>
      <xdr:col>3</xdr:col>
      <xdr:colOff>312208</xdr:colOff>
      <xdr:row>5</xdr:row>
      <xdr:rowOff>115357</xdr:rowOff>
    </xdr:from>
    <xdr:to>
      <xdr:col>3</xdr:col>
      <xdr:colOff>1339849</xdr:colOff>
      <xdr:row>8</xdr:row>
      <xdr:rowOff>288925</xdr:rowOff>
    </xdr:to>
    <xdr:sp macro="" textlink="">
      <xdr:nvSpPr>
        <xdr:cNvPr id="3" name="TextBox 2">
          <a:extLst>
            <a:ext uri="{FF2B5EF4-FFF2-40B4-BE49-F238E27FC236}">
              <a16:creationId xmlns:a16="http://schemas.microsoft.com/office/drawing/2014/main" id="{2C7EB89A-7460-4836-BA5F-910F7C838A20}"/>
            </a:ext>
          </a:extLst>
        </xdr:cNvPr>
        <xdr:cNvSpPr txBox="1"/>
      </xdr:nvSpPr>
      <xdr:spPr>
        <a:xfrm>
          <a:off x="921808" y="1563157"/>
          <a:ext cx="1027641" cy="1354668"/>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419" sz="900">
              <a:latin typeface="Arial" panose="020B0604020202020204" pitchFamily="34" charset="0"/>
              <a:cs typeface="Arial" panose="020B0604020202020204" pitchFamily="34" charset="0"/>
            </a:rPr>
            <a:t>Costo o volumen más bajo</a:t>
          </a:r>
        </a:p>
        <a:p>
          <a:pPr marL="0" marR="0" lvl="0" indent="0" algn="l" defTabSz="914400" eaLnBrk="1" fontAlgn="auto" latinLnBrk="0" hangingPunct="1">
            <a:lnSpc>
              <a:spcPct val="100000"/>
            </a:lnSpc>
            <a:spcBef>
              <a:spcPts val="0"/>
            </a:spcBef>
            <a:spcAft>
              <a:spcPts val="0"/>
            </a:spcAft>
            <a:buClrTx/>
            <a:buSzTx/>
            <a:buFontTx/>
            <a:buNone/>
            <a:tabLst/>
            <a:defRPr/>
          </a:pPr>
          <a:endParaRPr/>
        </a:p>
        <a:p>
          <a:pPr marL="0" marR="0" lvl="0" indent="0" algn="l" defTabSz="914400" eaLnBrk="1" fontAlgn="auto" latinLnBrk="0" hangingPunct="1">
            <a:lnSpc>
              <a:spcPct val="100000"/>
            </a:lnSpc>
            <a:spcBef>
              <a:spcPts val="0"/>
            </a:spcBef>
            <a:spcAft>
              <a:spcPts val="0"/>
            </a:spcAft>
            <a:buClrTx/>
            <a:buSzTx/>
            <a:buFontTx/>
            <a:buNone/>
            <a:tabLst/>
            <a:defRPr/>
          </a:pPr>
          <a:endParaRPr/>
        </a:p>
        <a:p>
          <a:pPr marL="0" marR="0" lvl="0" indent="0" algn="l" defTabSz="914400" eaLnBrk="1" fontAlgn="auto" latinLnBrk="0" hangingPunct="1">
            <a:lnSpc>
              <a:spcPct val="100000"/>
            </a:lnSpc>
            <a:spcBef>
              <a:spcPts val="0"/>
            </a:spcBef>
            <a:spcAft>
              <a:spcPts val="0"/>
            </a:spcAft>
            <a:buClrTx/>
            <a:buSzTx/>
            <a:buFontTx/>
            <a:buNone/>
            <a:tabLst/>
            <a:defRPr/>
          </a:pPr>
          <a:endParaRPr/>
        </a:p>
        <a:p>
          <a:pPr marL="0" marR="0" lvl="0" indent="0" algn="l" defTabSz="914400" eaLnBrk="1" fontAlgn="auto" latinLnBrk="0" hangingPunct="1">
            <a:lnSpc>
              <a:spcPct val="100000"/>
            </a:lnSpc>
            <a:spcBef>
              <a:spcPts val="0"/>
            </a:spcBef>
            <a:spcAft>
              <a:spcPts val="0"/>
            </a:spcAft>
            <a:buClrTx/>
            <a:buSzTx/>
            <a:buFontTx/>
            <a:buNone/>
            <a:tabLst/>
            <a:defRPr/>
          </a:pPr>
          <a:r>
            <a:rPr lang="es-419" sz="900">
              <a:solidFill>
                <a:schemeClr val="dk1"/>
              </a:solidFill>
              <a:effectLst/>
              <a:latin typeface="Arial" panose="020B0604020202020204" pitchFamily="34" charset="0"/>
              <a:ea typeface="+mn-ea"/>
              <a:cs typeface="Arial" panose="020B0604020202020204" pitchFamily="34" charset="0"/>
            </a:rPr>
            <a:t>Costo o volumen más alto</a:t>
          </a:r>
        </a:p>
        <a:p>
          <a:pPr marL="0" marR="0" lvl="0" indent="0" algn="l" defTabSz="914400" eaLnBrk="1" fontAlgn="auto" latinLnBrk="0" hangingPunct="1">
            <a:lnSpc>
              <a:spcPct val="100000"/>
            </a:lnSpc>
            <a:spcBef>
              <a:spcPts val="0"/>
            </a:spcBef>
            <a:spcAft>
              <a:spcPts val="0"/>
            </a:spcAft>
            <a:buClrTx/>
            <a:buSzTx/>
            <a:buFontTx/>
            <a:buNone/>
            <a:tabLst/>
            <a:defRPr/>
          </a:pPr>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76199</xdr:colOff>
      <xdr:row>6</xdr:row>
      <xdr:rowOff>38099</xdr:rowOff>
    </xdr:from>
    <xdr:to>
      <xdr:col>12</xdr:col>
      <xdr:colOff>457200</xdr:colOff>
      <xdr:row>23</xdr:row>
      <xdr:rowOff>28575</xdr:rowOff>
    </xdr:to>
    <xdr:graphicFrame macro="">
      <xdr:nvGraphicFramePr>
        <xdr:cNvPr id="11" name="Chart 10">
          <a:extLst>
            <a:ext uri="{FF2B5EF4-FFF2-40B4-BE49-F238E27FC236}">
              <a16:creationId xmlns:a16="http://schemas.microsoft.com/office/drawing/2014/main" id="{C79CDBCA-C8D5-42F3-83FF-B594971FF5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266700</xdr:colOff>
      <xdr:row>6</xdr:row>
      <xdr:rowOff>38099</xdr:rowOff>
    </xdr:from>
    <xdr:to>
      <xdr:col>24</xdr:col>
      <xdr:colOff>476250</xdr:colOff>
      <xdr:row>23</xdr:row>
      <xdr:rowOff>57150</xdr:rowOff>
    </xdr:to>
    <xdr:graphicFrame macro="">
      <xdr:nvGraphicFramePr>
        <xdr:cNvPr id="13" name="Chart 12">
          <a:extLst>
            <a:ext uri="{FF2B5EF4-FFF2-40B4-BE49-F238E27FC236}">
              <a16:creationId xmlns:a16="http://schemas.microsoft.com/office/drawing/2014/main" id="{B9BEAFF1-E40D-4ABD-972B-A170B8B42D9E}"/>
            </a:ext>
            <a:ext uri="{147F2762-F138-4A5C-976F-8EAC2B608ADB}">
              <a16:predDERef xmlns:a16="http://schemas.microsoft.com/office/drawing/2014/main" pred="{C79CDBCA-C8D5-42F3-83FF-B594971FF5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95248</xdr:colOff>
      <xdr:row>26</xdr:row>
      <xdr:rowOff>63499</xdr:rowOff>
    </xdr:from>
    <xdr:to>
      <xdr:col>12</xdr:col>
      <xdr:colOff>561975</xdr:colOff>
      <xdr:row>48</xdr:row>
      <xdr:rowOff>85724</xdr:rowOff>
    </xdr:to>
    <xdr:graphicFrame macro="">
      <xdr:nvGraphicFramePr>
        <xdr:cNvPr id="15" name="Chart 14">
          <a:extLst>
            <a:ext uri="{FF2B5EF4-FFF2-40B4-BE49-F238E27FC236}">
              <a16:creationId xmlns:a16="http://schemas.microsoft.com/office/drawing/2014/main" id="{65B9740D-733A-4817-9EEC-9F2EC231848A}"/>
            </a:ext>
            <a:ext uri="{147F2762-F138-4A5C-976F-8EAC2B608ADB}">
              <a16:predDERef xmlns:a16="http://schemas.microsoft.com/office/drawing/2014/main" pred="{B9BEAFF1-E40D-4ABD-972B-A170B8B42D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114300</xdr:colOff>
      <xdr:row>26</xdr:row>
      <xdr:rowOff>76200</xdr:rowOff>
    </xdr:from>
    <xdr:to>
      <xdr:col>24</xdr:col>
      <xdr:colOff>457200</xdr:colOff>
      <xdr:row>48</xdr:row>
      <xdr:rowOff>95250</xdr:rowOff>
    </xdr:to>
    <xdr:graphicFrame macro="">
      <xdr:nvGraphicFramePr>
        <xdr:cNvPr id="17" name="Chart 16">
          <a:extLst>
            <a:ext uri="{FF2B5EF4-FFF2-40B4-BE49-F238E27FC236}">
              <a16:creationId xmlns:a16="http://schemas.microsoft.com/office/drawing/2014/main" id="{CB41FB04-069C-49DD-A956-F5C2BCCD1CE2}"/>
            </a:ext>
            <a:ext uri="{147F2762-F138-4A5C-976F-8EAC2B608ADB}">
              <a16:predDERef xmlns:a16="http://schemas.microsoft.com/office/drawing/2014/main" pred="{65B9740D-733A-4817-9EEC-9F2EC23184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53</xdr:row>
      <xdr:rowOff>6349</xdr:rowOff>
    </xdr:from>
    <xdr:to>
      <xdr:col>12</xdr:col>
      <xdr:colOff>504825</xdr:colOff>
      <xdr:row>70</xdr:row>
      <xdr:rowOff>76199</xdr:rowOff>
    </xdr:to>
    <xdr:graphicFrame macro="">
      <xdr:nvGraphicFramePr>
        <xdr:cNvPr id="18" name="Chart 17">
          <a:extLst>
            <a:ext uri="{FF2B5EF4-FFF2-40B4-BE49-F238E27FC236}">
              <a16:creationId xmlns:a16="http://schemas.microsoft.com/office/drawing/2014/main" id="{29F1E2A4-8FAB-4629-A896-5E8B1857B4A1}"/>
            </a:ext>
            <a:ext uri="{147F2762-F138-4A5C-976F-8EAC2B608ADB}">
              <a16:predDERef xmlns:a16="http://schemas.microsoft.com/office/drawing/2014/main" pred="{CB41FB04-069C-49DD-A956-F5C2BCCD1C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13</xdr:col>
      <xdr:colOff>76200</xdr:colOff>
      <xdr:row>52</xdr:row>
      <xdr:rowOff>114300</xdr:rowOff>
    </xdr:from>
    <xdr:to>
      <xdr:col>24</xdr:col>
      <xdr:colOff>508000</xdr:colOff>
      <xdr:row>70</xdr:row>
      <xdr:rowOff>88900</xdr:rowOff>
    </xdr:to>
    <xdr:graphicFrame macro="">
      <xdr:nvGraphicFramePr>
        <xdr:cNvPr id="19" name="Chart 18">
          <a:extLst>
            <a:ext uri="{FF2B5EF4-FFF2-40B4-BE49-F238E27FC236}">
              <a16:creationId xmlns:a16="http://schemas.microsoft.com/office/drawing/2014/main" id="{DAAD6099-22E4-403B-8A4B-2CF9E2E4CA84}"/>
            </a:ext>
            <a:ext uri="{147F2762-F138-4A5C-976F-8EAC2B608ADB}">
              <a16:predDERef xmlns:a16="http://schemas.microsoft.com/office/drawing/2014/main" pred="{29F1E2A4-8FAB-4629-A896-5E8B1857B4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295274</xdr:colOff>
      <xdr:row>74</xdr:row>
      <xdr:rowOff>0</xdr:rowOff>
    </xdr:from>
    <xdr:to>
      <xdr:col>12</xdr:col>
      <xdr:colOff>619124</xdr:colOff>
      <xdr:row>96</xdr:row>
      <xdr:rowOff>0</xdr:rowOff>
    </xdr:to>
    <xdr:graphicFrame macro="">
      <xdr:nvGraphicFramePr>
        <xdr:cNvPr id="21" name="Chart 20">
          <a:extLst>
            <a:ext uri="{FF2B5EF4-FFF2-40B4-BE49-F238E27FC236}">
              <a16:creationId xmlns:a16="http://schemas.microsoft.com/office/drawing/2014/main" id="{60294334-FE3B-4B7C-A058-25972638E679}"/>
            </a:ext>
            <a:ext uri="{147F2762-F138-4A5C-976F-8EAC2B608ADB}">
              <a16:predDERef xmlns:a16="http://schemas.microsoft.com/office/drawing/2014/main" pred="{DAAD6099-22E4-403B-8A4B-2CF9E2E4CA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114298</xdr:colOff>
      <xdr:row>73</xdr:row>
      <xdr:rowOff>177800</xdr:rowOff>
    </xdr:from>
    <xdr:to>
      <xdr:col>24</xdr:col>
      <xdr:colOff>498474</xdr:colOff>
      <xdr:row>96</xdr:row>
      <xdr:rowOff>6350</xdr:rowOff>
    </xdr:to>
    <xdr:graphicFrame macro="">
      <xdr:nvGraphicFramePr>
        <xdr:cNvPr id="22" name="Chart 21">
          <a:extLst>
            <a:ext uri="{FF2B5EF4-FFF2-40B4-BE49-F238E27FC236}">
              <a16:creationId xmlns:a16="http://schemas.microsoft.com/office/drawing/2014/main" id="{C1A602BD-E67F-47BD-8828-3EA3E22B411E}"/>
            </a:ext>
            <a:ext uri="{147F2762-F138-4A5C-976F-8EAC2B608ADB}">
              <a16:predDERef xmlns:a16="http://schemas.microsoft.com/office/drawing/2014/main" pred="{60294334-FE3B-4B7C-A058-25972638E6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22</xdr:row>
      <xdr:rowOff>292825</xdr:rowOff>
    </xdr:from>
    <xdr:to>
      <xdr:col>11</xdr:col>
      <xdr:colOff>397933</xdr:colOff>
      <xdr:row>45</xdr:row>
      <xdr:rowOff>52251</xdr:rowOff>
    </xdr:to>
    <xdr:graphicFrame macro="">
      <xdr:nvGraphicFramePr>
        <xdr:cNvPr id="2" name="Chart 1">
          <a:extLst>
            <a:ext uri="{FF2B5EF4-FFF2-40B4-BE49-F238E27FC236}">
              <a16:creationId xmlns:a16="http://schemas.microsoft.com/office/drawing/2014/main" id="{DF276E02-5260-423E-8AD1-73E25535FC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86591</xdr:colOff>
      <xdr:row>3</xdr:row>
      <xdr:rowOff>25977</xdr:rowOff>
    </xdr:from>
    <xdr:to>
      <xdr:col>11</xdr:col>
      <xdr:colOff>502227</xdr:colOff>
      <xdr:row>21</xdr:row>
      <xdr:rowOff>8659</xdr:rowOff>
    </xdr:to>
    <xdr:graphicFrame macro="">
      <xdr:nvGraphicFramePr>
        <xdr:cNvPr id="14" name="Chart 13">
          <a:extLst>
            <a:ext uri="{FF2B5EF4-FFF2-40B4-BE49-F238E27FC236}">
              <a16:creationId xmlns:a16="http://schemas.microsoft.com/office/drawing/2014/main" id="{A97667B8-9477-4AC2-9D07-36320F64D49B}"/>
            </a:ext>
            <a:ext uri="{147F2762-F138-4A5C-976F-8EAC2B608ADB}">
              <a16:predDERef xmlns:a16="http://schemas.microsoft.com/office/drawing/2014/main" pred="{DF276E02-5260-423E-8AD1-73E25535FC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476250</xdr:colOff>
      <xdr:row>2</xdr:row>
      <xdr:rowOff>181841</xdr:rowOff>
    </xdr:from>
    <xdr:to>
      <xdr:col>23</xdr:col>
      <xdr:colOff>303068</xdr:colOff>
      <xdr:row>20</xdr:row>
      <xdr:rowOff>112568</xdr:rowOff>
    </xdr:to>
    <xdr:graphicFrame macro="">
      <xdr:nvGraphicFramePr>
        <xdr:cNvPr id="16" name="Chart 15">
          <a:extLst>
            <a:ext uri="{FF2B5EF4-FFF2-40B4-BE49-F238E27FC236}">
              <a16:creationId xmlns:a16="http://schemas.microsoft.com/office/drawing/2014/main" id="{5CE34D27-1768-4497-8EAD-A20BB40C3939}"/>
            </a:ext>
            <a:ext uri="{147F2762-F138-4A5C-976F-8EAC2B608ADB}">
              <a16:predDERef xmlns:a16="http://schemas.microsoft.com/office/drawing/2014/main" pred="{A97667B8-9477-4AC2-9D07-36320F64D4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294410</xdr:colOff>
      <xdr:row>23</xdr:row>
      <xdr:rowOff>8660</xdr:rowOff>
    </xdr:from>
    <xdr:to>
      <xdr:col>23</xdr:col>
      <xdr:colOff>103525</xdr:colOff>
      <xdr:row>45</xdr:row>
      <xdr:rowOff>63361</xdr:rowOff>
    </xdr:to>
    <xdr:graphicFrame macro="">
      <xdr:nvGraphicFramePr>
        <xdr:cNvPr id="18" name="Chart 17">
          <a:extLst>
            <a:ext uri="{FF2B5EF4-FFF2-40B4-BE49-F238E27FC236}">
              <a16:creationId xmlns:a16="http://schemas.microsoft.com/office/drawing/2014/main" id="{5E6EDAD0-C26F-4DDF-9273-DA6A3DFD5A88}"/>
            </a:ext>
            <a:ext uri="{147F2762-F138-4A5C-976F-8EAC2B608ADB}">
              <a16:predDERef xmlns:a16="http://schemas.microsoft.com/office/drawing/2014/main" pred="{5CE34D27-1768-4497-8EAD-A20BB40C39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207818</xdr:colOff>
      <xdr:row>48</xdr:row>
      <xdr:rowOff>129886</xdr:rowOff>
    </xdr:from>
    <xdr:to>
      <xdr:col>12</xdr:col>
      <xdr:colOff>34636</xdr:colOff>
      <xdr:row>66</xdr:row>
      <xdr:rowOff>112568</xdr:rowOff>
    </xdr:to>
    <xdr:graphicFrame macro="">
      <xdr:nvGraphicFramePr>
        <xdr:cNvPr id="19" name="Chart 18">
          <a:extLst>
            <a:ext uri="{FF2B5EF4-FFF2-40B4-BE49-F238E27FC236}">
              <a16:creationId xmlns:a16="http://schemas.microsoft.com/office/drawing/2014/main" id="{EF8C22D4-F20C-402C-80E9-01FA1C54BA28}"/>
            </a:ext>
            <a:ext uri="{147F2762-F138-4A5C-976F-8EAC2B608ADB}">
              <a16:predDERef xmlns:a16="http://schemas.microsoft.com/office/drawing/2014/main" pred="{5E6EDAD0-C26F-4DDF-9273-DA6A3DFD5A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458931</xdr:colOff>
      <xdr:row>48</xdr:row>
      <xdr:rowOff>103909</xdr:rowOff>
    </xdr:from>
    <xdr:to>
      <xdr:col>23</xdr:col>
      <xdr:colOff>355022</xdr:colOff>
      <xdr:row>67</xdr:row>
      <xdr:rowOff>8659</xdr:rowOff>
    </xdr:to>
    <xdr:graphicFrame macro="">
      <xdr:nvGraphicFramePr>
        <xdr:cNvPr id="20" name="Chart 19">
          <a:extLst>
            <a:ext uri="{FF2B5EF4-FFF2-40B4-BE49-F238E27FC236}">
              <a16:creationId xmlns:a16="http://schemas.microsoft.com/office/drawing/2014/main" id="{4B4D4830-349F-4BDC-AC91-86336A936EFE}"/>
            </a:ext>
            <a:ext uri="{147F2762-F138-4A5C-976F-8EAC2B608ADB}">
              <a16:predDERef xmlns:a16="http://schemas.microsoft.com/office/drawing/2014/main" pred="{EF8C22D4-F20C-402C-80E9-01FA1C54BA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69</xdr:row>
      <xdr:rowOff>0</xdr:rowOff>
    </xdr:from>
    <xdr:to>
      <xdr:col>11</xdr:col>
      <xdr:colOff>397933</xdr:colOff>
      <xdr:row>91</xdr:row>
      <xdr:rowOff>54701</xdr:rowOff>
    </xdr:to>
    <xdr:graphicFrame macro="">
      <xdr:nvGraphicFramePr>
        <xdr:cNvPr id="22" name="Chart 21">
          <a:extLst>
            <a:ext uri="{FF2B5EF4-FFF2-40B4-BE49-F238E27FC236}">
              <a16:creationId xmlns:a16="http://schemas.microsoft.com/office/drawing/2014/main" id="{BF6321B7-9DD1-471D-8E4D-61D16DF0401A}"/>
            </a:ext>
            <a:ext uri="{147F2762-F138-4A5C-976F-8EAC2B608ADB}">
              <a16:predDERef xmlns:a16="http://schemas.microsoft.com/office/drawing/2014/main" pred="{4B4D4830-349F-4BDC-AC91-86336A936E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0</xdr:colOff>
      <xdr:row>69</xdr:row>
      <xdr:rowOff>0</xdr:rowOff>
    </xdr:from>
    <xdr:to>
      <xdr:col>23</xdr:col>
      <xdr:colOff>397933</xdr:colOff>
      <xdr:row>91</xdr:row>
      <xdr:rowOff>54701</xdr:rowOff>
    </xdr:to>
    <xdr:graphicFrame macro="">
      <xdr:nvGraphicFramePr>
        <xdr:cNvPr id="23" name="Chart 22">
          <a:extLst>
            <a:ext uri="{FF2B5EF4-FFF2-40B4-BE49-F238E27FC236}">
              <a16:creationId xmlns:a16="http://schemas.microsoft.com/office/drawing/2014/main" id="{E3F80978-0F61-44B9-ABD9-0437428A2AE8}"/>
            </a:ext>
            <a:ext uri="{147F2762-F138-4A5C-976F-8EAC2B608ADB}">
              <a16:predDERef xmlns:a16="http://schemas.microsoft.com/office/drawing/2014/main" pred="{BF6321B7-9DD1-471D-8E4D-61D16DF040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0.23901</cdr:x>
      <cdr:y>0.00508</cdr:y>
    </cdr:from>
    <cdr:to>
      <cdr:x>0.7216</cdr:x>
      <cdr:y>0.14446</cdr:y>
    </cdr:to>
    <cdr:pic>
      <cdr:nvPicPr>
        <cdr:cNvPr id="2" name="chart">
          <a:extLst xmlns:a="http://schemas.openxmlformats.org/drawingml/2006/main">
            <a:ext uri="{FF2B5EF4-FFF2-40B4-BE49-F238E27FC236}">
              <a16:creationId xmlns:a16="http://schemas.microsoft.com/office/drawing/2014/main" id="{98374EBF-578A-C29E-E1E7-A3EE5BF3B1CC}"/>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1506681" y="17318"/>
          <a:ext cx="3042168" cy="475529"/>
        </a:xfrm>
        <a:prstGeom xmlns:a="http://schemas.openxmlformats.org/drawingml/2006/main" prst="rect">
          <a:avLst/>
        </a:prstGeom>
      </cdr:spPr>
    </cdr:pic>
  </cdr:relSizeAnchor>
</c:userShapes>
</file>

<file path=xl/drawings/drawing7.xml><?xml version="1.0" encoding="utf-8"?>
<c:userShapes xmlns:c="http://schemas.openxmlformats.org/drawingml/2006/chart">
  <cdr:relSizeAnchor xmlns:cdr="http://schemas.openxmlformats.org/drawingml/2006/chartDrawing">
    <cdr:from>
      <cdr:x>0.23901</cdr:x>
      <cdr:y>0.00508</cdr:y>
    </cdr:from>
    <cdr:to>
      <cdr:x>0.7216</cdr:x>
      <cdr:y>0.14446</cdr:y>
    </cdr:to>
    <cdr:pic>
      <cdr:nvPicPr>
        <cdr:cNvPr id="2" name="chart">
          <a:extLst xmlns:a="http://schemas.openxmlformats.org/drawingml/2006/main">
            <a:ext uri="{FF2B5EF4-FFF2-40B4-BE49-F238E27FC236}">
              <a16:creationId xmlns:a16="http://schemas.microsoft.com/office/drawing/2014/main" id="{98374EBF-578A-C29E-E1E7-A3EE5BF3B1CC}"/>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1506681" y="17318"/>
          <a:ext cx="3042168" cy="475529"/>
        </a:xfrm>
        <a:prstGeom xmlns:a="http://schemas.openxmlformats.org/drawingml/2006/main" prst="rect">
          <a:avLst/>
        </a:prstGeom>
      </cdr:spPr>
    </cdr:pic>
  </cdr:relSizeAnchor>
</c:userShapes>
</file>

<file path=xl/drawings/drawing8.xml><?xml version="1.0" encoding="utf-8"?>
<xdr:wsDr xmlns:xdr="http://schemas.openxmlformats.org/drawingml/2006/spreadsheetDrawing" xmlns:a="http://schemas.openxmlformats.org/drawingml/2006/main">
  <xdr:twoCellAnchor>
    <xdr:from>
      <xdr:col>1</xdr:col>
      <xdr:colOff>0</xdr:colOff>
      <xdr:row>23</xdr:row>
      <xdr:rowOff>292825</xdr:rowOff>
    </xdr:from>
    <xdr:to>
      <xdr:col>11</xdr:col>
      <xdr:colOff>397933</xdr:colOff>
      <xdr:row>46</xdr:row>
      <xdr:rowOff>52251</xdr:rowOff>
    </xdr:to>
    <xdr:graphicFrame macro="">
      <xdr:nvGraphicFramePr>
        <xdr:cNvPr id="2" name="Chart 1">
          <a:extLst>
            <a:ext uri="{FF2B5EF4-FFF2-40B4-BE49-F238E27FC236}">
              <a16:creationId xmlns:a16="http://schemas.microsoft.com/office/drawing/2014/main" id="{5CB3E5EA-6726-4E59-9359-8E9B59E136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86591</xdr:colOff>
      <xdr:row>4</xdr:row>
      <xdr:rowOff>25977</xdr:rowOff>
    </xdr:from>
    <xdr:to>
      <xdr:col>11</xdr:col>
      <xdr:colOff>502227</xdr:colOff>
      <xdr:row>22</xdr:row>
      <xdr:rowOff>8659</xdr:rowOff>
    </xdr:to>
    <xdr:graphicFrame macro="">
      <xdr:nvGraphicFramePr>
        <xdr:cNvPr id="3" name="Chart 2">
          <a:extLst>
            <a:ext uri="{FF2B5EF4-FFF2-40B4-BE49-F238E27FC236}">
              <a16:creationId xmlns:a16="http://schemas.microsoft.com/office/drawing/2014/main" id="{5CA04475-01DE-44B6-B717-862EC5277990}"/>
            </a:ext>
            <a:ext uri="{147F2762-F138-4A5C-976F-8EAC2B608ADB}">
              <a16:predDERef xmlns:a16="http://schemas.microsoft.com/office/drawing/2014/main" pred="{5CB3E5EA-6726-4E59-9359-8E9B59E136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441613</xdr:colOff>
      <xdr:row>4</xdr:row>
      <xdr:rowOff>5482</xdr:rowOff>
    </xdr:from>
    <xdr:to>
      <xdr:col>23</xdr:col>
      <xdr:colOff>225135</xdr:colOff>
      <xdr:row>22</xdr:row>
      <xdr:rowOff>43295</xdr:rowOff>
    </xdr:to>
    <xdr:graphicFrame macro="">
      <xdr:nvGraphicFramePr>
        <xdr:cNvPr id="4" name="Chart 3">
          <a:extLst>
            <a:ext uri="{FF2B5EF4-FFF2-40B4-BE49-F238E27FC236}">
              <a16:creationId xmlns:a16="http://schemas.microsoft.com/office/drawing/2014/main" id="{BFD90BD0-1002-4D55-A515-78CFE4BCDBFA}"/>
            </a:ext>
            <a:ext uri="{147F2762-F138-4A5C-976F-8EAC2B608ADB}">
              <a16:predDERef xmlns:a16="http://schemas.microsoft.com/office/drawing/2014/main" pred="{5CA04475-01DE-44B6-B717-862EC52779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410153</xdr:colOff>
      <xdr:row>23</xdr:row>
      <xdr:rowOff>173182</xdr:rowOff>
    </xdr:from>
    <xdr:to>
      <xdr:col>23</xdr:col>
      <xdr:colOff>268432</xdr:colOff>
      <xdr:row>46</xdr:row>
      <xdr:rowOff>57877</xdr:rowOff>
    </xdr:to>
    <xdr:graphicFrame macro="">
      <xdr:nvGraphicFramePr>
        <xdr:cNvPr id="5" name="Chart 4">
          <a:extLst>
            <a:ext uri="{FF2B5EF4-FFF2-40B4-BE49-F238E27FC236}">
              <a16:creationId xmlns:a16="http://schemas.microsoft.com/office/drawing/2014/main" id="{B6721D2E-E15E-4A64-8CD8-83993F74CAF8}"/>
            </a:ext>
            <a:ext uri="{147F2762-F138-4A5C-976F-8EAC2B608ADB}">
              <a16:predDERef xmlns:a16="http://schemas.microsoft.com/office/drawing/2014/main" pred="{BFD90BD0-1002-4D55-A515-78CFE4BCDB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233795</xdr:colOff>
      <xdr:row>50</xdr:row>
      <xdr:rowOff>118052</xdr:rowOff>
    </xdr:from>
    <xdr:to>
      <xdr:col>12</xdr:col>
      <xdr:colOff>57438</xdr:colOff>
      <xdr:row>68</xdr:row>
      <xdr:rowOff>103909</xdr:rowOff>
    </xdr:to>
    <xdr:graphicFrame macro="">
      <xdr:nvGraphicFramePr>
        <xdr:cNvPr id="6" name="Chart 5">
          <a:extLst>
            <a:ext uri="{FF2B5EF4-FFF2-40B4-BE49-F238E27FC236}">
              <a16:creationId xmlns:a16="http://schemas.microsoft.com/office/drawing/2014/main" id="{DE35D1F6-C219-49F1-919A-E4D39CE28A53}"/>
            </a:ext>
            <a:ext uri="{147F2762-F138-4A5C-976F-8EAC2B608ADB}">
              <a16:predDERef xmlns:a16="http://schemas.microsoft.com/office/drawing/2014/main" pred="{B6721D2E-E15E-4A64-8CD8-83993F74CA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71</xdr:row>
      <xdr:rowOff>0</xdr:rowOff>
    </xdr:from>
    <xdr:to>
      <xdr:col>11</xdr:col>
      <xdr:colOff>397933</xdr:colOff>
      <xdr:row>93</xdr:row>
      <xdr:rowOff>54701</xdr:rowOff>
    </xdr:to>
    <xdr:graphicFrame macro="">
      <xdr:nvGraphicFramePr>
        <xdr:cNvPr id="7" name="Chart 6">
          <a:extLst>
            <a:ext uri="{FF2B5EF4-FFF2-40B4-BE49-F238E27FC236}">
              <a16:creationId xmlns:a16="http://schemas.microsoft.com/office/drawing/2014/main" id="{2765CCB3-A13D-4753-A066-A1CF2BD36F77}"/>
            </a:ext>
            <a:ext uri="{147F2762-F138-4A5C-976F-8EAC2B608ADB}">
              <a16:predDERef xmlns:a16="http://schemas.microsoft.com/office/drawing/2014/main" pred="{DE35D1F6-C219-49F1-919A-E4D39CE28A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xdr:col>
      <xdr:colOff>0</xdr:colOff>
      <xdr:row>71</xdr:row>
      <xdr:rowOff>0</xdr:rowOff>
    </xdr:from>
    <xdr:to>
      <xdr:col>23</xdr:col>
      <xdr:colOff>397933</xdr:colOff>
      <xdr:row>93</xdr:row>
      <xdr:rowOff>54701</xdr:rowOff>
    </xdr:to>
    <xdr:graphicFrame macro="">
      <xdr:nvGraphicFramePr>
        <xdr:cNvPr id="8" name="Chart 7">
          <a:extLst>
            <a:ext uri="{FF2B5EF4-FFF2-40B4-BE49-F238E27FC236}">
              <a16:creationId xmlns:a16="http://schemas.microsoft.com/office/drawing/2014/main" id="{49332BF1-4710-46FD-AF4D-553BAC822808}"/>
            </a:ext>
            <a:ext uri="{147F2762-F138-4A5C-976F-8EAC2B608ADB}">
              <a16:predDERef xmlns:a16="http://schemas.microsoft.com/office/drawing/2014/main" pred="{2765CCB3-A13D-4753-A066-A1CF2BD36F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0</xdr:colOff>
      <xdr:row>51</xdr:row>
      <xdr:rowOff>0</xdr:rowOff>
    </xdr:from>
    <xdr:to>
      <xdr:col>23</xdr:col>
      <xdr:colOff>400627</xdr:colOff>
      <xdr:row>69</xdr:row>
      <xdr:rowOff>37813</xdr:rowOff>
    </xdr:to>
    <xdr:graphicFrame macro="">
      <xdr:nvGraphicFramePr>
        <xdr:cNvPr id="9" name="Chart 8">
          <a:extLst>
            <a:ext uri="{FF2B5EF4-FFF2-40B4-BE49-F238E27FC236}">
              <a16:creationId xmlns:a16="http://schemas.microsoft.com/office/drawing/2014/main" id="{39BE0B4E-0AA1-4D8C-8455-0B553FACC6BC}"/>
            </a:ext>
            <a:ext uri="{147F2762-F138-4A5C-976F-8EAC2B608ADB}">
              <a16:predDERef xmlns:a16="http://schemas.microsoft.com/office/drawing/2014/main" pred="{49332BF1-4710-46FD-AF4D-553BAC8228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0.23705</cdr:x>
      <cdr:y>0.02045</cdr:y>
    </cdr:from>
    <cdr:to>
      <cdr:x>0.78645</cdr:x>
      <cdr:y>0.16856</cdr:y>
    </cdr:to>
    <cdr:sp macro="" textlink="">
      <cdr:nvSpPr>
        <cdr:cNvPr id="3" name="TextBox 2">
          <a:extLst xmlns:a="http://schemas.openxmlformats.org/drawingml/2006/main">
            <a:ext uri="{FF2B5EF4-FFF2-40B4-BE49-F238E27FC236}">
              <a16:creationId xmlns:a16="http://schemas.microsoft.com/office/drawing/2014/main" id="{17C8B3FD-3B24-05EA-540F-9044595F3BF4}"/>
            </a:ext>
          </a:extLst>
        </cdr:cNvPr>
        <cdr:cNvSpPr txBox="1"/>
      </cdr:nvSpPr>
      <cdr:spPr>
        <a:xfrm xmlns:a="http://schemas.openxmlformats.org/drawingml/2006/main">
          <a:off x="1572868" y="67709"/>
          <a:ext cx="3645390" cy="49038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rtl="0"/>
          <a:r>
            <a:rPr lang="fr-CH" sz="1200" b="1" i="0" baseline="0">
              <a:effectLst/>
              <a:latin typeface="+mn-lt"/>
              <a:ea typeface="+mn-ea"/>
              <a:cs typeface="+mn-cs"/>
            </a:rPr>
            <a:t>Immunization Program Cost</a:t>
          </a:r>
          <a:endParaRPr lang="en-US" sz="1200">
            <a:effectLst/>
          </a:endParaRPr>
        </a:p>
        <a:p xmlns:a="http://schemas.openxmlformats.org/drawingml/2006/main">
          <a:pPr algn="ctr" rtl="0"/>
          <a:r>
            <a:rPr lang="fr-CH" sz="1200" b="1" i="0" baseline="0">
              <a:effectLst/>
              <a:latin typeface="+mn-lt"/>
              <a:ea typeface="+mn-ea"/>
              <a:cs typeface="+mn-cs"/>
            </a:rPr>
            <a:t>Vaccine/mAb cost + incremental health system costs</a:t>
          </a:r>
          <a:endParaRPr lang="en-US" sz="1200">
            <a:effectLst/>
          </a:endParaRPr>
        </a:p>
        <a:p xmlns:a="http://schemas.openxmlformats.org/drawingml/2006/main">
          <a:endParaRPr lang="en-US" sz="1100"/>
        </a:p>
      </cdr:txBody>
    </cdr:sp>
  </cdr:relSizeAnchor>
</c:userShapes>
</file>

<file path=xl/persons/person.xml><?xml version="1.0" encoding="utf-8"?>
<personList xmlns="http://schemas.microsoft.com/office/spreadsheetml/2018/threadedcomments" xmlns:x="http://schemas.openxmlformats.org/spreadsheetml/2006/main">
  <person displayName="Rose Slavkovsky" id="{E806C41E-84E3-4CE5-B163-1AC9C2AE6B89}" userId="Rose Slavkovsky" providerId="None"/>
</personList>
</file>

<file path=xl/theme/theme1.xml><?xml version="1.0" encoding="utf-8"?>
<a:theme xmlns:a="http://schemas.openxmlformats.org/drawingml/2006/main" name="Office Theme">
  <a:themeElements>
    <a:clrScheme name="PATH - Shigella">
      <a:dk1>
        <a:srgbClr val="3F4856"/>
      </a:dk1>
      <a:lt1>
        <a:srgbClr val="FFFFFF"/>
      </a:lt1>
      <a:dk2>
        <a:srgbClr val="F65050"/>
      </a:dk2>
      <a:lt2>
        <a:srgbClr val="F5EFE9"/>
      </a:lt2>
      <a:accent1>
        <a:srgbClr val="009BA8"/>
      </a:accent1>
      <a:accent2>
        <a:srgbClr val="00602C"/>
      </a:accent2>
      <a:accent3>
        <a:srgbClr val="00AA49"/>
      </a:accent3>
      <a:accent4>
        <a:srgbClr val="FF2C3B"/>
      </a:accent4>
      <a:accent5>
        <a:srgbClr val="39339F"/>
      </a:accent5>
      <a:accent6>
        <a:srgbClr val="6863D8"/>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3" dT="2024-05-22T15:53:53.44" personId="{E806C41E-84E3-4CE5-B163-1AC9C2AE6B89}" id="{07851929-3E44-4D70-AF82-8295D8EEEFD8}">
    <text>The labels on the charts are not very intuitive, as we've seen the options grouped by target population/scenario in prior tabs, and now we only see product name except for the gray bar (RSV intervention, both maternal vaccine and mAb). Recommend that labels better correspond with terminology on prior sheets, otherwise, it looks like you are comparing like with like, but you are comparing very different scenarios. Also, in current labeling, can't tell the difference between the two Pfizer products of the same name and the two AstraZeneca products of the same name.</text>
  </threadedComment>
  <threadedComment ref="N71" dT="2024-05-22T15:56:17.20" personId="{E806C41E-84E3-4CE5-B163-1AC9C2AE6B89}" id="{65D9A249-4E07-4879-A9FA-982F4AF71666}">
    <text>In this chart, labels of bars overlap with x-axis labels. Will need to be reformatted.</text>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immunizationeconomics.org/ican-idcc" TargetMode="External"/><Relationship Id="rId1" Type="http://schemas.openxmlformats.org/officeDocument/2006/relationships/hyperlink" Target="https://www.gavi.org/our-alliance/market-shaping/product-information-vaccines-cold-chain-equipment"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8.xml"/><Relationship Id="rId1" Type="http://schemas.openxmlformats.org/officeDocument/2006/relationships/printerSettings" Target="../printerSettings/printerSettings10.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2.xml.rels><?xml version="1.0" encoding="UTF-8" standalone="yes"?>
<Relationships xmlns="http://schemas.openxmlformats.org/package/2006/relationships"><Relationship Id="rId8" Type="http://schemas.openxmlformats.org/officeDocument/2006/relationships/hyperlink" Target="https://extranet.who.int/gavi/PQ_Web/PreviewVaccine.aspx?nav=0&amp;ID=166" TargetMode="External"/><Relationship Id="rId3" Type="http://schemas.openxmlformats.org/officeDocument/2006/relationships/hyperlink" Target="https://extranet.who.int/gavi/PQ_Web/PreviewVaccine.aspx?nav=0&amp;ID=314" TargetMode="External"/><Relationship Id="rId7" Type="http://schemas.openxmlformats.org/officeDocument/2006/relationships/hyperlink" Target="https://extranet.who.int/gavi/PQ_Web/PreviewVaccine.aspx?nav=0&amp;ID=363" TargetMode="External"/><Relationship Id="rId12" Type="http://schemas.openxmlformats.org/officeDocument/2006/relationships/comments" Target="../comments2.xml"/><Relationship Id="rId2" Type="http://schemas.openxmlformats.org/officeDocument/2006/relationships/hyperlink" Target="https://extranet.who.int/gavi/PQ_Web/PreviewVaccine.aspx?nav=0&amp;ID=62" TargetMode="External"/><Relationship Id="rId1" Type="http://schemas.openxmlformats.org/officeDocument/2006/relationships/hyperlink" Target="https://extranet.who.int/gavi/PQ_Web/PreviewVaccine.aspx?nav=0&amp;ID=173" TargetMode="External"/><Relationship Id="rId6" Type="http://schemas.openxmlformats.org/officeDocument/2006/relationships/hyperlink" Target="https://extranet.who.int/gavi/PQ_Web/PreviewVaccine.aspx?nav=0&amp;ID=343" TargetMode="External"/><Relationship Id="rId11" Type="http://schemas.openxmlformats.org/officeDocument/2006/relationships/vmlDrawing" Target="../drawings/vmlDrawing2.vml"/><Relationship Id="rId5" Type="http://schemas.openxmlformats.org/officeDocument/2006/relationships/hyperlink" Target="https://extranet.who.int/gavi/PQ_Web/PreviewVaccine.aspx?nav=0&amp;ID=323" TargetMode="External"/><Relationship Id="rId10" Type="http://schemas.openxmlformats.org/officeDocument/2006/relationships/drawing" Target="../drawings/drawing11.xml"/><Relationship Id="rId4" Type="http://schemas.openxmlformats.org/officeDocument/2006/relationships/hyperlink" Target="https://extranet.who.int/gavi/PQ_Web/PreviewVaccine.aspx?nav=0&amp;ID=355" TargetMode="External"/><Relationship Id="rId9"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immunizationeconomics.org/ican-idcc" TargetMode="External"/><Relationship Id="rId1" Type="http://schemas.openxmlformats.org/officeDocument/2006/relationships/hyperlink" Target="https://www.gavi.org/our-alliance/market-shaping/product-information-vaccines-cold-chain-equipment"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gavi.org/our-alliance/market-shaping/product-information-vaccines-cold-chain-equipment" TargetMode="External"/><Relationship Id="rId7" Type="http://schemas.openxmlformats.org/officeDocument/2006/relationships/drawing" Target="../drawings/drawing1.xml"/><Relationship Id="rId2" Type="http://schemas.openxmlformats.org/officeDocument/2006/relationships/hyperlink" Target="https://www.unicef.org/supply/pricing-data" TargetMode="External"/><Relationship Id="rId1" Type="http://schemas.openxmlformats.org/officeDocument/2006/relationships/hyperlink" Target="http://immunizationeconomics.org/ican-idcc" TargetMode="External"/><Relationship Id="rId6" Type="http://schemas.openxmlformats.org/officeDocument/2006/relationships/printerSettings" Target="../printerSettings/printerSettings3.bin"/><Relationship Id="rId5" Type="http://schemas.openxmlformats.org/officeDocument/2006/relationships/hyperlink" Target="https://immunizationeconomics.org/thinkwell-idcc/" TargetMode="External"/><Relationship Id="rId4" Type="http://schemas.openxmlformats.org/officeDocument/2006/relationships/hyperlink" Target="https://www.unicef.org/supply/handling-fees"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immunizationeconomics.org/thinkwell-idcc/" TargetMode="External"/><Relationship Id="rId2" Type="http://schemas.openxmlformats.org/officeDocument/2006/relationships/hyperlink" Target="http://immunizationeconomics.org/ican-idcc" TargetMode="External"/><Relationship Id="rId1" Type="http://schemas.openxmlformats.org/officeDocument/2006/relationships/hyperlink" Target="https://www.gavi.org/our-alliance/market-shaping/product-information-vaccines-cold-chain-equipment"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5CF5F-5F41-4478-BA49-9492FE483312}">
  <sheetPr codeName="Sheet1"/>
  <dimension ref="A1:MM161"/>
  <sheetViews>
    <sheetView workbookViewId="0"/>
  </sheetViews>
  <sheetFormatPr defaultColWidth="8.81640625" defaultRowHeight="14.5" outlineLevelRow="1" outlineLevelCol="1"/>
  <cols>
    <col min="1" max="1" width="1.453125" style="80" customWidth="1"/>
    <col min="2" max="2" width="2.1796875" style="80" customWidth="1"/>
    <col min="3" max="3" width="40.81640625" style="81" customWidth="1"/>
    <col min="4" max="4" width="18.453125" style="81" customWidth="1"/>
    <col min="5" max="6" width="18.453125" style="81" hidden="1" customWidth="1" outlineLevel="1"/>
    <col min="7" max="7" width="18.453125" style="81" customWidth="1" collapsed="1"/>
    <col min="8" max="9" width="18.453125" style="81" hidden="1" customWidth="1" outlineLevel="1"/>
    <col min="10" max="10" width="18.453125" style="81" customWidth="1" collapsed="1"/>
    <col min="11" max="11" width="18.1796875" style="81" customWidth="1"/>
    <col min="12" max="12" width="18.453125" style="81" customWidth="1"/>
    <col min="13" max="13" width="27.453125" style="81" customWidth="1"/>
    <col min="14" max="14" width="18.453125" style="81" customWidth="1"/>
    <col min="15" max="15" width="21.81640625" style="108" customWidth="1"/>
    <col min="16" max="16" width="46.81640625" style="108" customWidth="1"/>
    <col min="17" max="17" width="25.453125" style="108" customWidth="1"/>
    <col min="18" max="18" width="4.81640625" style="108" customWidth="1"/>
    <col min="19" max="19" width="17.453125" style="81" customWidth="1"/>
    <col min="20" max="20" width="1.1796875" style="81" customWidth="1"/>
    <col min="21" max="21" width="17.453125" style="81" customWidth="1"/>
    <col min="22" max="22" width="59.1796875" style="81" customWidth="1"/>
    <col min="23" max="23" width="5.1796875" style="81" customWidth="1"/>
    <col min="24" max="24" width="25.453125" style="81" customWidth="1"/>
    <col min="25" max="25" width="19.1796875" style="81" customWidth="1"/>
    <col min="26" max="26" width="24.81640625" style="81" customWidth="1"/>
    <col min="27" max="27" width="19.1796875" style="81" customWidth="1"/>
    <col min="28" max="28" width="25" style="81" customWidth="1"/>
    <col min="29" max="29" width="19.453125" style="81" customWidth="1"/>
    <col min="30" max="30" width="15.81640625" style="81" customWidth="1"/>
    <col min="31" max="31" width="37" style="81" customWidth="1"/>
    <col min="32" max="32" width="8.81640625" style="81" customWidth="1"/>
    <col min="33" max="33" width="22.81640625" style="81" customWidth="1"/>
    <col min="34" max="34" width="15.81640625" style="81" customWidth="1"/>
    <col min="35" max="35" width="37" style="81" customWidth="1"/>
    <col min="36" max="36" width="2.81640625" style="81" customWidth="1"/>
    <col min="37" max="16384" width="8.81640625" style="81"/>
  </cols>
  <sheetData>
    <row r="1" spans="3:20" ht="12" customHeight="1">
      <c r="C1" s="116"/>
      <c r="D1" s="116"/>
      <c r="E1" s="80"/>
      <c r="F1" s="116"/>
      <c r="G1" s="116"/>
      <c r="H1" s="80"/>
      <c r="I1" s="80"/>
      <c r="J1" s="116"/>
      <c r="K1" s="80"/>
      <c r="L1" s="80"/>
      <c r="M1" s="80"/>
      <c r="P1" s="194"/>
      <c r="R1" s="195"/>
      <c r="T1" s="147"/>
    </row>
    <row r="2" spans="3:20" ht="33" customHeight="1">
      <c r="C2" s="917" t="s">
        <v>0</v>
      </c>
      <c r="D2" s="917"/>
      <c r="E2" s="917"/>
      <c r="F2" s="917"/>
      <c r="G2" s="917"/>
      <c r="H2" s="917"/>
      <c r="I2" s="917"/>
      <c r="J2" s="917"/>
      <c r="K2" s="80"/>
      <c r="L2" s="80"/>
      <c r="M2" s="80"/>
      <c r="P2" s="194"/>
      <c r="R2" s="195"/>
      <c r="T2" s="147"/>
    </row>
    <row r="3" spans="3:20" ht="39.75" customHeight="1">
      <c r="C3" s="221" t="s">
        <v>1</v>
      </c>
      <c r="D3" s="222"/>
      <c r="E3" s="222"/>
      <c r="F3" s="222"/>
      <c r="G3" s="223"/>
      <c r="H3" s="223"/>
      <c r="I3" s="223"/>
      <c r="J3" s="224"/>
      <c r="K3" s="223"/>
      <c r="L3" s="223"/>
      <c r="M3" s="188"/>
      <c r="Q3" s="196"/>
      <c r="R3" s="196"/>
      <c r="S3" s="146"/>
    </row>
    <row r="4" spans="3:20" ht="26.25" hidden="1" customHeight="1">
      <c r="C4" s="80"/>
      <c r="D4" s="80"/>
      <c r="E4" s="80"/>
      <c r="F4" s="80"/>
      <c r="G4" s="80"/>
      <c r="H4" s="80"/>
      <c r="I4" s="80"/>
      <c r="J4" s="918"/>
      <c r="K4" s="918"/>
      <c r="L4" s="80"/>
      <c r="M4" s="80"/>
      <c r="Q4" s="196"/>
      <c r="R4" s="196"/>
      <c r="S4" s="146"/>
    </row>
    <row r="5" spans="3:20" ht="14.25" hidden="1" customHeight="1">
      <c r="C5" s="80"/>
      <c r="D5" s="80"/>
      <c r="E5" s="80"/>
      <c r="F5" s="80"/>
      <c r="G5" s="80"/>
      <c r="H5" s="80"/>
      <c r="I5" s="80"/>
      <c r="J5" s="918"/>
      <c r="K5" s="918"/>
      <c r="L5" s="80"/>
      <c r="M5" s="80"/>
      <c r="Q5" s="196"/>
      <c r="R5" s="196"/>
      <c r="S5" s="146"/>
    </row>
    <row r="6" spans="3:20" ht="14.25" hidden="1" customHeight="1">
      <c r="C6" s="80"/>
      <c r="D6" s="80"/>
      <c r="E6" s="80"/>
      <c r="F6" s="80"/>
      <c r="G6" s="80"/>
      <c r="H6" s="80"/>
      <c r="I6" s="80"/>
      <c r="J6" s="80"/>
      <c r="K6" s="80"/>
      <c r="L6" s="103"/>
      <c r="M6" s="80"/>
      <c r="P6" s="197"/>
      <c r="Q6" s="196"/>
      <c r="R6" s="196"/>
      <c r="S6" s="146"/>
    </row>
    <row r="7" spans="3:20" ht="20.25" hidden="1" customHeight="1">
      <c r="C7" s="919" t="s">
        <v>2</v>
      </c>
      <c r="D7" s="920"/>
      <c r="E7" s="920"/>
      <c r="F7" s="920"/>
      <c r="G7" s="920"/>
      <c r="H7" s="920"/>
      <c r="I7" s="920"/>
      <c r="J7" s="920"/>
      <c r="K7" s="920"/>
      <c r="L7" s="920"/>
      <c r="M7" s="921"/>
      <c r="O7" s="182"/>
      <c r="P7" s="182"/>
      <c r="Q7" s="182"/>
      <c r="R7" s="182"/>
      <c r="S7" s="146"/>
    </row>
    <row r="8" spans="3:20" ht="20.25" hidden="1" customHeight="1">
      <c r="C8" s="922"/>
      <c r="D8" s="923"/>
      <c r="E8" s="923"/>
      <c r="F8" s="923"/>
      <c r="G8" s="923"/>
      <c r="H8" s="923"/>
      <c r="I8" s="923"/>
      <c r="J8" s="923"/>
      <c r="K8" s="923"/>
      <c r="L8" s="923"/>
      <c r="M8" s="924"/>
      <c r="O8" s="182"/>
      <c r="P8" s="182"/>
      <c r="Q8" s="182"/>
      <c r="R8" s="182"/>
      <c r="S8" s="146"/>
    </row>
    <row r="9" spans="3:20" ht="20.25" hidden="1" customHeight="1">
      <c r="C9" s="922"/>
      <c r="D9" s="923"/>
      <c r="E9" s="923"/>
      <c r="F9" s="923"/>
      <c r="G9" s="923"/>
      <c r="H9" s="923"/>
      <c r="I9" s="923"/>
      <c r="J9" s="923"/>
      <c r="K9" s="923"/>
      <c r="L9" s="923"/>
      <c r="M9" s="924"/>
      <c r="O9" s="182"/>
      <c r="P9" s="182"/>
      <c r="Q9" s="182"/>
      <c r="R9" s="182"/>
      <c r="S9" s="146"/>
    </row>
    <row r="10" spans="3:20" ht="27.25" hidden="1" customHeight="1">
      <c r="C10" s="925"/>
      <c r="D10" s="926"/>
      <c r="E10" s="926"/>
      <c r="F10" s="926"/>
      <c r="G10" s="926"/>
      <c r="H10" s="926"/>
      <c r="I10" s="926"/>
      <c r="J10" s="926"/>
      <c r="K10" s="926"/>
      <c r="L10" s="926"/>
      <c r="M10" s="927"/>
      <c r="O10" s="182"/>
      <c r="P10" s="182"/>
      <c r="Q10" s="182"/>
      <c r="R10" s="182"/>
      <c r="S10" s="146"/>
    </row>
    <row r="11" spans="3:20" ht="12" customHeight="1">
      <c r="C11" s="80"/>
      <c r="D11" s="80"/>
      <c r="E11" s="80"/>
      <c r="F11" s="80"/>
      <c r="G11" s="80"/>
      <c r="H11" s="80"/>
      <c r="I11" s="80"/>
      <c r="J11" s="116"/>
      <c r="K11" s="80"/>
      <c r="L11" s="80"/>
      <c r="M11" s="80"/>
      <c r="P11" s="194"/>
      <c r="R11" s="195"/>
      <c r="T11" s="147"/>
    </row>
    <row r="12" spans="3:20" ht="26.25" customHeight="1">
      <c r="C12" s="928" t="s">
        <v>3</v>
      </c>
      <c r="D12" s="929"/>
      <c r="E12" s="80"/>
      <c r="F12" s="80"/>
      <c r="G12" s="80"/>
      <c r="H12" s="80"/>
      <c r="I12" s="80"/>
      <c r="J12" s="80"/>
      <c r="K12" s="80"/>
      <c r="L12" s="103"/>
      <c r="M12" s="80"/>
      <c r="P12" s="194"/>
      <c r="Q12" s="196"/>
      <c r="R12" s="196"/>
      <c r="S12" s="146"/>
    </row>
    <row r="13" spans="3:20" ht="12" customHeight="1">
      <c r="E13" s="80"/>
      <c r="F13" s="80"/>
      <c r="G13" s="80"/>
      <c r="H13" s="80"/>
      <c r="I13" s="80"/>
      <c r="J13" s="116"/>
      <c r="K13" s="80"/>
      <c r="L13" s="80"/>
      <c r="M13" s="80"/>
      <c r="P13" s="194"/>
      <c r="R13" s="195"/>
      <c r="T13" s="147"/>
    </row>
    <row r="14" spans="3:20" ht="25.5" customHeight="1">
      <c r="C14" s="148" t="s">
        <v>4</v>
      </c>
      <c r="D14" s="148"/>
      <c r="E14" s="80"/>
      <c r="F14" s="80"/>
      <c r="G14" s="80"/>
      <c r="H14" s="80"/>
      <c r="I14" s="80"/>
      <c r="J14" s="80"/>
      <c r="K14" s="80"/>
      <c r="L14" s="80"/>
      <c r="M14" s="80"/>
      <c r="P14" s="194"/>
      <c r="R14" s="195"/>
      <c r="T14" s="147"/>
    </row>
    <row r="15" spans="3:20" ht="12" customHeight="1">
      <c r="E15" s="80"/>
      <c r="F15" s="80"/>
      <c r="G15" s="80"/>
      <c r="H15" s="80"/>
      <c r="I15" s="80"/>
      <c r="J15" s="80"/>
      <c r="K15" s="80"/>
      <c r="L15" s="80"/>
      <c r="M15" s="80"/>
      <c r="P15" s="194"/>
      <c r="R15" s="195"/>
      <c r="T15" s="147"/>
    </row>
    <row r="16" spans="3:20" ht="42.75" customHeight="1">
      <c r="C16" s="174" t="s">
        <v>5</v>
      </c>
      <c r="D16" s="694" t="s">
        <v>6</v>
      </c>
      <c r="E16" s="80"/>
      <c r="F16" s="80"/>
      <c r="G16" s="80"/>
      <c r="H16" s="80"/>
      <c r="I16" s="80"/>
      <c r="J16" s="80"/>
      <c r="K16" s="80"/>
      <c r="L16" s="80"/>
      <c r="M16" s="80"/>
      <c r="P16" s="194"/>
      <c r="R16" s="195"/>
      <c r="T16" s="147"/>
    </row>
    <row r="17" spans="3:20" ht="33" customHeight="1">
      <c r="C17" s="152" t="s">
        <v>7</v>
      </c>
      <c r="D17" s="149" t="s">
        <v>8</v>
      </c>
      <c r="E17" s="80"/>
      <c r="F17" s="80"/>
      <c r="G17" s="80"/>
      <c r="H17" s="80"/>
      <c r="I17" s="80"/>
      <c r="J17" s="116"/>
      <c r="K17" s="80"/>
      <c r="L17" s="80"/>
      <c r="M17" s="80"/>
      <c r="P17" s="194"/>
      <c r="R17" s="195"/>
      <c r="T17" s="147"/>
    </row>
    <row r="18" spans="3:20" ht="7.5" customHeight="1">
      <c r="C18" s="152"/>
      <c r="D18" s="151"/>
      <c r="E18" s="116"/>
      <c r="F18" s="80"/>
      <c r="G18" s="80"/>
      <c r="H18" s="80"/>
      <c r="I18" s="80"/>
      <c r="J18" s="116"/>
      <c r="K18" s="80"/>
      <c r="L18" s="80"/>
      <c r="M18" s="80"/>
      <c r="P18" s="194"/>
      <c r="R18" s="195"/>
      <c r="T18" s="147"/>
    </row>
    <row r="19" spans="3:20" ht="33" customHeight="1">
      <c r="C19" s="152" t="s">
        <v>9</v>
      </c>
      <c r="D19" s="149" t="s">
        <v>8</v>
      </c>
      <c r="E19" s="80"/>
      <c r="F19" s="80"/>
      <c r="G19" s="80"/>
      <c r="H19" s="80"/>
      <c r="I19" s="80"/>
      <c r="J19" s="116"/>
      <c r="K19" s="80"/>
      <c r="L19" s="80"/>
      <c r="M19" s="80"/>
      <c r="P19" s="194"/>
      <c r="R19" s="195"/>
      <c r="T19" s="147"/>
    </row>
    <row r="20" spans="3:20" ht="7.5" customHeight="1">
      <c r="C20" s="152"/>
      <c r="D20" s="151"/>
      <c r="E20" s="116"/>
      <c r="F20" s="80"/>
      <c r="G20" s="80"/>
      <c r="H20" s="80"/>
      <c r="I20" s="80"/>
      <c r="J20" s="116"/>
      <c r="K20" s="80"/>
      <c r="L20" s="80"/>
      <c r="M20" s="80"/>
      <c r="P20" s="194"/>
      <c r="R20" s="195"/>
      <c r="T20" s="147"/>
    </row>
    <row r="21" spans="3:20" ht="33" customHeight="1">
      <c r="C21" s="173" t="s">
        <v>10</v>
      </c>
      <c r="D21" s="150" t="s">
        <v>8</v>
      </c>
      <c r="E21" s="80"/>
      <c r="F21" s="80"/>
      <c r="G21" s="80"/>
      <c r="H21" s="80"/>
      <c r="I21" s="80"/>
      <c r="J21" s="116"/>
      <c r="K21" s="80"/>
      <c r="L21" s="80"/>
      <c r="M21" s="80"/>
      <c r="P21" s="194"/>
      <c r="R21" s="195"/>
      <c r="T21" s="147"/>
    </row>
    <row r="22" spans="3:20" ht="12" customHeight="1">
      <c r="C22" s="80"/>
      <c r="D22" s="80"/>
      <c r="E22" s="80"/>
      <c r="F22" s="80"/>
      <c r="G22" s="80"/>
      <c r="H22" s="80"/>
      <c r="I22" s="80"/>
      <c r="J22" s="116"/>
      <c r="K22" s="80"/>
      <c r="L22" s="80"/>
      <c r="M22" s="80"/>
      <c r="P22" s="194"/>
      <c r="R22" s="195"/>
      <c r="T22" s="147"/>
    </row>
    <row r="23" spans="3:20" ht="25.5" customHeight="1">
      <c r="C23" s="884" t="s">
        <v>11</v>
      </c>
      <c r="D23" s="885"/>
      <c r="E23" s="885"/>
      <c r="F23" s="885"/>
      <c r="G23" s="885"/>
      <c r="H23" s="885"/>
      <c r="I23" s="885"/>
      <c r="J23" s="885"/>
      <c r="K23" s="885"/>
      <c r="L23" s="885"/>
      <c r="M23" s="886"/>
      <c r="N23" s="690"/>
      <c r="O23" s="198"/>
      <c r="R23" s="199"/>
      <c r="S23" s="141"/>
      <c r="T23" s="142"/>
    </row>
    <row r="24" spans="3:20" ht="12" customHeight="1" thickBot="1">
      <c r="C24" s="80"/>
      <c r="D24" s="80"/>
      <c r="E24" s="80"/>
      <c r="F24" s="80"/>
      <c r="G24" s="80"/>
      <c r="H24" s="80"/>
      <c r="I24" s="80"/>
      <c r="J24" s="116"/>
      <c r="K24" s="80"/>
      <c r="L24" s="80"/>
      <c r="M24" s="80"/>
      <c r="P24" s="194"/>
      <c r="R24" s="195"/>
      <c r="T24" s="147"/>
    </row>
    <row r="25" spans="3:20" ht="119.5" customHeight="1" thickBot="1">
      <c r="C25" s="259" t="s">
        <v>12</v>
      </c>
      <c r="D25" s="912" t="s">
        <v>13</v>
      </c>
      <c r="E25" s="913"/>
      <c r="F25" s="914"/>
      <c r="G25" s="912" t="s">
        <v>14</v>
      </c>
      <c r="H25" s="913"/>
      <c r="I25" s="914"/>
      <c r="J25" s="912" t="s">
        <v>15</v>
      </c>
      <c r="K25" s="913"/>
      <c r="L25" s="915" t="s">
        <v>16</v>
      </c>
      <c r="M25" s="916"/>
      <c r="N25" s="691"/>
      <c r="O25" s="176"/>
      <c r="P25" s="200"/>
      <c r="R25" s="199"/>
      <c r="S25" s="141"/>
    </row>
    <row r="26" spans="3:20" ht="12" customHeight="1" thickBot="1">
      <c r="C26" s="80"/>
      <c r="D26" s="80"/>
      <c r="E26" s="80"/>
      <c r="F26" s="80"/>
      <c r="G26" s="80"/>
      <c r="H26" s="80"/>
      <c r="I26" s="80"/>
      <c r="J26" s="116"/>
      <c r="K26" s="80"/>
      <c r="L26" s="80"/>
      <c r="M26" s="80"/>
      <c r="P26" s="194"/>
      <c r="R26" s="195"/>
      <c r="T26" s="147"/>
    </row>
    <row r="27" spans="3:20" ht="25.5" customHeight="1" thickBot="1">
      <c r="C27" s="232" t="s">
        <v>17</v>
      </c>
      <c r="D27" s="900">
        <v>2026</v>
      </c>
      <c r="E27" s="901"/>
      <c r="F27" s="901"/>
      <c r="G27" s="901"/>
      <c r="H27" s="901"/>
      <c r="I27" s="901"/>
      <c r="J27" s="901"/>
      <c r="K27" s="902"/>
      <c r="L27" s="843" t="s">
        <v>18</v>
      </c>
      <c r="M27" s="837"/>
      <c r="N27" s="700"/>
      <c r="O27" s="201"/>
      <c r="R27" s="175"/>
      <c r="T27" s="132"/>
    </row>
    <row r="28" spans="3:20" ht="12" customHeight="1" thickBot="1">
      <c r="C28" s="80"/>
      <c r="D28" s="80"/>
      <c r="E28" s="80"/>
      <c r="F28" s="80"/>
      <c r="G28" s="80"/>
      <c r="H28" s="80"/>
      <c r="I28" s="80"/>
      <c r="J28" s="116"/>
      <c r="K28" s="80"/>
      <c r="L28" s="80"/>
      <c r="M28" s="80"/>
      <c r="P28" s="194"/>
      <c r="R28" s="195"/>
      <c r="T28" s="147"/>
    </row>
    <row r="29" spans="3:20" ht="12" hidden="1" customHeight="1" thickBot="1">
      <c r="C29" s="80"/>
      <c r="D29" s="80"/>
      <c r="E29" s="80"/>
      <c r="F29" s="80"/>
      <c r="G29" s="80"/>
      <c r="H29" s="80"/>
      <c r="I29" s="80"/>
      <c r="J29" s="116"/>
      <c r="K29" s="80"/>
      <c r="L29" s="80"/>
      <c r="M29" s="80"/>
      <c r="P29" s="194"/>
      <c r="R29" s="195"/>
      <c r="T29" s="147"/>
    </row>
    <row r="30" spans="3:20" ht="20.5" customHeight="1" thickBot="1">
      <c r="C30" s="903" t="s">
        <v>5</v>
      </c>
      <c r="D30" s="905" t="s">
        <v>7</v>
      </c>
      <c r="E30" s="906"/>
      <c r="F30" s="907"/>
      <c r="G30" s="905" t="s">
        <v>19</v>
      </c>
      <c r="H30" s="906"/>
      <c r="I30" s="907"/>
      <c r="J30" s="254" t="s">
        <v>7</v>
      </c>
      <c r="K30" s="255" t="s">
        <v>19</v>
      </c>
      <c r="L30" s="893" t="s">
        <v>20</v>
      </c>
      <c r="M30" s="875"/>
      <c r="N30" s="700"/>
      <c r="O30" s="201"/>
      <c r="R30" s="202"/>
      <c r="T30" s="143"/>
    </row>
    <row r="31" spans="3:20" ht="24.75" customHeight="1" thickBot="1">
      <c r="C31" s="904"/>
      <c r="D31" s="909">
        <v>150000</v>
      </c>
      <c r="E31" s="910"/>
      <c r="F31" s="911"/>
      <c r="G31" s="909">
        <v>140000</v>
      </c>
      <c r="H31" s="910"/>
      <c r="I31" s="911"/>
      <c r="J31" s="252">
        <f>IF($D$21="Yes",D$31,IF($D$21="No",0))</f>
        <v>150000</v>
      </c>
      <c r="K31" s="253">
        <f>J31-(J31*J38)</f>
        <v>75000</v>
      </c>
      <c r="L31" s="908"/>
      <c r="M31" s="879"/>
      <c r="N31" s="700"/>
      <c r="O31" s="201"/>
      <c r="R31" s="202"/>
      <c r="T31" s="143"/>
    </row>
    <row r="32" spans="3:20" ht="30" hidden="1" customHeight="1">
      <c r="C32" s="245" t="s">
        <v>21</v>
      </c>
      <c r="D32" s="247">
        <v>12</v>
      </c>
      <c r="E32" s="243"/>
      <c r="F32" s="248"/>
      <c r="G32" s="247">
        <v>6</v>
      </c>
      <c r="H32" s="243"/>
      <c r="I32" s="248"/>
      <c r="J32" s="227">
        <f>D32</f>
        <v>12</v>
      </c>
      <c r="K32" s="230">
        <f>G32</f>
        <v>6</v>
      </c>
      <c r="L32" s="893" t="s">
        <v>22</v>
      </c>
      <c r="M32" s="875"/>
      <c r="N32" s="700"/>
      <c r="O32" s="201"/>
      <c r="R32" s="202"/>
      <c r="T32" s="143"/>
    </row>
    <row r="33" spans="3:20" ht="32.25" hidden="1" customHeight="1" thickBot="1">
      <c r="C33" s="246" t="s">
        <v>23</v>
      </c>
      <c r="D33" s="249">
        <v>0.7</v>
      </c>
      <c r="E33" s="244"/>
      <c r="F33" s="250"/>
      <c r="G33" s="249">
        <v>1</v>
      </c>
      <c r="H33" s="244"/>
      <c r="I33" s="250"/>
      <c r="J33" s="251">
        <f>D33</f>
        <v>0.7</v>
      </c>
      <c r="K33" s="229">
        <f>G33</f>
        <v>1</v>
      </c>
      <c r="L33" s="893" t="s">
        <v>24</v>
      </c>
      <c r="M33" s="875"/>
      <c r="N33" s="700"/>
      <c r="O33" s="201"/>
      <c r="R33" s="202"/>
      <c r="T33" s="143"/>
    </row>
    <row r="34" spans="3:20" ht="25.5" hidden="1" customHeight="1" thickBot="1">
      <c r="C34" s="241" t="s">
        <v>25</v>
      </c>
      <c r="D34" s="894">
        <f>D31*(D32/12)*D33</f>
        <v>105000</v>
      </c>
      <c r="E34" s="895"/>
      <c r="F34" s="896"/>
      <c r="G34" s="894">
        <f t="shared" ref="G34" si="0">G31*(G32/12)*G33</f>
        <v>70000</v>
      </c>
      <c r="H34" s="895"/>
      <c r="I34" s="896"/>
      <c r="J34" s="242">
        <f>J31*(J32/12)*J33</f>
        <v>105000</v>
      </c>
      <c r="K34" s="242">
        <f>K31*(K32/12)*K33</f>
        <v>37500</v>
      </c>
      <c r="L34" s="240"/>
      <c r="M34" s="239"/>
      <c r="N34" s="700"/>
      <c r="O34" s="201"/>
      <c r="R34" s="203"/>
      <c r="T34" s="144"/>
    </row>
    <row r="35" spans="3:20" ht="25.5" customHeight="1" thickBot="1">
      <c r="C35" s="234" t="s">
        <v>26</v>
      </c>
      <c r="D35" s="897">
        <v>0.02</v>
      </c>
      <c r="E35" s="898"/>
      <c r="F35" s="898"/>
      <c r="G35" s="897">
        <v>0.02</v>
      </c>
      <c r="H35" s="898"/>
      <c r="I35" s="899"/>
      <c r="J35" s="233">
        <v>0.02</v>
      </c>
      <c r="K35" s="233">
        <v>0.02</v>
      </c>
      <c r="L35" s="843" t="s">
        <v>27</v>
      </c>
      <c r="M35" s="837"/>
      <c r="N35" s="700"/>
      <c r="O35" s="201"/>
      <c r="R35" s="203"/>
      <c r="T35" s="144"/>
    </row>
    <row r="36" spans="3:20" ht="12" customHeight="1" thickBot="1">
      <c r="C36" s="80"/>
      <c r="D36" s="80"/>
      <c r="E36" s="80"/>
      <c r="F36" s="80"/>
      <c r="G36" s="80"/>
      <c r="H36" s="80"/>
      <c r="I36" s="80"/>
      <c r="J36" s="116"/>
      <c r="K36" s="80"/>
      <c r="L36" s="80"/>
      <c r="M36" s="80"/>
      <c r="P36" s="194"/>
      <c r="R36" s="195"/>
      <c r="T36" s="147"/>
    </row>
    <row r="37" spans="3:20" ht="25.5" customHeight="1" thickBot="1">
      <c r="C37" s="256" t="s">
        <v>28</v>
      </c>
      <c r="D37" s="236"/>
      <c r="E37" s="236"/>
      <c r="F37" s="236"/>
      <c r="G37" s="236"/>
      <c r="H37" s="236"/>
      <c r="I37" s="236"/>
      <c r="J37" s="236"/>
      <c r="K37" s="237"/>
      <c r="L37" s="843" t="s">
        <v>29</v>
      </c>
      <c r="M37" s="837"/>
      <c r="N37" s="700"/>
      <c r="O37" s="201"/>
      <c r="R37" s="203"/>
      <c r="T37" s="144"/>
    </row>
    <row r="38" spans="3:20" ht="24.75" customHeight="1">
      <c r="C38" s="231">
        <v>2026</v>
      </c>
      <c r="D38" s="872">
        <v>0.5</v>
      </c>
      <c r="E38" s="873"/>
      <c r="F38" s="873"/>
      <c r="G38" s="872">
        <v>0.5</v>
      </c>
      <c r="H38" s="873"/>
      <c r="I38" s="873"/>
      <c r="J38" s="235">
        <v>0.5</v>
      </c>
      <c r="K38" s="228">
        <v>0.5</v>
      </c>
      <c r="L38" s="874" t="s">
        <v>30</v>
      </c>
      <c r="M38" s="875"/>
      <c r="N38" s="172"/>
      <c r="O38" s="226"/>
      <c r="R38" s="203"/>
      <c r="T38" s="144"/>
    </row>
    <row r="39" spans="3:20" ht="25.5" customHeight="1">
      <c r="C39" s="159">
        <v>2027</v>
      </c>
      <c r="D39" s="880">
        <v>0.55000000000000004</v>
      </c>
      <c r="E39" s="881"/>
      <c r="F39" s="881"/>
      <c r="G39" s="880">
        <v>0.55000000000000004</v>
      </c>
      <c r="H39" s="881"/>
      <c r="I39" s="881"/>
      <c r="J39" s="157">
        <v>0.55000000000000004</v>
      </c>
      <c r="K39" s="156">
        <v>0.55000000000000004</v>
      </c>
      <c r="L39" s="876"/>
      <c r="M39" s="877"/>
      <c r="N39" s="172"/>
      <c r="O39" s="238"/>
      <c r="R39" s="203"/>
      <c r="T39" s="144"/>
    </row>
    <row r="40" spans="3:20" ht="24" customHeight="1">
      <c r="C40" s="159">
        <v>2028</v>
      </c>
      <c r="D40" s="880">
        <v>0.78</v>
      </c>
      <c r="E40" s="881"/>
      <c r="F40" s="881"/>
      <c r="G40" s="880">
        <v>0.78</v>
      </c>
      <c r="H40" s="881"/>
      <c r="I40" s="881"/>
      <c r="J40" s="157">
        <v>0.78</v>
      </c>
      <c r="K40" s="156">
        <v>0.78</v>
      </c>
      <c r="L40" s="876"/>
      <c r="M40" s="877"/>
      <c r="N40" s="172"/>
      <c r="O40" s="204"/>
      <c r="R40" s="203"/>
      <c r="T40" s="144"/>
    </row>
    <row r="41" spans="3:20" ht="24" customHeight="1">
      <c r="C41" s="159">
        <v>2029</v>
      </c>
      <c r="D41" s="880">
        <v>0.85</v>
      </c>
      <c r="E41" s="881"/>
      <c r="F41" s="881"/>
      <c r="G41" s="880">
        <v>0.85</v>
      </c>
      <c r="H41" s="881"/>
      <c r="I41" s="881"/>
      <c r="J41" s="157">
        <v>0.85</v>
      </c>
      <c r="K41" s="156">
        <v>0.85</v>
      </c>
      <c r="L41" s="876"/>
      <c r="M41" s="877"/>
      <c r="N41" s="172"/>
      <c r="O41" s="204"/>
      <c r="R41" s="203"/>
      <c r="T41" s="144"/>
    </row>
    <row r="42" spans="3:20" ht="24" customHeight="1" thickBot="1">
      <c r="C42" s="160">
        <v>2030</v>
      </c>
      <c r="D42" s="882">
        <v>0.9</v>
      </c>
      <c r="E42" s="883"/>
      <c r="F42" s="883"/>
      <c r="G42" s="882">
        <v>0.9</v>
      </c>
      <c r="H42" s="883"/>
      <c r="I42" s="883"/>
      <c r="J42" s="158">
        <v>0.9</v>
      </c>
      <c r="K42" s="161">
        <v>0.9</v>
      </c>
      <c r="L42" s="878"/>
      <c r="M42" s="879"/>
      <c r="N42" s="172"/>
      <c r="O42" s="204"/>
      <c r="R42" s="203"/>
      <c r="T42" s="144"/>
    </row>
    <row r="43" spans="3:20" ht="12" customHeight="1">
      <c r="C43" s="80"/>
      <c r="D43" s="80"/>
      <c r="E43" s="80"/>
      <c r="F43" s="80"/>
      <c r="G43" s="80"/>
      <c r="H43" s="80"/>
      <c r="I43" s="80"/>
      <c r="J43" s="116"/>
      <c r="K43" s="80"/>
      <c r="L43" s="80"/>
      <c r="M43" s="80"/>
      <c r="P43" s="194"/>
      <c r="R43" s="195"/>
      <c r="T43" s="147"/>
    </row>
    <row r="44" spans="3:20" ht="25.5" customHeight="1">
      <c r="C44" s="884" t="s">
        <v>31</v>
      </c>
      <c r="D44" s="885"/>
      <c r="E44" s="885"/>
      <c r="F44" s="885"/>
      <c r="G44" s="885"/>
      <c r="H44" s="885"/>
      <c r="I44" s="885"/>
      <c r="J44" s="885"/>
      <c r="K44" s="885"/>
      <c r="L44" s="885"/>
      <c r="M44" s="886"/>
      <c r="N44" s="690"/>
      <c r="O44" s="198"/>
      <c r="P44" s="194"/>
      <c r="R44" s="195"/>
      <c r="T44" s="147"/>
    </row>
    <row r="45" spans="3:20" ht="12" customHeight="1">
      <c r="C45" s="80"/>
      <c r="D45" s="80"/>
      <c r="E45" s="80"/>
      <c r="F45" s="80"/>
      <c r="G45" s="80"/>
      <c r="H45" s="80"/>
      <c r="I45" s="80"/>
      <c r="J45" s="116"/>
      <c r="K45" s="80"/>
      <c r="L45" s="80"/>
      <c r="M45" s="80"/>
      <c r="P45" s="194"/>
      <c r="R45" s="195"/>
      <c r="T45" s="147"/>
    </row>
    <row r="46" spans="3:20" ht="32.25" customHeight="1">
      <c r="C46" s="178" t="s">
        <v>32</v>
      </c>
      <c r="D46" s="162" t="s">
        <v>8</v>
      </c>
      <c r="E46" s="887" t="s">
        <v>33</v>
      </c>
      <c r="F46" s="888"/>
      <c r="G46" s="888"/>
      <c r="H46" s="888"/>
      <c r="I46" s="888"/>
      <c r="J46" s="888"/>
      <c r="K46" s="888"/>
      <c r="L46" s="888"/>
      <c r="M46" s="889"/>
      <c r="N46" s="219"/>
      <c r="O46" s="205"/>
      <c r="P46" s="194"/>
      <c r="R46" s="195"/>
      <c r="T46" s="147"/>
    </row>
    <row r="47" spans="3:20" ht="12" customHeight="1">
      <c r="C47" s="80"/>
      <c r="D47" s="80"/>
      <c r="E47" s="80"/>
      <c r="F47" s="80"/>
      <c r="G47" s="80"/>
      <c r="H47" s="80"/>
      <c r="I47" s="80"/>
      <c r="J47" s="116"/>
      <c r="K47" s="80"/>
      <c r="L47" s="80"/>
      <c r="M47" s="80"/>
      <c r="P47" s="194"/>
      <c r="R47" s="195"/>
      <c r="T47" s="147"/>
    </row>
    <row r="48" spans="3:20" ht="57" customHeight="1">
      <c r="C48" s="164" t="s">
        <v>34</v>
      </c>
      <c r="D48" s="163" t="s">
        <v>35</v>
      </c>
      <c r="E48" s="890" t="s">
        <v>36</v>
      </c>
      <c r="F48" s="891"/>
      <c r="G48" s="891"/>
      <c r="H48" s="891"/>
      <c r="I48" s="891"/>
      <c r="J48" s="891"/>
      <c r="K48" s="891"/>
      <c r="L48" s="891"/>
      <c r="M48" s="892"/>
      <c r="N48" s="689"/>
      <c r="O48" s="206"/>
      <c r="P48" s="194"/>
      <c r="R48" s="195"/>
      <c r="T48" s="147"/>
    </row>
    <row r="49" spans="1:35" ht="25.5" customHeight="1">
      <c r="C49" s="174" t="s">
        <v>37</v>
      </c>
      <c r="D49" s="693"/>
      <c r="E49" s="698"/>
      <c r="F49" s="698"/>
      <c r="G49" s="698"/>
      <c r="H49" s="698"/>
      <c r="I49" s="698"/>
      <c r="J49" s="698"/>
      <c r="K49" s="698"/>
      <c r="L49" s="698"/>
      <c r="M49" s="698"/>
      <c r="P49" s="194"/>
      <c r="R49" s="195"/>
      <c r="T49" s="147"/>
    </row>
    <row r="50" spans="1:35" ht="25.5" customHeight="1">
      <c r="C50" s="165">
        <f>D27</f>
        <v>2026</v>
      </c>
      <c r="D50" s="183">
        <v>0.2</v>
      </c>
      <c r="E50" s="863" t="s">
        <v>38</v>
      </c>
      <c r="F50" s="864"/>
      <c r="G50" s="864"/>
      <c r="H50" s="864"/>
      <c r="I50" s="864"/>
      <c r="J50" s="864"/>
      <c r="K50" s="864"/>
      <c r="L50" s="864"/>
      <c r="M50" s="865"/>
      <c r="N50" s="689"/>
      <c r="O50" s="206"/>
      <c r="P50" s="194"/>
      <c r="R50" s="195"/>
      <c r="T50" s="147"/>
    </row>
    <row r="51" spans="1:35" ht="25.5" customHeight="1">
      <c r="C51" s="145">
        <f>$D$27+1</f>
        <v>2027</v>
      </c>
      <c r="D51" s="183">
        <v>0.25</v>
      </c>
      <c r="E51" s="866"/>
      <c r="F51" s="867"/>
      <c r="G51" s="867"/>
      <c r="H51" s="867"/>
      <c r="I51" s="867"/>
      <c r="J51" s="867"/>
      <c r="K51" s="867"/>
      <c r="L51" s="867"/>
      <c r="M51" s="868"/>
      <c r="N51" s="689"/>
      <c r="O51" s="206"/>
      <c r="P51" s="194"/>
      <c r="R51" s="195"/>
      <c r="T51" s="147"/>
    </row>
    <row r="52" spans="1:35" ht="25.5" customHeight="1">
      <c r="C52" s="145">
        <f>$D$27+2</f>
        <v>2028</v>
      </c>
      <c r="D52" s="183">
        <v>0.3</v>
      </c>
      <c r="E52" s="866"/>
      <c r="F52" s="867"/>
      <c r="G52" s="867"/>
      <c r="H52" s="867"/>
      <c r="I52" s="867"/>
      <c r="J52" s="867"/>
      <c r="K52" s="867"/>
      <c r="L52" s="867"/>
      <c r="M52" s="868"/>
      <c r="N52" s="689"/>
      <c r="O52" s="206"/>
      <c r="P52" s="194"/>
      <c r="R52" s="195"/>
      <c r="T52" s="147"/>
    </row>
    <row r="53" spans="1:35" ht="25.5" customHeight="1">
      <c r="C53" s="145">
        <f>$D$27+3</f>
        <v>2029</v>
      </c>
      <c r="D53" s="183">
        <v>0.35</v>
      </c>
      <c r="E53" s="866"/>
      <c r="F53" s="867"/>
      <c r="G53" s="867"/>
      <c r="H53" s="867"/>
      <c r="I53" s="867"/>
      <c r="J53" s="867"/>
      <c r="K53" s="867"/>
      <c r="L53" s="867"/>
      <c r="M53" s="868"/>
      <c r="N53" s="689"/>
      <c r="O53" s="206"/>
      <c r="P53" s="194"/>
      <c r="R53" s="195"/>
      <c r="T53" s="147"/>
    </row>
    <row r="54" spans="1:35" ht="25.5" customHeight="1">
      <c r="C54" s="145">
        <f>$D$27+4</f>
        <v>2030</v>
      </c>
      <c r="D54" s="183">
        <v>0.45</v>
      </c>
      <c r="E54" s="869"/>
      <c r="F54" s="870"/>
      <c r="G54" s="870"/>
      <c r="H54" s="870"/>
      <c r="I54" s="870"/>
      <c r="J54" s="870"/>
      <c r="K54" s="870"/>
      <c r="L54" s="870"/>
      <c r="M54" s="871"/>
      <c r="N54" s="689"/>
      <c r="O54" s="206"/>
      <c r="P54" s="194"/>
      <c r="R54" s="195"/>
      <c r="T54" s="147"/>
    </row>
    <row r="55" spans="1:35" ht="46.5" customHeight="1">
      <c r="C55" s="850" t="s">
        <v>39</v>
      </c>
      <c r="D55" s="850"/>
      <c r="E55" s="851"/>
      <c r="F55" s="851"/>
      <c r="G55" s="851"/>
      <c r="H55" s="851"/>
      <c r="I55" s="851"/>
      <c r="J55" s="851"/>
      <c r="K55" s="851"/>
      <c r="L55" s="80"/>
      <c r="M55" s="80"/>
      <c r="O55" s="225"/>
      <c r="P55" s="194"/>
      <c r="R55" s="195"/>
      <c r="T55" s="147"/>
    </row>
    <row r="56" spans="1:35" ht="12" customHeight="1">
      <c r="C56" s="80"/>
      <c r="D56" s="80"/>
      <c r="E56" s="80"/>
      <c r="F56" s="80"/>
      <c r="G56" s="80"/>
      <c r="H56" s="80"/>
      <c r="I56" s="80"/>
      <c r="J56" s="116"/>
      <c r="K56" s="80"/>
      <c r="L56" s="80"/>
      <c r="M56" s="80"/>
      <c r="P56" s="194"/>
      <c r="R56" s="195"/>
      <c r="T56" s="147"/>
    </row>
    <row r="57" spans="1:35" ht="25.5" customHeight="1">
      <c r="C57" s="184" t="s">
        <v>40</v>
      </c>
      <c r="D57" s="153"/>
      <c r="E57" s="153"/>
      <c r="F57" s="153"/>
      <c r="G57" s="153"/>
      <c r="H57" s="153"/>
      <c r="I57" s="153"/>
      <c r="J57" s="153"/>
      <c r="K57" s="153"/>
      <c r="L57" s="153"/>
      <c r="M57" s="154"/>
      <c r="N57" s="142"/>
      <c r="O57" s="207"/>
      <c r="P57" s="207"/>
      <c r="Q57" s="207"/>
      <c r="R57" s="207"/>
      <c r="S57" s="141"/>
      <c r="T57" s="141"/>
      <c r="U57" s="141"/>
      <c r="V57" s="141"/>
      <c r="W57" s="141"/>
      <c r="Y57" s="852"/>
      <c r="Z57" s="852"/>
      <c r="AA57" s="852"/>
      <c r="AB57" s="852"/>
      <c r="AC57" s="852"/>
      <c r="AD57" s="852"/>
      <c r="AE57" s="852"/>
      <c r="AF57" s="852"/>
      <c r="AG57" s="852"/>
      <c r="AH57" s="852"/>
      <c r="AI57" s="852"/>
    </row>
    <row r="58" spans="1:35">
      <c r="C58" s="101" t="s">
        <v>41</v>
      </c>
      <c r="D58" s="80"/>
      <c r="E58" s="80"/>
      <c r="F58" s="80"/>
      <c r="G58" s="102" t="s">
        <v>42</v>
      </c>
      <c r="H58" s="102"/>
      <c r="I58" s="102"/>
      <c r="J58" s="80"/>
      <c r="K58" s="80"/>
      <c r="L58" s="80"/>
      <c r="M58" s="80"/>
      <c r="N58" s="155" t="s">
        <v>43</v>
      </c>
    </row>
    <row r="59" spans="1:35">
      <c r="C59" s="101"/>
      <c r="D59" s="80"/>
      <c r="E59" s="80"/>
      <c r="F59" s="80"/>
      <c r="G59" s="80"/>
      <c r="H59" s="80"/>
      <c r="I59" s="80"/>
      <c r="J59" s="80"/>
      <c r="K59" s="80"/>
      <c r="L59" s="80"/>
      <c r="M59" s="80"/>
    </row>
    <row r="60" spans="1:35" ht="25.5" customHeight="1">
      <c r="C60" s="179" t="s">
        <v>44</v>
      </c>
      <c r="D60" s="180"/>
      <c r="E60" s="180"/>
      <c r="F60" s="180"/>
      <c r="G60" s="180"/>
      <c r="H60" s="180"/>
      <c r="I60" s="180"/>
      <c r="J60" s="180"/>
      <c r="K60" s="180"/>
      <c r="L60" s="180"/>
      <c r="M60" s="181"/>
      <c r="N60" s="185"/>
      <c r="O60" s="170"/>
      <c r="P60" s="170"/>
      <c r="Q60" s="170"/>
      <c r="R60" s="176"/>
      <c r="S60" s="691"/>
      <c r="T60" s="691"/>
      <c r="U60" s="691"/>
      <c r="V60" s="691"/>
      <c r="W60" s="691"/>
      <c r="Y60" s="840"/>
      <c r="Z60" s="840"/>
      <c r="AA60" s="840"/>
      <c r="AB60" s="840"/>
      <c r="AC60" s="840"/>
      <c r="AD60" s="840"/>
      <c r="AE60" s="840"/>
      <c r="AF60" s="840"/>
      <c r="AG60" s="840"/>
      <c r="AH60" s="840"/>
      <c r="AI60" s="840"/>
    </row>
    <row r="61" spans="1:35" ht="7.5" customHeight="1">
      <c r="C61" s="101"/>
      <c r="D61" s="80"/>
      <c r="E61" s="80"/>
      <c r="F61" s="80"/>
      <c r="G61" s="80"/>
      <c r="H61" s="80"/>
      <c r="I61" s="80"/>
      <c r="J61" s="80"/>
      <c r="K61" s="80"/>
      <c r="L61" s="80"/>
      <c r="M61" s="80"/>
    </row>
    <row r="62" spans="1:35" s="108" customFormat="1" ht="75.75" customHeight="1">
      <c r="A62" s="80"/>
      <c r="B62" s="80"/>
      <c r="C62" s="168" t="s">
        <v>45</v>
      </c>
      <c r="D62" s="853" t="s">
        <v>46</v>
      </c>
      <c r="E62" s="854"/>
      <c r="F62" s="854"/>
      <c r="G62" s="853" t="s">
        <v>47</v>
      </c>
      <c r="H62" s="854"/>
      <c r="I62" s="855"/>
      <c r="J62" s="856" t="s">
        <v>48</v>
      </c>
      <c r="K62" s="856"/>
      <c r="L62" s="857" t="s">
        <v>16</v>
      </c>
      <c r="M62" s="858"/>
      <c r="N62" s="81"/>
      <c r="R62" s="169"/>
      <c r="S62" s="176"/>
      <c r="T62" s="169"/>
      <c r="U62" s="176"/>
      <c r="W62" s="176"/>
      <c r="X62" s="169"/>
      <c r="Y62" s="169"/>
      <c r="Z62" s="176"/>
      <c r="AA62" s="176"/>
      <c r="AC62" s="170"/>
    </row>
    <row r="63" spans="1:35" s="108" customFormat="1" ht="56.25" hidden="1" customHeight="1">
      <c r="A63" s="80"/>
      <c r="B63" s="80"/>
      <c r="C63" s="168"/>
      <c r="D63" s="692" t="s">
        <v>49</v>
      </c>
      <c r="E63" s="692" t="s">
        <v>50</v>
      </c>
      <c r="F63" s="692" t="s">
        <v>51</v>
      </c>
      <c r="G63" s="95"/>
      <c r="H63" s="692"/>
      <c r="I63" s="692"/>
      <c r="J63" s="692"/>
      <c r="K63" s="692"/>
      <c r="L63" s="859"/>
      <c r="M63" s="860"/>
      <c r="N63" s="81"/>
      <c r="R63" s="169"/>
      <c r="S63" s="176"/>
      <c r="T63" s="169"/>
      <c r="U63" s="176"/>
      <c r="W63" s="176"/>
      <c r="X63" s="169"/>
      <c r="Y63" s="169"/>
      <c r="Z63" s="176"/>
      <c r="AA63" s="176"/>
      <c r="AC63" s="170"/>
    </row>
    <row r="64" spans="1:35" ht="36.75" customHeight="1">
      <c r="C64" s="174" t="s">
        <v>52</v>
      </c>
      <c r="D64" s="163" t="s">
        <v>53</v>
      </c>
      <c r="E64" s="163" t="s">
        <v>54</v>
      </c>
      <c r="F64" s="163" t="s">
        <v>55</v>
      </c>
      <c r="G64" s="163" t="s">
        <v>56</v>
      </c>
      <c r="H64" s="163" t="s">
        <v>57</v>
      </c>
      <c r="I64" s="163" t="s">
        <v>58</v>
      </c>
      <c r="J64" s="163" t="s">
        <v>53</v>
      </c>
      <c r="K64" s="163" t="s">
        <v>56</v>
      </c>
      <c r="L64" s="861"/>
      <c r="M64" s="862"/>
      <c r="R64" s="208"/>
      <c r="S64" s="131"/>
      <c r="T64" s="132"/>
      <c r="U64" s="132"/>
      <c r="W64" s="691"/>
      <c r="X64" s="698"/>
      <c r="Z64" s="698"/>
      <c r="AB64" s="698"/>
    </row>
    <row r="65" spans="1:351" ht="48.75" customHeight="1">
      <c r="C65" s="83"/>
      <c r="D65" s="115" t="str">
        <f>IF(D64=Datos!$A$13, "! This product is not available for Gavi countries !"," ")</f>
        <v xml:space="preserve"> </v>
      </c>
      <c r="E65" s="115" t="str">
        <f>IF(E64=Datos!$A$13, "! This product is not available for Gavi countries !"," ")</f>
        <v xml:space="preserve"> </v>
      </c>
      <c r="F65" s="115" t="str">
        <f>IF(F64=Datos!$A$13, "! This product is not available for Gavi countries !"," ")</f>
        <v xml:space="preserve"> </v>
      </c>
      <c r="G65" s="115" t="str">
        <f>IF(G64=Datos!$A$13, "! This product is not available for Gavi countries !"," ")</f>
        <v xml:space="preserve"> </v>
      </c>
      <c r="H65" s="115" t="str">
        <f>IF(H64=Datos!$A$13, "! This product is not available for Gavi countries !"," ")</f>
        <v xml:space="preserve"> </v>
      </c>
      <c r="I65" s="115" t="str">
        <f>IF(I64=Datos!$A$13, "! This product is not available for Gavi countries !"," ")</f>
        <v xml:space="preserve"> </v>
      </c>
      <c r="J65" s="115"/>
      <c r="K65" s="115"/>
      <c r="L65" s="80"/>
      <c r="M65" s="80"/>
      <c r="N65" s="155"/>
      <c r="R65" s="171"/>
      <c r="S65" s="125"/>
      <c r="T65" s="133"/>
      <c r="U65" s="131"/>
      <c r="X65" s="698"/>
      <c r="Z65" s="698"/>
      <c r="AB65" s="698"/>
    </row>
    <row r="66" spans="1:351" ht="20.25" customHeight="1">
      <c r="C66" s="696" t="s">
        <v>59</v>
      </c>
      <c r="D66" s="263">
        <v>3</v>
      </c>
      <c r="E66" s="92" t="s">
        <v>60</v>
      </c>
      <c r="F66" s="264"/>
      <c r="G66" s="262">
        <v>3</v>
      </c>
      <c r="H66" s="92"/>
      <c r="I66" s="264"/>
      <c r="J66" s="92">
        <v>3</v>
      </c>
      <c r="K66" s="264">
        <v>3</v>
      </c>
      <c r="L66" s="843"/>
      <c r="M66" s="837"/>
      <c r="N66" s="155" t="s">
        <v>61</v>
      </c>
      <c r="R66" s="209"/>
      <c r="S66" s="126"/>
      <c r="T66" s="125"/>
      <c r="U66" s="125"/>
      <c r="W66" s="700"/>
      <c r="X66" s="698"/>
      <c r="Z66" s="698"/>
      <c r="AB66" s="698"/>
    </row>
    <row r="67" spans="1:351" ht="20.25" customHeight="1">
      <c r="C67" s="269" t="s">
        <v>62</v>
      </c>
      <c r="D67" s="266">
        <f>IFERROR(INDEX(Datos!$A$2:$E$9,MATCH(D64,Datos!$A$2:$A$9,0),2),"-")</f>
        <v>3.5</v>
      </c>
      <c r="E67" s="270" t="str">
        <f>IFERROR(INDEX(Datos!$A$2:$E$9,MATCH(E64,Datos!$A$2:$A$9,0),2),"-")</f>
        <v>-</v>
      </c>
      <c r="F67" s="267" t="str">
        <f>IFERROR(INDEX(Datos!$A$2:$E$9,MATCH(F64,Datos!$A$2:$A$9,0),2),"-")</f>
        <v>-</v>
      </c>
      <c r="G67" s="265">
        <f>IFERROR(INDEX(Datos!$A$2:$E$9,MATCH(G64,Datos!$A$2:$A$9,0),2),"-")</f>
        <v>20</v>
      </c>
      <c r="H67" s="270" t="str">
        <f>IFERROR(INDEX(Datos!$A$2:$E$9,MATCH(H64,Datos!$A$2:$A$9,0),2),"-")</f>
        <v>-</v>
      </c>
      <c r="I67" s="267" t="str">
        <f>IFERROR(INDEX(Datos!$A$2:$E$9,MATCH(I64,Datos!$A$2:$A$9,0),2),"-")</f>
        <v>-</v>
      </c>
      <c r="J67" s="270">
        <f>IFERROR(INDEX(Datos!$A$2:$E$9,MATCH(J64,Datos!$A$2:$A$9,0),2),"-")</f>
        <v>3.5</v>
      </c>
      <c r="K67" s="267">
        <f>IFERROR(INDEX(Datos!$A$2:$E$9,MATCH(K64,Datos!$A$2:$A$9,0),2),"-")</f>
        <v>20</v>
      </c>
      <c r="L67" s="843"/>
      <c r="M67" s="837"/>
      <c r="N67" s="155"/>
      <c r="R67" s="209"/>
      <c r="S67" s="126"/>
      <c r="T67" s="125"/>
      <c r="U67" s="125"/>
      <c r="W67" s="700"/>
      <c r="X67" s="698"/>
      <c r="Z67" s="698"/>
      <c r="AB67" s="698"/>
    </row>
    <row r="68" spans="1:351" ht="15.75" customHeight="1" outlineLevel="1">
      <c r="C68" s="268" t="s">
        <v>63</v>
      </c>
      <c r="D68" s="261"/>
      <c r="E68" s="261"/>
      <c r="F68" s="261"/>
      <c r="G68" s="261"/>
      <c r="H68" s="261"/>
      <c r="I68" s="261"/>
      <c r="J68" s="261"/>
      <c r="K68" s="261"/>
      <c r="L68" s="844"/>
      <c r="M68" s="845"/>
      <c r="N68" s="257" t="s">
        <v>64</v>
      </c>
      <c r="R68" s="209"/>
      <c r="S68" s="127"/>
      <c r="T68" s="125"/>
      <c r="U68" s="126"/>
      <c r="W68" s="98"/>
      <c r="X68" s="98"/>
      <c r="Z68" s="98"/>
      <c r="AB68" s="98"/>
    </row>
    <row r="69" spans="1:351" ht="15.5" outlineLevel="1">
      <c r="C69" s="186">
        <f>$D$27</f>
        <v>2026</v>
      </c>
      <c r="D69" s="187">
        <f t="shared" ref="D69:K73" si="1">IFERROR(IF($D$46="No",D$66,IF($D$48="Other transition phase",$D50*D$66,IF(AND(D$74 =3,$D$48 = "Initial self-financing phase"),0.13,0.2))),"-")</f>
        <v>0.60000000000000009</v>
      </c>
      <c r="E69" s="187" t="str">
        <f t="shared" si="1"/>
        <v>-</v>
      </c>
      <c r="F69" s="187">
        <f t="shared" si="1"/>
        <v>0</v>
      </c>
      <c r="G69" s="187">
        <f t="shared" si="1"/>
        <v>0.60000000000000009</v>
      </c>
      <c r="H69" s="187">
        <f t="shared" si="1"/>
        <v>0</v>
      </c>
      <c r="I69" s="187">
        <f t="shared" si="1"/>
        <v>0</v>
      </c>
      <c r="J69" s="187">
        <f t="shared" si="1"/>
        <v>0.60000000000000009</v>
      </c>
      <c r="K69" s="187">
        <f t="shared" si="1"/>
        <v>0.60000000000000009</v>
      </c>
      <c r="L69" s="832"/>
      <c r="M69" s="833"/>
      <c r="R69" s="210"/>
      <c r="S69" s="127"/>
      <c r="T69" s="127"/>
      <c r="U69" s="127"/>
      <c r="W69" s="700"/>
      <c r="X69" s="99"/>
      <c r="Z69" s="99"/>
      <c r="AB69" s="99"/>
    </row>
    <row r="70" spans="1:351" ht="15.5" outlineLevel="1">
      <c r="C70" s="82">
        <f>$D$27+1</f>
        <v>2027</v>
      </c>
      <c r="D70" s="117">
        <f t="shared" si="1"/>
        <v>0.75</v>
      </c>
      <c r="E70" s="117" t="str">
        <f t="shared" si="1"/>
        <v>-</v>
      </c>
      <c r="F70" s="117">
        <f t="shared" si="1"/>
        <v>0</v>
      </c>
      <c r="G70" s="117">
        <f t="shared" si="1"/>
        <v>0.75</v>
      </c>
      <c r="H70" s="117">
        <f t="shared" si="1"/>
        <v>0</v>
      </c>
      <c r="I70" s="117">
        <f t="shared" si="1"/>
        <v>0</v>
      </c>
      <c r="J70" s="117">
        <f t="shared" si="1"/>
        <v>0.75</v>
      </c>
      <c r="K70" s="117">
        <f t="shared" si="1"/>
        <v>0.75</v>
      </c>
      <c r="L70" s="846"/>
      <c r="M70" s="847"/>
      <c r="R70" s="210"/>
      <c r="S70" s="127"/>
      <c r="T70" s="127"/>
      <c r="U70" s="127"/>
      <c r="W70" s="700"/>
      <c r="X70" s="99"/>
      <c r="Z70" s="99"/>
      <c r="AB70" s="99"/>
    </row>
    <row r="71" spans="1:351" ht="15.5" outlineLevel="1">
      <c r="C71" s="82">
        <f>$D$27+2</f>
        <v>2028</v>
      </c>
      <c r="D71" s="117">
        <f t="shared" si="1"/>
        <v>0.89999999999999991</v>
      </c>
      <c r="E71" s="117" t="str">
        <f t="shared" si="1"/>
        <v>-</v>
      </c>
      <c r="F71" s="117">
        <f t="shared" si="1"/>
        <v>0</v>
      </c>
      <c r="G71" s="117">
        <f t="shared" si="1"/>
        <v>0.89999999999999991</v>
      </c>
      <c r="H71" s="117">
        <f t="shared" si="1"/>
        <v>0</v>
      </c>
      <c r="I71" s="117">
        <f t="shared" si="1"/>
        <v>0</v>
      </c>
      <c r="J71" s="117">
        <f t="shared" si="1"/>
        <v>0.89999999999999991</v>
      </c>
      <c r="K71" s="117">
        <f t="shared" si="1"/>
        <v>0.89999999999999991</v>
      </c>
      <c r="L71" s="846"/>
      <c r="M71" s="847"/>
      <c r="R71" s="210"/>
      <c r="S71" s="127"/>
      <c r="T71" s="127"/>
      <c r="U71" s="127"/>
      <c r="W71" s="700"/>
      <c r="X71" s="99"/>
      <c r="Z71" s="99"/>
      <c r="AB71" s="99"/>
    </row>
    <row r="72" spans="1:351" ht="15.5" outlineLevel="1">
      <c r="C72" s="82">
        <f>$D$27+3</f>
        <v>2029</v>
      </c>
      <c r="D72" s="117">
        <f t="shared" si="1"/>
        <v>1.0499999999999998</v>
      </c>
      <c r="E72" s="117" t="str">
        <f t="shared" si="1"/>
        <v>-</v>
      </c>
      <c r="F72" s="117">
        <f t="shared" si="1"/>
        <v>0</v>
      </c>
      <c r="G72" s="117">
        <f t="shared" si="1"/>
        <v>1.0499999999999998</v>
      </c>
      <c r="H72" s="117">
        <f t="shared" si="1"/>
        <v>0</v>
      </c>
      <c r="I72" s="117">
        <f t="shared" si="1"/>
        <v>0</v>
      </c>
      <c r="J72" s="117">
        <f t="shared" si="1"/>
        <v>1.0499999999999998</v>
      </c>
      <c r="K72" s="117">
        <f t="shared" si="1"/>
        <v>1.0499999999999998</v>
      </c>
      <c r="L72" s="846"/>
      <c r="M72" s="847"/>
      <c r="R72" s="210"/>
      <c r="S72" s="127"/>
      <c r="T72" s="127"/>
      <c r="U72" s="127"/>
      <c r="W72" s="700"/>
      <c r="X72" s="99"/>
      <c r="Z72" s="99"/>
      <c r="AB72" s="99"/>
    </row>
    <row r="73" spans="1:351" ht="15.5" outlineLevel="1">
      <c r="C73" s="82">
        <f>$D$27+4</f>
        <v>2030</v>
      </c>
      <c r="D73" s="117">
        <f t="shared" si="1"/>
        <v>1.35</v>
      </c>
      <c r="E73" s="117" t="str">
        <f t="shared" si="1"/>
        <v>-</v>
      </c>
      <c r="F73" s="117">
        <f t="shared" si="1"/>
        <v>0</v>
      </c>
      <c r="G73" s="117">
        <f t="shared" si="1"/>
        <v>1.35</v>
      </c>
      <c r="H73" s="117">
        <f t="shared" si="1"/>
        <v>0</v>
      </c>
      <c r="I73" s="117">
        <f t="shared" si="1"/>
        <v>0</v>
      </c>
      <c r="J73" s="117">
        <f t="shared" si="1"/>
        <v>1.35</v>
      </c>
      <c r="K73" s="117">
        <f t="shared" si="1"/>
        <v>1.35</v>
      </c>
      <c r="L73" s="846"/>
      <c r="M73" s="847"/>
      <c r="R73" s="210"/>
      <c r="S73" s="128"/>
      <c r="T73" s="127"/>
      <c r="U73" s="127"/>
      <c r="W73" s="700"/>
      <c r="X73" s="99"/>
      <c r="Z73" s="99"/>
      <c r="AB73" s="99"/>
    </row>
    <row r="74" spans="1:351" ht="15.5">
      <c r="C74" s="95" t="s">
        <v>65</v>
      </c>
      <c r="D74" s="177">
        <v>1</v>
      </c>
      <c r="E74" s="177">
        <v>1</v>
      </c>
      <c r="F74" s="177">
        <v>1</v>
      </c>
      <c r="G74" s="177">
        <v>1</v>
      </c>
      <c r="H74" s="177">
        <v>1</v>
      </c>
      <c r="I74" s="177">
        <v>1</v>
      </c>
      <c r="J74" s="177">
        <v>1</v>
      </c>
      <c r="K74" s="189">
        <v>1</v>
      </c>
      <c r="L74" s="695"/>
      <c r="M74" s="190"/>
      <c r="R74" s="211"/>
      <c r="S74" s="129"/>
      <c r="T74" s="128"/>
      <c r="U74" s="128"/>
      <c r="W74" s="700"/>
      <c r="X74" s="698"/>
      <c r="Z74" s="698"/>
      <c r="AB74" s="698"/>
    </row>
    <row r="75" spans="1:351" ht="34.5" customHeight="1">
      <c r="C75" s="95" t="s">
        <v>66</v>
      </c>
      <c r="D75" s="118">
        <f>IFERROR(INDEX(Datos!$A$2:$E$9,MATCH(D64,Datos!$A$2:$A$9,0),5),"-")</f>
        <v>6.06</v>
      </c>
      <c r="E75" s="93" t="str">
        <f>IFERROR(INDEX(Datos!$A$2:$E$9,MATCH(E64,Datos!$A$2:$A$9,0),5),"-")</f>
        <v>-</v>
      </c>
      <c r="F75" s="93" t="str">
        <f>IFERROR(INDEX(Datos!$A$2:$E$9,MATCH(F64,Datos!$A$2:$A$9,0),5),"-")</f>
        <v>-</v>
      </c>
      <c r="G75" s="93">
        <f>IFERROR(INDEX(Datos!$A$2:$E$9,MATCH(G64,Datos!$A$2:$A$9,0),5),"-")</f>
        <v>17.12</v>
      </c>
      <c r="H75" s="93" t="str">
        <f>IFERROR(INDEX(Datos!$A$2:$E$9,MATCH(H64,Datos!$A$2:$A$9,0),5),"-")</f>
        <v>-</v>
      </c>
      <c r="I75" s="93" t="str">
        <f>IFERROR(INDEX(Datos!$A$2:$E$9,MATCH(I64,Datos!$A$2:$A$9,0),5),"-")</f>
        <v>-</v>
      </c>
      <c r="J75" s="93">
        <f>IFERROR(INDEX(Datos!$A$2:$E$9,MATCH(J64,Datos!$A$2:$A$9,0),5),"-")</f>
        <v>6.06</v>
      </c>
      <c r="K75" s="118">
        <f>IFERROR(INDEX(Datos!$A$2:$E$9,MATCH(K64,Datos!$A$2:$A$9,0),5),"-")</f>
        <v>17.12</v>
      </c>
      <c r="L75" s="695"/>
      <c r="M75" s="190"/>
      <c r="R75" s="212"/>
      <c r="S75" s="113"/>
      <c r="T75" s="129"/>
      <c r="U75" s="129"/>
      <c r="W75" s="700"/>
      <c r="X75" s="698"/>
      <c r="Z75" s="698"/>
      <c r="AB75" s="698"/>
    </row>
    <row r="76" spans="1:351" ht="28.5" customHeight="1">
      <c r="C76" s="848" t="s">
        <v>67</v>
      </c>
      <c r="D76" s="119">
        <v>0.1</v>
      </c>
      <c r="E76" s="94">
        <v>0.1</v>
      </c>
      <c r="F76" s="94">
        <v>0.1</v>
      </c>
      <c r="G76" s="94">
        <v>0.1</v>
      </c>
      <c r="H76" s="94">
        <v>0.1</v>
      </c>
      <c r="I76" s="119">
        <v>0.1</v>
      </c>
      <c r="J76" s="119">
        <v>0.1</v>
      </c>
      <c r="K76" s="119">
        <v>0.1</v>
      </c>
      <c r="L76" s="836"/>
      <c r="M76" s="837"/>
      <c r="N76" s="155" t="s">
        <v>68</v>
      </c>
      <c r="R76" s="213"/>
      <c r="S76" s="134"/>
      <c r="T76" s="111"/>
      <c r="U76" s="113"/>
      <c r="W76" s="114"/>
      <c r="X76" s="842"/>
      <c r="Z76" s="842"/>
      <c r="AB76" s="842"/>
    </row>
    <row r="77" spans="1:351" s="107" customFormat="1" ht="20.25" customHeight="1">
      <c r="A77" s="80"/>
      <c r="B77" s="80"/>
      <c r="C77" s="849"/>
      <c r="D77" s="166">
        <f>IFERROR(INDEX(Datos!$A$2:$E$9,MATCH(D64,Datos!$A$2:$A$9,0),4),"-")</f>
        <v>0.1</v>
      </c>
      <c r="E77" s="167" t="str">
        <f>IFERROR(INDEX(Datos!$A$2:$E$9,MATCH(E64,Datos!$A$2:$A$9,0),4),"-")</f>
        <v>-</v>
      </c>
      <c r="F77" s="167" t="str">
        <f>IFERROR(INDEX(Datos!$A$2:$E$9,MATCH(F64,Datos!$A$2:$A$9,0),4),"-")</f>
        <v>-</v>
      </c>
      <c r="G77" s="167">
        <f>IFERROR(INDEX(Datos!$A$2:$E$9,MATCH(G64,Datos!$A$2:$A$9,0),4),"-")</f>
        <v>0.1</v>
      </c>
      <c r="H77" s="167" t="str">
        <f>IFERROR(INDEX(Datos!$A$2:$E$9,MATCH(H64,Datos!$A$2:$A$9,0),4),"-")</f>
        <v>-</v>
      </c>
      <c r="I77" s="166" t="str">
        <f>IFERROR(INDEX(Datos!$A$2:$E$9,MATCH(I64,Datos!$A$2:$A$9,0),4),"-")</f>
        <v>-</v>
      </c>
      <c r="J77" s="166">
        <f>IFERROR(INDEX(Datos!$A$2:$E$9,MATCH(J64,Datos!$A$2:$A$9,0),4),"-")</f>
        <v>0.1</v>
      </c>
      <c r="K77" s="166">
        <f>IFERROR(INDEX(Datos!$A$2:$E$9,MATCH(K64,Datos!$A$2:$A$9,0),4),"-")</f>
        <v>0.1</v>
      </c>
      <c r="L77" s="191" t="s">
        <v>69</v>
      </c>
      <c r="M77" s="192"/>
      <c r="N77" s="81"/>
      <c r="O77" s="108"/>
      <c r="P77" s="108"/>
      <c r="Q77" s="200"/>
      <c r="R77" s="214"/>
      <c r="S77" s="130"/>
      <c r="T77" s="134"/>
      <c r="U77" s="134"/>
      <c r="V77" s="81"/>
      <c r="W77" s="135"/>
      <c r="X77" s="842"/>
      <c r="Y77" s="81"/>
      <c r="Z77" s="842"/>
      <c r="AA77" s="81"/>
      <c r="AB77" s="842"/>
      <c r="AC77" s="81"/>
      <c r="AD77" s="81"/>
      <c r="AE77" s="81"/>
      <c r="AF77" s="81"/>
      <c r="AG77" s="81"/>
      <c r="AH77" s="81"/>
      <c r="AI77" s="81"/>
      <c r="AK77" s="108"/>
      <c r="AL77" s="108"/>
      <c r="AM77" s="108"/>
      <c r="AN77" s="108"/>
      <c r="AO77" s="108"/>
      <c r="AP77" s="108"/>
      <c r="AQ77" s="108"/>
      <c r="AR77" s="108"/>
      <c r="AS77" s="108"/>
      <c r="AT77" s="108"/>
      <c r="AU77" s="108"/>
      <c r="AV77" s="108"/>
      <c r="AW77" s="108"/>
      <c r="AX77" s="108"/>
      <c r="AY77" s="108"/>
      <c r="AZ77" s="108"/>
      <c r="BA77" s="108"/>
      <c r="BB77" s="108"/>
      <c r="BC77" s="108"/>
      <c r="BD77" s="108"/>
      <c r="BE77" s="108"/>
      <c r="BF77" s="108"/>
      <c r="BG77" s="108"/>
      <c r="BH77" s="108"/>
      <c r="BI77" s="108"/>
      <c r="BJ77" s="108"/>
      <c r="BK77" s="108"/>
      <c r="BL77" s="108"/>
      <c r="BM77" s="108"/>
      <c r="BN77" s="108"/>
      <c r="BO77" s="108"/>
      <c r="BP77" s="108"/>
      <c r="BQ77" s="108"/>
      <c r="BR77" s="108"/>
      <c r="BS77" s="108"/>
      <c r="BT77" s="108"/>
      <c r="BU77" s="108"/>
      <c r="BV77" s="108"/>
      <c r="BW77" s="108"/>
      <c r="BX77" s="108"/>
      <c r="BY77" s="108"/>
      <c r="BZ77" s="108"/>
      <c r="CA77" s="108"/>
      <c r="CB77" s="108"/>
      <c r="CC77" s="108"/>
      <c r="CD77" s="108"/>
      <c r="CE77" s="108"/>
      <c r="CF77" s="108"/>
      <c r="CG77" s="108"/>
      <c r="CH77" s="108"/>
      <c r="CI77" s="108"/>
      <c r="CJ77" s="108"/>
      <c r="CK77" s="108"/>
      <c r="CL77" s="108"/>
      <c r="CM77" s="108"/>
      <c r="CN77" s="108"/>
      <c r="CO77" s="108"/>
      <c r="CP77" s="108"/>
      <c r="CQ77" s="108"/>
      <c r="CR77" s="108"/>
      <c r="CS77" s="108"/>
      <c r="CT77" s="108"/>
      <c r="CU77" s="108"/>
      <c r="CV77" s="108"/>
      <c r="CW77" s="108"/>
      <c r="CX77" s="108"/>
      <c r="CY77" s="108"/>
      <c r="CZ77" s="108"/>
      <c r="DA77" s="108"/>
      <c r="DB77" s="108"/>
      <c r="DC77" s="108"/>
      <c r="DD77" s="108"/>
      <c r="DE77" s="108"/>
      <c r="DF77" s="108"/>
      <c r="DG77" s="108"/>
      <c r="DH77" s="108"/>
      <c r="DI77" s="108"/>
      <c r="DJ77" s="108"/>
      <c r="DK77" s="108"/>
      <c r="DL77" s="108"/>
      <c r="DM77" s="108"/>
      <c r="DN77" s="108"/>
      <c r="DO77" s="108"/>
      <c r="DP77" s="108"/>
      <c r="DQ77" s="108"/>
      <c r="DR77" s="108"/>
      <c r="DS77" s="108"/>
      <c r="DT77" s="108"/>
      <c r="DU77" s="108"/>
      <c r="DV77" s="108"/>
      <c r="DW77" s="108"/>
      <c r="DX77" s="108"/>
      <c r="DY77" s="108"/>
      <c r="DZ77" s="108"/>
      <c r="EA77" s="108"/>
      <c r="EB77" s="108"/>
      <c r="EC77" s="108"/>
      <c r="ED77" s="108"/>
      <c r="EE77" s="108"/>
      <c r="EF77" s="108"/>
      <c r="EG77" s="108"/>
      <c r="EH77" s="108"/>
      <c r="EI77" s="108"/>
      <c r="EJ77" s="108"/>
      <c r="EK77" s="108"/>
      <c r="EL77" s="108"/>
      <c r="EM77" s="108"/>
      <c r="EN77" s="108"/>
      <c r="EO77" s="108"/>
      <c r="EP77" s="108"/>
      <c r="EQ77" s="108"/>
      <c r="ER77" s="108"/>
      <c r="ES77" s="108"/>
      <c r="ET77" s="108"/>
      <c r="EU77" s="108"/>
      <c r="EV77" s="108"/>
      <c r="EW77" s="108"/>
      <c r="EX77" s="108"/>
      <c r="EY77" s="108"/>
      <c r="EZ77" s="108"/>
      <c r="FA77" s="108"/>
      <c r="FB77" s="108"/>
      <c r="FC77" s="108"/>
      <c r="FD77" s="108"/>
      <c r="FE77" s="108"/>
      <c r="FF77" s="108"/>
      <c r="FG77" s="108"/>
      <c r="FH77" s="108"/>
      <c r="FI77" s="108"/>
      <c r="FJ77" s="108"/>
      <c r="FK77" s="108"/>
      <c r="FL77" s="108"/>
      <c r="FM77" s="108"/>
      <c r="FN77" s="108"/>
      <c r="FO77" s="108"/>
      <c r="FP77" s="108"/>
      <c r="FQ77" s="108"/>
      <c r="FR77" s="108"/>
      <c r="FS77" s="108"/>
      <c r="FT77" s="108"/>
      <c r="FU77" s="108"/>
      <c r="FV77" s="108"/>
      <c r="FW77" s="108"/>
      <c r="FX77" s="108"/>
      <c r="FY77" s="108"/>
      <c r="FZ77" s="108"/>
      <c r="GA77" s="108"/>
      <c r="GB77" s="108"/>
      <c r="GC77" s="108"/>
      <c r="GD77" s="108"/>
      <c r="GE77" s="108"/>
      <c r="GF77" s="108"/>
      <c r="GG77" s="108"/>
      <c r="GH77" s="108"/>
      <c r="GI77" s="108"/>
      <c r="GJ77" s="108"/>
      <c r="GK77" s="108"/>
      <c r="GL77" s="108"/>
      <c r="GM77" s="108"/>
      <c r="GN77" s="108"/>
      <c r="GO77" s="108"/>
      <c r="GP77" s="108"/>
      <c r="GQ77" s="108"/>
      <c r="GR77" s="108"/>
      <c r="GS77" s="108"/>
      <c r="GT77" s="108"/>
      <c r="GU77" s="108"/>
      <c r="GV77" s="108"/>
      <c r="GW77" s="108"/>
      <c r="GX77" s="108"/>
      <c r="GY77" s="108"/>
      <c r="GZ77" s="108"/>
      <c r="HA77" s="108"/>
      <c r="HB77" s="108"/>
      <c r="HC77" s="108"/>
      <c r="HD77" s="108"/>
      <c r="HE77" s="108"/>
      <c r="HF77" s="108"/>
      <c r="HG77" s="108"/>
      <c r="HH77" s="108"/>
      <c r="HI77" s="108"/>
      <c r="HJ77" s="108"/>
      <c r="HK77" s="108"/>
      <c r="HL77" s="108"/>
      <c r="HM77" s="108"/>
      <c r="HN77" s="108"/>
      <c r="HO77" s="108"/>
      <c r="HP77" s="108"/>
      <c r="HQ77" s="108"/>
      <c r="HR77" s="108"/>
      <c r="HS77" s="108"/>
      <c r="HT77" s="108"/>
      <c r="HU77" s="108"/>
      <c r="HV77" s="108"/>
      <c r="HW77" s="108"/>
      <c r="HX77" s="108"/>
      <c r="HY77" s="108"/>
      <c r="HZ77" s="108"/>
      <c r="IA77" s="108"/>
      <c r="IB77" s="108"/>
      <c r="IC77" s="108"/>
      <c r="ID77" s="108"/>
      <c r="IE77" s="108"/>
      <c r="IF77" s="108"/>
      <c r="IG77" s="108"/>
      <c r="IH77" s="108"/>
      <c r="II77" s="108"/>
      <c r="IJ77" s="108"/>
      <c r="IK77" s="108"/>
      <c r="IL77" s="108"/>
      <c r="IM77" s="108"/>
      <c r="IN77" s="108"/>
      <c r="IO77" s="108"/>
      <c r="IP77" s="108"/>
      <c r="IQ77" s="108"/>
      <c r="IR77" s="108"/>
      <c r="IS77" s="108"/>
      <c r="IT77" s="108"/>
      <c r="IU77" s="108"/>
      <c r="IV77" s="108"/>
      <c r="IW77" s="108"/>
      <c r="IX77" s="108"/>
      <c r="IY77" s="108"/>
      <c r="IZ77" s="108"/>
      <c r="JA77" s="108"/>
      <c r="JB77" s="108"/>
      <c r="JC77" s="108"/>
      <c r="JD77" s="108"/>
      <c r="JE77" s="108"/>
      <c r="JF77" s="108"/>
      <c r="JG77" s="108"/>
      <c r="JH77" s="108"/>
      <c r="JI77" s="108"/>
      <c r="JJ77" s="108"/>
      <c r="JK77" s="108"/>
      <c r="JL77" s="108"/>
      <c r="JM77" s="108"/>
      <c r="JN77" s="108"/>
      <c r="JO77" s="108"/>
      <c r="JP77" s="108"/>
      <c r="JQ77" s="108"/>
      <c r="JR77" s="108"/>
      <c r="JS77" s="108"/>
      <c r="JT77" s="108"/>
      <c r="JU77" s="108"/>
      <c r="JV77" s="108"/>
      <c r="JW77" s="108"/>
      <c r="JX77" s="108"/>
      <c r="JY77" s="108"/>
      <c r="JZ77" s="108"/>
      <c r="KA77" s="108"/>
      <c r="KB77" s="108"/>
      <c r="KC77" s="108"/>
      <c r="KD77" s="108"/>
      <c r="KE77" s="108"/>
      <c r="KF77" s="108"/>
      <c r="KG77" s="108"/>
      <c r="KH77" s="108"/>
      <c r="KI77" s="108"/>
      <c r="KJ77" s="108"/>
      <c r="KK77" s="108"/>
      <c r="KL77" s="108"/>
      <c r="KM77" s="108"/>
      <c r="KN77" s="108"/>
      <c r="KO77" s="108"/>
      <c r="KP77" s="108"/>
      <c r="KQ77" s="108"/>
      <c r="KR77" s="108"/>
      <c r="KS77" s="108"/>
      <c r="KT77" s="108"/>
      <c r="KU77" s="108"/>
      <c r="KV77" s="108"/>
      <c r="KW77" s="108"/>
      <c r="KX77" s="108"/>
      <c r="KY77" s="108"/>
      <c r="KZ77" s="108"/>
      <c r="LA77" s="108"/>
      <c r="LB77" s="108"/>
      <c r="LC77" s="108"/>
      <c r="LD77" s="108"/>
      <c r="LE77" s="108"/>
      <c r="LF77" s="108"/>
      <c r="LG77" s="108"/>
      <c r="LH77" s="108"/>
      <c r="LI77" s="108"/>
      <c r="LJ77" s="108"/>
      <c r="LK77" s="108"/>
      <c r="LL77" s="108"/>
      <c r="LM77" s="108"/>
      <c r="LN77" s="108"/>
      <c r="LO77" s="108"/>
      <c r="LP77" s="108"/>
      <c r="LQ77" s="108"/>
      <c r="LR77" s="108"/>
      <c r="LS77" s="108"/>
      <c r="LT77" s="108"/>
      <c r="LU77" s="108"/>
      <c r="LV77" s="108"/>
      <c r="LW77" s="108"/>
      <c r="LX77" s="108"/>
      <c r="LY77" s="108"/>
      <c r="LZ77" s="108"/>
      <c r="MA77" s="108"/>
      <c r="MB77" s="108"/>
      <c r="MC77" s="108"/>
      <c r="MD77" s="108"/>
      <c r="ME77" s="108"/>
      <c r="MF77" s="108"/>
      <c r="MG77" s="108"/>
      <c r="MH77" s="108"/>
      <c r="MI77" s="108"/>
      <c r="MJ77" s="108"/>
      <c r="MK77" s="108"/>
      <c r="ML77" s="108"/>
      <c r="MM77" s="108"/>
    </row>
    <row r="78" spans="1:351" ht="20.25" customHeight="1">
      <c r="C78" s="95" t="s">
        <v>70</v>
      </c>
      <c r="D78" s="120">
        <f t="shared" ref="D78:K78" si="2">(1/(1-D76))</f>
        <v>1.1111111111111112</v>
      </c>
      <c r="E78" s="120">
        <f t="shared" si="2"/>
        <v>1.1111111111111112</v>
      </c>
      <c r="F78" s="106">
        <f t="shared" si="2"/>
        <v>1.1111111111111112</v>
      </c>
      <c r="G78" s="106">
        <f t="shared" si="2"/>
        <v>1.1111111111111112</v>
      </c>
      <c r="H78" s="106">
        <f t="shared" si="2"/>
        <v>1.1111111111111112</v>
      </c>
      <c r="I78" s="120">
        <f t="shared" si="2"/>
        <v>1.1111111111111112</v>
      </c>
      <c r="J78" s="120">
        <f t="shared" si="2"/>
        <v>1.1111111111111112</v>
      </c>
      <c r="K78" s="120">
        <f t="shared" si="2"/>
        <v>1.1111111111111112</v>
      </c>
      <c r="L78" s="832" t="s">
        <v>71</v>
      </c>
      <c r="M78" s="833"/>
      <c r="Q78" s="200"/>
      <c r="R78" s="215"/>
      <c r="S78" s="112"/>
      <c r="T78" s="130"/>
      <c r="U78" s="130"/>
      <c r="W78" s="700"/>
      <c r="X78" s="698"/>
      <c r="Z78" s="698"/>
      <c r="AB78" s="698"/>
    </row>
    <row r="79" spans="1:351" ht="20.25" customHeight="1">
      <c r="C79" s="95" t="s">
        <v>72</v>
      </c>
      <c r="D79" s="119">
        <v>0.25</v>
      </c>
      <c r="E79" s="119">
        <v>0.25</v>
      </c>
      <c r="F79" s="119">
        <v>0.25</v>
      </c>
      <c r="G79" s="119">
        <v>0.25</v>
      </c>
      <c r="H79" s="119">
        <v>0.25</v>
      </c>
      <c r="I79" s="119">
        <v>0.25</v>
      </c>
      <c r="J79" s="119">
        <v>0.25</v>
      </c>
      <c r="K79" s="119">
        <v>0.25</v>
      </c>
      <c r="L79" s="836" t="s">
        <v>73</v>
      </c>
      <c r="M79" s="837"/>
      <c r="Q79" s="200"/>
      <c r="R79" s="215"/>
      <c r="S79" s="112"/>
      <c r="T79" s="130"/>
      <c r="U79" s="130"/>
      <c r="W79" s="700"/>
      <c r="X79" s="698"/>
      <c r="Z79" s="698"/>
      <c r="AB79" s="698"/>
    </row>
    <row r="80" spans="1:351" ht="20.25" customHeight="1">
      <c r="C80" s="95" t="s">
        <v>74</v>
      </c>
      <c r="D80" s="121">
        <v>0.03</v>
      </c>
      <c r="E80" s="121">
        <v>0.03</v>
      </c>
      <c r="F80" s="121">
        <v>0.03</v>
      </c>
      <c r="G80" s="88">
        <v>0.03</v>
      </c>
      <c r="H80" s="121">
        <v>0.03</v>
      </c>
      <c r="I80" s="121">
        <v>0.03</v>
      </c>
      <c r="J80" s="88">
        <v>0.03</v>
      </c>
      <c r="K80" s="88">
        <v>0.03</v>
      </c>
      <c r="L80" s="836" t="s">
        <v>75</v>
      </c>
      <c r="M80" s="837"/>
      <c r="Q80" s="200"/>
      <c r="R80" s="216"/>
      <c r="S80" s="111"/>
      <c r="T80" s="112"/>
      <c r="U80" s="112"/>
      <c r="W80" s="700"/>
      <c r="X80" s="698"/>
      <c r="Z80" s="698"/>
      <c r="AB80" s="698"/>
    </row>
    <row r="81" spans="3:35" ht="19.75" customHeight="1">
      <c r="C81" s="95" t="s">
        <v>76</v>
      </c>
      <c r="D81" s="122">
        <v>7.0000000000000007E-2</v>
      </c>
      <c r="E81" s="122">
        <v>7.0000000000000007E-2</v>
      </c>
      <c r="F81" s="122">
        <v>7.0000000000000007E-2</v>
      </c>
      <c r="G81" s="87">
        <v>7.0000000000000007E-2</v>
      </c>
      <c r="H81" s="122">
        <v>7.0000000000000007E-2</v>
      </c>
      <c r="I81" s="122">
        <v>7.0000000000000007E-2</v>
      </c>
      <c r="J81" s="87">
        <v>7.0000000000000007E-2</v>
      </c>
      <c r="K81" s="87">
        <v>7.0000000000000007E-2</v>
      </c>
      <c r="L81" s="836" t="s">
        <v>75</v>
      </c>
      <c r="M81" s="837"/>
      <c r="Q81" s="200"/>
      <c r="R81" s="213"/>
      <c r="S81" s="136"/>
      <c r="T81" s="111"/>
      <c r="U81" s="111"/>
      <c r="W81" s="700"/>
      <c r="X81" s="698"/>
      <c r="Z81" s="698"/>
      <c r="AB81" s="698"/>
    </row>
    <row r="82" spans="3:35" ht="20.25" customHeight="1">
      <c r="C82" s="95" t="s">
        <v>77</v>
      </c>
      <c r="D82" s="123">
        <v>0.8</v>
      </c>
      <c r="E82" s="123">
        <v>0.8</v>
      </c>
      <c r="F82" s="123">
        <v>0.8</v>
      </c>
      <c r="G82" s="89">
        <v>0.8</v>
      </c>
      <c r="H82" s="123">
        <v>0.8</v>
      </c>
      <c r="I82" s="123">
        <v>0.8</v>
      </c>
      <c r="J82" s="89">
        <v>0.8</v>
      </c>
      <c r="K82" s="89">
        <v>0.8</v>
      </c>
      <c r="L82" s="836" t="s">
        <v>78</v>
      </c>
      <c r="M82" s="837"/>
      <c r="Q82" s="200"/>
      <c r="R82" s="217"/>
      <c r="S82" s="137"/>
      <c r="T82" s="136"/>
      <c r="U82" s="136"/>
      <c r="W82" s="700"/>
      <c r="X82" s="698"/>
      <c r="Z82" s="698"/>
      <c r="AB82" s="698"/>
    </row>
    <row r="83" spans="3:35" ht="20.25" customHeight="1">
      <c r="C83" s="95" t="s">
        <v>79</v>
      </c>
      <c r="D83" s="124">
        <v>100</v>
      </c>
      <c r="E83" s="124">
        <v>100</v>
      </c>
      <c r="F83" s="124">
        <v>100</v>
      </c>
      <c r="G83" s="90">
        <v>100</v>
      </c>
      <c r="H83" s="124">
        <v>100</v>
      </c>
      <c r="I83" s="124">
        <v>100</v>
      </c>
      <c r="J83" s="90">
        <v>100</v>
      </c>
      <c r="K83" s="90">
        <v>100</v>
      </c>
      <c r="L83" s="838" t="s">
        <v>80</v>
      </c>
      <c r="M83" s="839"/>
      <c r="Q83" s="200"/>
      <c r="R83" s="218"/>
      <c r="S83" s="104"/>
      <c r="T83" s="137"/>
      <c r="U83" s="137"/>
      <c r="W83" s="700"/>
      <c r="X83" s="698"/>
      <c r="Z83" s="698"/>
      <c r="AB83" s="698"/>
    </row>
    <row r="84" spans="3:35" ht="15" customHeight="1">
      <c r="C84" s="84"/>
      <c r="D84" s="80"/>
      <c r="E84" s="80"/>
      <c r="F84" s="80"/>
      <c r="G84" s="80"/>
      <c r="H84" s="84"/>
      <c r="I84" s="80"/>
      <c r="J84" s="80"/>
      <c r="K84" s="80"/>
      <c r="L84" s="193"/>
      <c r="M84" s="193"/>
      <c r="S84" s="691"/>
      <c r="W84" s="700"/>
      <c r="Y84" s="104"/>
      <c r="AC84" s="104"/>
      <c r="AG84" s="104"/>
    </row>
    <row r="85" spans="3:35" ht="25.5" customHeight="1">
      <c r="C85" s="179" t="s">
        <v>81</v>
      </c>
      <c r="D85" s="180"/>
      <c r="E85" s="180"/>
      <c r="F85" s="180"/>
      <c r="G85" s="180"/>
      <c r="H85" s="180"/>
      <c r="I85" s="180"/>
      <c r="J85" s="180"/>
      <c r="K85" s="180"/>
      <c r="L85" s="180"/>
      <c r="M85" s="188"/>
      <c r="R85" s="176"/>
      <c r="S85" s="691"/>
      <c r="T85" s="691"/>
      <c r="U85" s="691"/>
      <c r="W85" s="691"/>
      <c r="Y85" s="840"/>
      <c r="Z85" s="840"/>
      <c r="AA85" s="840"/>
      <c r="AB85" s="840"/>
      <c r="AC85" s="840"/>
      <c r="AD85" s="840"/>
      <c r="AE85" s="840"/>
      <c r="AF85" s="840"/>
      <c r="AG85" s="840"/>
      <c r="AH85" s="840"/>
      <c r="AI85" s="840"/>
    </row>
    <row r="86" spans="3:35" ht="5.5" customHeight="1">
      <c r="C86" s="85"/>
      <c r="D86" s="85"/>
      <c r="E86" s="85"/>
      <c r="F86" s="85"/>
      <c r="G86" s="80"/>
      <c r="H86" s="85"/>
      <c r="I86" s="85"/>
      <c r="J86" s="85"/>
      <c r="K86" s="85"/>
      <c r="L86" s="193"/>
      <c r="M86" s="193"/>
      <c r="R86" s="176"/>
      <c r="S86" s="138"/>
      <c r="T86" s="691"/>
      <c r="U86" s="691"/>
      <c r="W86" s="700"/>
      <c r="Y86" s="691"/>
      <c r="Z86" s="691"/>
      <c r="AA86" s="691"/>
      <c r="AC86" s="691"/>
      <c r="AD86" s="691"/>
      <c r="AE86" s="691"/>
      <c r="AG86" s="691"/>
      <c r="AH86" s="691"/>
      <c r="AI86" s="691"/>
    </row>
    <row r="87" spans="3:35" ht="40.5" customHeight="1">
      <c r="C87" s="260" t="s">
        <v>82</v>
      </c>
      <c r="D87" s="96">
        <v>0</v>
      </c>
      <c r="E87" s="91">
        <v>0</v>
      </c>
      <c r="F87" s="96">
        <v>0</v>
      </c>
      <c r="G87" s="91">
        <v>0</v>
      </c>
      <c r="H87" s="91">
        <v>0</v>
      </c>
      <c r="I87" s="96">
        <v>0</v>
      </c>
      <c r="J87" s="96">
        <v>0</v>
      </c>
      <c r="K87" s="96">
        <v>0</v>
      </c>
      <c r="L87" s="836" t="s">
        <v>83</v>
      </c>
      <c r="M87" s="837"/>
      <c r="R87" s="109"/>
      <c r="S87" s="139"/>
      <c r="T87" s="138"/>
      <c r="U87" s="138"/>
      <c r="W87" s="700"/>
      <c r="X87" s="700"/>
      <c r="Y87" s="841"/>
      <c r="Z87" s="841"/>
      <c r="AA87" s="841"/>
      <c r="AB87" s="841"/>
      <c r="AC87" s="841"/>
      <c r="AD87" s="841"/>
      <c r="AE87" s="841"/>
      <c r="AF87" s="841"/>
      <c r="AG87" s="841"/>
      <c r="AH87" s="841"/>
      <c r="AI87" s="841"/>
    </row>
    <row r="88" spans="3:35" ht="49.5" customHeight="1">
      <c r="C88" s="696" t="s">
        <v>84</v>
      </c>
      <c r="D88" s="92">
        <v>1.32</v>
      </c>
      <c r="E88" s="92">
        <v>1.32</v>
      </c>
      <c r="F88" s="92">
        <v>1.32</v>
      </c>
      <c r="G88" s="92">
        <v>1.23</v>
      </c>
      <c r="H88" s="92">
        <v>1.23</v>
      </c>
      <c r="I88" s="92">
        <v>1.23</v>
      </c>
      <c r="J88" s="92">
        <v>1.32</v>
      </c>
      <c r="K88" s="92">
        <v>1.23</v>
      </c>
      <c r="L88" s="832" t="s">
        <v>85</v>
      </c>
      <c r="M88" s="833"/>
      <c r="N88" s="220"/>
      <c r="R88" s="110"/>
      <c r="S88" s="140"/>
      <c r="T88" s="139"/>
      <c r="U88" s="139"/>
      <c r="W88" s="700"/>
      <c r="X88" s="700"/>
      <c r="Y88" s="105"/>
      <c r="Z88" s="105"/>
      <c r="AA88" s="105"/>
      <c r="AB88" s="105"/>
      <c r="AC88" s="105"/>
      <c r="AD88" s="105"/>
      <c r="AE88" s="105"/>
      <c r="AF88" s="105"/>
      <c r="AG88" s="105"/>
      <c r="AH88" s="105"/>
      <c r="AI88" s="105"/>
    </row>
    <row r="89" spans="3:35" ht="20.25" customHeight="1">
      <c r="C89" s="697"/>
      <c r="D89" s="97"/>
      <c r="E89" s="86"/>
      <c r="F89" s="97"/>
      <c r="G89" s="86"/>
      <c r="H89" s="86"/>
      <c r="I89" s="86"/>
      <c r="J89" s="86"/>
      <c r="K89" s="86"/>
      <c r="L89" s="834" t="s">
        <v>86</v>
      </c>
      <c r="M89" s="835"/>
      <c r="R89" s="110"/>
      <c r="T89" s="139"/>
      <c r="U89" s="140"/>
      <c r="W89" s="100"/>
      <c r="X89" s="100"/>
      <c r="AA89" s="700"/>
    </row>
    <row r="91" spans="3:35" ht="20.25" customHeight="1" outlineLevel="1"/>
    <row r="92" spans="3:35" ht="20.25" customHeight="1" outlineLevel="1"/>
    <row r="93" spans="3:35" ht="20.25" customHeight="1" outlineLevel="1"/>
    <row r="94" spans="3:35" ht="20.25" customHeight="1" outlineLevel="1"/>
    <row r="95" spans="3:35" ht="20.25" customHeight="1" outlineLevel="1"/>
    <row r="96" spans="3:35" ht="20.25" customHeight="1" outlineLevel="1"/>
    <row r="97" ht="20.25" customHeight="1" outlineLevel="1"/>
    <row r="98" ht="20.25" customHeight="1" outlineLevel="1"/>
    <row r="99" ht="20.25" customHeight="1" outlineLevel="1"/>
    <row r="100" ht="20.25" customHeight="1" outlineLevel="1"/>
    <row r="101" ht="29.25" customHeight="1"/>
    <row r="102" ht="20.25" customHeight="1" outlineLevel="1"/>
    <row r="103" ht="20.25" customHeight="1" outlineLevel="1"/>
    <row r="104" ht="20.25" customHeight="1" outlineLevel="1"/>
    <row r="105" ht="20.25" customHeight="1" outlineLevel="1"/>
    <row r="106" ht="20.25" customHeight="1" outlineLevel="1"/>
    <row r="107" ht="20.25" customHeight="1" outlineLevel="1"/>
    <row r="108" ht="20.25" customHeight="1" outlineLevel="1"/>
    <row r="109" ht="20.25" customHeight="1" outlineLevel="1"/>
    <row r="110" ht="20.25" customHeight="1" outlineLevel="1"/>
    <row r="111" ht="20.25" customHeight="1" outlineLevel="1"/>
    <row r="112" ht="18" customHeight="1"/>
    <row r="113" ht="25.5" customHeight="1"/>
    <row r="114" ht="18" customHeight="1"/>
    <row r="116" ht="20.25" customHeight="1" outlineLevel="1"/>
    <row r="117" ht="20.25" customHeight="1" outlineLevel="1"/>
    <row r="118" ht="20.25" customHeight="1" outlineLevel="1"/>
    <row r="119" ht="20.25" customHeight="1" outlineLevel="1"/>
    <row r="120" ht="20.25" customHeight="1" outlineLevel="1"/>
    <row r="121" ht="20.25" customHeight="1" outlineLevel="1"/>
    <row r="122" ht="20.25" customHeight="1" outlineLevel="1"/>
    <row r="123" ht="20.25" customHeight="1" outlineLevel="1"/>
    <row r="124" ht="20.25" customHeight="1" outlineLevel="1"/>
    <row r="125" ht="20.25" customHeight="1" outlineLevel="1"/>
    <row r="127" ht="20.25" customHeight="1" outlineLevel="1"/>
    <row r="128" ht="20.25" customHeight="1" outlineLevel="1"/>
    <row r="129" ht="20.25" customHeight="1" outlineLevel="1"/>
    <row r="130" ht="20.25" customHeight="1" outlineLevel="1"/>
    <row r="131" ht="20.25" customHeight="1" outlineLevel="1"/>
    <row r="132" ht="20.25" customHeight="1" outlineLevel="1"/>
    <row r="133" ht="20.25" customHeight="1" outlineLevel="1"/>
    <row r="134" ht="20.25" customHeight="1" outlineLevel="1"/>
    <row r="135" ht="20.25" customHeight="1" outlineLevel="1"/>
    <row r="136" ht="20.25" customHeight="1" outlineLevel="1"/>
    <row r="138" ht="25.5" customHeight="1"/>
    <row r="140" ht="36" customHeight="1"/>
    <row r="141" ht="20.25" customHeight="1" outlineLevel="1"/>
    <row r="142" ht="20.25" customHeight="1" outlineLevel="1"/>
    <row r="143" ht="20.25" customHeight="1" outlineLevel="1"/>
    <row r="144" ht="20.25" customHeight="1" outlineLevel="1"/>
    <row r="145" ht="20.25" customHeight="1" outlineLevel="1"/>
    <row r="146" ht="20.25" customHeight="1" outlineLevel="1"/>
    <row r="147" ht="20.25" customHeight="1" outlineLevel="1"/>
    <row r="148" ht="20.25" customHeight="1" outlineLevel="1"/>
    <row r="149" ht="20.25" customHeight="1" outlineLevel="1"/>
    <row r="150" ht="20.25" customHeight="1" outlineLevel="1"/>
    <row r="152" ht="20.25" customHeight="1" outlineLevel="1"/>
    <row r="153" ht="20.25" customHeight="1" outlineLevel="1"/>
    <row r="154" ht="20.25" customHeight="1" outlineLevel="1"/>
    <row r="155" ht="20.25" customHeight="1" outlineLevel="1"/>
    <row r="156" ht="20.25" customHeight="1" outlineLevel="1"/>
    <row r="157" ht="20.25" customHeight="1" outlineLevel="1"/>
    <row r="158" ht="20.25" customHeight="1" outlineLevel="1"/>
    <row r="159" ht="20.25" customHeight="1" outlineLevel="1"/>
    <row r="160" ht="20.25" customHeight="1" outlineLevel="1"/>
    <row r="161" ht="20.25" customHeight="1" outlineLevel="1"/>
  </sheetData>
  <sheetProtection formatCells="0" formatColumns="0" formatRows="0" insertColumns="0" insertRows="0" insertHyperlinks="0" deleteColumns="0" deleteRows="0" sort="0" autoFilter="0" pivotTables="0"/>
  <mergeCells count="67">
    <mergeCell ref="D25:F25"/>
    <mergeCell ref="G25:I25"/>
    <mergeCell ref="J25:K25"/>
    <mergeCell ref="L25:M25"/>
    <mergeCell ref="C2:J2"/>
    <mergeCell ref="J4:K5"/>
    <mergeCell ref="C7:M10"/>
    <mergeCell ref="C12:D12"/>
    <mergeCell ref="C23:M23"/>
    <mergeCell ref="D27:K27"/>
    <mergeCell ref="L27:M27"/>
    <mergeCell ref="C30:C31"/>
    <mergeCell ref="D30:F30"/>
    <mergeCell ref="G30:I30"/>
    <mergeCell ref="L30:M31"/>
    <mergeCell ref="D31:F31"/>
    <mergeCell ref="G31:I31"/>
    <mergeCell ref="L32:M32"/>
    <mergeCell ref="L33:M33"/>
    <mergeCell ref="D34:F34"/>
    <mergeCell ref="G34:I34"/>
    <mergeCell ref="D35:F35"/>
    <mergeCell ref="G35:I35"/>
    <mergeCell ref="L35:M35"/>
    <mergeCell ref="E50:M54"/>
    <mergeCell ref="L37:M37"/>
    <mergeCell ref="D38:F38"/>
    <mergeCell ref="G38:I38"/>
    <mergeCell ref="L38:M42"/>
    <mergeCell ref="D39:F39"/>
    <mergeCell ref="G39:I39"/>
    <mergeCell ref="D40:F40"/>
    <mergeCell ref="G40:I40"/>
    <mergeCell ref="D41:F41"/>
    <mergeCell ref="G41:I41"/>
    <mergeCell ref="D42:F42"/>
    <mergeCell ref="G42:I42"/>
    <mergeCell ref="C44:M44"/>
    <mergeCell ref="E46:M46"/>
    <mergeCell ref="E48:M48"/>
    <mergeCell ref="C55:K55"/>
    <mergeCell ref="Y57:AI57"/>
    <mergeCell ref="Y60:AI60"/>
    <mergeCell ref="D62:F62"/>
    <mergeCell ref="G62:I62"/>
    <mergeCell ref="J62:K62"/>
    <mergeCell ref="L62:M64"/>
    <mergeCell ref="L66:M66"/>
    <mergeCell ref="L67:M67"/>
    <mergeCell ref="L68:M68"/>
    <mergeCell ref="L69:M73"/>
    <mergeCell ref="C76:C77"/>
    <mergeCell ref="L76:M76"/>
    <mergeCell ref="Y85:AI85"/>
    <mergeCell ref="L87:M87"/>
    <mergeCell ref="Y87:AI87"/>
    <mergeCell ref="X76:X77"/>
    <mergeCell ref="Z76:Z77"/>
    <mergeCell ref="AB76:AB77"/>
    <mergeCell ref="L78:M78"/>
    <mergeCell ref="L79:M79"/>
    <mergeCell ref="L80:M80"/>
    <mergeCell ref="L88:M88"/>
    <mergeCell ref="L89:M89"/>
    <mergeCell ref="L81:M81"/>
    <mergeCell ref="L82:M82"/>
    <mergeCell ref="L83:M83"/>
  </mergeCells>
  <dataValidations count="2">
    <dataValidation type="list" allowBlank="1" showInputMessage="1" showErrorMessage="1" sqref="D48" xr:uid="{80AEEA53-5A97-47C5-A569-2A656CDECF6B}">
      <formula1>"Initial self-financing phase, Other transition phase"</formula1>
    </dataValidation>
    <dataValidation type="list" allowBlank="1" showInputMessage="1" showErrorMessage="1" sqref="D21 D17 D19 D46" xr:uid="{CCF51C1A-69A3-40A0-9F23-09DC965F0B9D}">
      <formula1>"Yes, No"</formula1>
    </dataValidation>
  </dataValidations>
  <hyperlinks>
    <hyperlink ref="G58" r:id="rId1" xr:uid="{07EB4624-FFFC-484E-AA7B-C4A0CB8509AD}"/>
    <hyperlink ref="L89" r:id="rId2" xr:uid="{D24A9908-630D-431E-A8CB-EF537D9D6E76}"/>
  </hyperlinks>
  <printOptions horizontalCentered="1" verticalCentered="1"/>
  <pageMargins left="0.25" right="0.25" top="0.75" bottom="0.75" header="0.3" footer="0.3"/>
  <pageSetup scale="38" orientation="portrait" r:id="rId3"/>
  <headerFooter>
    <oddHeader>&amp;L&amp;"Calibri"&amp;10&amp;K000000Classified as Internal&amp;1#</oddHeader>
  </headerFooter>
  <rowBreaks count="1" manualBreakCount="1">
    <brk id="139" max="16383" man="1"/>
  </rowBreaks>
  <extLst>
    <ext xmlns:x14="http://schemas.microsoft.com/office/spreadsheetml/2009/9/main" uri="{CCE6A557-97BC-4b89-ADB6-D9C93CAAB3DF}">
      <x14:dataValidations xmlns:xm="http://schemas.microsoft.com/office/excel/2006/main" count="2">
        <x14:dataValidation type="list" allowBlank="1" showDropDown="1" showInputMessage="1" showErrorMessage="1" xr:uid="{4B09D5FE-008F-46F7-9716-04D6CB8D1D54}">
          <x14:formula1>
            <xm:f>Datos!$A$2:$A$9</xm:f>
          </x14:formula1>
          <xm:sqref>X64</xm:sqref>
        </x14:dataValidation>
        <x14:dataValidation type="list" allowBlank="1" showInputMessage="1" showErrorMessage="1" xr:uid="{2869E24E-D6E0-4FAB-AF5C-5D6F534FC01F}">
          <x14:formula1>
            <xm:f>Datos!$A$2:$A$9</xm:f>
          </x14:formula1>
          <xm:sqref>T64 D64:K64 R64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dimension ref="A1:F64"/>
  <sheetViews>
    <sheetView zoomScaleNormal="100" workbookViewId="0"/>
  </sheetViews>
  <sheetFormatPr defaultColWidth="8.81640625" defaultRowHeight="14.5"/>
  <cols>
    <col min="1" max="1" width="52" customWidth="1"/>
    <col min="2" max="4" width="20.81640625" customWidth="1"/>
    <col min="5" max="5" width="41.81640625" bestFit="1" customWidth="1"/>
    <col min="6" max="6" width="37.453125" customWidth="1"/>
    <col min="7" max="28" width="20.81640625" customWidth="1"/>
  </cols>
  <sheetData>
    <row r="1" spans="1:6" ht="16.5">
      <c r="A1" s="740" t="s">
        <v>283</v>
      </c>
      <c r="B1" s="740" t="s">
        <v>284</v>
      </c>
      <c r="C1" s="740" t="s">
        <v>285</v>
      </c>
      <c r="D1" s="740" t="s">
        <v>286</v>
      </c>
      <c r="E1" s="740" t="s">
        <v>505</v>
      </c>
      <c r="F1" s="740" t="s">
        <v>458</v>
      </c>
    </row>
    <row r="2" spans="1:6">
      <c r="A2" s="741" t="s">
        <v>53</v>
      </c>
      <c r="B2" s="742">
        <v>3.5</v>
      </c>
      <c r="C2" s="743">
        <v>1</v>
      </c>
      <c r="D2" s="744">
        <v>0.1</v>
      </c>
      <c r="E2" s="745">
        <v>6.06</v>
      </c>
      <c r="F2" s="741" t="s">
        <v>504</v>
      </c>
    </row>
    <row r="3" spans="1:6">
      <c r="A3" s="741" t="s">
        <v>184</v>
      </c>
      <c r="B3" s="742">
        <v>3</v>
      </c>
      <c r="C3" s="743">
        <v>2</v>
      </c>
      <c r="D3" s="744">
        <v>0.1</v>
      </c>
      <c r="E3" s="745">
        <v>17.12</v>
      </c>
      <c r="F3" s="741" t="s">
        <v>504</v>
      </c>
    </row>
    <row r="4" spans="1:6">
      <c r="A4" s="741" t="s">
        <v>287</v>
      </c>
      <c r="B4" s="742">
        <v>3</v>
      </c>
      <c r="C4" s="743">
        <v>1</v>
      </c>
      <c r="D4" s="744">
        <v>0.1</v>
      </c>
      <c r="E4" s="745">
        <v>17.12</v>
      </c>
      <c r="F4" s="741" t="s">
        <v>504</v>
      </c>
    </row>
    <row r="5" spans="1:6">
      <c r="A5" s="741" t="s">
        <v>185</v>
      </c>
      <c r="B5" s="746" t="s">
        <v>288</v>
      </c>
      <c r="C5" s="743" t="s">
        <v>288</v>
      </c>
      <c r="D5" s="746" t="s">
        <v>288</v>
      </c>
      <c r="E5" s="743" t="s">
        <v>288</v>
      </c>
      <c r="F5" s="741" t="s">
        <v>504</v>
      </c>
    </row>
    <row r="6" spans="1:6">
      <c r="A6" s="741" t="s">
        <v>56</v>
      </c>
      <c r="B6" s="742">
        <v>20</v>
      </c>
      <c r="C6" s="743">
        <v>1</v>
      </c>
      <c r="D6" s="744">
        <v>0.1</v>
      </c>
      <c r="E6" s="745">
        <v>17.12</v>
      </c>
      <c r="F6" s="741" t="s">
        <v>504</v>
      </c>
    </row>
    <row r="7" spans="1:6">
      <c r="A7" s="741" t="s">
        <v>289</v>
      </c>
      <c r="B7" s="742">
        <v>20</v>
      </c>
      <c r="C7" s="743">
        <v>2</v>
      </c>
      <c r="D7" s="744">
        <v>0.1</v>
      </c>
      <c r="E7" s="745">
        <v>17.12</v>
      </c>
      <c r="F7" s="741" t="s">
        <v>504</v>
      </c>
    </row>
    <row r="8" spans="1:6">
      <c r="A8" s="741" t="s">
        <v>290</v>
      </c>
      <c r="B8" s="742">
        <v>50</v>
      </c>
      <c r="C8" s="743">
        <v>3</v>
      </c>
      <c r="D8" s="744">
        <v>0.1</v>
      </c>
      <c r="E8" s="745">
        <v>17.12</v>
      </c>
      <c r="F8" s="741" t="s">
        <v>504</v>
      </c>
    </row>
    <row r="9" spans="1:6">
      <c r="A9" s="741" t="s">
        <v>185</v>
      </c>
      <c r="B9" s="746" t="s">
        <v>288</v>
      </c>
      <c r="C9" s="743" t="s">
        <v>288</v>
      </c>
      <c r="D9" s="746" t="s">
        <v>288</v>
      </c>
      <c r="E9" s="743" t="s">
        <v>288</v>
      </c>
      <c r="F9" s="741" t="s">
        <v>504</v>
      </c>
    </row>
    <row r="10" spans="1:6" ht="15" thickBot="1">
      <c r="A10" s="741"/>
      <c r="B10" s="746"/>
      <c r="C10" s="743"/>
      <c r="D10" s="744"/>
      <c r="E10" s="745"/>
      <c r="F10" s="741"/>
    </row>
    <row r="11" spans="1:6">
      <c r="A11" s="747" t="s">
        <v>293</v>
      </c>
      <c r="B11" s="746"/>
      <c r="C11" s="748" t="s">
        <v>459</v>
      </c>
      <c r="D11" s="749"/>
      <c r="E11" s="749"/>
      <c r="F11" s="750"/>
    </row>
    <row r="12" spans="1:6">
      <c r="A12" s="741" t="s">
        <v>53</v>
      </c>
      <c r="B12" s="746"/>
      <c r="C12" s="751" t="s">
        <v>460</v>
      </c>
      <c r="D12" s="741"/>
      <c r="E12" s="741"/>
      <c r="F12" s="752" t="s">
        <v>461</v>
      </c>
    </row>
    <row r="13" spans="1:6" ht="15" thickBot="1">
      <c r="A13" s="741" t="s">
        <v>184</v>
      </c>
      <c r="B13" s="746"/>
      <c r="C13" s="753" t="s">
        <v>462</v>
      </c>
      <c r="D13" s="754" t="s">
        <v>463</v>
      </c>
      <c r="E13" s="754"/>
      <c r="F13" s="755" t="s">
        <v>464</v>
      </c>
    </row>
    <row r="14" spans="1:6">
      <c r="A14" s="741" t="s">
        <v>287</v>
      </c>
      <c r="B14" s="746"/>
      <c r="C14" s="743"/>
      <c r="D14" s="744"/>
      <c r="E14" s="745"/>
      <c r="F14" s="741">
        <f>(86*86*41)/1000</f>
        <v>303.23599999999999</v>
      </c>
    </row>
    <row r="15" spans="1:6">
      <c r="A15" s="741" t="s">
        <v>185</v>
      </c>
      <c r="B15" s="746"/>
      <c r="C15" s="743"/>
      <c r="D15" s="744"/>
      <c r="E15" s="745"/>
      <c r="F15" s="741">
        <f>F14/50</f>
        <v>6.0647199999999994</v>
      </c>
    </row>
    <row r="16" spans="1:6">
      <c r="A16" s="741" t="s">
        <v>56</v>
      </c>
      <c r="B16" s="746"/>
      <c r="C16" s="743"/>
      <c r="D16" s="744"/>
      <c r="E16" s="745"/>
      <c r="F16" s="741"/>
    </row>
    <row r="17" spans="1:6">
      <c r="A17" s="741" t="s">
        <v>289</v>
      </c>
      <c r="B17" s="746"/>
      <c r="C17" s="743"/>
      <c r="D17" s="744"/>
      <c r="E17" s="745"/>
      <c r="F17" s="741"/>
    </row>
    <row r="18" spans="1:6">
      <c r="A18" s="741" t="s">
        <v>290</v>
      </c>
      <c r="B18" s="746"/>
      <c r="C18" s="743"/>
      <c r="D18" s="744"/>
      <c r="E18" s="745"/>
      <c r="F18" s="741"/>
    </row>
    <row r="19" spans="1:6">
      <c r="A19" s="741" t="s">
        <v>185</v>
      </c>
      <c r="B19" s="746"/>
      <c r="C19" s="743"/>
      <c r="D19" s="744"/>
      <c r="E19" s="745"/>
      <c r="F19" s="741"/>
    </row>
    <row r="20" spans="1:6">
      <c r="A20" s="741"/>
      <c r="B20" s="746"/>
      <c r="C20" s="743"/>
      <c r="D20" s="744"/>
      <c r="E20" s="745"/>
      <c r="F20" s="741"/>
    </row>
    <row r="21" spans="1:6">
      <c r="A21" s="740" t="s">
        <v>291</v>
      </c>
      <c r="B21" s="741"/>
      <c r="C21" s="741"/>
      <c r="D21" s="741"/>
      <c r="E21" s="741"/>
      <c r="F21" s="741"/>
    </row>
    <row r="22" spans="1:6" ht="15" thickBot="1">
      <c r="A22" s="741" t="s">
        <v>292</v>
      </c>
      <c r="B22" s="741"/>
      <c r="C22" s="741"/>
      <c r="D22" s="741"/>
      <c r="E22" s="756" t="s">
        <v>467</v>
      </c>
      <c r="F22" s="741"/>
    </row>
    <row r="23" spans="1:6">
      <c r="A23" s="741" t="s">
        <v>482</v>
      </c>
      <c r="B23" s="741"/>
      <c r="C23" s="741" t="s">
        <v>465</v>
      </c>
      <c r="D23" s="741"/>
      <c r="E23" s="757" t="s">
        <v>468</v>
      </c>
      <c r="F23" s="758" t="s">
        <v>469</v>
      </c>
    </row>
    <row r="24" spans="1:6">
      <c r="A24" s="741" t="s">
        <v>483</v>
      </c>
      <c r="B24" s="741">
        <v>1</v>
      </c>
      <c r="C24" s="759">
        <f>'Datos del modelo'!E64</f>
        <v>0.15</v>
      </c>
      <c r="D24" s="741"/>
      <c r="E24" s="760">
        <v>1</v>
      </c>
      <c r="F24" s="761" t="s">
        <v>470</v>
      </c>
    </row>
    <row r="25" spans="1:6">
      <c r="A25" s="741" t="s">
        <v>288</v>
      </c>
      <c r="B25" s="741">
        <v>2</v>
      </c>
      <c r="C25" s="759">
        <v>0.4</v>
      </c>
      <c r="D25" s="741"/>
      <c r="E25" s="760">
        <v>2</v>
      </c>
      <c r="F25" s="762">
        <v>0.4</v>
      </c>
    </row>
    <row r="26" spans="1:6">
      <c r="A26" s="740" t="s">
        <v>466</v>
      </c>
      <c r="B26" s="741">
        <v>3</v>
      </c>
      <c r="C26" s="759">
        <v>0.5</v>
      </c>
      <c r="D26" s="741"/>
      <c r="E26" s="760">
        <v>3</v>
      </c>
      <c r="F26" s="762">
        <v>0.5</v>
      </c>
    </row>
    <row r="27" spans="1:6">
      <c r="A27" s="741" t="s">
        <v>484</v>
      </c>
      <c r="B27" s="741">
        <v>4</v>
      </c>
      <c r="C27" s="759">
        <v>0.6</v>
      </c>
      <c r="D27" s="741"/>
      <c r="E27" s="760">
        <v>4</v>
      </c>
      <c r="F27" s="762">
        <v>0.6</v>
      </c>
    </row>
    <row r="28" spans="1:6">
      <c r="A28" s="741" t="s">
        <v>485</v>
      </c>
      <c r="B28" s="741">
        <v>5</v>
      </c>
      <c r="C28" s="759">
        <v>0.7</v>
      </c>
      <c r="D28" s="741"/>
      <c r="E28" s="760">
        <v>5</v>
      </c>
      <c r="F28" s="762">
        <v>0.7</v>
      </c>
    </row>
    <row r="29" spans="1:6">
      <c r="A29" s="741"/>
      <c r="B29" s="741">
        <v>6</v>
      </c>
      <c r="C29" s="759">
        <v>0.8</v>
      </c>
      <c r="D29" s="741"/>
      <c r="E29" s="760">
        <v>6</v>
      </c>
      <c r="F29" s="762">
        <v>0.8</v>
      </c>
    </row>
    <row r="30" spans="1:6">
      <c r="A30" s="741"/>
      <c r="B30" s="741">
        <v>7</v>
      </c>
      <c r="C30" s="759">
        <v>0.9</v>
      </c>
      <c r="D30" s="741"/>
      <c r="E30" s="760" t="s">
        <v>471</v>
      </c>
      <c r="F30" s="762">
        <v>0.9</v>
      </c>
    </row>
    <row r="31" spans="1:6" ht="15" thickBot="1">
      <c r="A31" s="741"/>
      <c r="B31" s="741">
        <v>8</v>
      </c>
      <c r="C31" s="759">
        <v>0.9</v>
      </c>
      <c r="D31" s="741"/>
      <c r="E31" s="763" t="s">
        <v>472</v>
      </c>
      <c r="F31" s="764">
        <v>1</v>
      </c>
    </row>
    <row r="32" spans="1:6">
      <c r="A32" s="741"/>
      <c r="B32" s="741">
        <f>'Datos del modelo'!D65</f>
        <v>2025</v>
      </c>
      <c r="C32" s="765" cm="1">
        <f t="array" ref="C32">IF('Datos del modelo'!E60=A27,INDEX($C$24:$C$31,MATCH('Datos del modelo'!E61,$B$24:$B$31),0),'Datos del modelo'!E64)</f>
        <v>0.5</v>
      </c>
      <c r="D32" s="741" t="s">
        <v>473</v>
      </c>
      <c r="E32" s="741"/>
      <c r="F32" s="741"/>
    </row>
    <row r="33" spans="1:6">
      <c r="A33" s="741"/>
      <c r="B33" s="741">
        <f>'Datos del modelo'!D66</f>
        <v>2026</v>
      </c>
      <c r="C33" s="765">
        <f>MIN(1,C32+(1-$C$32)/(9-'Datos del modelo'!$E$61))</f>
        <v>0.58333333333333337</v>
      </c>
      <c r="D33" s="765" t="s">
        <v>474</v>
      </c>
      <c r="E33" s="741"/>
      <c r="F33" s="741"/>
    </row>
    <row r="34" spans="1:6">
      <c r="A34" s="741"/>
      <c r="B34" s="741">
        <f>'Datos del modelo'!D67</f>
        <v>2027</v>
      </c>
      <c r="C34" s="765">
        <f>MIN(1,C33+(1-$C$32)/(9-'Datos del modelo'!$E$61))</f>
        <v>0.66666666666666674</v>
      </c>
      <c r="D34" s="741" t="s">
        <v>475</v>
      </c>
      <c r="E34" s="741"/>
      <c r="F34" s="741"/>
    </row>
    <row r="35" spans="1:6">
      <c r="A35" s="741"/>
      <c r="B35" s="741">
        <f>'Datos del modelo'!D68</f>
        <v>2028</v>
      </c>
      <c r="C35" s="765">
        <f>MIN(1,C34+(1-$C$32)/(9-'Datos del modelo'!$E$61))</f>
        <v>0.75000000000000011</v>
      </c>
      <c r="D35" s="765" t="s">
        <v>476</v>
      </c>
      <c r="E35" s="741"/>
      <c r="F35" s="741"/>
    </row>
    <row r="36" spans="1:6">
      <c r="A36" s="741"/>
      <c r="B36" s="741">
        <f>'Datos del modelo'!D69</f>
        <v>2029</v>
      </c>
      <c r="C36" s="765">
        <f>MIN(1,C35+(1-$C$32)/(9-'Datos del modelo'!$E$61))</f>
        <v>0.83333333333333348</v>
      </c>
      <c r="D36" s="741" t="s">
        <v>477</v>
      </c>
      <c r="E36" s="741"/>
      <c r="F36" s="741"/>
    </row>
    <row r="37" spans="1:6">
      <c r="A37" s="741"/>
      <c r="B37" s="741"/>
      <c r="C37" s="765">
        <f>MIN(1,C36+(1-$C$32)/(9-'Datos del modelo'!$E$61))</f>
        <v>0.91666666666666685</v>
      </c>
      <c r="D37" s="765" t="s">
        <v>478</v>
      </c>
      <c r="E37" s="741"/>
      <c r="F37" s="741"/>
    </row>
    <row r="38" spans="1:6">
      <c r="A38" s="741"/>
      <c r="B38" s="741"/>
      <c r="C38" s="765">
        <f>MIN(1,C37+(1-$C$32)/(9-'Datos del modelo'!$E$61))</f>
        <v>1</v>
      </c>
      <c r="D38" s="741" t="s">
        <v>479</v>
      </c>
      <c r="E38" s="741"/>
      <c r="F38" s="741"/>
    </row>
    <row r="39" spans="1:6">
      <c r="A39" s="741"/>
      <c r="B39" s="741"/>
      <c r="C39" s="765">
        <f>MIN(1,C38+(1-$C$32)/(9-'Datos del modelo'!$E$61))</f>
        <v>1</v>
      </c>
      <c r="D39" s="765" t="s">
        <v>480</v>
      </c>
      <c r="E39" s="741"/>
      <c r="F39" s="741"/>
    </row>
    <row r="40" spans="1:6">
      <c r="A40" s="741"/>
      <c r="B40" s="741"/>
      <c r="C40" s="765">
        <f>MIN(1,C39+(1-$C$32)/(9-'Datos del modelo'!$E$61))</f>
        <v>1</v>
      </c>
      <c r="D40" s="741" t="s">
        <v>481</v>
      </c>
      <c r="E40" s="741"/>
      <c r="F40" s="741"/>
    </row>
    <row r="41" spans="1:6">
      <c r="A41" s="741"/>
      <c r="B41" s="741"/>
      <c r="C41" s="741"/>
      <c r="D41" s="741"/>
      <c r="E41" s="741"/>
      <c r="F41" s="741"/>
    </row>
    <row r="42" spans="1:6">
      <c r="A42" s="741"/>
      <c r="B42" s="741"/>
      <c r="C42" s="741"/>
      <c r="D42" s="741"/>
      <c r="E42" s="741"/>
      <c r="F42" s="741"/>
    </row>
    <row r="43" spans="1:6">
      <c r="A43" s="741"/>
      <c r="B43" s="741"/>
      <c r="C43" s="741"/>
      <c r="D43" s="741"/>
      <c r="E43" s="741"/>
      <c r="F43" s="741"/>
    </row>
    <row r="44" spans="1:6">
      <c r="A44" s="741"/>
      <c r="B44" s="741"/>
      <c r="C44" s="741"/>
      <c r="D44" s="741"/>
      <c r="E44" s="741"/>
      <c r="F44" s="741"/>
    </row>
    <row r="45" spans="1:6">
      <c r="A45" s="741"/>
      <c r="B45" s="741"/>
      <c r="C45" s="741"/>
      <c r="D45" s="741"/>
      <c r="E45" s="741"/>
      <c r="F45" s="741"/>
    </row>
    <row r="46" spans="1:6">
      <c r="A46" s="741"/>
      <c r="B46" s="741"/>
      <c r="C46" s="741"/>
      <c r="D46" s="741"/>
      <c r="E46" s="741"/>
      <c r="F46" s="741"/>
    </row>
    <row r="47" spans="1:6">
      <c r="A47" s="741"/>
      <c r="B47" s="741"/>
      <c r="C47" s="741"/>
      <c r="D47" s="741"/>
      <c r="E47" s="741"/>
      <c r="F47" s="741"/>
    </row>
    <row r="48" spans="1:6">
      <c r="A48" s="741"/>
      <c r="B48" s="741"/>
      <c r="C48" s="741"/>
      <c r="D48" s="741"/>
      <c r="E48" s="741"/>
      <c r="F48" s="741"/>
    </row>
    <row r="49" spans="1:6">
      <c r="A49" s="741"/>
      <c r="B49" s="741"/>
      <c r="C49" s="741"/>
      <c r="D49" s="741"/>
      <c r="E49" s="741"/>
      <c r="F49" s="741"/>
    </row>
    <row r="50" spans="1:6">
      <c r="A50" s="741"/>
      <c r="B50" s="741"/>
      <c r="C50" s="741"/>
      <c r="D50" s="741"/>
      <c r="E50" s="741"/>
      <c r="F50" s="741"/>
    </row>
    <row r="51" spans="1:6">
      <c r="A51" s="741"/>
      <c r="B51" s="741"/>
      <c r="C51" s="741"/>
      <c r="D51" s="741"/>
      <c r="E51" s="741"/>
      <c r="F51" s="741"/>
    </row>
    <row r="52" spans="1:6">
      <c r="A52" s="741"/>
      <c r="B52" s="741"/>
      <c r="C52" s="741"/>
      <c r="D52" s="741"/>
      <c r="E52" s="741"/>
      <c r="F52" s="741"/>
    </row>
    <row r="53" spans="1:6">
      <c r="A53" s="741"/>
      <c r="B53" s="741"/>
      <c r="C53" s="741"/>
      <c r="D53" s="741"/>
      <c r="E53" s="741"/>
      <c r="F53" s="741"/>
    </row>
    <row r="54" spans="1:6">
      <c r="A54" s="741"/>
      <c r="B54" s="741"/>
      <c r="C54" s="741"/>
      <c r="D54" s="741"/>
      <c r="E54" s="741"/>
      <c r="F54" s="741"/>
    </row>
    <row r="55" spans="1:6">
      <c r="A55" s="741"/>
      <c r="B55" s="741"/>
      <c r="C55" s="741"/>
      <c r="D55" s="741"/>
      <c r="E55" s="741"/>
      <c r="F55" s="741"/>
    </row>
    <row r="56" spans="1:6">
      <c r="A56" s="741"/>
      <c r="B56" s="741"/>
      <c r="C56" s="741"/>
      <c r="D56" s="741"/>
      <c r="E56" s="741"/>
      <c r="F56" s="741"/>
    </row>
    <row r="57" spans="1:6">
      <c r="A57" s="741"/>
      <c r="B57" s="741"/>
      <c r="C57" s="741"/>
      <c r="D57" s="741"/>
      <c r="E57" s="741"/>
      <c r="F57" s="741"/>
    </row>
    <row r="58" spans="1:6">
      <c r="A58" s="741"/>
      <c r="B58" s="741"/>
      <c r="C58" s="741"/>
      <c r="D58" s="741"/>
      <c r="E58" s="741"/>
      <c r="F58" s="741"/>
    </row>
    <row r="59" spans="1:6">
      <c r="A59" s="741"/>
      <c r="B59" s="741"/>
      <c r="C59" s="741"/>
      <c r="D59" s="741"/>
      <c r="E59" s="741"/>
      <c r="F59" s="741"/>
    </row>
    <row r="60" spans="1:6">
      <c r="A60" s="741"/>
      <c r="B60" s="741"/>
      <c r="C60" s="741"/>
      <c r="D60" s="741"/>
      <c r="E60" s="741"/>
      <c r="F60" s="741"/>
    </row>
    <row r="61" spans="1:6">
      <c r="A61" s="741"/>
      <c r="B61" s="741"/>
      <c r="C61" s="741"/>
      <c r="D61" s="741"/>
      <c r="E61" s="741"/>
      <c r="F61" s="741"/>
    </row>
    <row r="62" spans="1:6">
      <c r="A62" s="741"/>
      <c r="B62" s="741"/>
      <c r="C62" s="741"/>
      <c r="D62" s="741"/>
      <c r="E62" s="741"/>
      <c r="F62" s="741"/>
    </row>
    <row r="63" spans="1:6">
      <c r="A63" s="741"/>
      <c r="B63" s="741"/>
      <c r="C63" s="741"/>
      <c r="D63" s="741"/>
      <c r="E63" s="741"/>
      <c r="F63" s="741"/>
    </row>
    <row r="64" spans="1:6">
      <c r="A64" s="741"/>
      <c r="B64" s="741"/>
      <c r="C64" s="741"/>
      <c r="D64" s="741"/>
      <c r="E64" s="741"/>
      <c r="F64" s="741"/>
    </row>
  </sheetData>
  <sheetProtection algorithmName="SHA-512" hashValue="mO+VEor1JpBhleMiz1AL3gZODZxFcIohEhHqON+bNFdoU5zPkqynlLpEOsaeFj/xhl+KNmZ5AfeENKKufSokTg==" saltValue="ZPUdGpSQ2N2Unm+lXfXMMw==" spinCount="100000" sheet="1" objects="1" scenarios="1"/>
  <phoneticPr fontId="40" type="noConversion"/>
  <pageMargins left="0.7" right="0.7" top="0.75" bottom="0.75" header="0.3" footer="0.3"/>
  <pageSetup paperSize="9" orientation="portrait" r:id="rId1"/>
  <headerFooter>
    <oddHeader>&amp;L&amp;&amp;«Calibri»&amp;10&amp;K000000Clasificado como interno&amp;K000000&amp;1#</oddHead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55D85-F239-4D5C-9489-9CED94304D77}">
  <sheetPr codeName="Sheet12"/>
  <dimension ref="B1:U71"/>
  <sheetViews>
    <sheetView workbookViewId="0">
      <selection activeCell="Z22" sqref="Z22"/>
    </sheetView>
  </sheetViews>
  <sheetFormatPr defaultColWidth="8.81640625" defaultRowHeight="14.5"/>
  <cols>
    <col min="1" max="1" width="4.1796875" style="77" customWidth="1"/>
    <col min="2" max="16384" width="8.81640625" style="77"/>
  </cols>
  <sheetData>
    <row r="1" spans="2:21" ht="15" thickBot="1"/>
    <row r="2" spans="2:21" ht="24" thickBot="1">
      <c r="B2" s="76"/>
      <c r="D2" s="1090" t="s">
        <v>261</v>
      </c>
      <c r="E2" s="1091"/>
      <c r="F2" s="1091"/>
      <c r="G2" s="1091"/>
      <c r="H2" s="1091"/>
      <c r="I2" s="1091"/>
      <c r="J2" s="1091"/>
      <c r="K2" s="1091"/>
      <c r="L2" s="1091"/>
      <c r="M2" s="1091"/>
      <c r="N2" s="1091"/>
      <c r="O2" s="1091"/>
      <c r="P2" s="1091"/>
      <c r="Q2" s="1091"/>
      <c r="R2" s="1091"/>
      <c r="S2" s="1091"/>
      <c r="T2" s="1091"/>
      <c r="U2" s="1092"/>
    </row>
    <row r="3" spans="2:21" ht="18.5">
      <c r="B3" s="79" t="s">
        <v>262</v>
      </c>
    </row>
    <row r="4" spans="2:21">
      <c r="B4" s="258" t="s">
        <v>294</v>
      </c>
    </row>
    <row r="23" spans="2:2" ht="18.5">
      <c r="B23" s="79" t="s">
        <v>263</v>
      </c>
    </row>
    <row r="24" spans="2:2">
      <c r="B24" s="258" t="s">
        <v>294</v>
      </c>
    </row>
    <row r="47" spans="4:21" ht="15" thickBot="1"/>
    <row r="48" spans="4:21" ht="19" thickBot="1">
      <c r="D48" s="1090" t="s">
        <v>295</v>
      </c>
      <c r="E48" s="1091"/>
      <c r="F48" s="1091"/>
      <c r="G48" s="1091"/>
      <c r="H48" s="1091"/>
      <c r="I48" s="1091"/>
      <c r="J48" s="1091"/>
      <c r="K48" s="1091"/>
      <c r="L48" s="1091"/>
      <c r="M48" s="1091"/>
      <c r="N48" s="1091"/>
      <c r="O48" s="1091"/>
      <c r="P48" s="1091"/>
      <c r="Q48" s="1091"/>
      <c r="R48" s="1091"/>
      <c r="S48" s="1091"/>
      <c r="T48" s="1091"/>
      <c r="U48" s="1092"/>
    </row>
    <row r="49" spans="2:2" ht="18.5">
      <c r="B49" s="79" t="s">
        <v>262</v>
      </c>
    </row>
    <row r="50" spans="2:2">
      <c r="B50" s="258" t="s">
        <v>294</v>
      </c>
    </row>
    <row r="51" spans="2:2" ht="10.5" customHeight="1"/>
    <row r="70" spans="2:14" ht="18.5">
      <c r="B70" s="79" t="s">
        <v>263</v>
      </c>
    </row>
    <row r="71" spans="2:14">
      <c r="B71" s="258" t="s">
        <v>294</v>
      </c>
    </row>
  </sheetData>
  <sheetProtection formatCells="0" formatColumns="0" formatRows="0" insertColumns="0" insertRows="0" insertHyperlinks="0" deleteColumns="0" deleteRows="0" sort="0" autoFilter="0" pivotTables="0"/>
  <mergeCells count="2">
    <mergeCell ref="D2:U2"/>
    <mergeCell ref="D48:U48"/>
  </mergeCells>
  <pageMargins left="0.7" right="0.7" top="0.75" bottom="0.75" header="0.3" footer="0.3"/>
  <pageSetup paperSize="9" orientation="portrait" r:id="rId1"/>
  <headerFooter>
    <oddHeader>&amp;L&amp;"Calibri"&amp;10&amp;K000000Classified as Internal&amp;1#</oddHeader>
  </headerFooter>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dimension ref="B2:U57"/>
  <sheetViews>
    <sheetView workbookViewId="0"/>
  </sheetViews>
  <sheetFormatPr defaultColWidth="8.81640625" defaultRowHeight="14.5"/>
  <cols>
    <col min="1" max="1" width="8.81640625" style="5"/>
    <col min="2" max="2" width="78.1796875" style="5" customWidth="1"/>
    <col min="3" max="3" width="55.453125" style="4" customWidth="1"/>
    <col min="4" max="4" width="50.81640625" style="4" customWidth="1"/>
    <col min="5" max="8" width="46.453125" style="5" customWidth="1"/>
    <col min="9" max="9" width="54.453125" style="5" customWidth="1"/>
    <col min="10" max="10" width="60.1796875" style="5" customWidth="1"/>
    <col min="11" max="11" width="59.453125" style="5" customWidth="1"/>
    <col min="12" max="12" width="41.81640625" style="5" customWidth="1"/>
    <col min="13" max="13" width="8.81640625" style="75"/>
    <col min="14" max="14" width="9.453125" style="5" customWidth="1"/>
    <col min="15" max="15" width="76.1796875" style="5" customWidth="1"/>
    <col min="16" max="16" width="62.1796875" style="5" customWidth="1"/>
    <col min="17" max="17" width="71.1796875" style="4" bestFit="1" customWidth="1"/>
    <col min="18" max="21" width="8.81640625" style="4"/>
    <col min="22" max="16384" width="8.81640625" style="5"/>
  </cols>
  <sheetData>
    <row r="2" spans="2:17" ht="47.25" customHeight="1">
      <c r="B2" s="1105" t="s">
        <v>296</v>
      </c>
      <c r="C2" s="1105"/>
      <c r="D2" s="1105"/>
      <c r="E2" s="729"/>
      <c r="F2" s="729"/>
      <c r="G2" s="729"/>
      <c r="H2" s="729"/>
      <c r="I2" s="729"/>
      <c r="J2" s="729"/>
      <c r="K2" s="729"/>
      <c r="L2" s="1"/>
      <c r="M2" s="2"/>
      <c r="N2" s="1"/>
      <c r="O2" s="3" t="s">
        <v>297</v>
      </c>
      <c r="P2" s="3"/>
    </row>
    <row r="3" spans="2:17" ht="15" customHeight="1">
      <c r="B3" s="6"/>
      <c r="C3" s="7"/>
      <c r="D3" s="7"/>
      <c r="E3" s="6"/>
      <c r="F3" s="6"/>
      <c r="G3" s="6"/>
      <c r="H3" s="6"/>
      <c r="I3" s="6"/>
      <c r="J3" s="6"/>
      <c r="K3" s="6"/>
      <c r="L3" s="6"/>
      <c r="M3" s="8"/>
      <c r="N3" s="6"/>
      <c r="O3" s="1106" t="s">
        <v>298</v>
      </c>
      <c r="P3" s="1106"/>
    </row>
    <row r="4" spans="2:17" ht="31.5" customHeight="1">
      <c r="B4" s="1106" t="s">
        <v>299</v>
      </c>
      <c r="C4" s="9"/>
      <c r="D4" s="7"/>
      <c r="E4" s="6"/>
      <c r="F4" s="6"/>
      <c r="G4" s="6"/>
      <c r="H4" s="6"/>
      <c r="I4" s="6"/>
      <c r="J4" s="6"/>
      <c r="K4" s="6"/>
      <c r="L4" s="6"/>
      <c r="M4" s="8"/>
      <c r="N4" s="6"/>
      <c r="O4" s="1106"/>
      <c r="P4" s="1106"/>
    </row>
    <row r="5" spans="2:17" ht="18.5">
      <c r="B5" s="1106"/>
      <c r="C5" s="9"/>
      <c r="D5" s="10"/>
      <c r="E5" s="11"/>
      <c r="F5" s="11"/>
      <c r="G5" s="11"/>
      <c r="H5" s="11"/>
      <c r="I5" s="11"/>
      <c r="J5" s="11"/>
      <c r="K5" s="11"/>
      <c r="L5" s="6"/>
      <c r="M5" s="8"/>
      <c r="N5" s="6"/>
      <c r="O5" s="1106"/>
      <c r="P5" s="1106"/>
    </row>
    <row r="6" spans="2:17" ht="19" thickBot="1">
      <c r="B6" s="6"/>
      <c r="C6" s="10"/>
      <c r="D6" s="10"/>
      <c r="E6" s="11"/>
      <c r="F6" s="11"/>
      <c r="G6" s="11"/>
      <c r="H6" s="11"/>
      <c r="I6" s="11"/>
      <c r="J6" s="11"/>
      <c r="K6" s="11"/>
      <c r="L6" s="6"/>
      <c r="M6" s="8"/>
      <c r="N6" s="6"/>
      <c r="O6" s="6"/>
      <c r="P6" s="6"/>
    </row>
    <row r="7" spans="2:17" ht="21">
      <c r="B7" s="12" t="s">
        <v>300</v>
      </c>
      <c r="C7" s="1107" t="s">
        <v>301</v>
      </c>
      <c r="D7" s="1108"/>
      <c r="E7" s="1108"/>
      <c r="F7" s="1108"/>
      <c r="G7" s="1108"/>
      <c r="H7" s="1108"/>
      <c r="I7" s="1108"/>
      <c r="J7" s="1108"/>
      <c r="K7" s="1109"/>
      <c r="L7" s="6"/>
      <c r="M7" s="8"/>
      <c r="N7" s="6"/>
      <c r="O7" s="13" t="s">
        <v>300</v>
      </c>
      <c r="P7" s="1110" t="s">
        <v>301</v>
      </c>
      <c r="Q7" s="1111"/>
    </row>
    <row r="8" spans="2:17" ht="46.5" customHeight="1">
      <c r="B8" s="14" t="s">
        <v>302</v>
      </c>
      <c r="C8" s="1099" t="s">
        <v>303</v>
      </c>
      <c r="D8" s="1100"/>
      <c r="E8" s="1099" t="s">
        <v>303</v>
      </c>
      <c r="F8" s="1101"/>
      <c r="G8" s="1101"/>
      <c r="H8" s="1101"/>
      <c r="I8" s="1102" t="s">
        <v>304</v>
      </c>
      <c r="J8" s="1103"/>
      <c r="K8" s="1104"/>
      <c r="L8" s="6"/>
      <c r="M8" s="8"/>
      <c r="N8" s="6"/>
      <c r="O8" s="15" t="s">
        <v>302</v>
      </c>
      <c r="P8" s="16" t="s">
        <v>303</v>
      </c>
      <c r="Q8" s="17" t="s">
        <v>305</v>
      </c>
    </row>
    <row r="9" spans="2:17" ht="21">
      <c r="B9" s="14" t="s">
        <v>306</v>
      </c>
      <c r="C9" s="1112" t="s">
        <v>307</v>
      </c>
      <c r="D9" s="1113"/>
      <c r="E9" s="1112" t="s">
        <v>308</v>
      </c>
      <c r="F9" s="1114"/>
      <c r="G9" s="1114"/>
      <c r="H9" s="1114"/>
      <c r="I9" s="1115" t="s">
        <v>309</v>
      </c>
      <c r="J9" s="1116"/>
      <c r="K9" s="1117"/>
      <c r="L9" s="6"/>
      <c r="M9" s="8"/>
      <c r="N9" s="6"/>
      <c r="O9" s="15" t="s">
        <v>306</v>
      </c>
      <c r="P9" s="18" t="s">
        <v>307</v>
      </c>
      <c r="Q9" s="18" t="s">
        <v>310</v>
      </c>
    </row>
    <row r="10" spans="2:17" ht="50.25" customHeight="1">
      <c r="B10" s="19" t="s">
        <v>311</v>
      </c>
      <c r="C10" s="1118" t="s">
        <v>312</v>
      </c>
      <c r="D10" s="1119"/>
      <c r="E10" s="1120" t="s">
        <v>313</v>
      </c>
      <c r="F10" s="1121"/>
      <c r="G10" s="1121"/>
      <c r="H10" s="1121"/>
      <c r="I10" s="1122" t="s">
        <v>313</v>
      </c>
      <c r="J10" s="1123"/>
      <c r="K10" s="1124"/>
      <c r="L10" s="6"/>
      <c r="M10" s="8"/>
      <c r="N10" s="6"/>
      <c r="O10" s="20" t="s">
        <v>311</v>
      </c>
      <c r="P10" s="21" t="s">
        <v>312</v>
      </c>
      <c r="Q10" s="21" t="s">
        <v>313</v>
      </c>
    </row>
    <row r="11" spans="2:17" ht="21">
      <c r="B11" s="22" t="s">
        <v>314</v>
      </c>
      <c r="C11" s="1125" t="s">
        <v>315</v>
      </c>
      <c r="D11" s="1126"/>
      <c r="E11" s="1127" t="s">
        <v>316</v>
      </c>
      <c r="F11" s="1128"/>
      <c r="G11" s="1128"/>
      <c r="H11" s="1128"/>
      <c r="I11" s="1129" t="s">
        <v>317</v>
      </c>
      <c r="J11" s="1130"/>
      <c r="K11" s="1131"/>
      <c r="L11" s="6"/>
      <c r="M11" s="8"/>
      <c r="N11" s="6"/>
      <c r="O11" s="23" t="s">
        <v>314</v>
      </c>
      <c r="P11" s="24" t="s">
        <v>315</v>
      </c>
      <c r="Q11" s="24" t="s">
        <v>318</v>
      </c>
    </row>
    <row r="12" spans="2:17" ht="21" customHeight="1">
      <c r="B12" s="22" t="s">
        <v>319</v>
      </c>
      <c r="C12" s="1132" t="s">
        <v>320</v>
      </c>
      <c r="D12" s="1133"/>
      <c r="E12" s="1134" t="s">
        <v>321</v>
      </c>
      <c r="F12" s="1134"/>
      <c r="G12" s="1134" t="s">
        <v>322</v>
      </c>
      <c r="H12" s="1134"/>
      <c r="I12" s="1129" t="s">
        <v>323</v>
      </c>
      <c r="J12" s="1130"/>
      <c r="K12" s="1131"/>
      <c r="L12" s="6"/>
      <c r="M12" s="8"/>
      <c r="N12" s="6"/>
      <c r="O12" s="23" t="s">
        <v>319</v>
      </c>
      <c r="P12" s="25" t="s">
        <v>324</v>
      </c>
      <c r="Q12" s="25" t="s">
        <v>325</v>
      </c>
    </row>
    <row r="13" spans="2:17" ht="21">
      <c r="B13" s="14" t="s">
        <v>326</v>
      </c>
      <c r="C13" s="1112" t="s">
        <v>327</v>
      </c>
      <c r="D13" s="1113"/>
      <c r="E13" s="1137" t="s">
        <v>328</v>
      </c>
      <c r="F13" s="1137"/>
      <c r="G13" s="1137" t="s">
        <v>328</v>
      </c>
      <c r="H13" s="1137"/>
      <c r="I13" s="1115" t="s">
        <v>328</v>
      </c>
      <c r="J13" s="1116"/>
      <c r="K13" s="1117"/>
      <c r="L13" s="6"/>
      <c r="M13" s="8"/>
      <c r="N13" s="6"/>
      <c r="O13" s="15" t="s">
        <v>326</v>
      </c>
      <c r="P13" s="18" t="s">
        <v>327</v>
      </c>
      <c r="Q13" s="18" t="s">
        <v>329</v>
      </c>
    </row>
    <row r="14" spans="2:17" ht="21">
      <c r="B14" s="14" t="s">
        <v>330</v>
      </c>
      <c r="C14" s="1138" t="s">
        <v>331</v>
      </c>
      <c r="D14" s="1139"/>
      <c r="E14" s="1140" t="s">
        <v>332</v>
      </c>
      <c r="F14" s="1141"/>
      <c r="G14" s="1140" t="s">
        <v>332</v>
      </c>
      <c r="H14" s="1141"/>
      <c r="I14" s="1140" t="s">
        <v>333</v>
      </c>
      <c r="J14" s="1142"/>
      <c r="K14" s="1141"/>
      <c r="L14" s="6"/>
      <c r="M14" s="8"/>
      <c r="N14" s="6"/>
      <c r="O14" s="15" t="s">
        <v>330</v>
      </c>
      <c r="P14" s="18" t="s">
        <v>331</v>
      </c>
      <c r="Q14" s="18" t="s">
        <v>334</v>
      </c>
    </row>
    <row r="15" spans="2:17" ht="55.5">
      <c r="B15" s="26" t="s">
        <v>335</v>
      </c>
      <c r="C15" s="27" t="s">
        <v>336</v>
      </c>
      <c r="D15" s="28" t="s">
        <v>337</v>
      </c>
      <c r="E15" s="28" t="s">
        <v>338</v>
      </c>
      <c r="F15" s="28" t="s">
        <v>339</v>
      </c>
      <c r="G15" s="28" t="s">
        <v>340</v>
      </c>
      <c r="H15" s="28" t="s">
        <v>341</v>
      </c>
      <c r="I15" s="28" t="s">
        <v>342</v>
      </c>
      <c r="J15" s="28" t="s">
        <v>343</v>
      </c>
      <c r="K15" s="28" t="s">
        <v>344</v>
      </c>
      <c r="L15" s="6"/>
      <c r="M15" s="8"/>
      <c r="N15" s="6"/>
      <c r="O15" s="29" t="s">
        <v>335</v>
      </c>
      <c r="P15" s="30" t="s">
        <v>345</v>
      </c>
      <c r="Q15" s="30" t="s">
        <v>346</v>
      </c>
    </row>
    <row r="16" spans="2:17" ht="21">
      <c r="B16" s="19" t="s">
        <v>347</v>
      </c>
      <c r="C16" s="31" t="s">
        <v>348</v>
      </c>
      <c r="D16" s="32" t="s">
        <v>349</v>
      </c>
      <c r="E16" s="728" t="s">
        <v>348</v>
      </c>
      <c r="F16" s="728" t="s">
        <v>348</v>
      </c>
      <c r="G16" s="728" t="s">
        <v>350</v>
      </c>
      <c r="H16" s="728" t="s">
        <v>350</v>
      </c>
      <c r="I16" s="728" t="s">
        <v>348</v>
      </c>
      <c r="J16" s="33" t="s">
        <v>348</v>
      </c>
      <c r="K16" s="33" t="s">
        <v>350</v>
      </c>
      <c r="L16" s="6"/>
      <c r="M16" s="8"/>
      <c r="N16" s="6"/>
      <c r="O16" s="20" t="s">
        <v>347</v>
      </c>
      <c r="P16" s="18" t="s">
        <v>351</v>
      </c>
      <c r="Q16" s="18" t="s">
        <v>351</v>
      </c>
    </row>
    <row r="17" spans="2:17" ht="18.5">
      <c r="B17" s="34" t="s">
        <v>352</v>
      </c>
      <c r="C17" s="727" t="s">
        <v>353</v>
      </c>
      <c r="D17" s="727" t="s">
        <v>353</v>
      </c>
      <c r="E17" s="727" t="s">
        <v>353</v>
      </c>
      <c r="F17" s="727" t="s">
        <v>353</v>
      </c>
      <c r="G17" s="727" t="s">
        <v>353</v>
      </c>
      <c r="H17" s="727" t="s">
        <v>353</v>
      </c>
      <c r="I17" s="727" t="s">
        <v>353</v>
      </c>
      <c r="J17" s="35" t="s">
        <v>353</v>
      </c>
      <c r="K17" s="35" t="s">
        <v>353</v>
      </c>
      <c r="L17" s="6"/>
      <c r="M17" s="8"/>
      <c r="N17" s="6"/>
      <c r="O17" s="36" t="s">
        <v>352</v>
      </c>
      <c r="P17" s="18" t="s">
        <v>351</v>
      </c>
      <c r="Q17" s="18" t="s">
        <v>351</v>
      </c>
    </row>
    <row r="18" spans="2:17" ht="21">
      <c r="B18" s="37" t="s">
        <v>354</v>
      </c>
      <c r="C18" s="38">
        <f>1.88*1.218</f>
        <v>2.2898399999999999</v>
      </c>
      <c r="D18" s="38">
        <f>1.88*1.218</f>
        <v>2.2898399999999999</v>
      </c>
      <c r="E18" s="39">
        <v>0.85</v>
      </c>
      <c r="F18" s="39">
        <v>0.85</v>
      </c>
      <c r="G18" s="40">
        <v>1.58</v>
      </c>
      <c r="H18" s="40">
        <v>1.1399999999999999</v>
      </c>
      <c r="I18" s="39">
        <v>1.55</v>
      </c>
      <c r="J18" s="39">
        <v>0.95</v>
      </c>
      <c r="K18" s="39">
        <v>1.55</v>
      </c>
      <c r="L18" s="6"/>
      <c r="M18" s="8"/>
      <c r="N18" s="6"/>
      <c r="O18" s="41" t="s">
        <v>355</v>
      </c>
      <c r="P18" s="42" t="s">
        <v>351</v>
      </c>
      <c r="Q18" s="42" t="s">
        <v>351</v>
      </c>
    </row>
    <row r="19" spans="2:17" ht="18.5">
      <c r="B19" s="37" t="s">
        <v>356</v>
      </c>
      <c r="C19" s="43">
        <v>2</v>
      </c>
      <c r="D19" s="43">
        <v>2</v>
      </c>
      <c r="E19" s="35">
        <v>3</v>
      </c>
      <c r="F19" s="35">
        <v>3</v>
      </c>
      <c r="G19" s="35">
        <v>3</v>
      </c>
      <c r="H19" s="35">
        <v>3</v>
      </c>
      <c r="I19" s="35">
        <v>3</v>
      </c>
      <c r="J19" s="35">
        <v>3</v>
      </c>
      <c r="K19" s="35">
        <v>3</v>
      </c>
      <c r="L19" s="6"/>
      <c r="M19" s="8"/>
      <c r="N19" s="6"/>
      <c r="O19" s="41" t="s">
        <v>356</v>
      </c>
      <c r="P19" s="44">
        <v>2</v>
      </c>
      <c r="Q19" s="44">
        <v>3</v>
      </c>
    </row>
    <row r="20" spans="2:17" ht="21">
      <c r="B20" s="45" t="s">
        <v>357</v>
      </c>
      <c r="C20" s="38">
        <f>C18*2</f>
        <v>4.5796799999999998</v>
      </c>
      <c r="D20" s="38">
        <f>D18*2</f>
        <v>4.5796799999999998</v>
      </c>
      <c r="E20" s="39">
        <f t="shared" ref="E20:K20" si="0">E18*E19</f>
        <v>2.5499999999999998</v>
      </c>
      <c r="F20" s="39">
        <f t="shared" si="0"/>
        <v>2.5499999999999998</v>
      </c>
      <c r="G20" s="39">
        <f t="shared" si="0"/>
        <v>4.74</v>
      </c>
      <c r="H20" s="39">
        <f t="shared" si="0"/>
        <v>3.42</v>
      </c>
      <c r="I20" s="39">
        <f t="shared" si="0"/>
        <v>4.6500000000000004</v>
      </c>
      <c r="J20" s="39">
        <f t="shared" si="0"/>
        <v>2.8499999999999996</v>
      </c>
      <c r="K20" s="39">
        <f t="shared" si="0"/>
        <v>4.6500000000000004</v>
      </c>
      <c r="L20" s="6"/>
      <c r="M20" s="8"/>
      <c r="N20" s="6"/>
      <c r="O20" s="46" t="s">
        <v>357</v>
      </c>
      <c r="P20" s="42" t="s">
        <v>351</v>
      </c>
      <c r="Q20" s="42" t="s">
        <v>351</v>
      </c>
    </row>
    <row r="21" spans="2:17" ht="21.5" thickBot="1">
      <c r="B21" s="45" t="s">
        <v>358</v>
      </c>
      <c r="C21" s="47">
        <v>0.04</v>
      </c>
      <c r="D21" s="47">
        <v>0.04</v>
      </c>
      <c r="E21" s="48">
        <v>0.23</v>
      </c>
      <c r="F21" s="48">
        <v>0.41</v>
      </c>
      <c r="G21" s="48">
        <v>0.04</v>
      </c>
      <c r="H21" s="48">
        <v>0.1</v>
      </c>
      <c r="I21" s="48">
        <v>0.04</v>
      </c>
      <c r="J21" s="48">
        <v>0.1</v>
      </c>
      <c r="K21" s="48">
        <v>0.04</v>
      </c>
      <c r="L21" s="6"/>
      <c r="M21" s="8"/>
      <c r="N21" s="6"/>
      <c r="O21" s="46" t="s">
        <v>358</v>
      </c>
      <c r="P21" s="42" t="s">
        <v>351</v>
      </c>
      <c r="Q21" s="42" t="s">
        <v>351</v>
      </c>
    </row>
    <row r="22" spans="2:17" ht="21.5" thickBot="1">
      <c r="B22" s="45" t="s">
        <v>359</v>
      </c>
      <c r="C22" s="49">
        <v>0.04</v>
      </c>
      <c r="D22" s="49">
        <v>0.04</v>
      </c>
      <c r="E22" s="50">
        <v>0.23</v>
      </c>
      <c r="F22" s="50">
        <v>0.41</v>
      </c>
      <c r="G22" s="50">
        <v>0.04</v>
      </c>
      <c r="H22" s="50">
        <v>0.1</v>
      </c>
      <c r="I22" s="50">
        <v>0.04</v>
      </c>
      <c r="J22" s="50">
        <v>0.1</v>
      </c>
      <c r="K22" s="50">
        <v>0.04</v>
      </c>
      <c r="L22" s="6"/>
      <c r="M22" s="8"/>
      <c r="N22" s="6"/>
      <c r="O22" s="46" t="s">
        <v>359</v>
      </c>
      <c r="P22" s="51" t="s">
        <v>351</v>
      </c>
      <c r="Q22" s="51" t="s">
        <v>351</v>
      </c>
    </row>
    <row r="23" spans="2:17" ht="21">
      <c r="B23" s="45" t="s">
        <v>360</v>
      </c>
      <c r="C23" s="52">
        <f>C20/(1-C22)</f>
        <v>4.7705000000000002</v>
      </c>
      <c r="D23" s="52">
        <f>D20/(1-D22)</f>
        <v>4.7705000000000002</v>
      </c>
      <c r="E23" s="39">
        <f t="shared" ref="E23:K23" si="1">E20/(1-E22)</f>
        <v>3.3116883116883113</v>
      </c>
      <c r="F23" s="39">
        <f t="shared" si="1"/>
        <v>4.3220338983050839</v>
      </c>
      <c r="G23" s="39">
        <f t="shared" si="1"/>
        <v>4.9375</v>
      </c>
      <c r="H23" s="39">
        <f t="shared" si="1"/>
        <v>3.8</v>
      </c>
      <c r="I23" s="39">
        <f t="shared" si="1"/>
        <v>4.8437500000000009</v>
      </c>
      <c r="J23" s="39">
        <f t="shared" si="1"/>
        <v>3.1666666666666661</v>
      </c>
      <c r="K23" s="39">
        <f t="shared" si="1"/>
        <v>4.8437500000000009</v>
      </c>
      <c r="L23" s="6"/>
      <c r="M23" s="8"/>
      <c r="N23" s="6"/>
      <c r="O23" s="46" t="s">
        <v>361</v>
      </c>
      <c r="P23" s="53" t="s">
        <v>351</v>
      </c>
      <c r="Q23" s="53" t="s">
        <v>351</v>
      </c>
    </row>
    <row r="24" spans="2:17" ht="21">
      <c r="B24" s="14" t="s">
        <v>362</v>
      </c>
      <c r="C24" s="54">
        <v>39884</v>
      </c>
      <c r="D24" s="55">
        <v>43510</v>
      </c>
      <c r="E24" s="56">
        <v>43105</v>
      </c>
      <c r="F24" s="56">
        <v>43105</v>
      </c>
      <c r="G24" s="56" t="s">
        <v>363</v>
      </c>
      <c r="H24" s="56" t="s">
        <v>363</v>
      </c>
      <c r="I24" s="56">
        <v>43364</v>
      </c>
      <c r="J24" s="57">
        <v>43364</v>
      </c>
      <c r="K24" s="57" t="s">
        <v>364</v>
      </c>
      <c r="L24" s="6"/>
      <c r="M24" s="8"/>
      <c r="N24" s="6"/>
      <c r="O24" s="15" t="s">
        <v>362</v>
      </c>
      <c r="P24" s="58">
        <v>39884</v>
      </c>
      <c r="Q24" s="58">
        <v>39728</v>
      </c>
    </row>
    <row r="25" spans="2:17" ht="21">
      <c r="B25" s="14" t="s">
        <v>365</v>
      </c>
      <c r="C25" s="59" t="s">
        <v>366</v>
      </c>
      <c r="D25" s="59" t="s">
        <v>366</v>
      </c>
      <c r="E25" s="35" t="s">
        <v>366</v>
      </c>
      <c r="F25" s="35" t="s">
        <v>366</v>
      </c>
      <c r="G25" s="35" t="s">
        <v>366</v>
      </c>
      <c r="H25" s="35" t="s">
        <v>366</v>
      </c>
      <c r="I25" s="35" t="s">
        <v>366</v>
      </c>
      <c r="J25" s="35" t="s">
        <v>366</v>
      </c>
      <c r="K25" s="35" t="s">
        <v>366</v>
      </c>
      <c r="L25" s="6"/>
      <c r="M25" s="8"/>
      <c r="N25" s="6"/>
      <c r="O25" s="15" t="s">
        <v>365</v>
      </c>
      <c r="P25" s="18" t="s">
        <v>367</v>
      </c>
      <c r="Q25" s="18" t="s">
        <v>366</v>
      </c>
    </row>
    <row r="26" spans="2:17" ht="42" customHeight="1">
      <c r="B26" s="14" t="s">
        <v>368</v>
      </c>
      <c r="C26" s="59" t="s">
        <v>369</v>
      </c>
      <c r="D26" s="60" t="s">
        <v>370</v>
      </c>
      <c r="E26" s="35" t="s">
        <v>371</v>
      </c>
      <c r="F26" s="35" t="s">
        <v>372</v>
      </c>
      <c r="G26" s="35" t="s">
        <v>373</v>
      </c>
      <c r="H26" s="35" t="s">
        <v>371</v>
      </c>
      <c r="I26" s="33" t="s">
        <v>374</v>
      </c>
      <c r="J26" s="33" t="s">
        <v>375</v>
      </c>
      <c r="K26" s="33" t="s">
        <v>376</v>
      </c>
      <c r="L26" s="6"/>
      <c r="M26" s="8"/>
      <c r="N26" s="6"/>
      <c r="O26" s="15" t="s">
        <v>368</v>
      </c>
      <c r="P26" s="18" t="s">
        <v>377</v>
      </c>
      <c r="Q26" s="18" t="s">
        <v>378</v>
      </c>
    </row>
    <row r="27" spans="2:17" ht="64.5" customHeight="1">
      <c r="B27" s="14" t="s">
        <v>379</v>
      </c>
      <c r="C27" s="727" t="s">
        <v>380</v>
      </c>
      <c r="D27" s="727" t="s">
        <v>380</v>
      </c>
      <c r="E27" s="33" t="s">
        <v>381</v>
      </c>
      <c r="F27" s="33" t="s">
        <v>381</v>
      </c>
      <c r="G27" s="35" t="s">
        <v>382</v>
      </c>
      <c r="H27" s="35" t="s">
        <v>382</v>
      </c>
      <c r="I27" s="33" t="s">
        <v>383</v>
      </c>
      <c r="J27" s="33" t="s">
        <v>383</v>
      </c>
      <c r="K27" s="33" t="s">
        <v>384</v>
      </c>
      <c r="L27" s="6"/>
      <c r="M27" s="8"/>
      <c r="N27" s="6"/>
      <c r="O27" s="15" t="s">
        <v>379</v>
      </c>
      <c r="P27" s="18" t="s">
        <v>385</v>
      </c>
      <c r="Q27" s="18" t="s">
        <v>380</v>
      </c>
    </row>
    <row r="28" spans="2:17" ht="99.25" customHeight="1">
      <c r="B28" s="14" t="s">
        <v>386</v>
      </c>
      <c r="C28" s="728" t="s">
        <v>387</v>
      </c>
      <c r="D28" s="33" t="s">
        <v>388</v>
      </c>
      <c r="E28" s="33" t="s">
        <v>389</v>
      </c>
      <c r="F28" s="33" t="s">
        <v>390</v>
      </c>
      <c r="G28" s="33" t="s">
        <v>391</v>
      </c>
      <c r="H28" s="33" t="s">
        <v>389</v>
      </c>
      <c r="I28" s="33" t="s">
        <v>392</v>
      </c>
      <c r="J28" s="33" t="s">
        <v>393</v>
      </c>
      <c r="K28" s="33" t="s">
        <v>394</v>
      </c>
      <c r="L28" s="6"/>
      <c r="M28" s="8"/>
      <c r="N28" s="6"/>
      <c r="O28" s="15" t="s">
        <v>386</v>
      </c>
      <c r="P28" s="61" t="s">
        <v>395</v>
      </c>
      <c r="Q28" s="61" t="s">
        <v>396</v>
      </c>
    </row>
    <row r="29" spans="2:17" ht="99.25" customHeight="1">
      <c r="B29" s="14" t="s">
        <v>397</v>
      </c>
      <c r="C29" s="728" t="s">
        <v>398</v>
      </c>
      <c r="D29" s="33" t="s">
        <v>399</v>
      </c>
      <c r="E29" s="33" t="s">
        <v>400</v>
      </c>
      <c r="F29" s="33" t="s">
        <v>401</v>
      </c>
      <c r="G29" s="33" t="s">
        <v>402</v>
      </c>
      <c r="H29" s="33" t="s">
        <v>400</v>
      </c>
      <c r="I29" s="33" t="s">
        <v>403</v>
      </c>
      <c r="J29" s="33" t="s">
        <v>404</v>
      </c>
      <c r="K29" s="33" t="s">
        <v>405</v>
      </c>
      <c r="L29" s="6"/>
      <c r="M29" s="8"/>
      <c r="N29" s="6"/>
      <c r="O29" s="15" t="s">
        <v>406</v>
      </c>
      <c r="P29" s="61" t="s">
        <v>407</v>
      </c>
      <c r="Q29" s="61" t="s">
        <v>408</v>
      </c>
    </row>
    <row r="30" spans="2:17" ht="99.25" customHeight="1">
      <c r="B30" s="19" t="s">
        <v>409</v>
      </c>
      <c r="C30" s="728" t="s">
        <v>410</v>
      </c>
      <c r="D30" s="33" t="s">
        <v>411</v>
      </c>
      <c r="E30" s="33" t="s">
        <v>412</v>
      </c>
      <c r="F30" s="33" t="s">
        <v>413</v>
      </c>
      <c r="G30" s="33" t="s">
        <v>414</v>
      </c>
      <c r="H30" s="62" t="s">
        <v>415</v>
      </c>
      <c r="I30" s="33" t="s">
        <v>416</v>
      </c>
      <c r="J30" s="33" t="s">
        <v>417</v>
      </c>
      <c r="K30" s="33" t="s">
        <v>418</v>
      </c>
      <c r="L30" s="6"/>
      <c r="M30" s="8"/>
      <c r="N30" s="6"/>
      <c r="O30" s="15" t="s">
        <v>419</v>
      </c>
      <c r="P30" s="61" t="s">
        <v>351</v>
      </c>
      <c r="Q30" s="61" t="s">
        <v>420</v>
      </c>
    </row>
    <row r="31" spans="2:17" ht="93" customHeight="1">
      <c r="B31" s="14" t="s">
        <v>421</v>
      </c>
      <c r="C31" s="727" t="s">
        <v>422</v>
      </c>
      <c r="D31" s="727" t="s">
        <v>422</v>
      </c>
      <c r="E31" s="35" t="s">
        <v>423</v>
      </c>
      <c r="F31" s="35" t="s">
        <v>423</v>
      </c>
      <c r="G31" s="35" t="s">
        <v>422</v>
      </c>
      <c r="H31" s="35" t="s">
        <v>422</v>
      </c>
      <c r="I31" s="35" t="s">
        <v>424</v>
      </c>
      <c r="J31" s="35" t="s">
        <v>424</v>
      </c>
      <c r="K31" s="35" t="s">
        <v>422</v>
      </c>
      <c r="L31" s="6"/>
      <c r="M31" s="8"/>
      <c r="N31" s="6"/>
      <c r="O31" s="15" t="s">
        <v>421</v>
      </c>
      <c r="P31" s="18" t="s">
        <v>425</v>
      </c>
      <c r="Q31" s="18" t="s">
        <v>426</v>
      </c>
    </row>
    <row r="32" spans="2:17" ht="92.5">
      <c r="B32" s="14" t="s">
        <v>427</v>
      </c>
      <c r="C32" s="728" t="s">
        <v>351</v>
      </c>
      <c r="D32" s="728" t="s">
        <v>351</v>
      </c>
      <c r="E32" s="33" t="s">
        <v>428</v>
      </c>
      <c r="F32" s="33" t="s">
        <v>429</v>
      </c>
      <c r="G32" s="35" t="s">
        <v>351</v>
      </c>
      <c r="H32" s="33" t="s">
        <v>430</v>
      </c>
      <c r="I32" s="33" t="s">
        <v>351</v>
      </c>
      <c r="J32" s="33" t="s">
        <v>429</v>
      </c>
      <c r="K32" s="33" t="s">
        <v>351</v>
      </c>
      <c r="L32" s="6"/>
      <c r="M32" s="8"/>
      <c r="N32" s="6"/>
      <c r="O32" s="15" t="s">
        <v>427</v>
      </c>
      <c r="P32" s="61" t="s">
        <v>351</v>
      </c>
      <c r="Q32" s="61" t="s">
        <v>351</v>
      </c>
    </row>
    <row r="33" spans="2:17" ht="48.75" customHeight="1">
      <c r="B33" s="14" t="s">
        <v>431</v>
      </c>
      <c r="C33" s="728" t="s">
        <v>351</v>
      </c>
      <c r="D33" s="728" t="s">
        <v>351</v>
      </c>
      <c r="E33" s="33" t="s">
        <v>351</v>
      </c>
      <c r="F33" s="33" t="s">
        <v>351</v>
      </c>
      <c r="G33" s="35" t="s">
        <v>350</v>
      </c>
      <c r="H33" s="35" t="s">
        <v>350</v>
      </c>
      <c r="I33" s="33" t="s">
        <v>351</v>
      </c>
      <c r="J33" s="33" t="s">
        <v>351</v>
      </c>
      <c r="K33" s="33" t="s">
        <v>351</v>
      </c>
      <c r="L33" s="6"/>
      <c r="M33" s="8"/>
      <c r="N33" s="6"/>
      <c r="O33" s="15" t="s">
        <v>431</v>
      </c>
      <c r="P33" s="61" t="s">
        <v>351</v>
      </c>
      <c r="Q33" s="61" t="s">
        <v>351</v>
      </c>
    </row>
    <row r="34" spans="2:17" ht="30" customHeight="1">
      <c r="B34" s="19" t="s">
        <v>432</v>
      </c>
      <c r="C34" s="63" t="s">
        <v>433</v>
      </c>
      <c r="D34" s="64" t="s">
        <v>434</v>
      </c>
      <c r="E34" s="64" t="s">
        <v>435</v>
      </c>
      <c r="F34" s="64" t="s">
        <v>436</v>
      </c>
      <c r="G34" s="35" t="s">
        <v>350</v>
      </c>
      <c r="H34" s="35" t="s">
        <v>350</v>
      </c>
      <c r="I34" s="64" t="s">
        <v>437</v>
      </c>
      <c r="J34" s="64" t="s">
        <v>438</v>
      </c>
      <c r="K34" s="33" t="s">
        <v>350</v>
      </c>
      <c r="L34" s="6"/>
      <c r="M34" s="8"/>
      <c r="N34" s="6"/>
      <c r="O34" s="20" t="s">
        <v>432</v>
      </c>
      <c r="P34" s="65" t="s">
        <v>439</v>
      </c>
      <c r="Q34" s="65" t="s">
        <v>440</v>
      </c>
    </row>
    <row r="35" spans="2:17" ht="111">
      <c r="B35" s="19" t="s">
        <v>441</v>
      </c>
      <c r="C35" s="728" t="s">
        <v>351</v>
      </c>
      <c r="D35" s="728" t="s">
        <v>351</v>
      </c>
      <c r="E35" s="33" t="s">
        <v>442</v>
      </c>
      <c r="F35" s="33" t="s">
        <v>443</v>
      </c>
      <c r="G35" s="35" t="s">
        <v>350</v>
      </c>
      <c r="H35" s="35" t="s">
        <v>350</v>
      </c>
      <c r="I35" s="33" t="s">
        <v>351</v>
      </c>
      <c r="J35" s="33" t="s">
        <v>351</v>
      </c>
      <c r="K35" s="33" t="s">
        <v>350</v>
      </c>
      <c r="L35" s="6"/>
      <c r="M35" s="8"/>
      <c r="N35" s="6"/>
      <c r="O35" s="20" t="s">
        <v>441</v>
      </c>
      <c r="P35" s="61" t="s">
        <v>351</v>
      </c>
      <c r="Q35" s="61" t="s">
        <v>351</v>
      </c>
    </row>
    <row r="36" spans="2:17" ht="165.75" customHeight="1" thickBot="1">
      <c r="B36" s="66" t="s">
        <v>444</v>
      </c>
      <c r="C36" s="67" t="s">
        <v>351</v>
      </c>
      <c r="D36" s="67" t="s">
        <v>351</v>
      </c>
      <c r="E36" s="68" t="s">
        <v>445</v>
      </c>
      <c r="F36" s="68" t="s">
        <v>445</v>
      </c>
      <c r="G36" s="68" t="s">
        <v>350</v>
      </c>
      <c r="H36" s="68" t="s">
        <v>350</v>
      </c>
      <c r="I36" s="68" t="s">
        <v>446</v>
      </c>
      <c r="J36" s="68" t="s">
        <v>447</v>
      </c>
      <c r="K36" s="68" t="s">
        <v>350</v>
      </c>
      <c r="L36" s="6"/>
      <c r="M36" s="8"/>
      <c r="N36" s="6"/>
      <c r="O36" s="69" t="s">
        <v>444</v>
      </c>
      <c r="P36" s="70" t="s">
        <v>351</v>
      </c>
      <c r="Q36" s="70" t="s">
        <v>351</v>
      </c>
    </row>
    <row r="37" spans="2:17" ht="26.25" customHeight="1">
      <c r="B37" s="6" t="s">
        <v>448</v>
      </c>
      <c r="C37" s="7"/>
      <c r="D37" s="7"/>
      <c r="E37" s="6"/>
      <c r="F37" s="6"/>
      <c r="G37" s="6"/>
      <c r="H37" s="6"/>
      <c r="I37" s="6"/>
      <c r="J37" s="6"/>
      <c r="K37" s="6"/>
      <c r="L37" s="6"/>
      <c r="M37" s="8"/>
      <c r="N37" s="6"/>
      <c r="O37" s="71" t="str">
        <f>B37</f>
        <v>1 Source: WHO PQ webpage: WHO updates these webpages as new information on products becomes available. Please refer to these pages (WHO PQ link) for the most up-to-date information. For presentations not yet WHO prequalified, data is based on discussions with manufacturers and partners in 2017.</v>
      </c>
      <c r="P37" s="6"/>
    </row>
    <row r="38" spans="2:17" ht="18.5">
      <c r="B38" s="6" t="s">
        <v>449</v>
      </c>
      <c r="C38" s="7"/>
      <c r="D38" s="7"/>
      <c r="E38" s="6"/>
      <c r="F38" s="6"/>
      <c r="G38" s="6"/>
      <c r="H38" s="6"/>
      <c r="I38" s="6"/>
      <c r="J38" s="6"/>
      <c r="K38" s="6"/>
      <c r="L38" s="6"/>
      <c r="M38" s="8"/>
      <c r="N38" s="6"/>
      <c r="O38" s="6" t="str">
        <f>B38</f>
        <v>2 Source: UNICEF PRODUCT MENU FOR VACCINES SUPPLIED BY UNICEF FOR GAVI, THE VACCINE ALLIANCE (https://www.unicef.org/supply/files/Product_Menu_08_January_2018.pdf)</v>
      </c>
      <c r="P38" s="6"/>
    </row>
    <row r="39" spans="2:17" ht="18.5">
      <c r="B39" s="72" t="s">
        <v>450</v>
      </c>
      <c r="C39" s="7"/>
      <c r="D39" s="7"/>
      <c r="E39" s="6"/>
      <c r="F39" s="6"/>
      <c r="G39" s="6"/>
      <c r="H39" s="6"/>
      <c r="I39" s="6"/>
      <c r="J39" s="6"/>
      <c r="K39" s="6"/>
      <c r="L39" s="6"/>
      <c r="M39" s="8"/>
      <c r="N39" s="6"/>
      <c r="O39" s="1135" t="str">
        <f>B39</f>
        <v>3 Source: WHO position paper: http://www.who.int/immunization/documents/positionpapers/en/</v>
      </c>
      <c r="P39" s="1136"/>
    </row>
    <row r="40" spans="2:17" ht="18.5">
      <c r="B40" s="6" t="s">
        <v>451</v>
      </c>
      <c r="C40" s="7"/>
      <c r="D40" s="7"/>
      <c r="E40" s="6"/>
      <c r="F40" s="6"/>
      <c r="G40" s="6"/>
      <c r="H40" s="6"/>
      <c r="I40" s="6"/>
      <c r="J40" s="6"/>
      <c r="K40" s="6"/>
      <c r="L40" s="6"/>
      <c r="M40" s="8"/>
      <c r="N40" s="6"/>
      <c r="O40" s="6" t="str">
        <f>B40</f>
        <v xml:space="preserve">4 Source: Gavi Secretariat, see definitions tab for details </v>
      </c>
      <c r="P40" s="6"/>
    </row>
    <row r="41" spans="2:17" ht="18.5">
      <c r="B41" s="6" t="s">
        <v>452</v>
      </c>
      <c r="C41" s="7"/>
      <c r="D41" s="7"/>
      <c r="E41" s="6"/>
      <c r="F41" s="6"/>
      <c r="G41" s="6"/>
      <c r="H41" s="6"/>
      <c r="I41" s="6"/>
      <c r="J41" s="6"/>
      <c r="K41" s="6"/>
      <c r="L41" s="6"/>
      <c r="M41" s="8"/>
      <c r="N41" s="6"/>
      <c r="O41" s="6" t="str">
        <f>B41</f>
        <v>5 Source: Review of WHO indicative vaccine wastage rate assumptions, 2017</v>
      </c>
      <c r="P41" s="6"/>
    </row>
    <row r="42" spans="2:17" ht="18.5">
      <c r="B42" s="6" t="s">
        <v>453</v>
      </c>
      <c r="C42" s="7"/>
      <c r="D42" s="7"/>
      <c r="E42" s="6"/>
      <c r="F42" s="6"/>
      <c r="G42" s="6"/>
      <c r="H42" s="6"/>
      <c r="I42" s="6"/>
      <c r="J42" s="6"/>
      <c r="K42" s="6"/>
      <c r="L42" s="6"/>
      <c r="M42" s="8"/>
      <c r="N42" s="6"/>
      <c r="O42" s="6"/>
      <c r="P42" s="6"/>
    </row>
    <row r="43" spans="2:17" ht="18.5">
      <c r="B43" s="73" t="s">
        <v>454</v>
      </c>
      <c r="E43" s="726"/>
      <c r="F43" s="726"/>
      <c r="G43" s="726"/>
      <c r="H43" s="726"/>
      <c r="I43" s="726"/>
      <c r="J43" s="726"/>
      <c r="K43" s="726"/>
      <c r="L43" s="6"/>
      <c r="M43" s="8"/>
      <c r="N43" s="6"/>
      <c r="O43" s="6"/>
      <c r="P43" s="6"/>
    </row>
    <row r="44" spans="2:17" ht="18.5">
      <c r="B44" s="726" t="s">
        <v>455</v>
      </c>
      <c r="E44" s="726"/>
      <c r="F44" s="726"/>
      <c r="G44" s="726"/>
      <c r="H44" s="726"/>
      <c r="I44" s="726"/>
      <c r="J44" s="726"/>
      <c r="K44" s="726"/>
      <c r="L44" s="6"/>
      <c r="M44" s="8"/>
      <c r="N44" s="6"/>
      <c r="O44" s="6"/>
      <c r="P44" s="6"/>
    </row>
    <row r="45" spans="2:17" ht="18.5">
      <c r="B45" s="726" t="s">
        <v>456</v>
      </c>
      <c r="E45" s="726"/>
      <c r="F45" s="726"/>
      <c r="G45" s="726"/>
      <c r="H45" s="726"/>
      <c r="I45" s="726"/>
      <c r="J45" s="726"/>
      <c r="K45" s="726"/>
      <c r="L45" s="6"/>
      <c r="M45" s="8"/>
      <c r="N45" s="6"/>
      <c r="O45" s="6"/>
      <c r="P45" s="6"/>
    </row>
    <row r="46" spans="2:17" ht="18.5">
      <c r="B46" s="1136" t="s">
        <v>457</v>
      </c>
      <c r="C46" s="1136"/>
      <c r="D46" s="1136"/>
      <c r="E46" s="6"/>
      <c r="F46" s="6"/>
      <c r="G46" s="6"/>
      <c r="H46" s="6"/>
      <c r="I46" s="6"/>
      <c r="J46" s="6"/>
      <c r="K46" s="6"/>
      <c r="L46" s="6"/>
      <c r="M46" s="8"/>
      <c r="N46" s="6"/>
      <c r="O46" s="6"/>
      <c r="P46" s="6"/>
    </row>
    <row r="47" spans="2:17" ht="18.5">
      <c r="B47" s="6"/>
      <c r="C47" s="7"/>
      <c r="D47" s="7"/>
      <c r="E47" s="6"/>
      <c r="F47" s="6"/>
      <c r="G47" s="6"/>
      <c r="H47" s="6"/>
      <c r="I47" s="6"/>
      <c r="J47" s="6"/>
      <c r="K47" s="6"/>
      <c r="L47" s="6"/>
      <c r="M47" s="8"/>
      <c r="N47" s="6"/>
      <c r="O47" s="6"/>
      <c r="P47" s="6"/>
    </row>
    <row r="48" spans="2:17" ht="18.5">
      <c r="B48" s="6"/>
      <c r="C48" s="7"/>
      <c r="D48" s="7"/>
      <c r="E48" s="6"/>
      <c r="F48" s="6"/>
      <c r="G48" s="6"/>
      <c r="H48" s="6"/>
      <c r="I48" s="6"/>
      <c r="J48" s="6"/>
      <c r="K48" s="6"/>
      <c r="L48" s="6"/>
      <c r="M48" s="8"/>
      <c r="N48" s="6"/>
      <c r="O48" s="6"/>
      <c r="P48" s="6"/>
    </row>
    <row r="49" spans="2:16" ht="18.5">
      <c r="B49" s="6"/>
      <c r="C49" s="7"/>
      <c r="D49" s="7"/>
      <c r="E49" s="6"/>
      <c r="F49" s="6"/>
      <c r="G49" s="6"/>
      <c r="H49" s="6"/>
      <c r="I49" s="6"/>
      <c r="J49" s="6"/>
      <c r="K49" s="6"/>
      <c r="L49" s="6"/>
      <c r="M49" s="8"/>
      <c r="N49" s="6"/>
      <c r="O49" s="6"/>
      <c r="P49" s="6"/>
    </row>
    <row r="50" spans="2:16" ht="18.5">
      <c r="B50" s="6"/>
      <c r="C50" s="7"/>
      <c r="D50" s="7"/>
      <c r="E50" s="6"/>
      <c r="F50" s="6"/>
      <c r="G50" s="6"/>
      <c r="H50" s="6"/>
      <c r="I50" s="6"/>
      <c r="J50" s="6"/>
      <c r="K50" s="6"/>
      <c r="L50" s="6"/>
      <c r="M50" s="8"/>
      <c r="N50" s="6"/>
      <c r="O50" s="6"/>
      <c r="P50" s="6"/>
    </row>
    <row r="51" spans="2:16" ht="18.5">
      <c r="B51" s="6"/>
      <c r="C51" s="7"/>
      <c r="D51" s="7"/>
      <c r="E51" s="6"/>
      <c r="F51" s="6"/>
      <c r="G51" s="6"/>
      <c r="H51" s="6"/>
      <c r="I51" s="6"/>
      <c r="J51" s="6"/>
      <c r="K51" s="6"/>
      <c r="L51" s="6"/>
      <c r="M51" s="8"/>
      <c r="N51" s="6"/>
      <c r="O51" s="6"/>
      <c r="P51" s="6"/>
    </row>
    <row r="57" spans="2:16">
      <c r="C57" s="74"/>
    </row>
  </sheetData>
  <mergeCells count="31">
    <mergeCell ref="O39:P39"/>
    <mergeCell ref="B46:D46"/>
    <mergeCell ref="C13:D13"/>
    <mergeCell ref="E13:F13"/>
    <mergeCell ref="G13:H13"/>
    <mergeCell ref="I13:K13"/>
    <mergeCell ref="C14:D14"/>
    <mergeCell ref="E14:F14"/>
    <mergeCell ref="G14:H14"/>
    <mergeCell ref="I14:K14"/>
    <mergeCell ref="C11:D11"/>
    <mergeCell ref="E11:H11"/>
    <mergeCell ref="I11:K11"/>
    <mergeCell ref="C12:D12"/>
    <mergeCell ref="E12:F12"/>
    <mergeCell ref="G12:H12"/>
    <mergeCell ref="I12:K12"/>
    <mergeCell ref="C9:D9"/>
    <mergeCell ref="E9:H9"/>
    <mergeCell ref="I9:K9"/>
    <mergeCell ref="C10:D10"/>
    <mergeCell ref="E10:H10"/>
    <mergeCell ref="I10:K10"/>
    <mergeCell ref="C8:D8"/>
    <mergeCell ref="E8:H8"/>
    <mergeCell ref="I8:K8"/>
    <mergeCell ref="B2:D2"/>
    <mergeCell ref="O3:P5"/>
    <mergeCell ref="B4:B5"/>
    <mergeCell ref="C7:K7"/>
    <mergeCell ref="P7:Q7"/>
  </mergeCells>
  <hyperlinks>
    <hyperlink ref="P34" r:id="rId1" xr:uid="{00000000-0004-0000-0500-000000000000}"/>
    <hyperlink ref="C34" r:id="rId2" xr:uid="{00000000-0004-0000-0500-000001000000}"/>
    <hyperlink ref="E34" r:id="rId3" xr:uid="{00000000-0004-0000-0500-000002000000}"/>
    <hyperlink ref="J34" r:id="rId4" xr:uid="{00000000-0004-0000-0500-000003000000}"/>
    <hyperlink ref="I34" r:id="rId5" xr:uid="{00000000-0004-0000-0500-000004000000}"/>
    <hyperlink ref="F34" r:id="rId6" xr:uid="{00000000-0004-0000-0500-000005000000}"/>
    <hyperlink ref="D34" r:id="rId7" xr:uid="{00000000-0004-0000-0500-000006000000}"/>
    <hyperlink ref="Q34" r:id="rId8" xr:uid="{00000000-0004-0000-0500-000007000000}"/>
  </hyperlinks>
  <pageMargins left="0.7" right="0.7" top="0.75" bottom="0.75" header="0.3" footer="0.3"/>
  <pageSetup paperSize="9" orientation="portrait" r:id="rId9"/>
  <headerFooter>
    <oddHeader>&amp;L&amp;"Calibri"&amp;10&amp;K000000Classified as Internal&amp;1#</oddHeader>
  </headerFooter>
  <drawing r:id="rId10"/>
  <legacyDrawing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33326-17B7-4AEA-A25C-8A452A039AAA}">
  <sheetPr codeName="Sheet5"/>
  <dimension ref="A1:MM160"/>
  <sheetViews>
    <sheetView workbookViewId="0"/>
  </sheetViews>
  <sheetFormatPr defaultColWidth="8.81640625" defaultRowHeight="14.5" outlineLevelRow="1" outlineLevelCol="1"/>
  <cols>
    <col min="1" max="1" width="1.453125" style="80" customWidth="1"/>
    <col min="2" max="2" width="2.1796875" style="80" customWidth="1"/>
    <col min="3" max="3" width="37.453125" style="81" customWidth="1"/>
    <col min="4" max="4" width="18.453125" style="81" customWidth="1"/>
    <col min="5" max="6" width="18.453125" style="81" hidden="1" customWidth="1" outlineLevel="1"/>
    <col min="7" max="7" width="18.453125" style="81" customWidth="1" collapsed="1"/>
    <col min="8" max="9" width="18.453125" style="81" hidden="1" customWidth="1" outlineLevel="1"/>
    <col min="10" max="10" width="18.453125" style="81" customWidth="1" collapsed="1"/>
    <col min="11" max="11" width="18.1796875" style="81" customWidth="1"/>
    <col min="12" max="12" width="18.453125" style="81" customWidth="1"/>
    <col min="13" max="13" width="27.1796875" style="81" customWidth="1"/>
    <col min="14" max="14" width="18.453125" style="81" customWidth="1"/>
    <col min="15" max="15" width="21.81640625" style="108" customWidth="1"/>
    <col min="16" max="16" width="46.81640625" style="108" customWidth="1"/>
    <col min="17" max="17" width="25.453125" style="108" customWidth="1"/>
    <col min="18" max="18" width="4.81640625" style="108" customWidth="1"/>
    <col min="19" max="19" width="17.453125" style="81" customWidth="1"/>
    <col min="20" max="20" width="1.1796875" style="81" customWidth="1"/>
    <col min="21" max="21" width="17.453125" style="81" customWidth="1"/>
    <col min="22" max="22" width="59.1796875" style="81" customWidth="1"/>
    <col min="23" max="23" width="5.1796875" style="81" customWidth="1"/>
    <col min="24" max="24" width="25.453125" style="81" customWidth="1"/>
    <col min="25" max="25" width="19.1796875" style="81" customWidth="1"/>
    <col min="26" max="26" width="24.81640625" style="81" customWidth="1"/>
    <col min="27" max="27" width="19.1796875" style="81" customWidth="1"/>
    <col min="28" max="28" width="25" style="81" customWidth="1"/>
    <col min="29" max="29" width="19.453125" style="81" customWidth="1"/>
    <col min="30" max="30" width="15.81640625" style="81" customWidth="1"/>
    <col min="31" max="31" width="37" style="81" customWidth="1"/>
    <col min="32" max="32" width="8.81640625" style="81" customWidth="1"/>
    <col min="33" max="33" width="22.81640625" style="81" customWidth="1"/>
    <col min="34" max="34" width="15.81640625" style="81" customWidth="1"/>
    <col min="35" max="35" width="37" style="81" customWidth="1"/>
    <col min="36" max="36" width="2.81640625" style="81" customWidth="1"/>
    <col min="37" max="16384" width="8.81640625" style="81"/>
  </cols>
  <sheetData>
    <row r="1" spans="3:20" ht="12" customHeight="1">
      <c r="C1" s="116"/>
      <c r="D1" s="116"/>
      <c r="E1" s="80"/>
      <c r="F1" s="116"/>
      <c r="G1" s="116"/>
      <c r="H1" s="80"/>
      <c r="I1" s="80"/>
      <c r="J1" s="116"/>
      <c r="K1" s="80"/>
      <c r="L1" s="80"/>
      <c r="M1" s="80"/>
      <c r="P1" s="194"/>
      <c r="R1" s="195"/>
      <c r="T1" s="147"/>
    </row>
    <row r="2" spans="3:20" ht="39.75" customHeight="1">
      <c r="C2" s="221" t="s">
        <v>87</v>
      </c>
      <c r="D2" s="222"/>
      <c r="E2" s="222"/>
      <c r="F2" s="222"/>
      <c r="G2" s="223"/>
      <c r="H2" s="223"/>
      <c r="I2" s="223"/>
      <c r="J2" s="224"/>
      <c r="K2" s="223"/>
      <c r="L2" s="223"/>
      <c r="M2" s="188"/>
      <c r="Q2" s="196"/>
      <c r="R2" s="196"/>
      <c r="S2" s="146"/>
    </row>
    <row r="3" spans="3:20" ht="26.25" hidden="1" customHeight="1">
      <c r="C3" s="80"/>
      <c r="D3" s="80"/>
      <c r="E3" s="80"/>
      <c r="F3" s="80"/>
      <c r="G3" s="80"/>
      <c r="H3" s="80"/>
      <c r="I3" s="80"/>
      <c r="J3" s="918"/>
      <c r="K3" s="918"/>
      <c r="L3" s="80"/>
      <c r="M3" s="80"/>
      <c r="Q3" s="196"/>
      <c r="R3" s="196"/>
      <c r="S3" s="146"/>
    </row>
    <row r="4" spans="3:20" ht="14.25" hidden="1" customHeight="1">
      <c r="C4" s="80"/>
      <c r="D4" s="80"/>
      <c r="E4" s="80"/>
      <c r="F4" s="80"/>
      <c r="G4" s="80"/>
      <c r="H4" s="80"/>
      <c r="I4" s="80"/>
      <c r="J4" s="918"/>
      <c r="K4" s="918"/>
      <c r="L4" s="80"/>
      <c r="M4" s="80"/>
      <c r="Q4" s="196"/>
      <c r="R4" s="196"/>
      <c r="S4" s="146"/>
    </row>
    <row r="5" spans="3:20" ht="14.25" hidden="1" customHeight="1">
      <c r="C5" s="80"/>
      <c r="D5" s="80"/>
      <c r="E5" s="80"/>
      <c r="F5" s="80"/>
      <c r="G5" s="80"/>
      <c r="H5" s="80"/>
      <c r="I5" s="80"/>
      <c r="J5" s="80"/>
      <c r="K5" s="80"/>
      <c r="L5" s="103"/>
      <c r="M5" s="80"/>
      <c r="P5" s="197"/>
      <c r="Q5" s="196"/>
      <c r="R5" s="196"/>
      <c r="S5" s="146"/>
    </row>
    <row r="6" spans="3:20" ht="20.25" hidden="1" customHeight="1">
      <c r="C6" s="919" t="s">
        <v>2</v>
      </c>
      <c r="D6" s="920"/>
      <c r="E6" s="920"/>
      <c r="F6" s="920"/>
      <c r="G6" s="920"/>
      <c r="H6" s="920"/>
      <c r="I6" s="920"/>
      <c r="J6" s="920"/>
      <c r="K6" s="920"/>
      <c r="L6" s="920"/>
      <c r="M6" s="921"/>
      <c r="O6" s="182"/>
      <c r="P6" s="182"/>
      <c r="Q6" s="182"/>
      <c r="R6" s="182"/>
      <c r="S6" s="146"/>
    </row>
    <row r="7" spans="3:20" ht="20.25" hidden="1" customHeight="1">
      <c r="C7" s="922"/>
      <c r="D7" s="923"/>
      <c r="E7" s="923"/>
      <c r="F7" s="923"/>
      <c r="G7" s="923"/>
      <c r="H7" s="923"/>
      <c r="I7" s="923"/>
      <c r="J7" s="923"/>
      <c r="K7" s="923"/>
      <c r="L7" s="923"/>
      <c r="M7" s="924"/>
      <c r="O7" s="182"/>
      <c r="P7" s="182"/>
      <c r="Q7" s="182"/>
      <c r="R7" s="182"/>
      <c r="S7" s="146"/>
    </row>
    <row r="8" spans="3:20" ht="20.25" hidden="1" customHeight="1">
      <c r="C8" s="922"/>
      <c r="D8" s="923"/>
      <c r="E8" s="923"/>
      <c r="F8" s="923"/>
      <c r="G8" s="923"/>
      <c r="H8" s="923"/>
      <c r="I8" s="923"/>
      <c r="J8" s="923"/>
      <c r="K8" s="923"/>
      <c r="L8" s="923"/>
      <c r="M8" s="924"/>
      <c r="O8" s="182"/>
      <c r="P8" s="182"/>
      <c r="Q8" s="182"/>
      <c r="R8" s="182"/>
      <c r="S8" s="146"/>
    </row>
    <row r="9" spans="3:20" ht="27.25" hidden="1" customHeight="1">
      <c r="C9" s="925"/>
      <c r="D9" s="926"/>
      <c r="E9" s="926"/>
      <c r="F9" s="926"/>
      <c r="G9" s="926"/>
      <c r="H9" s="926"/>
      <c r="I9" s="926"/>
      <c r="J9" s="926"/>
      <c r="K9" s="926"/>
      <c r="L9" s="926"/>
      <c r="M9" s="927"/>
      <c r="O9" s="182"/>
      <c r="P9" s="182"/>
      <c r="Q9" s="182"/>
      <c r="R9" s="182"/>
      <c r="S9" s="146"/>
    </row>
    <row r="10" spans="3:20" ht="12" customHeight="1">
      <c r="C10" s="80"/>
      <c r="D10" s="80"/>
      <c r="E10" s="80"/>
      <c r="F10" s="80"/>
      <c r="G10" s="80"/>
      <c r="H10" s="80"/>
      <c r="I10" s="80"/>
      <c r="J10" s="116"/>
      <c r="K10" s="80"/>
      <c r="L10" s="80"/>
      <c r="M10" s="80"/>
      <c r="P10" s="194"/>
      <c r="R10" s="195"/>
      <c r="T10" s="147"/>
    </row>
    <row r="11" spans="3:20" ht="26.25" customHeight="1">
      <c r="C11" s="928" t="s">
        <v>3</v>
      </c>
      <c r="D11" s="929"/>
      <c r="E11" s="80"/>
      <c r="F11" s="80"/>
      <c r="G11" s="80"/>
      <c r="H11" s="80"/>
      <c r="I11" s="80"/>
      <c r="J11" s="80"/>
      <c r="K11" s="80"/>
      <c r="L11" s="103"/>
      <c r="M11" s="80"/>
      <c r="P11" s="194"/>
      <c r="Q11" s="196"/>
      <c r="R11" s="196"/>
      <c r="S11" s="146"/>
    </row>
    <row r="12" spans="3:20" ht="12" customHeight="1">
      <c r="E12" s="80"/>
      <c r="F12" s="80"/>
      <c r="G12" s="80"/>
      <c r="H12" s="80"/>
      <c r="I12" s="80"/>
      <c r="J12" s="116"/>
      <c r="K12" s="80"/>
      <c r="L12" s="80"/>
      <c r="M12" s="80"/>
      <c r="P12" s="194"/>
      <c r="R12" s="195"/>
      <c r="T12" s="147"/>
    </row>
    <row r="13" spans="3:20" ht="25.5" customHeight="1">
      <c r="C13" s="148" t="s">
        <v>4</v>
      </c>
      <c r="D13" s="148"/>
      <c r="E13" s="80"/>
      <c r="F13" s="80"/>
      <c r="G13" s="80"/>
      <c r="H13" s="80"/>
      <c r="I13" s="80"/>
      <c r="J13" s="80"/>
      <c r="K13" s="80"/>
      <c r="L13" s="80"/>
      <c r="M13" s="80"/>
      <c r="P13" s="194"/>
      <c r="R13" s="195"/>
      <c r="T13" s="147"/>
    </row>
    <row r="14" spans="3:20" ht="12" customHeight="1" thickBot="1">
      <c r="E14" s="80"/>
      <c r="F14" s="80"/>
      <c r="G14" s="80"/>
      <c r="H14" s="80"/>
      <c r="I14" s="80"/>
      <c r="J14" s="80"/>
      <c r="K14" s="80"/>
      <c r="L14" s="80"/>
      <c r="M14" s="80"/>
      <c r="P14" s="194"/>
      <c r="R14" s="195"/>
      <c r="T14" s="147"/>
    </row>
    <row r="15" spans="3:20" ht="42.75" customHeight="1">
      <c r="C15" s="274" t="s">
        <v>5</v>
      </c>
      <c r="D15" s="275" t="s">
        <v>6</v>
      </c>
      <c r="E15" s="80"/>
      <c r="F15" s="80"/>
      <c r="G15" s="80"/>
      <c r="H15" s="80"/>
      <c r="I15" s="80"/>
      <c r="J15" s="80"/>
      <c r="K15" s="80"/>
      <c r="L15" s="80"/>
      <c r="M15" s="80"/>
      <c r="P15" s="194"/>
      <c r="R15" s="195"/>
      <c r="T15" s="147"/>
    </row>
    <row r="16" spans="3:20" ht="33" customHeight="1">
      <c r="C16" s="272" t="s">
        <v>7</v>
      </c>
      <c r="D16" s="276" t="s">
        <v>8</v>
      </c>
      <c r="E16" s="80"/>
      <c r="F16" s="80"/>
      <c r="G16" s="80"/>
      <c r="H16" s="80"/>
      <c r="I16" s="80"/>
      <c r="J16" s="116"/>
      <c r="K16" s="80"/>
      <c r="L16" s="80"/>
      <c r="M16" s="80"/>
      <c r="P16" s="194"/>
      <c r="R16" s="195"/>
      <c r="T16" s="147"/>
    </row>
    <row r="17" spans="3:20" ht="7.5" customHeight="1">
      <c r="C17" s="272"/>
      <c r="D17" s="277"/>
      <c r="E17" s="116"/>
      <c r="F17" s="80"/>
      <c r="G17" s="80"/>
      <c r="H17" s="80"/>
      <c r="I17" s="80"/>
      <c r="J17" s="116"/>
      <c r="K17" s="80"/>
      <c r="L17" s="80"/>
      <c r="M17" s="80"/>
      <c r="P17" s="194"/>
      <c r="R17" s="195"/>
      <c r="T17" s="147"/>
    </row>
    <row r="18" spans="3:20" ht="33" customHeight="1">
      <c r="C18" s="272" t="s">
        <v>19</v>
      </c>
      <c r="D18" s="276" t="s">
        <v>8</v>
      </c>
      <c r="E18" s="80"/>
      <c r="F18" s="80"/>
      <c r="G18" s="80"/>
      <c r="H18" s="80"/>
      <c r="I18" s="80"/>
      <c r="J18" s="116"/>
      <c r="K18" s="80"/>
      <c r="L18" s="80"/>
      <c r="M18" s="80"/>
      <c r="P18" s="194"/>
      <c r="R18" s="195"/>
      <c r="T18" s="147"/>
    </row>
    <row r="19" spans="3:20" ht="7.5" customHeight="1">
      <c r="C19" s="272"/>
      <c r="D19" s="277"/>
      <c r="E19" s="116"/>
      <c r="F19" s="80"/>
      <c r="G19" s="80"/>
      <c r="H19" s="80"/>
      <c r="I19" s="80"/>
      <c r="J19" s="116"/>
      <c r="K19" s="80"/>
      <c r="L19" s="80"/>
      <c r="M19" s="80"/>
      <c r="P19" s="194"/>
      <c r="R19" s="195"/>
      <c r="T19" s="147"/>
    </row>
    <row r="20" spans="3:20" ht="33" customHeight="1" thickBot="1">
      <c r="C20" s="278" t="s">
        <v>88</v>
      </c>
      <c r="D20" s="279" t="s">
        <v>8</v>
      </c>
      <c r="E20" s="80"/>
      <c r="F20" s="80"/>
      <c r="G20" s="80"/>
      <c r="H20" s="80"/>
      <c r="I20" s="80"/>
      <c r="J20" s="116"/>
      <c r="K20" s="80"/>
      <c r="L20" s="80"/>
      <c r="M20" s="80"/>
      <c r="P20" s="194"/>
      <c r="R20" s="195"/>
      <c r="T20" s="147"/>
    </row>
    <row r="21" spans="3:20" ht="12" customHeight="1">
      <c r="C21" s="80"/>
      <c r="D21" s="80"/>
      <c r="E21" s="80"/>
      <c r="F21" s="80"/>
      <c r="G21" s="80"/>
      <c r="H21" s="80"/>
      <c r="I21" s="80"/>
      <c r="J21" s="116"/>
      <c r="K21" s="80"/>
      <c r="L21" s="80"/>
      <c r="M21" s="80"/>
      <c r="P21" s="194"/>
      <c r="R21" s="195"/>
      <c r="T21" s="147"/>
    </row>
    <row r="22" spans="3:20" ht="25.5" customHeight="1">
      <c r="C22" s="884" t="s">
        <v>11</v>
      </c>
      <c r="D22" s="885"/>
      <c r="E22" s="885"/>
      <c r="F22" s="885"/>
      <c r="G22" s="885"/>
      <c r="H22" s="885"/>
      <c r="I22" s="885"/>
      <c r="J22" s="885"/>
      <c r="K22" s="885"/>
      <c r="L22" s="885"/>
      <c r="M22" s="886"/>
      <c r="N22" s="690"/>
      <c r="O22" s="198"/>
      <c r="R22" s="199"/>
      <c r="S22" s="141"/>
      <c r="T22" s="142"/>
    </row>
    <row r="23" spans="3:20" ht="12" customHeight="1" thickBot="1">
      <c r="C23" s="80"/>
      <c r="D23" s="80"/>
      <c r="E23" s="80"/>
      <c r="F23" s="80"/>
      <c r="G23" s="80"/>
      <c r="H23" s="80"/>
      <c r="I23" s="80"/>
      <c r="J23" s="116"/>
      <c r="K23" s="80"/>
      <c r="L23" s="80"/>
      <c r="M23" s="80"/>
      <c r="P23" s="194"/>
      <c r="R23" s="195"/>
      <c r="T23" s="147"/>
    </row>
    <row r="24" spans="3:20" ht="119.5" customHeight="1" thickBot="1">
      <c r="C24" s="259" t="s">
        <v>12</v>
      </c>
      <c r="D24" s="912" t="s">
        <v>13</v>
      </c>
      <c r="E24" s="913"/>
      <c r="F24" s="914"/>
      <c r="G24" s="912" t="s">
        <v>14</v>
      </c>
      <c r="H24" s="913"/>
      <c r="I24" s="914"/>
      <c r="J24" s="912" t="s">
        <v>15</v>
      </c>
      <c r="K24" s="913"/>
      <c r="L24" s="915" t="s">
        <v>16</v>
      </c>
      <c r="M24" s="916"/>
      <c r="N24" s="691"/>
      <c r="O24" s="176"/>
      <c r="P24" s="200"/>
      <c r="R24" s="199"/>
      <c r="S24" s="141"/>
    </row>
    <row r="25" spans="3:20" ht="12" customHeight="1" thickBot="1">
      <c r="C25" s="80"/>
      <c r="D25" s="80"/>
      <c r="E25" s="80"/>
      <c r="F25" s="80"/>
      <c r="G25" s="80"/>
      <c r="H25" s="80"/>
      <c r="I25" s="80"/>
      <c r="J25" s="116"/>
      <c r="K25" s="80"/>
      <c r="L25" s="80"/>
      <c r="M25" s="80"/>
      <c r="P25" s="194"/>
      <c r="R25" s="195"/>
      <c r="T25" s="147"/>
    </row>
    <row r="26" spans="3:20" ht="25.5" customHeight="1" thickBot="1">
      <c r="C26" s="232" t="s">
        <v>17</v>
      </c>
      <c r="D26" s="900">
        <v>2026</v>
      </c>
      <c r="E26" s="901"/>
      <c r="F26" s="901"/>
      <c r="G26" s="901"/>
      <c r="H26" s="901"/>
      <c r="I26" s="901"/>
      <c r="J26" s="901"/>
      <c r="K26" s="902"/>
      <c r="L26" s="843" t="s">
        <v>18</v>
      </c>
      <c r="M26" s="837"/>
      <c r="N26" s="700"/>
      <c r="O26" s="201"/>
      <c r="R26" s="175"/>
      <c r="T26" s="132"/>
    </row>
    <row r="27" spans="3:20" ht="12" customHeight="1" thickBot="1">
      <c r="C27" s="80"/>
      <c r="D27" s="80"/>
      <c r="E27" s="80"/>
      <c r="F27" s="80"/>
      <c r="G27" s="80"/>
      <c r="H27" s="80"/>
      <c r="I27" s="80"/>
      <c r="J27" s="116"/>
      <c r="K27" s="80"/>
      <c r="L27" s="80"/>
      <c r="M27" s="80"/>
      <c r="P27" s="194"/>
      <c r="R27" s="195"/>
      <c r="T27" s="147"/>
    </row>
    <row r="28" spans="3:20" ht="12" hidden="1" customHeight="1" thickBot="1">
      <c r="C28" s="80"/>
      <c r="D28" s="80"/>
      <c r="E28" s="80"/>
      <c r="F28" s="80"/>
      <c r="G28" s="80"/>
      <c r="H28" s="80"/>
      <c r="I28" s="80"/>
      <c r="J28" s="116"/>
      <c r="K28" s="80"/>
      <c r="L28" s="80"/>
      <c r="M28" s="80"/>
      <c r="P28" s="194"/>
      <c r="R28" s="195"/>
      <c r="T28" s="147"/>
    </row>
    <row r="29" spans="3:20" ht="27.75" customHeight="1" thickBot="1">
      <c r="C29" s="903" t="s">
        <v>5</v>
      </c>
      <c r="D29" s="905" t="s">
        <v>7</v>
      </c>
      <c r="E29" s="906"/>
      <c r="F29" s="907"/>
      <c r="G29" s="905" t="s">
        <v>19</v>
      </c>
      <c r="H29" s="906"/>
      <c r="I29" s="907"/>
      <c r="J29" s="254" t="s">
        <v>7</v>
      </c>
      <c r="K29" s="255" t="s">
        <v>19</v>
      </c>
      <c r="L29" s="893" t="s">
        <v>89</v>
      </c>
      <c r="M29" s="875"/>
      <c r="N29" s="700"/>
      <c r="O29" s="201"/>
      <c r="R29" s="202"/>
      <c r="T29" s="143"/>
    </row>
    <row r="30" spans="3:20" ht="24.75" customHeight="1" thickBot="1">
      <c r="C30" s="904"/>
      <c r="D30" s="909">
        <v>150000</v>
      </c>
      <c r="E30" s="910"/>
      <c r="F30" s="911"/>
      <c r="G30" s="909">
        <v>140000</v>
      </c>
      <c r="H30" s="910"/>
      <c r="I30" s="911"/>
      <c r="J30" s="252">
        <f>IF($D$20="Yes",D$30,IF($D$20="No",0))</f>
        <v>150000</v>
      </c>
      <c r="K30" s="253">
        <f>J30-(J30*J37)</f>
        <v>75000</v>
      </c>
      <c r="L30" s="908"/>
      <c r="M30" s="879"/>
      <c r="N30" s="700"/>
      <c r="O30" s="201"/>
      <c r="R30" s="202"/>
      <c r="T30" s="143"/>
    </row>
    <row r="31" spans="3:20" ht="30" hidden="1" customHeight="1">
      <c r="C31" s="245" t="s">
        <v>21</v>
      </c>
      <c r="D31" s="247">
        <v>12</v>
      </c>
      <c r="E31" s="243"/>
      <c r="F31" s="248"/>
      <c r="G31" s="247">
        <v>6</v>
      </c>
      <c r="H31" s="243"/>
      <c r="I31" s="248"/>
      <c r="J31" s="227">
        <f>D31</f>
        <v>12</v>
      </c>
      <c r="K31" s="230">
        <f>G31</f>
        <v>6</v>
      </c>
      <c r="L31" s="893" t="s">
        <v>22</v>
      </c>
      <c r="M31" s="875"/>
      <c r="N31" s="700"/>
      <c r="O31" s="201"/>
      <c r="R31" s="202"/>
      <c r="T31" s="143"/>
    </row>
    <row r="32" spans="3:20" ht="32.25" hidden="1" customHeight="1" thickBot="1">
      <c r="C32" s="246" t="s">
        <v>23</v>
      </c>
      <c r="D32" s="249">
        <v>0.7</v>
      </c>
      <c r="E32" s="244"/>
      <c r="F32" s="250"/>
      <c r="G32" s="249">
        <v>1</v>
      </c>
      <c r="H32" s="244"/>
      <c r="I32" s="250"/>
      <c r="J32" s="251">
        <f>D32</f>
        <v>0.7</v>
      </c>
      <c r="K32" s="229">
        <f>G32</f>
        <v>1</v>
      </c>
      <c r="L32" s="893" t="s">
        <v>24</v>
      </c>
      <c r="M32" s="875"/>
      <c r="N32" s="700"/>
      <c r="O32" s="201"/>
      <c r="R32" s="202"/>
      <c r="T32" s="143"/>
    </row>
    <row r="33" spans="3:20" ht="25.5" hidden="1" customHeight="1" thickBot="1">
      <c r="C33" s="241" t="s">
        <v>25</v>
      </c>
      <c r="D33" s="894">
        <f>D30*(D31/12)*D32</f>
        <v>105000</v>
      </c>
      <c r="E33" s="895"/>
      <c r="F33" s="896"/>
      <c r="G33" s="894">
        <f t="shared" ref="G33" si="0">G30*(G31/12)*G32</f>
        <v>70000</v>
      </c>
      <c r="H33" s="895"/>
      <c r="I33" s="896"/>
      <c r="J33" s="242">
        <f>J30*(J31/12)*J32</f>
        <v>105000</v>
      </c>
      <c r="K33" s="242">
        <f>K30*(K31/12)*K32</f>
        <v>37500</v>
      </c>
      <c r="L33" s="240"/>
      <c r="M33" s="239"/>
      <c r="N33" s="700"/>
      <c r="O33" s="201"/>
      <c r="R33" s="203"/>
      <c r="T33" s="144"/>
    </row>
    <row r="34" spans="3:20" ht="25.5" customHeight="1" thickBot="1">
      <c r="C34" s="234" t="s">
        <v>26</v>
      </c>
      <c r="D34" s="897">
        <v>0.02</v>
      </c>
      <c r="E34" s="898"/>
      <c r="F34" s="898"/>
      <c r="G34" s="897">
        <v>0.02</v>
      </c>
      <c r="H34" s="898"/>
      <c r="I34" s="899"/>
      <c r="J34" s="233">
        <v>0.02</v>
      </c>
      <c r="K34" s="233">
        <v>0.02</v>
      </c>
      <c r="L34" s="843" t="s">
        <v>27</v>
      </c>
      <c r="M34" s="837"/>
      <c r="N34" s="700"/>
      <c r="O34" s="201"/>
      <c r="R34" s="203"/>
      <c r="T34" s="144"/>
    </row>
    <row r="35" spans="3:20" ht="12" customHeight="1" thickBot="1">
      <c r="C35" s="80"/>
      <c r="D35" s="80"/>
      <c r="E35" s="80"/>
      <c r="F35" s="80"/>
      <c r="G35" s="80"/>
      <c r="H35" s="80"/>
      <c r="I35" s="80"/>
      <c r="J35" s="116"/>
      <c r="K35" s="80"/>
      <c r="L35" s="80"/>
      <c r="M35" s="80"/>
      <c r="P35" s="194"/>
      <c r="R35" s="195"/>
      <c r="T35" s="147"/>
    </row>
    <row r="36" spans="3:20" ht="25.5" customHeight="1" thickBot="1">
      <c r="C36" s="256" t="s">
        <v>28</v>
      </c>
      <c r="D36" s="236"/>
      <c r="E36" s="236"/>
      <c r="F36" s="236"/>
      <c r="G36" s="236"/>
      <c r="H36" s="236"/>
      <c r="I36" s="236"/>
      <c r="J36" s="236"/>
      <c r="K36" s="237"/>
      <c r="L36" s="843" t="s">
        <v>29</v>
      </c>
      <c r="M36" s="837"/>
      <c r="N36" s="700"/>
      <c r="O36" s="201"/>
      <c r="R36" s="203"/>
      <c r="T36" s="144"/>
    </row>
    <row r="37" spans="3:20" ht="24.75" customHeight="1">
      <c r="C37" s="231">
        <v>2026</v>
      </c>
      <c r="D37" s="872">
        <v>0.5</v>
      </c>
      <c r="E37" s="873"/>
      <c r="F37" s="873"/>
      <c r="G37" s="872">
        <v>0.5</v>
      </c>
      <c r="H37" s="873"/>
      <c r="I37" s="873"/>
      <c r="J37" s="235">
        <v>0.5</v>
      </c>
      <c r="K37" s="228">
        <v>0.5</v>
      </c>
      <c r="L37" s="874" t="s">
        <v>30</v>
      </c>
      <c r="M37" s="875"/>
      <c r="N37" s="172"/>
      <c r="O37" s="226"/>
      <c r="R37" s="203"/>
      <c r="T37" s="144"/>
    </row>
    <row r="38" spans="3:20" ht="25.5" customHeight="1">
      <c r="C38" s="159">
        <v>2027</v>
      </c>
      <c r="D38" s="880">
        <v>0.55000000000000004</v>
      </c>
      <c r="E38" s="881"/>
      <c r="F38" s="881"/>
      <c r="G38" s="880">
        <v>0.55000000000000004</v>
      </c>
      <c r="H38" s="881"/>
      <c r="I38" s="881"/>
      <c r="J38" s="157">
        <v>0.55000000000000004</v>
      </c>
      <c r="K38" s="156">
        <v>0.55000000000000004</v>
      </c>
      <c r="L38" s="876"/>
      <c r="M38" s="877"/>
      <c r="N38" s="172"/>
      <c r="O38" s="238"/>
      <c r="R38" s="203"/>
      <c r="T38" s="144"/>
    </row>
    <row r="39" spans="3:20" ht="24" customHeight="1">
      <c r="C39" s="159">
        <v>2028</v>
      </c>
      <c r="D39" s="880">
        <v>0.78</v>
      </c>
      <c r="E39" s="881"/>
      <c r="F39" s="881"/>
      <c r="G39" s="880">
        <v>0.78</v>
      </c>
      <c r="H39" s="881"/>
      <c r="I39" s="881"/>
      <c r="J39" s="157">
        <v>0.78</v>
      </c>
      <c r="K39" s="156">
        <v>0.78</v>
      </c>
      <c r="L39" s="876"/>
      <c r="M39" s="877"/>
      <c r="N39" s="172"/>
      <c r="O39" s="204"/>
      <c r="R39" s="203"/>
      <c r="T39" s="144"/>
    </row>
    <row r="40" spans="3:20" ht="24" customHeight="1">
      <c r="C40" s="159">
        <v>2029</v>
      </c>
      <c r="D40" s="880">
        <v>0.85</v>
      </c>
      <c r="E40" s="881"/>
      <c r="F40" s="881"/>
      <c r="G40" s="880">
        <v>0.85</v>
      </c>
      <c r="H40" s="881"/>
      <c r="I40" s="881"/>
      <c r="J40" s="157">
        <v>0.85</v>
      </c>
      <c r="K40" s="156">
        <v>0.85</v>
      </c>
      <c r="L40" s="876"/>
      <c r="M40" s="877"/>
      <c r="N40" s="172"/>
      <c r="O40" s="204"/>
      <c r="R40" s="203"/>
      <c r="T40" s="144"/>
    </row>
    <row r="41" spans="3:20" ht="24" customHeight="1" thickBot="1">
      <c r="C41" s="160">
        <v>2030</v>
      </c>
      <c r="D41" s="882">
        <v>0.9</v>
      </c>
      <c r="E41" s="883"/>
      <c r="F41" s="883"/>
      <c r="G41" s="882">
        <v>0.9</v>
      </c>
      <c r="H41" s="883"/>
      <c r="I41" s="883"/>
      <c r="J41" s="158">
        <v>0.9</v>
      </c>
      <c r="K41" s="161">
        <v>0.9</v>
      </c>
      <c r="L41" s="878"/>
      <c r="M41" s="879"/>
      <c r="N41" s="172"/>
      <c r="O41" s="204"/>
      <c r="R41" s="203"/>
      <c r="T41" s="144"/>
    </row>
    <row r="42" spans="3:20" ht="12" customHeight="1">
      <c r="C42" s="80"/>
      <c r="D42" s="80"/>
      <c r="E42" s="80"/>
      <c r="F42" s="80"/>
      <c r="G42" s="80"/>
      <c r="H42" s="80"/>
      <c r="I42" s="80"/>
      <c r="J42" s="116"/>
      <c r="K42" s="80"/>
      <c r="L42" s="80"/>
      <c r="M42" s="80"/>
      <c r="P42" s="194"/>
      <c r="R42" s="195"/>
      <c r="T42" s="147"/>
    </row>
    <row r="43" spans="3:20" ht="25.5" customHeight="1">
      <c r="C43" s="884" t="s">
        <v>31</v>
      </c>
      <c r="D43" s="885"/>
      <c r="E43" s="885"/>
      <c r="F43" s="885"/>
      <c r="G43" s="885"/>
      <c r="H43" s="885"/>
      <c r="I43" s="885"/>
      <c r="J43" s="885"/>
      <c r="K43" s="885"/>
      <c r="L43" s="885"/>
      <c r="M43" s="886"/>
      <c r="N43" s="690"/>
      <c r="O43" s="198"/>
      <c r="P43" s="194"/>
      <c r="R43" s="195"/>
      <c r="T43" s="147"/>
    </row>
    <row r="44" spans="3:20" ht="12" customHeight="1" thickBot="1">
      <c r="C44" s="80"/>
      <c r="D44" s="80"/>
      <c r="E44" s="80"/>
      <c r="F44" s="80"/>
      <c r="G44" s="80"/>
      <c r="H44" s="80"/>
      <c r="I44" s="80"/>
      <c r="J44" s="116"/>
      <c r="K44" s="80"/>
      <c r="L44" s="80"/>
      <c r="M44" s="80"/>
      <c r="P44" s="194"/>
      <c r="R44" s="195"/>
      <c r="T44" s="147"/>
    </row>
    <row r="45" spans="3:20" ht="32.25" customHeight="1">
      <c r="C45" s="280" t="s">
        <v>32</v>
      </c>
      <c r="D45" s="281" t="s">
        <v>8</v>
      </c>
      <c r="E45" s="949" t="s">
        <v>33</v>
      </c>
      <c r="F45" s="950"/>
      <c r="G45" s="950"/>
      <c r="H45" s="950"/>
      <c r="I45" s="950"/>
      <c r="J45" s="950"/>
      <c r="K45" s="950"/>
      <c r="L45" s="950"/>
      <c r="M45" s="951"/>
      <c r="N45" s="219"/>
      <c r="O45" s="205"/>
      <c r="P45" s="194"/>
      <c r="R45" s="195"/>
      <c r="T45" s="147"/>
    </row>
    <row r="46" spans="3:20" ht="12" customHeight="1">
      <c r="C46" s="282"/>
      <c r="D46" s="80"/>
      <c r="E46" s="80"/>
      <c r="F46" s="80"/>
      <c r="G46" s="80"/>
      <c r="H46" s="80"/>
      <c r="I46" s="80"/>
      <c r="J46" s="116"/>
      <c r="K46" s="80"/>
      <c r="L46" s="80"/>
      <c r="M46" s="283"/>
      <c r="P46" s="194"/>
      <c r="R46" s="195"/>
      <c r="T46" s="147"/>
    </row>
    <row r="47" spans="3:20" ht="57" customHeight="1">
      <c r="C47" s="284" t="s">
        <v>34</v>
      </c>
      <c r="D47" s="163" t="s">
        <v>35</v>
      </c>
      <c r="E47" s="952" t="s">
        <v>36</v>
      </c>
      <c r="F47" s="953"/>
      <c r="G47" s="953"/>
      <c r="H47" s="953"/>
      <c r="I47" s="953"/>
      <c r="J47" s="953"/>
      <c r="K47" s="953"/>
      <c r="L47" s="953"/>
      <c r="M47" s="954"/>
      <c r="N47" s="689"/>
      <c r="O47" s="206"/>
      <c r="P47" s="194"/>
      <c r="R47" s="195"/>
      <c r="T47" s="147"/>
    </row>
    <row r="48" spans="3:20" ht="25.5" customHeight="1">
      <c r="C48" s="285" t="s">
        <v>37</v>
      </c>
      <c r="D48" s="693"/>
      <c r="E48" s="693"/>
      <c r="F48" s="693"/>
      <c r="G48" s="693"/>
      <c r="H48" s="693"/>
      <c r="I48" s="693"/>
      <c r="J48" s="693"/>
      <c r="K48" s="693"/>
      <c r="L48" s="693"/>
      <c r="M48" s="286"/>
      <c r="P48" s="194"/>
      <c r="R48" s="195"/>
      <c r="T48" s="147"/>
    </row>
    <row r="49" spans="1:35" ht="25.5" customHeight="1">
      <c r="C49" s="287">
        <f>D26</f>
        <v>2026</v>
      </c>
      <c r="D49" s="183">
        <v>0.2</v>
      </c>
      <c r="E49" s="863" t="s">
        <v>38</v>
      </c>
      <c r="F49" s="864"/>
      <c r="G49" s="864"/>
      <c r="H49" s="864"/>
      <c r="I49" s="864"/>
      <c r="J49" s="864"/>
      <c r="K49" s="864"/>
      <c r="L49" s="864"/>
      <c r="M49" s="946"/>
      <c r="N49" s="689"/>
      <c r="O49" s="206"/>
      <c r="P49" s="194"/>
      <c r="R49" s="195"/>
      <c r="T49" s="147"/>
    </row>
    <row r="50" spans="1:35" ht="25.5" customHeight="1">
      <c r="C50" s="245">
        <f>$D$26+1</f>
        <v>2027</v>
      </c>
      <c r="D50" s="183">
        <v>0.25</v>
      </c>
      <c r="E50" s="866"/>
      <c r="F50" s="867"/>
      <c r="G50" s="867"/>
      <c r="H50" s="867"/>
      <c r="I50" s="867"/>
      <c r="J50" s="867"/>
      <c r="K50" s="867"/>
      <c r="L50" s="867"/>
      <c r="M50" s="947"/>
      <c r="N50" s="689"/>
      <c r="O50" s="206"/>
      <c r="P50" s="194"/>
      <c r="R50" s="195"/>
      <c r="T50" s="147"/>
    </row>
    <row r="51" spans="1:35" ht="25.5" customHeight="1">
      <c r="C51" s="245">
        <f>$D$26+2</f>
        <v>2028</v>
      </c>
      <c r="D51" s="183">
        <v>0.3</v>
      </c>
      <c r="E51" s="866"/>
      <c r="F51" s="867"/>
      <c r="G51" s="867"/>
      <c r="H51" s="867"/>
      <c r="I51" s="867"/>
      <c r="J51" s="867"/>
      <c r="K51" s="867"/>
      <c r="L51" s="867"/>
      <c r="M51" s="947"/>
      <c r="N51" s="689"/>
      <c r="O51" s="206"/>
      <c r="P51" s="194"/>
      <c r="R51" s="195"/>
      <c r="T51" s="147"/>
    </row>
    <row r="52" spans="1:35" ht="25.5" customHeight="1">
      <c r="C52" s="245">
        <f>$D$26+3</f>
        <v>2029</v>
      </c>
      <c r="D52" s="183">
        <v>0.35</v>
      </c>
      <c r="E52" s="866"/>
      <c r="F52" s="867"/>
      <c r="G52" s="867"/>
      <c r="H52" s="867"/>
      <c r="I52" s="867"/>
      <c r="J52" s="867"/>
      <c r="K52" s="867"/>
      <c r="L52" s="867"/>
      <c r="M52" s="947"/>
      <c r="N52" s="689"/>
      <c r="O52" s="206"/>
      <c r="P52" s="194"/>
      <c r="R52" s="195"/>
      <c r="T52" s="147"/>
    </row>
    <row r="53" spans="1:35" ht="25.5" customHeight="1">
      <c r="C53" s="245">
        <f>$D$26+4</f>
        <v>2030</v>
      </c>
      <c r="D53" s="183">
        <v>0.45</v>
      </c>
      <c r="E53" s="869"/>
      <c r="F53" s="870"/>
      <c r="G53" s="870"/>
      <c r="H53" s="870"/>
      <c r="I53" s="870"/>
      <c r="J53" s="870"/>
      <c r="K53" s="870"/>
      <c r="L53" s="870"/>
      <c r="M53" s="948"/>
      <c r="N53" s="689"/>
      <c r="O53" s="206"/>
      <c r="P53" s="194"/>
      <c r="R53" s="195"/>
      <c r="T53" s="147"/>
    </row>
    <row r="54" spans="1:35" ht="46.5" customHeight="1" thickBot="1">
      <c r="C54" s="936" t="s">
        <v>39</v>
      </c>
      <c r="D54" s="937"/>
      <c r="E54" s="938"/>
      <c r="F54" s="938"/>
      <c r="G54" s="938"/>
      <c r="H54" s="938"/>
      <c r="I54" s="938"/>
      <c r="J54" s="938"/>
      <c r="K54" s="938"/>
      <c r="L54" s="288"/>
      <c r="M54" s="289"/>
      <c r="O54" s="225"/>
      <c r="P54" s="194"/>
      <c r="R54" s="195"/>
      <c r="T54" s="147"/>
    </row>
    <row r="55" spans="1:35" ht="12" customHeight="1">
      <c r="C55" s="80"/>
      <c r="D55" s="80"/>
      <c r="E55" s="80"/>
      <c r="F55" s="80"/>
      <c r="G55" s="80"/>
      <c r="H55" s="80"/>
      <c r="I55" s="80"/>
      <c r="J55" s="116"/>
      <c r="K55" s="80"/>
      <c r="L55" s="80"/>
      <c r="M55" s="80"/>
      <c r="P55" s="194"/>
      <c r="R55" s="195"/>
      <c r="T55" s="147"/>
    </row>
    <row r="56" spans="1:35" ht="25.5" customHeight="1">
      <c r="C56" s="184" t="s">
        <v>40</v>
      </c>
      <c r="D56" s="153"/>
      <c r="E56" s="153"/>
      <c r="F56" s="153"/>
      <c r="G56" s="153"/>
      <c r="H56" s="153"/>
      <c r="I56" s="153"/>
      <c r="J56" s="153"/>
      <c r="K56" s="153"/>
      <c r="L56" s="153"/>
      <c r="M56" s="154"/>
      <c r="N56" s="142"/>
      <c r="O56" s="207"/>
      <c r="P56" s="207"/>
      <c r="Q56" s="207"/>
      <c r="R56" s="207"/>
      <c r="S56" s="141"/>
      <c r="T56" s="141"/>
      <c r="U56" s="141"/>
      <c r="V56" s="141"/>
      <c r="W56" s="141"/>
      <c r="Y56" s="852"/>
      <c r="Z56" s="852"/>
      <c r="AA56" s="852"/>
      <c r="AB56" s="852"/>
      <c r="AC56" s="852"/>
      <c r="AD56" s="852"/>
      <c r="AE56" s="852"/>
      <c r="AF56" s="852"/>
      <c r="AG56" s="852"/>
      <c r="AH56" s="852"/>
      <c r="AI56" s="852"/>
    </row>
    <row r="57" spans="1:35">
      <c r="C57" s="101" t="s">
        <v>41</v>
      </c>
      <c r="D57" s="80"/>
      <c r="E57" s="80"/>
      <c r="F57" s="80"/>
      <c r="G57" s="102" t="s">
        <v>42</v>
      </c>
      <c r="H57" s="102"/>
      <c r="I57" s="102"/>
      <c r="J57" s="80"/>
      <c r="K57" s="80"/>
      <c r="L57" s="80"/>
      <c r="M57" s="80"/>
      <c r="N57" s="155" t="s">
        <v>43</v>
      </c>
    </row>
    <row r="58" spans="1:35">
      <c r="C58" s="101"/>
      <c r="D58" s="80"/>
      <c r="E58" s="80"/>
      <c r="F58" s="80"/>
      <c r="G58" s="80"/>
      <c r="H58" s="80"/>
      <c r="I58" s="80"/>
      <c r="J58" s="80"/>
      <c r="K58" s="80"/>
      <c r="L58" s="80"/>
      <c r="M58" s="80"/>
    </row>
    <row r="59" spans="1:35" ht="25.5" customHeight="1">
      <c r="C59" s="179" t="s">
        <v>44</v>
      </c>
      <c r="D59" s="180"/>
      <c r="E59" s="180"/>
      <c r="F59" s="180"/>
      <c r="G59" s="180"/>
      <c r="H59" s="180"/>
      <c r="I59" s="180"/>
      <c r="J59" s="180"/>
      <c r="K59" s="180"/>
      <c r="L59" s="180"/>
      <c r="M59" s="181"/>
      <c r="N59" s="185"/>
      <c r="O59" s="170"/>
      <c r="P59" s="170"/>
      <c r="Q59" s="170"/>
      <c r="R59" s="176"/>
      <c r="S59" s="691"/>
      <c r="T59" s="691"/>
      <c r="U59" s="691"/>
      <c r="V59" s="691"/>
      <c r="W59" s="691"/>
      <c r="Y59" s="840"/>
      <c r="Z59" s="840"/>
      <c r="AA59" s="840"/>
      <c r="AB59" s="840"/>
      <c r="AC59" s="840"/>
      <c r="AD59" s="840"/>
      <c r="AE59" s="840"/>
      <c r="AF59" s="840"/>
      <c r="AG59" s="840"/>
      <c r="AH59" s="840"/>
      <c r="AI59" s="840"/>
    </row>
    <row r="60" spans="1:35" ht="7.5" customHeight="1" thickBot="1">
      <c r="C60" s="101"/>
      <c r="D60" s="80"/>
      <c r="E60" s="80"/>
      <c r="F60" s="80"/>
      <c r="G60" s="80"/>
      <c r="H60" s="80"/>
      <c r="I60" s="80"/>
      <c r="J60" s="80"/>
      <c r="K60" s="80"/>
      <c r="L60" s="80"/>
      <c r="M60" s="80"/>
    </row>
    <row r="61" spans="1:35" s="108" customFormat="1" ht="108.75" customHeight="1">
      <c r="A61" s="80"/>
      <c r="B61" s="80"/>
      <c r="C61" s="290" t="s">
        <v>45</v>
      </c>
      <c r="D61" s="939" t="s">
        <v>90</v>
      </c>
      <c r="E61" s="940"/>
      <c r="F61" s="940"/>
      <c r="G61" s="939" t="s">
        <v>91</v>
      </c>
      <c r="H61" s="940"/>
      <c r="I61" s="941"/>
      <c r="J61" s="942" t="s">
        <v>48</v>
      </c>
      <c r="K61" s="943"/>
      <c r="L61" s="944" t="s">
        <v>16</v>
      </c>
      <c r="M61" s="858"/>
      <c r="N61" s="81"/>
      <c r="R61" s="169"/>
      <c r="S61" s="176"/>
      <c r="T61" s="169"/>
      <c r="U61" s="176"/>
      <c r="W61" s="176"/>
      <c r="X61" s="169"/>
      <c r="Y61" s="169"/>
      <c r="Z61" s="176"/>
      <c r="AA61" s="176"/>
      <c r="AC61" s="170"/>
    </row>
    <row r="62" spans="1:35" s="108" customFormat="1" ht="56.25" hidden="1" customHeight="1">
      <c r="A62" s="80"/>
      <c r="B62" s="80"/>
      <c r="C62" s="291"/>
      <c r="D62" s="692" t="s">
        <v>49</v>
      </c>
      <c r="E62" s="692" t="s">
        <v>50</v>
      </c>
      <c r="F62" s="692" t="s">
        <v>51</v>
      </c>
      <c r="G62" s="95"/>
      <c r="H62" s="692"/>
      <c r="I62" s="692"/>
      <c r="J62" s="692"/>
      <c r="K62" s="292"/>
      <c r="L62" s="840"/>
      <c r="M62" s="860"/>
      <c r="N62" s="81"/>
      <c r="R62" s="169"/>
      <c r="S62" s="176"/>
      <c r="T62" s="169"/>
      <c r="U62" s="176"/>
      <c r="W62" s="176"/>
      <c r="X62" s="169"/>
      <c r="Y62" s="169"/>
      <c r="Z62" s="176"/>
      <c r="AA62" s="176"/>
      <c r="AC62" s="170"/>
    </row>
    <row r="63" spans="1:35" ht="36.75" customHeight="1">
      <c r="C63" s="285" t="s">
        <v>52</v>
      </c>
      <c r="D63" s="163" t="s">
        <v>53</v>
      </c>
      <c r="E63" s="163" t="s">
        <v>55</v>
      </c>
      <c r="F63" s="163" t="s">
        <v>55</v>
      </c>
      <c r="G63" s="163" t="s">
        <v>56</v>
      </c>
      <c r="H63" s="163" t="s">
        <v>57</v>
      </c>
      <c r="I63" s="163" t="s">
        <v>58</v>
      </c>
      <c r="J63" s="163" t="s">
        <v>53</v>
      </c>
      <c r="K63" s="293" t="s">
        <v>56</v>
      </c>
      <c r="L63" s="945"/>
      <c r="M63" s="862"/>
      <c r="R63" s="208"/>
      <c r="S63" s="131"/>
      <c r="T63" s="132"/>
      <c r="U63" s="132"/>
      <c r="W63" s="691"/>
      <c r="X63" s="698"/>
      <c r="Z63" s="698"/>
      <c r="AB63" s="698"/>
    </row>
    <row r="64" spans="1:35" ht="48.75" customHeight="1">
      <c r="C64" s="294"/>
      <c r="D64" s="115" t="str">
        <f>IF(D63=Datos!$A$13, "! This product is not available for Gavi countries !"," ")</f>
        <v xml:space="preserve"> </v>
      </c>
      <c r="E64" s="115" t="str">
        <f>IF(E63=Datos!$A$13, "! This product is not available for Gavi countries !"," ")</f>
        <v xml:space="preserve"> </v>
      </c>
      <c r="F64" s="115" t="str">
        <f>IF(F63=Datos!$A$13, "! This product is not available for Gavi countries !"," ")</f>
        <v xml:space="preserve"> </v>
      </c>
      <c r="G64" s="115" t="str">
        <f>IF(G63=Datos!$A$13, "! This product is not available for Gavi countries !"," ")</f>
        <v xml:space="preserve"> </v>
      </c>
      <c r="H64" s="115" t="str">
        <f>IF(H63=Datos!$A$13, "! This product is not available for Gavi countries !"," ")</f>
        <v xml:space="preserve"> </v>
      </c>
      <c r="I64" s="115" t="str">
        <f>IF(I63=Datos!$A$13, "! This product is not available for Gavi countries !"," ")</f>
        <v xml:space="preserve"> </v>
      </c>
      <c r="J64" s="115"/>
      <c r="K64" s="295"/>
      <c r="L64" s="80"/>
      <c r="M64" s="80"/>
      <c r="N64" s="155"/>
      <c r="R64" s="171"/>
      <c r="S64" s="125"/>
      <c r="T64" s="133"/>
      <c r="U64" s="131"/>
      <c r="X64" s="698"/>
      <c r="Z64" s="698"/>
      <c r="AB64" s="698"/>
    </row>
    <row r="65" spans="1:351" ht="20.25" customHeight="1">
      <c r="C65" s="296" t="s">
        <v>59</v>
      </c>
      <c r="D65" s="263">
        <v>3</v>
      </c>
      <c r="E65" s="92" t="s">
        <v>60</v>
      </c>
      <c r="F65" s="264" t="s">
        <v>60</v>
      </c>
      <c r="G65" s="262">
        <v>3</v>
      </c>
      <c r="H65" s="92" t="s">
        <v>60</v>
      </c>
      <c r="I65" s="264" t="s">
        <v>60</v>
      </c>
      <c r="J65" s="92">
        <v>3</v>
      </c>
      <c r="K65" s="297">
        <v>3</v>
      </c>
      <c r="L65" s="933" t="s">
        <v>92</v>
      </c>
      <c r="M65" s="934"/>
      <c r="N65" s="155"/>
      <c r="R65" s="209"/>
      <c r="S65" s="126"/>
      <c r="T65" s="125"/>
      <c r="U65" s="125"/>
      <c r="W65" s="700"/>
      <c r="X65" s="698"/>
      <c r="Z65" s="698"/>
      <c r="AB65" s="698"/>
    </row>
    <row r="66" spans="1:351" ht="20.25" customHeight="1">
      <c r="C66" s="298" t="s">
        <v>62</v>
      </c>
      <c r="D66" s="266">
        <f>IFERROR(INDEX(Datos!$A$2:$E$9,MATCH(D63,Datos!$A$2:$A$9,0),2),"-")</f>
        <v>3.5</v>
      </c>
      <c r="E66" s="270" t="str">
        <f>IFERROR(INDEX(Datos!$A$2:$E$9,MATCH(E63,Datos!$A$2:$A$9,0),2),"-")</f>
        <v>-</v>
      </c>
      <c r="F66" s="267" t="str">
        <f>IFERROR(INDEX(Datos!$A$2:$E$9,MATCH(F63,Datos!$A$2:$A$9,0),2),"-")</f>
        <v>-</v>
      </c>
      <c r="G66" s="265">
        <f>IFERROR(INDEX(Datos!$A$2:$E$9,MATCH(G63,Datos!$A$2:$A$9,0),2),"-")</f>
        <v>20</v>
      </c>
      <c r="H66" s="270" t="str">
        <f>IFERROR(INDEX(Datos!$A$2:$E$9,MATCH(H63,Datos!$A$2:$A$9,0),2),"-")</f>
        <v>-</v>
      </c>
      <c r="I66" s="267" t="str">
        <f>IFERROR(INDEX(Datos!$A$2:$E$9,MATCH(I63,Datos!$A$2:$A$9,0),2),"-")</f>
        <v>-</v>
      </c>
      <c r="J66" s="270">
        <f>IFERROR(INDEX(Datos!$A$2:$E$9,MATCH(J63,Datos!$A$2:$A$9,0),2),"-")</f>
        <v>3.5</v>
      </c>
      <c r="K66" s="299">
        <f>IFERROR(INDEX(Datos!$A$2:$E$9,MATCH(K63,Datos!$A$2:$A$9,0),2),"-")</f>
        <v>20</v>
      </c>
      <c r="L66" s="933" t="s">
        <v>93</v>
      </c>
      <c r="M66" s="934"/>
      <c r="N66" s="155"/>
      <c r="R66" s="209"/>
      <c r="S66" s="126"/>
      <c r="T66" s="125"/>
      <c r="U66" s="125"/>
      <c r="W66" s="700"/>
      <c r="X66" s="698"/>
      <c r="Z66" s="698"/>
      <c r="AB66" s="698"/>
    </row>
    <row r="67" spans="1:351" ht="15.75" customHeight="1" outlineLevel="1">
      <c r="C67" s="300" t="s">
        <v>63</v>
      </c>
      <c r="D67" s="261"/>
      <c r="E67" s="261"/>
      <c r="F67" s="261"/>
      <c r="G67" s="261"/>
      <c r="H67" s="261"/>
      <c r="I67" s="261"/>
      <c r="J67" s="261"/>
      <c r="K67" s="301"/>
      <c r="L67" s="844"/>
      <c r="M67" s="845"/>
      <c r="R67" s="209"/>
      <c r="S67" s="127"/>
      <c r="T67" s="125"/>
      <c r="U67" s="126"/>
      <c r="W67" s="98"/>
      <c r="X67" s="98"/>
      <c r="Z67" s="98"/>
      <c r="AB67" s="98"/>
    </row>
    <row r="68" spans="1:351" ht="15.5" outlineLevel="1">
      <c r="C68" s="302">
        <f>$D$26</f>
        <v>2026</v>
      </c>
      <c r="D68" s="187">
        <f t="shared" ref="D68:K72" si="1">IFERROR(IF($D$45="No",D$65,IF($D$47="Other transition phase",$D49*D$65,IF(AND(D$73 =3,$D$47 = "Initial self-financing phase"),0.13,0.2))),"-")</f>
        <v>0.60000000000000009</v>
      </c>
      <c r="E68" s="187" t="str">
        <f t="shared" si="1"/>
        <v>-</v>
      </c>
      <c r="F68" s="187" t="str">
        <f t="shared" si="1"/>
        <v>-</v>
      </c>
      <c r="G68" s="187">
        <f t="shared" si="1"/>
        <v>0.60000000000000009</v>
      </c>
      <c r="H68" s="187" t="str">
        <f t="shared" si="1"/>
        <v>-</v>
      </c>
      <c r="I68" s="187" t="str">
        <f t="shared" si="1"/>
        <v>-</v>
      </c>
      <c r="J68" s="187">
        <f t="shared" si="1"/>
        <v>0.60000000000000009</v>
      </c>
      <c r="K68" s="303">
        <f t="shared" si="1"/>
        <v>0.60000000000000009</v>
      </c>
      <c r="L68" s="930"/>
      <c r="M68" s="833"/>
      <c r="R68" s="210"/>
      <c r="S68" s="127"/>
      <c r="T68" s="127"/>
      <c r="U68" s="127"/>
      <c r="W68" s="700"/>
      <c r="X68" s="99"/>
      <c r="Z68" s="99"/>
      <c r="AB68" s="99"/>
    </row>
    <row r="69" spans="1:351" ht="15.5" outlineLevel="1">
      <c r="C69" s="304">
        <f>$D$26+1</f>
        <v>2027</v>
      </c>
      <c r="D69" s="117">
        <f t="shared" si="1"/>
        <v>0.75</v>
      </c>
      <c r="E69" s="117" t="str">
        <f t="shared" si="1"/>
        <v>-</v>
      </c>
      <c r="F69" s="117" t="str">
        <f t="shared" si="1"/>
        <v>-</v>
      </c>
      <c r="G69" s="117">
        <f t="shared" si="1"/>
        <v>0.75</v>
      </c>
      <c r="H69" s="117" t="str">
        <f t="shared" si="1"/>
        <v>-</v>
      </c>
      <c r="I69" s="117" t="str">
        <f t="shared" si="1"/>
        <v>-</v>
      </c>
      <c r="J69" s="117">
        <f t="shared" si="1"/>
        <v>0.75</v>
      </c>
      <c r="K69" s="305">
        <f t="shared" si="1"/>
        <v>0.75</v>
      </c>
      <c r="L69" s="935"/>
      <c r="M69" s="847"/>
      <c r="R69" s="210"/>
      <c r="S69" s="127"/>
      <c r="T69" s="127"/>
      <c r="U69" s="127"/>
      <c r="W69" s="700"/>
      <c r="X69" s="99"/>
      <c r="Z69" s="99"/>
      <c r="AB69" s="99"/>
    </row>
    <row r="70" spans="1:351" ht="15.5" outlineLevel="1">
      <c r="C70" s="304">
        <f>$D$26+2</f>
        <v>2028</v>
      </c>
      <c r="D70" s="117">
        <f t="shared" si="1"/>
        <v>0.89999999999999991</v>
      </c>
      <c r="E70" s="117" t="str">
        <f t="shared" si="1"/>
        <v>-</v>
      </c>
      <c r="F70" s="117" t="str">
        <f t="shared" si="1"/>
        <v>-</v>
      </c>
      <c r="G70" s="117">
        <f t="shared" si="1"/>
        <v>0.89999999999999991</v>
      </c>
      <c r="H70" s="117" t="str">
        <f t="shared" si="1"/>
        <v>-</v>
      </c>
      <c r="I70" s="117" t="str">
        <f t="shared" si="1"/>
        <v>-</v>
      </c>
      <c r="J70" s="117">
        <f t="shared" si="1"/>
        <v>0.89999999999999991</v>
      </c>
      <c r="K70" s="305">
        <f t="shared" si="1"/>
        <v>0.89999999999999991</v>
      </c>
      <c r="L70" s="935"/>
      <c r="M70" s="847"/>
      <c r="R70" s="210"/>
      <c r="S70" s="127"/>
      <c r="T70" s="127"/>
      <c r="U70" s="127"/>
      <c r="W70" s="700"/>
      <c r="X70" s="99"/>
      <c r="Z70" s="99"/>
      <c r="AB70" s="99"/>
    </row>
    <row r="71" spans="1:351" ht="15.5" outlineLevel="1">
      <c r="C71" s="304">
        <f>$D$26+3</f>
        <v>2029</v>
      </c>
      <c r="D71" s="117">
        <f t="shared" si="1"/>
        <v>1.0499999999999998</v>
      </c>
      <c r="E71" s="117" t="str">
        <f t="shared" si="1"/>
        <v>-</v>
      </c>
      <c r="F71" s="117" t="str">
        <f t="shared" si="1"/>
        <v>-</v>
      </c>
      <c r="G71" s="117">
        <f t="shared" si="1"/>
        <v>1.0499999999999998</v>
      </c>
      <c r="H71" s="117" t="str">
        <f t="shared" si="1"/>
        <v>-</v>
      </c>
      <c r="I71" s="117" t="str">
        <f t="shared" si="1"/>
        <v>-</v>
      </c>
      <c r="J71" s="117">
        <f t="shared" si="1"/>
        <v>1.0499999999999998</v>
      </c>
      <c r="K71" s="305">
        <f t="shared" si="1"/>
        <v>1.0499999999999998</v>
      </c>
      <c r="L71" s="935"/>
      <c r="M71" s="847"/>
      <c r="R71" s="210"/>
      <c r="S71" s="127"/>
      <c r="T71" s="127"/>
      <c r="U71" s="127"/>
      <c r="W71" s="700"/>
      <c r="X71" s="99"/>
      <c r="Z71" s="99"/>
      <c r="AB71" s="99"/>
    </row>
    <row r="72" spans="1:351" ht="15.5" outlineLevel="1">
      <c r="C72" s="304">
        <f>$D$26+4</f>
        <v>2030</v>
      </c>
      <c r="D72" s="117">
        <f t="shared" si="1"/>
        <v>1.35</v>
      </c>
      <c r="E72" s="117" t="str">
        <f t="shared" si="1"/>
        <v>-</v>
      </c>
      <c r="F72" s="117" t="str">
        <f t="shared" si="1"/>
        <v>-</v>
      </c>
      <c r="G72" s="117">
        <f t="shared" si="1"/>
        <v>1.35</v>
      </c>
      <c r="H72" s="117" t="str">
        <f t="shared" si="1"/>
        <v>-</v>
      </c>
      <c r="I72" s="117" t="str">
        <f t="shared" si="1"/>
        <v>-</v>
      </c>
      <c r="J72" s="117">
        <f t="shared" si="1"/>
        <v>1.35</v>
      </c>
      <c r="K72" s="305">
        <f t="shared" si="1"/>
        <v>1.35</v>
      </c>
      <c r="L72" s="935"/>
      <c r="M72" s="847"/>
      <c r="R72" s="210"/>
      <c r="S72" s="128"/>
      <c r="T72" s="127"/>
      <c r="U72" s="127"/>
      <c r="W72" s="700"/>
      <c r="X72" s="99"/>
      <c r="Z72" s="99"/>
      <c r="AB72" s="99"/>
    </row>
    <row r="73" spans="1:351" ht="15.5">
      <c r="C73" s="271" t="s">
        <v>65</v>
      </c>
      <c r="D73" s="177">
        <v>1</v>
      </c>
      <c r="E73" s="177">
        <v>1</v>
      </c>
      <c r="F73" s="177">
        <v>1</v>
      </c>
      <c r="G73" s="177">
        <v>1</v>
      </c>
      <c r="H73" s="177">
        <v>1</v>
      </c>
      <c r="I73" s="177">
        <v>1</v>
      </c>
      <c r="J73" s="177">
        <v>1</v>
      </c>
      <c r="K73" s="306">
        <v>1</v>
      </c>
      <c r="L73" s="699"/>
      <c r="M73" s="190"/>
      <c r="R73" s="211"/>
      <c r="S73" s="129"/>
      <c r="T73" s="128"/>
      <c r="U73" s="128"/>
      <c r="W73" s="700"/>
      <c r="X73" s="698"/>
      <c r="Z73" s="698"/>
      <c r="AB73" s="698"/>
    </row>
    <row r="74" spans="1:351" ht="34.5" customHeight="1">
      <c r="C74" s="271" t="s">
        <v>66</v>
      </c>
      <c r="D74" s="118">
        <f>IFERROR(INDEX(Datos!$A$2:$E$9,MATCH(D63,Datos!$A$2:$A$9,0),5),"-")</f>
        <v>6.06</v>
      </c>
      <c r="E74" s="93" t="str">
        <f>IFERROR(INDEX(Datos!$A$2:$E$9,MATCH(E63,Datos!$A$2:$A$9,0),5),"-")</f>
        <v>-</v>
      </c>
      <c r="F74" s="93" t="str">
        <f>IFERROR(INDEX(Datos!$A$2:$E$9,MATCH(F63,Datos!$A$2:$A$9,0),5),"-")</f>
        <v>-</v>
      </c>
      <c r="G74" s="93">
        <f>IFERROR(INDEX(Datos!$A$2:$E$9,MATCH(G63,Datos!$A$2:$A$9,0),5),"-")</f>
        <v>17.12</v>
      </c>
      <c r="H74" s="93" t="str">
        <f>IFERROR(INDEX(Datos!$A$2:$E$9,MATCH(H63,Datos!$A$2:$A$9,0),5),"-")</f>
        <v>-</v>
      </c>
      <c r="I74" s="93" t="str">
        <f>IFERROR(INDEX(Datos!$A$2:$E$9,MATCH(I63,Datos!$A$2:$A$9,0),5),"-")</f>
        <v>-</v>
      </c>
      <c r="J74" s="93">
        <f>IFERROR(INDEX(Datos!$A$2:$E$9,MATCH(J63,Datos!$A$2:$A$9,0),5),"-")</f>
        <v>6.06</v>
      </c>
      <c r="K74" s="307">
        <f>IFERROR(INDEX(Datos!$A$2:$E$9,MATCH(K63,Datos!$A$2:$A$9,0),5),"-")</f>
        <v>17.12</v>
      </c>
      <c r="L74" s="699"/>
      <c r="M74" s="190"/>
      <c r="R74" s="212"/>
      <c r="S74" s="113"/>
      <c r="T74" s="129"/>
      <c r="U74" s="129"/>
      <c r="W74" s="700"/>
      <c r="X74" s="698"/>
      <c r="Z74" s="698"/>
      <c r="AB74" s="698"/>
    </row>
    <row r="75" spans="1:351" ht="20.25" customHeight="1">
      <c r="C75" s="296" t="s">
        <v>67</v>
      </c>
      <c r="D75" s="119">
        <v>0.1</v>
      </c>
      <c r="E75" s="94">
        <v>0.1</v>
      </c>
      <c r="F75" s="94">
        <v>0.1</v>
      </c>
      <c r="G75" s="94">
        <v>0.1</v>
      </c>
      <c r="H75" s="94">
        <v>0.1</v>
      </c>
      <c r="I75" s="119">
        <v>0.1</v>
      </c>
      <c r="J75" s="119">
        <v>0.1</v>
      </c>
      <c r="K75" s="308">
        <v>0.1</v>
      </c>
      <c r="L75" s="843"/>
      <c r="M75" s="837"/>
      <c r="N75" s="155" t="s">
        <v>68</v>
      </c>
      <c r="R75" s="213"/>
      <c r="S75" s="134"/>
      <c r="T75" s="111"/>
      <c r="U75" s="113"/>
      <c r="W75" s="114"/>
      <c r="X75" s="842"/>
      <c r="Z75" s="842"/>
      <c r="AB75" s="842"/>
    </row>
    <row r="76" spans="1:351" s="107" customFormat="1" ht="17.25" customHeight="1">
      <c r="A76" s="80"/>
      <c r="B76" s="80"/>
      <c r="C76" s="298" t="s">
        <v>94</v>
      </c>
      <c r="D76" s="166">
        <f>IFERROR(INDEX(Datos!$A$2:$E$9,MATCH(D63,Datos!$A$2:$A$9,0),4),"-")</f>
        <v>0.1</v>
      </c>
      <c r="E76" s="167" t="str">
        <f>IFERROR(INDEX(Datos!$A$2:$E$9,MATCH(E63,Datos!$A$2:$A$9,0),4),"-")</f>
        <v>-</v>
      </c>
      <c r="F76" s="167" t="str">
        <f>IFERROR(INDEX(Datos!$A$2:$E$9,MATCH(F63,Datos!$A$2:$A$9,0),4),"-")</f>
        <v>-</v>
      </c>
      <c r="G76" s="167">
        <f>IFERROR(INDEX(Datos!$A$2:$E$9,MATCH(G63,Datos!$A$2:$A$9,0),4),"-")</f>
        <v>0.1</v>
      </c>
      <c r="H76" s="167" t="str">
        <f>IFERROR(INDEX(Datos!$A$2:$E$9,MATCH(H63,Datos!$A$2:$A$9,0),4),"-")</f>
        <v>-</v>
      </c>
      <c r="I76" s="166" t="str">
        <f>IFERROR(INDEX(Datos!$A$2:$E$9,MATCH(I63,Datos!$A$2:$A$9,0),4),"-")</f>
        <v>-</v>
      </c>
      <c r="J76" s="166">
        <f>IFERROR(INDEX(Datos!$A$2:$E$9,MATCH(J63,Datos!$A$2:$A$9,0),4),"-")</f>
        <v>0.1</v>
      </c>
      <c r="K76" s="309">
        <f>IFERROR(INDEX(Datos!$A$2:$E$9,MATCH(K63,Datos!$A$2:$A$9,0),4),"-")</f>
        <v>0.1</v>
      </c>
      <c r="L76" s="933" t="s">
        <v>95</v>
      </c>
      <c r="M76" s="934"/>
      <c r="N76" s="81"/>
      <c r="O76" s="108"/>
      <c r="P76" s="108"/>
      <c r="Q76" s="200"/>
      <c r="R76" s="214"/>
      <c r="S76" s="130"/>
      <c r="T76" s="134"/>
      <c r="U76" s="134"/>
      <c r="V76" s="81"/>
      <c r="W76" s="135"/>
      <c r="X76" s="842"/>
      <c r="Y76" s="81"/>
      <c r="Z76" s="842"/>
      <c r="AA76" s="81"/>
      <c r="AB76" s="842"/>
      <c r="AC76" s="81"/>
      <c r="AD76" s="81"/>
      <c r="AE76" s="81"/>
      <c r="AF76" s="81"/>
      <c r="AG76" s="81"/>
      <c r="AH76" s="81"/>
      <c r="AI76" s="81"/>
      <c r="AK76" s="108"/>
      <c r="AL76" s="108"/>
      <c r="AM76" s="108"/>
      <c r="AN76" s="108"/>
      <c r="AO76" s="108"/>
      <c r="AP76" s="108"/>
      <c r="AQ76" s="108"/>
      <c r="AR76" s="108"/>
      <c r="AS76" s="108"/>
      <c r="AT76" s="108"/>
      <c r="AU76" s="108"/>
      <c r="AV76" s="108"/>
      <c r="AW76" s="108"/>
      <c r="AX76" s="108"/>
      <c r="AY76" s="108"/>
      <c r="AZ76" s="108"/>
      <c r="BA76" s="108"/>
      <c r="BB76" s="108"/>
      <c r="BC76" s="108"/>
      <c r="BD76" s="108"/>
      <c r="BE76" s="108"/>
      <c r="BF76" s="108"/>
      <c r="BG76" s="108"/>
      <c r="BH76" s="108"/>
      <c r="BI76" s="108"/>
      <c r="BJ76" s="108"/>
      <c r="BK76" s="108"/>
      <c r="BL76" s="108"/>
      <c r="BM76" s="108"/>
      <c r="BN76" s="108"/>
      <c r="BO76" s="108"/>
      <c r="BP76" s="108"/>
      <c r="BQ76" s="108"/>
      <c r="BR76" s="108"/>
      <c r="BS76" s="108"/>
      <c r="BT76" s="108"/>
      <c r="BU76" s="108"/>
      <c r="BV76" s="108"/>
      <c r="BW76" s="108"/>
      <c r="BX76" s="108"/>
      <c r="BY76" s="108"/>
      <c r="BZ76" s="108"/>
      <c r="CA76" s="108"/>
      <c r="CB76" s="108"/>
      <c r="CC76" s="108"/>
      <c r="CD76" s="108"/>
      <c r="CE76" s="108"/>
      <c r="CF76" s="108"/>
      <c r="CG76" s="108"/>
      <c r="CH76" s="108"/>
      <c r="CI76" s="108"/>
      <c r="CJ76" s="108"/>
      <c r="CK76" s="108"/>
      <c r="CL76" s="108"/>
      <c r="CM76" s="108"/>
      <c r="CN76" s="108"/>
      <c r="CO76" s="108"/>
      <c r="CP76" s="108"/>
      <c r="CQ76" s="108"/>
      <c r="CR76" s="108"/>
      <c r="CS76" s="108"/>
      <c r="CT76" s="108"/>
      <c r="CU76" s="108"/>
      <c r="CV76" s="108"/>
      <c r="CW76" s="108"/>
      <c r="CX76" s="108"/>
      <c r="CY76" s="108"/>
      <c r="CZ76" s="108"/>
      <c r="DA76" s="108"/>
      <c r="DB76" s="108"/>
      <c r="DC76" s="108"/>
      <c r="DD76" s="108"/>
      <c r="DE76" s="108"/>
      <c r="DF76" s="108"/>
      <c r="DG76" s="108"/>
      <c r="DH76" s="108"/>
      <c r="DI76" s="108"/>
      <c r="DJ76" s="108"/>
      <c r="DK76" s="108"/>
      <c r="DL76" s="108"/>
      <c r="DM76" s="108"/>
      <c r="DN76" s="108"/>
      <c r="DO76" s="108"/>
      <c r="DP76" s="108"/>
      <c r="DQ76" s="108"/>
      <c r="DR76" s="108"/>
      <c r="DS76" s="108"/>
      <c r="DT76" s="108"/>
      <c r="DU76" s="108"/>
      <c r="DV76" s="108"/>
      <c r="DW76" s="108"/>
      <c r="DX76" s="108"/>
      <c r="DY76" s="108"/>
      <c r="DZ76" s="108"/>
      <c r="EA76" s="108"/>
      <c r="EB76" s="108"/>
      <c r="EC76" s="108"/>
      <c r="ED76" s="108"/>
      <c r="EE76" s="108"/>
      <c r="EF76" s="108"/>
      <c r="EG76" s="108"/>
      <c r="EH76" s="108"/>
      <c r="EI76" s="108"/>
      <c r="EJ76" s="108"/>
      <c r="EK76" s="108"/>
      <c r="EL76" s="108"/>
      <c r="EM76" s="108"/>
      <c r="EN76" s="108"/>
      <c r="EO76" s="108"/>
      <c r="EP76" s="108"/>
      <c r="EQ76" s="108"/>
      <c r="ER76" s="108"/>
      <c r="ES76" s="108"/>
      <c r="ET76" s="108"/>
      <c r="EU76" s="108"/>
      <c r="EV76" s="108"/>
      <c r="EW76" s="108"/>
      <c r="EX76" s="108"/>
      <c r="EY76" s="108"/>
      <c r="EZ76" s="108"/>
      <c r="FA76" s="108"/>
      <c r="FB76" s="108"/>
      <c r="FC76" s="108"/>
      <c r="FD76" s="108"/>
      <c r="FE76" s="108"/>
      <c r="FF76" s="108"/>
      <c r="FG76" s="108"/>
      <c r="FH76" s="108"/>
      <c r="FI76" s="108"/>
      <c r="FJ76" s="108"/>
      <c r="FK76" s="108"/>
      <c r="FL76" s="108"/>
      <c r="FM76" s="108"/>
      <c r="FN76" s="108"/>
      <c r="FO76" s="108"/>
      <c r="FP76" s="108"/>
      <c r="FQ76" s="108"/>
      <c r="FR76" s="108"/>
      <c r="FS76" s="108"/>
      <c r="FT76" s="108"/>
      <c r="FU76" s="108"/>
      <c r="FV76" s="108"/>
      <c r="FW76" s="108"/>
      <c r="FX76" s="108"/>
      <c r="FY76" s="108"/>
      <c r="FZ76" s="108"/>
      <c r="GA76" s="108"/>
      <c r="GB76" s="108"/>
      <c r="GC76" s="108"/>
      <c r="GD76" s="108"/>
      <c r="GE76" s="108"/>
      <c r="GF76" s="108"/>
      <c r="GG76" s="108"/>
      <c r="GH76" s="108"/>
      <c r="GI76" s="108"/>
      <c r="GJ76" s="108"/>
      <c r="GK76" s="108"/>
      <c r="GL76" s="108"/>
      <c r="GM76" s="108"/>
      <c r="GN76" s="108"/>
      <c r="GO76" s="108"/>
      <c r="GP76" s="108"/>
      <c r="GQ76" s="108"/>
      <c r="GR76" s="108"/>
      <c r="GS76" s="108"/>
      <c r="GT76" s="108"/>
      <c r="GU76" s="108"/>
      <c r="GV76" s="108"/>
      <c r="GW76" s="108"/>
      <c r="GX76" s="108"/>
      <c r="GY76" s="108"/>
      <c r="GZ76" s="108"/>
      <c r="HA76" s="108"/>
      <c r="HB76" s="108"/>
      <c r="HC76" s="108"/>
      <c r="HD76" s="108"/>
      <c r="HE76" s="108"/>
      <c r="HF76" s="108"/>
      <c r="HG76" s="108"/>
      <c r="HH76" s="108"/>
      <c r="HI76" s="108"/>
      <c r="HJ76" s="108"/>
      <c r="HK76" s="108"/>
      <c r="HL76" s="108"/>
      <c r="HM76" s="108"/>
      <c r="HN76" s="108"/>
      <c r="HO76" s="108"/>
      <c r="HP76" s="108"/>
      <c r="HQ76" s="108"/>
      <c r="HR76" s="108"/>
      <c r="HS76" s="108"/>
      <c r="HT76" s="108"/>
      <c r="HU76" s="108"/>
      <c r="HV76" s="108"/>
      <c r="HW76" s="108"/>
      <c r="HX76" s="108"/>
      <c r="HY76" s="108"/>
      <c r="HZ76" s="108"/>
      <c r="IA76" s="108"/>
      <c r="IB76" s="108"/>
      <c r="IC76" s="108"/>
      <c r="ID76" s="108"/>
      <c r="IE76" s="108"/>
      <c r="IF76" s="108"/>
      <c r="IG76" s="108"/>
      <c r="IH76" s="108"/>
      <c r="II76" s="108"/>
      <c r="IJ76" s="108"/>
      <c r="IK76" s="108"/>
      <c r="IL76" s="108"/>
      <c r="IM76" s="108"/>
      <c r="IN76" s="108"/>
      <c r="IO76" s="108"/>
      <c r="IP76" s="108"/>
      <c r="IQ76" s="108"/>
      <c r="IR76" s="108"/>
      <c r="IS76" s="108"/>
      <c r="IT76" s="108"/>
      <c r="IU76" s="108"/>
      <c r="IV76" s="108"/>
      <c r="IW76" s="108"/>
      <c r="IX76" s="108"/>
      <c r="IY76" s="108"/>
      <c r="IZ76" s="108"/>
      <c r="JA76" s="108"/>
      <c r="JB76" s="108"/>
      <c r="JC76" s="108"/>
      <c r="JD76" s="108"/>
      <c r="JE76" s="108"/>
      <c r="JF76" s="108"/>
      <c r="JG76" s="108"/>
      <c r="JH76" s="108"/>
      <c r="JI76" s="108"/>
      <c r="JJ76" s="108"/>
      <c r="JK76" s="108"/>
      <c r="JL76" s="108"/>
      <c r="JM76" s="108"/>
      <c r="JN76" s="108"/>
      <c r="JO76" s="108"/>
      <c r="JP76" s="108"/>
      <c r="JQ76" s="108"/>
      <c r="JR76" s="108"/>
      <c r="JS76" s="108"/>
      <c r="JT76" s="108"/>
      <c r="JU76" s="108"/>
      <c r="JV76" s="108"/>
      <c r="JW76" s="108"/>
      <c r="JX76" s="108"/>
      <c r="JY76" s="108"/>
      <c r="JZ76" s="108"/>
      <c r="KA76" s="108"/>
      <c r="KB76" s="108"/>
      <c r="KC76" s="108"/>
      <c r="KD76" s="108"/>
      <c r="KE76" s="108"/>
      <c r="KF76" s="108"/>
      <c r="KG76" s="108"/>
      <c r="KH76" s="108"/>
      <c r="KI76" s="108"/>
      <c r="KJ76" s="108"/>
      <c r="KK76" s="108"/>
      <c r="KL76" s="108"/>
      <c r="KM76" s="108"/>
      <c r="KN76" s="108"/>
      <c r="KO76" s="108"/>
      <c r="KP76" s="108"/>
      <c r="KQ76" s="108"/>
      <c r="KR76" s="108"/>
      <c r="KS76" s="108"/>
      <c r="KT76" s="108"/>
      <c r="KU76" s="108"/>
      <c r="KV76" s="108"/>
      <c r="KW76" s="108"/>
      <c r="KX76" s="108"/>
      <c r="KY76" s="108"/>
      <c r="KZ76" s="108"/>
      <c r="LA76" s="108"/>
      <c r="LB76" s="108"/>
      <c r="LC76" s="108"/>
      <c r="LD76" s="108"/>
      <c r="LE76" s="108"/>
      <c r="LF76" s="108"/>
      <c r="LG76" s="108"/>
      <c r="LH76" s="108"/>
      <c r="LI76" s="108"/>
      <c r="LJ76" s="108"/>
      <c r="LK76" s="108"/>
      <c r="LL76" s="108"/>
      <c r="LM76" s="108"/>
      <c r="LN76" s="108"/>
      <c r="LO76" s="108"/>
      <c r="LP76" s="108"/>
      <c r="LQ76" s="108"/>
      <c r="LR76" s="108"/>
      <c r="LS76" s="108"/>
      <c r="LT76" s="108"/>
      <c r="LU76" s="108"/>
      <c r="LV76" s="108"/>
      <c r="LW76" s="108"/>
      <c r="LX76" s="108"/>
      <c r="LY76" s="108"/>
      <c r="LZ76" s="108"/>
      <c r="MA76" s="108"/>
      <c r="MB76" s="108"/>
      <c r="MC76" s="108"/>
      <c r="MD76" s="108"/>
      <c r="ME76" s="108"/>
      <c r="MF76" s="108"/>
      <c r="MG76" s="108"/>
      <c r="MH76" s="108"/>
      <c r="MI76" s="108"/>
      <c r="MJ76" s="108"/>
      <c r="MK76" s="108"/>
      <c r="ML76" s="108"/>
      <c r="MM76" s="108"/>
    </row>
    <row r="77" spans="1:351" ht="20.25" customHeight="1">
      <c r="C77" s="271" t="s">
        <v>70</v>
      </c>
      <c r="D77" s="120">
        <f t="shared" ref="D77:K77" si="2">(1/(1-D75))</f>
        <v>1.1111111111111112</v>
      </c>
      <c r="E77" s="120">
        <f t="shared" si="2"/>
        <v>1.1111111111111112</v>
      </c>
      <c r="F77" s="106">
        <f t="shared" si="2"/>
        <v>1.1111111111111112</v>
      </c>
      <c r="G77" s="106">
        <f t="shared" si="2"/>
        <v>1.1111111111111112</v>
      </c>
      <c r="H77" s="106">
        <f t="shared" si="2"/>
        <v>1.1111111111111112</v>
      </c>
      <c r="I77" s="120">
        <f t="shared" si="2"/>
        <v>1.1111111111111112</v>
      </c>
      <c r="J77" s="120">
        <f t="shared" si="2"/>
        <v>1.1111111111111112</v>
      </c>
      <c r="K77" s="310">
        <f t="shared" si="2"/>
        <v>1.1111111111111112</v>
      </c>
      <c r="L77" s="930" t="s">
        <v>71</v>
      </c>
      <c r="M77" s="833"/>
      <c r="Q77" s="200"/>
      <c r="R77" s="215"/>
      <c r="S77" s="112"/>
      <c r="T77" s="130"/>
      <c r="U77" s="130"/>
      <c r="W77" s="700"/>
      <c r="X77" s="698"/>
      <c r="Z77" s="698"/>
      <c r="AB77" s="698"/>
    </row>
    <row r="78" spans="1:351" ht="20.25" customHeight="1">
      <c r="C78" s="271" t="s">
        <v>72</v>
      </c>
      <c r="D78" s="119">
        <v>0.25</v>
      </c>
      <c r="E78" s="119">
        <v>0.25</v>
      </c>
      <c r="F78" s="119">
        <v>0.25</v>
      </c>
      <c r="G78" s="119">
        <v>0.25</v>
      </c>
      <c r="H78" s="119">
        <v>0.25</v>
      </c>
      <c r="I78" s="119">
        <v>0.25</v>
      </c>
      <c r="J78" s="119">
        <v>0.25</v>
      </c>
      <c r="K78" s="308">
        <v>0.25</v>
      </c>
      <c r="L78" s="843" t="s">
        <v>73</v>
      </c>
      <c r="M78" s="837"/>
      <c r="Q78" s="200"/>
      <c r="R78" s="215"/>
      <c r="S78" s="112"/>
      <c r="T78" s="130"/>
      <c r="U78" s="130"/>
      <c r="W78" s="700"/>
      <c r="X78" s="698"/>
      <c r="Z78" s="698"/>
      <c r="AB78" s="698"/>
    </row>
    <row r="79" spans="1:351" ht="20.25" customHeight="1">
      <c r="C79" s="271" t="s">
        <v>74</v>
      </c>
      <c r="D79" s="121">
        <v>0.03</v>
      </c>
      <c r="E79" s="121">
        <v>0.03</v>
      </c>
      <c r="F79" s="121">
        <v>0.03</v>
      </c>
      <c r="G79" s="88">
        <v>0.03</v>
      </c>
      <c r="H79" s="121">
        <v>0.03</v>
      </c>
      <c r="I79" s="121">
        <v>0.03</v>
      </c>
      <c r="J79" s="88">
        <v>0.03</v>
      </c>
      <c r="K79" s="311">
        <v>0.03</v>
      </c>
      <c r="L79" s="843" t="s">
        <v>75</v>
      </c>
      <c r="M79" s="837"/>
      <c r="Q79" s="200"/>
      <c r="R79" s="216"/>
      <c r="S79" s="111"/>
      <c r="T79" s="112"/>
      <c r="U79" s="112"/>
      <c r="W79" s="700"/>
      <c r="X79" s="698"/>
      <c r="Z79" s="698"/>
      <c r="AB79" s="698"/>
    </row>
    <row r="80" spans="1:351" ht="19.75" customHeight="1">
      <c r="C80" s="271" t="s">
        <v>76</v>
      </c>
      <c r="D80" s="122">
        <v>7.0000000000000007E-2</v>
      </c>
      <c r="E80" s="122">
        <v>7.0000000000000007E-2</v>
      </c>
      <c r="F80" s="122">
        <v>7.0000000000000007E-2</v>
      </c>
      <c r="G80" s="87">
        <v>7.0000000000000007E-2</v>
      </c>
      <c r="H80" s="122">
        <v>7.0000000000000007E-2</v>
      </c>
      <c r="I80" s="122">
        <v>7.0000000000000007E-2</v>
      </c>
      <c r="J80" s="87">
        <v>7.0000000000000007E-2</v>
      </c>
      <c r="K80" s="312">
        <v>7.0000000000000007E-2</v>
      </c>
      <c r="L80" s="843" t="s">
        <v>75</v>
      </c>
      <c r="M80" s="837"/>
      <c r="Q80" s="200"/>
      <c r="R80" s="213"/>
      <c r="S80" s="136"/>
      <c r="T80" s="111"/>
      <c r="U80" s="111"/>
      <c r="W80" s="700"/>
      <c r="X80" s="698"/>
      <c r="Z80" s="698"/>
      <c r="AB80" s="698"/>
    </row>
    <row r="81" spans="3:35" ht="20.25" customHeight="1">
      <c r="C81" s="271" t="s">
        <v>77</v>
      </c>
      <c r="D81" s="123">
        <v>0.8</v>
      </c>
      <c r="E81" s="123">
        <v>0.8</v>
      </c>
      <c r="F81" s="123">
        <v>0.8</v>
      </c>
      <c r="G81" s="89">
        <v>0.8</v>
      </c>
      <c r="H81" s="123">
        <v>0.8</v>
      </c>
      <c r="I81" s="123">
        <v>0.8</v>
      </c>
      <c r="J81" s="89">
        <v>0.8</v>
      </c>
      <c r="K81" s="313">
        <v>0.8</v>
      </c>
      <c r="L81" s="843" t="s">
        <v>78</v>
      </c>
      <c r="M81" s="837"/>
      <c r="Q81" s="200"/>
      <c r="R81" s="217"/>
      <c r="S81" s="137"/>
      <c r="T81" s="136"/>
      <c r="U81" s="136"/>
      <c r="W81" s="700"/>
      <c r="X81" s="698"/>
      <c r="Z81" s="698"/>
      <c r="AB81" s="698"/>
    </row>
    <row r="82" spans="3:35" ht="20.25" customHeight="1" thickBot="1">
      <c r="C82" s="273" t="s">
        <v>79</v>
      </c>
      <c r="D82" s="314">
        <v>100</v>
      </c>
      <c r="E82" s="314">
        <v>100</v>
      </c>
      <c r="F82" s="314">
        <v>100</v>
      </c>
      <c r="G82" s="315">
        <v>100</v>
      </c>
      <c r="H82" s="314">
        <v>100</v>
      </c>
      <c r="I82" s="314">
        <v>100</v>
      </c>
      <c r="J82" s="315">
        <v>100</v>
      </c>
      <c r="K82" s="316">
        <v>100</v>
      </c>
      <c r="L82" s="932" t="s">
        <v>80</v>
      </c>
      <c r="M82" s="839"/>
      <c r="Q82" s="200"/>
      <c r="R82" s="218"/>
      <c r="S82" s="104"/>
      <c r="T82" s="137"/>
      <c r="U82" s="137"/>
      <c r="W82" s="700"/>
      <c r="X82" s="698"/>
      <c r="Z82" s="698"/>
      <c r="AB82" s="698"/>
    </row>
    <row r="83" spans="3:35" ht="15" customHeight="1">
      <c r="C83" s="84"/>
      <c r="D83" s="80"/>
      <c r="E83" s="80"/>
      <c r="F83" s="80"/>
      <c r="G83" s="80"/>
      <c r="H83" s="84"/>
      <c r="I83" s="80"/>
      <c r="J83" s="80"/>
      <c r="K83" s="80"/>
      <c r="L83" s="193"/>
      <c r="M83" s="193"/>
      <c r="S83" s="691"/>
      <c r="W83" s="700"/>
      <c r="Y83" s="104"/>
      <c r="AC83" s="104"/>
      <c r="AG83" s="104"/>
    </row>
    <row r="84" spans="3:35" ht="25.5" customHeight="1">
      <c r="C84" s="179" t="s">
        <v>81</v>
      </c>
      <c r="D84" s="180"/>
      <c r="E84" s="180"/>
      <c r="F84" s="180"/>
      <c r="G84" s="180"/>
      <c r="H84" s="180"/>
      <c r="I84" s="180"/>
      <c r="J84" s="180"/>
      <c r="K84" s="180"/>
      <c r="L84" s="180"/>
      <c r="M84" s="188"/>
      <c r="R84" s="176"/>
      <c r="S84" s="691"/>
      <c r="T84" s="691"/>
      <c r="U84" s="691"/>
      <c r="W84" s="691"/>
      <c r="Y84" s="840"/>
      <c r="Z84" s="840"/>
      <c r="AA84" s="840"/>
      <c r="AB84" s="840"/>
      <c r="AC84" s="840"/>
      <c r="AD84" s="840"/>
      <c r="AE84" s="840"/>
      <c r="AF84" s="840"/>
      <c r="AG84" s="840"/>
      <c r="AH84" s="840"/>
      <c r="AI84" s="840"/>
    </row>
    <row r="85" spans="3:35" ht="5.5" customHeight="1" thickBot="1">
      <c r="C85" s="85"/>
      <c r="D85" s="85"/>
      <c r="E85" s="85"/>
      <c r="F85" s="85"/>
      <c r="G85" s="80"/>
      <c r="H85" s="85"/>
      <c r="I85" s="85"/>
      <c r="J85" s="85"/>
      <c r="K85" s="85"/>
      <c r="L85" s="193"/>
      <c r="M85" s="193"/>
      <c r="R85" s="176"/>
      <c r="S85" s="138"/>
      <c r="T85" s="691"/>
      <c r="U85" s="691"/>
      <c r="W85" s="700"/>
      <c r="Y85" s="691"/>
      <c r="Z85" s="691"/>
      <c r="AA85" s="691"/>
      <c r="AC85" s="691"/>
      <c r="AD85" s="691"/>
      <c r="AE85" s="691"/>
      <c r="AG85" s="691"/>
      <c r="AH85" s="691"/>
      <c r="AI85" s="691"/>
    </row>
    <row r="86" spans="3:35" ht="59.5" customHeight="1">
      <c r="C86" s="317" t="s">
        <v>82</v>
      </c>
      <c r="D86" s="318">
        <v>0</v>
      </c>
      <c r="E86" s="319">
        <v>0</v>
      </c>
      <c r="F86" s="318">
        <v>0</v>
      </c>
      <c r="G86" s="319">
        <v>0</v>
      </c>
      <c r="H86" s="319">
        <v>0</v>
      </c>
      <c r="I86" s="318">
        <v>0</v>
      </c>
      <c r="J86" s="318">
        <v>0</v>
      </c>
      <c r="K86" s="320">
        <v>0</v>
      </c>
      <c r="L86" s="843" t="s">
        <v>83</v>
      </c>
      <c r="M86" s="837"/>
      <c r="R86" s="109"/>
      <c r="S86" s="139"/>
      <c r="T86" s="138"/>
      <c r="U86" s="138"/>
      <c r="W86" s="700"/>
      <c r="X86" s="700"/>
      <c r="Y86" s="841"/>
      <c r="Z86" s="841"/>
      <c r="AA86" s="841"/>
      <c r="AB86" s="841"/>
      <c r="AC86" s="841"/>
      <c r="AD86" s="841"/>
      <c r="AE86" s="841"/>
      <c r="AF86" s="841"/>
      <c r="AG86" s="841"/>
      <c r="AH86" s="841"/>
      <c r="AI86" s="841"/>
    </row>
    <row r="87" spans="3:35" ht="49.5" customHeight="1">
      <c r="C87" s="296" t="s">
        <v>84</v>
      </c>
      <c r="D87" s="92">
        <v>1.32</v>
      </c>
      <c r="E87" s="92">
        <v>1.32</v>
      </c>
      <c r="F87" s="92">
        <v>1.32</v>
      </c>
      <c r="G87" s="92">
        <v>1.23</v>
      </c>
      <c r="H87" s="92">
        <v>1.23</v>
      </c>
      <c r="I87" s="92">
        <v>1.23</v>
      </c>
      <c r="J87" s="92">
        <v>1.32</v>
      </c>
      <c r="K87" s="321">
        <v>1.23</v>
      </c>
      <c r="L87" s="930" t="s">
        <v>85</v>
      </c>
      <c r="M87" s="833"/>
      <c r="N87" s="220"/>
      <c r="R87" s="110"/>
      <c r="S87" s="140"/>
      <c r="T87" s="139"/>
      <c r="U87" s="139"/>
      <c r="W87" s="700"/>
      <c r="X87" s="700"/>
      <c r="Y87" s="105"/>
      <c r="Z87" s="105"/>
      <c r="AA87" s="105"/>
      <c r="AB87" s="105"/>
      <c r="AC87" s="105"/>
      <c r="AD87" s="105"/>
      <c r="AE87" s="105"/>
      <c r="AF87" s="105"/>
      <c r="AG87" s="105"/>
      <c r="AH87" s="105"/>
      <c r="AI87" s="105"/>
    </row>
    <row r="88" spans="3:35" ht="20.25" customHeight="1" thickBot="1">
      <c r="C88" s="322"/>
      <c r="D88" s="323"/>
      <c r="E88" s="324"/>
      <c r="F88" s="323"/>
      <c r="G88" s="324"/>
      <c r="H88" s="324"/>
      <c r="I88" s="324"/>
      <c r="J88" s="324"/>
      <c r="K88" s="325"/>
      <c r="L88" s="931" t="s">
        <v>86</v>
      </c>
      <c r="M88" s="835"/>
      <c r="R88" s="110"/>
      <c r="T88" s="139"/>
      <c r="U88" s="140"/>
      <c r="W88" s="100"/>
      <c r="X88" s="100"/>
      <c r="AA88" s="700"/>
    </row>
    <row r="90" spans="3:35" ht="20.25" customHeight="1" outlineLevel="1"/>
    <row r="91" spans="3:35" ht="20.25" customHeight="1" outlineLevel="1"/>
    <row r="92" spans="3:35" ht="20.25" customHeight="1" outlineLevel="1"/>
    <row r="93" spans="3:35" ht="20.25" customHeight="1" outlineLevel="1"/>
    <row r="94" spans="3:35" ht="20.25" customHeight="1" outlineLevel="1"/>
    <row r="95" spans="3:35" ht="20.25" customHeight="1" outlineLevel="1"/>
    <row r="96" spans="3:35" ht="20.25" customHeight="1" outlineLevel="1"/>
    <row r="97" ht="20.25" customHeight="1" outlineLevel="1"/>
    <row r="98" ht="20.25" customHeight="1" outlineLevel="1"/>
    <row r="99" ht="20.25" customHeight="1" outlineLevel="1"/>
    <row r="100" ht="29.25" customHeight="1"/>
    <row r="101" ht="20.25" customHeight="1" outlineLevel="1"/>
    <row r="102" ht="20.25" customHeight="1" outlineLevel="1"/>
    <row r="103" ht="20.25" customHeight="1" outlineLevel="1"/>
    <row r="104" ht="20.25" customHeight="1" outlineLevel="1"/>
    <row r="105" ht="20.25" customHeight="1" outlineLevel="1"/>
    <row r="106" ht="20.25" customHeight="1" outlineLevel="1"/>
    <row r="107" ht="20.25" customHeight="1" outlineLevel="1"/>
    <row r="108" ht="20.25" customHeight="1" outlineLevel="1"/>
    <row r="109" ht="20.25" customHeight="1" outlineLevel="1"/>
    <row r="110" ht="20.25" customHeight="1" outlineLevel="1"/>
    <row r="111" ht="18" customHeight="1"/>
    <row r="112" ht="25.5" customHeight="1"/>
    <row r="113" ht="18" customHeight="1"/>
    <row r="115" ht="20.25" customHeight="1" outlineLevel="1"/>
    <row r="116" ht="20.25" customHeight="1" outlineLevel="1"/>
    <row r="117" ht="20.25" customHeight="1" outlineLevel="1"/>
    <row r="118" ht="20.25" customHeight="1" outlineLevel="1"/>
    <row r="119" ht="20.25" customHeight="1" outlineLevel="1"/>
    <row r="120" ht="20.25" customHeight="1" outlineLevel="1"/>
    <row r="121" ht="20.25" customHeight="1" outlineLevel="1"/>
    <row r="122" ht="20.25" customHeight="1" outlineLevel="1"/>
    <row r="123" ht="20.25" customHeight="1" outlineLevel="1"/>
    <row r="124" ht="20.25" customHeight="1" outlineLevel="1"/>
    <row r="126" ht="20.25" customHeight="1" outlineLevel="1"/>
    <row r="127" ht="20.25" customHeight="1" outlineLevel="1"/>
    <row r="128" ht="20.25" customHeight="1" outlineLevel="1"/>
    <row r="129" ht="20.25" customHeight="1" outlineLevel="1"/>
    <row r="130" ht="20.25" customHeight="1" outlineLevel="1"/>
    <row r="131" ht="20.25" customHeight="1" outlineLevel="1"/>
    <row r="132" ht="20.25" customHeight="1" outlineLevel="1"/>
    <row r="133" ht="20.25" customHeight="1" outlineLevel="1"/>
    <row r="134" ht="20.25" customHeight="1" outlineLevel="1"/>
    <row r="135" ht="20.25" customHeight="1" outlineLevel="1"/>
    <row r="137" ht="25.5" customHeight="1"/>
    <row r="139" ht="36" customHeight="1"/>
    <row r="140" ht="20.25" customHeight="1" outlineLevel="1"/>
    <row r="141" ht="20.25" customHeight="1" outlineLevel="1"/>
    <row r="142" ht="20.25" customHeight="1" outlineLevel="1"/>
    <row r="143" ht="20.25" customHeight="1" outlineLevel="1"/>
    <row r="144" ht="20.25" customHeight="1" outlineLevel="1"/>
    <row r="145" ht="20.25" customHeight="1" outlineLevel="1"/>
    <row r="146" ht="20.25" customHeight="1" outlineLevel="1"/>
    <row r="147" ht="20.25" customHeight="1" outlineLevel="1"/>
    <row r="148" ht="20.25" customHeight="1" outlineLevel="1"/>
    <row r="149" ht="20.25" customHeight="1" outlineLevel="1"/>
    <row r="151" ht="20.25" customHeight="1" outlineLevel="1"/>
    <row r="152" ht="20.25" customHeight="1" outlineLevel="1"/>
    <row r="153" ht="20.25" customHeight="1" outlineLevel="1"/>
    <row r="154" ht="20.25" customHeight="1" outlineLevel="1"/>
    <row r="155" ht="20.25" customHeight="1" outlineLevel="1"/>
    <row r="156" ht="20.25" customHeight="1" outlineLevel="1"/>
    <row r="157" ht="20.25" customHeight="1" outlineLevel="1"/>
    <row r="158" ht="20.25" customHeight="1" outlineLevel="1"/>
    <row r="159" ht="20.25" customHeight="1" outlineLevel="1"/>
    <row r="160" ht="20.25" customHeight="1" outlineLevel="1"/>
  </sheetData>
  <sheetProtection formatCells="0" formatColumns="0" formatRows="0" insertColumns="0" insertRows="0" insertHyperlinks="0" deleteColumns="0" deleteRows="0" sort="0" autoFilter="0" pivotTables="0"/>
  <mergeCells count="66">
    <mergeCell ref="J3:K4"/>
    <mergeCell ref="C6:M9"/>
    <mergeCell ref="C11:D11"/>
    <mergeCell ref="C22:M22"/>
    <mergeCell ref="D24:F24"/>
    <mergeCell ref="G24:I24"/>
    <mergeCell ref="J24:K24"/>
    <mergeCell ref="L24:M24"/>
    <mergeCell ref="D26:K26"/>
    <mergeCell ref="L26:M26"/>
    <mergeCell ref="C29:C30"/>
    <mergeCell ref="D29:F29"/>
    <mergeCell ref="G29:I29"/>
    <mergeCell ref="L29:M30"/>
    <mergeCell ref="D30:F30"/>
    <mergeCell ref="G30:I30"/>
    <mergeCell ref="L31:M31"/>
    <mergeCell ref="L32:M32"/>
    <mergeCell ref="D33:F33"/>
    <mergeCell ref="G33:I33"/>
    <mergeCell ref="D34:F34"/>
    <mergeCell ref="G34:I34"/>
    <mergeCell ref="L34:M34"/>
    <mergeCell ref="E49:M53"/>
    <mergeCell ref="L36:M36"/>
    <mergeCell ref="D37:F37"/>
    <mergeCell ref="G37:I37"/>
    <mergeCell ref="L37:M41"/>
    <mergeCell ref="D38:F38"/>
    <mergeCell ref="G38:I38"/>
    <mergeCell ref="D39:F39"/>
    <mergeCell ref="G39:I39"/>
    <mergeCell ref="D40:F40"/>
    <mergeCell ref="G40:I40"/>
    <mergeCell ref="D41:F41"/>
    <mergeCell ref="G41:I41"/>
    <mergeCell ref="C43:M43"/>
    <mergeCell ref="E45:M45"/>
    <mergeCell ref="E47:M47"/>
    <mergeCell ref="C54:K54"/>
    <mergeCell ref="Y56:AI56"/>
    <mergeCell ref="Y59:AI59"/>
    <mergeCell ref="D61:F61"/>
    <mergeCell ref="G61:I61"/>
    <mergeCell ref="J61:K61"/>
    <mergeCell ref="L61:M63"/>
    <mergeCell ref="L65:M65"/>
    <mergeCell ref="L66:M66"/>
    <mergeCell ref="L67:M67"/>
    <mergeCell ref="L68:M72"/>
    <mergeCell ref="L75:M75"/>
    <mergeCell ref="Y84:AI84"/>
    <mergeCell ref="L86:M86"/>
    <mergeCell ref="Y86:AI86"/>
    <mergeCell ref="Z75:Z76"/>
    <mergeCell ref="AB75:AB76"/>
    <mergeCell ref="L76:M76"/>
    <mergeCell ref="L77:M77"/>
    <mergeCell ref="L78:M78"/>
    <mergeCell ref="L79:M79"/>
    <mergeCell ref="X75:X76"/>
    <mergeCell ref="L87:M87"/>
    <mergeCell ref="L88:M88"/>
    <mergeCell ref="L80:M80"/>
    <mergeCell ref="L81:M81"/>
    <mergeCell ref="L82:M82"/>
  </mergeCells>
  <dataValidations count="2">
    <dataValidation type="list" allowBlank="1" showInputMessage="1" showErrorMessage="1" sqref="D47" xr:uid="{1F9CF9B7-B4E5-47BD-A911-EA09DACAA49F}">
      <formula1>"Initial self-financing phase, Other transition phase"</formula1>
    </dataValidation>
    <dataValidation type="list" allowBlank="1" showInputMessage="1" showErrorMessage="1" sqref="D20 D16 D18 D45" xr:uid="{2F0F3A93-23C3-4AF2-BAFF-3D1277EF63E0}">
      <formula1>"Yes, No"</formula1>
    </dataValidation>
  </dataValidations>
  <hyperlinks>
    <hyperlink ref="G57" r:id="rId1" xr:uid="{5AF55B36-F81D-4859-9C6B-8299E99F09D2}"/>
    <hyperlink ref="L88" r:id="rId2" xr:uid="{22D34483-24F6-448F-B05F-D2EACEA896A0}"/>
  </hyperlinks>
  <printOptions horizontalCentered="1" verticalCentered="1"/>
  <pageMargins left="0.25" right="0.25" top="0.75" bottom="0.75" header="0.3" footer="0.3"/>
  <pageSetup scale="38" orientation="portrait" r:id="rId3"/>
  <headerFooter>
    <oddHeader>&amp;L&amp;"Calibri"&amp;10&amp;K000000Classified as Internal&amp;1#</oddHeader>
  </headerFooter>
  <rowBreaks count="1" manualBreakCount="1">
    <brk id="138" max="16383" man="1"/>
  </rowBreaks>
  <extLst>
    <ext xmlns:x14="http://schemas.microsoft.com/office/spreadsheetml/2009/9/main" uri="{CCE6A557-97BC-4b89-ADB6-D9C93CAAB3DF}">
      <x14:dataValidations xmlns:xm="http://schemas.microsoft.com/office/excel/2006/main" count="2">
        <x14:dataValidation type="list" allowBlank="1" showDropDown="1" showInputMessage="1" showErrorMessage="1" xr:uid="{A7AF6A16-694A-41DC-85DF-018C130094D6}">
          <x14:formula1>
            <xm:f>Datos!$A$2:$A$9</xm:f>
          </x14:formula1>
          <xm:sqref>X63</xm:sqref>
        </x14:dataValidation>
        <x14:dataValidation type="list" allowBlank="1" showInputMessage="1" showErrorMessage="1" xr:uid="{1F8AFAC1-1489-42C1-A05E-EDAC80407D02}">
          <x14:formula1>
            <xm:f>Datos!$A$2:$A$9</xm:f>
          </x14:formula1>
          <xm:sqref>T63 D63:K63 R63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6E4A0-84B2-4400-9DAE-E3C6888D5295}">
  <sheetPr codeName="Sheet10">
    <tabColor theme="3"/>
  </sheetPr>
  <dimension ref="A1:K67"/>
  <sheetViews>
    <sheetView tabSelected="1" zoomScaleNormal="100" workbookViewId="0"/>
  </sheetViews>
  <sheetFormatPr defaultColWidth="8.81640625" defaultRowHeight="15.5"/>
  <cols>
    <col min="1" max="1" width="4.1796875" style="326" customWidth="1"/>
    <col min="2" max="3" width="3.453125" style="326" customWidth="1"/>
    <col min="4" max="4" width="9" style="326" customWidth="1"/>
    <col min="5" max="5" width="14.453125" style="326" customWidth="1"/>
    <col min="6" max="6" width="5.81640625" style="326" customWidth="1"/>
    <col min="7" max="7" width="67.453125" style="326" customWidth="1"/>
    <col min="8" max="8" width="28.1796875" style="326" customWidth="1"/>
    <col min="9" max="10" width="3.453125" style="326" customWidth="1"/>
    <col min="11" max="11" width="4.1796875" style="326" customWidth="1"/>
    <col min="12" max="16384" width="8.81640625" style="326"/>
  </cols>
  <sheetData>
    <row r="1" spans="1:11" ht="9" customHeight="1">
      <c r="A1" s="334"/>
      <c r="B1" s="349"/>
      <c r="C1" s="349"/>
      <c r="D1" s="349"/>
      <c r="E1" s="349"/>
      <c r="F1" s="349"/>
      <c r="G1" s="349"/>
      <c r="H1" s="349"/>
      <c r="I1" s="349"/>
      <c r="J1" s="349"/>
      <c r="K1" s="334"/>
    </row>
    <row r="2" spans="1:11" ht="122.25" customHeight="1">
      <c r="A2" s="334"/>
      <c r="D2" s="343"/>
      <c r="E2" s="802" t="s">
        <v>96</v>
      </c>
      <c r="F2" s="803"/>
      <c r="G2" s="803"/>
      <c r="K2" s="334"/>
    </row>
    <row r="3" spans="1:11" ht="54" customHeight="1">
      <c r="A3" s="334"/>
      <c r="D3" s="344"/>
      <c r="E3" s="804" t="s">
        <v>97</v>
      </c>
      <c r="F3" s="804"/>
      <c r="G3" s="804"/>
      <c r="H3" s="807" t="s">
        <v>507</v>
      </c>
      <c r="I3" s="807"/>
      <c r="J3" s="807"/>
      <c r="K3" s="334"/>
    </row>
    <row r="4" spans="1:11" ht="34" customHeight="1">
      <c r="A4" s="334"/>
      <c r="B4" s="334"/>
      <c r="C4" s="334"/>
      <c r="D4" s="806" t="s">
        <v>98</v>
      </c>
      <c r="E4" s="806"/>
      <c r="F4" s="806"/>
      <c r="G4" s="806"/>
      <c r="H4" s="806"/>
      <c r="I4" s="806"/>
      <c r="J4" s="334"/>
      <c r="K4" s="334"/>
    </row>
    <row r="5" spans="1:11" ht="8.25" customHeight="1">
      <c r="A5" s="334"/>
      <c r="B5" s="334"/>
      <c r="C5" s="334"/>
      <c r="D5" s="338"/>
      <c r="E5" s="338"/>
      <c r="F5" s="338"/>
      <c r="G5" s="338"/>
      <c r="H5" s="334"/>
      <c r="I5" s="334"/>
      <c r="J5" s="334"/>
      <c r="K5" s="334"/>
    </row>
    <row r="6" spans="1:11" ht="45" customHeight="1">
      <c r="A6" s="334"/>
      <c r="B6" s="808" t="s">
        <v>99</v>
      </c>
      <c r="C6" s="808"/>
      <c r="D6" s="808"/>
      <c r="E6" s="808"/>
      <c r="F6" s="808"/>
      <c r="G6" s="808"/>
      <c r="H6" s="808"/>
      <c r="I6" s="808"/>
      <c r="J6" s="808"/>
      <c r="K6" s="334"/>
    </row>
    <row r="7" spans="1:11" ht="6" customHeight="1">
      <c r="A7" s="334"/>
      <c r="B7" s="334"/>
      <c r="C7" s="334"/>
      <c r="D7" s="333"/>
      <c r="E7" s="333"/>
      <c r="F7" s="333"/>
      <c r="G7" s="333"/>
      <c r="H7" s="334"/>
      <c r="I7" s="334"/>
      <c r="J7" s="334"/>
      <c r="K7" s="334"/>
    </row>
    <row r="8" spans="1:11" ht="357" customHeight="1">
      <c r="A8" s="334"/>
      <c r="B8" s="334"/>
      <c r="C8" s="702"/>
      <c r="D8" s="809" t="s">
        <v>493</v>
      </c>
      <c r="E8" s="810"/>
      <c r="F8" s="810"/>
      <c r="G8" s="810"/>
      <c r="H8" s="810"/>
      <c r="I8" s="702"/>
      <c r="J8" s="334"/>
      <c r="K8" s="334"/>
    </row>
    <row r="9" spans="1:11" ht="8.25" customHeight="1">
      <c r="A9" s="334"/>
      <c r="B9" s="334"/>
      <c r="C9" s="339"/>
      <c r="D9" s="339"/>
      <c r="E9" s="339"/>
      <c r="F9" s="339"/>
      <c r="G9" s="339"/>
      <c r="H9" s="339"/>
      <c r="I9" s="339"/>
      <c r="J9" s="334"/>
      <c r="K9" s="334"/>
    </row>
    <row r="10" spans="1:11" ht="113.15" customHeight="1">
      <c r="A10" s="334"/>
      <c r="B10" s="334"/>
      <c r="C10" s="334"/>
      <c r="D10" s="811" t="s">
        <v>100</v>
      </c>
      <c r="E10" s="812"/>
      <c r="F10" s="812"/>
      <c r="G10" s="812"/>
      <c r="H10" s="812"/>
      <c r="I10" s="334"/>
      <c r="J10" s="334"/>
      <c r="K10" s="334"/>
    </row>
    <row r="11" spans="1:11" ht="9.75" customHeight="1">
      <c r="A11" s="334"/>
      <c r="B11" s="334"/>
      <c r="C11" s="334"/>
      <c r="D11" s="335"/>
      <c r="E11" s="335"/>
      <c r="F11" s="335"/>
      <c r="G11" s="335"/>
      <c r="H11" s="334"/>
      <c r="I11" s="334"/>
      <c r="J11" s="334"/>
      <c r="K11" s="334"/>
    </row>
    <row r="12" spans="1:11" ht="45" customHeight="1">
      <c r="A12" s="334"/>
      <c r="B12" s="808" t="s">
        <v>101</v>
      </c>
      <c r="C12" s="808"/>
      <c r="D12" s="808"/>
      <c r="E12" s="808"/>
      <c r="F12" s="808"/>
      <c r="G12" s="808"/>
      <c r="H12" s="808"/>
      <c r="I12" s="808"/>
      <c r="J12" s="808"/>
      <c r="K12" s="334"/>
    </row>
    <row r="13" spans="1:11" ht="9.75" customHeight="1">
      <c r="A13" s="334"/>
      <c r="B13" s="334"/>
      <c r="C13" s="334"/>
      <c r="D13" s="335"/>
      <c r="E13" s="335"/>
      <c r="F13" s="335"/>
      <c r="G13" s="335"/>
      <c r="H13" s="334"/>
      <c r="I13" s="334"/>
      <c r="J13" s="334"/>
      <c r="K13" s="334"/>
    </row>
    <row r="14" spans="1:11" ht="29.25" customHeight="1">
      <c r="A14" s="334"/>
      <c r="B14" s="334"/>
      <c r="C14" s="805" t="s">
        <v>102</v>
      </c>
      <c r="D14" s="805"/>
      <c r="E14" s="805"/>
      <c r="F14" s="805"/>
      <c r="G14" s="805"/>
      <c r="H14" s="805"/>
      <c r="I14" s="805"/>
      <c r="J14" s="334"/>
      <c r="K14" s="334"/>
    </row>
    <row r="15" spans="1:11" ht="8.5" customHeight="1">
      <c r="A15" s="334"/>
      <c r="B15" s="334"/>
      <c r="G15" s="328"/>
      <c r="J15" s="334"/>
      <c r="K15" s="334"/>
    </row>
    <row r="16" spans="1:11" ht="15" customHeight="1">
      <c r="A16" s="334"/>
      <c r="B16" s="334"/>
      <c r="D16" s="329"/>
      <c r="E16" s="797" t="s">
        <v>103</v>
      </c>
      <c r="F16" s="797"/>
      <c r="G16" s="797"/>
      <c r="H16" s="797"/>
      <c r="J16" s="334"/>
      <c r="K16" s="334"/>
    </row>
    <row r="17" spans="1:11" ht="43" customHeight="1">
      <c r="A17" s="334"/>
      <c r="B17" s="334"/>
      <c r="D17" s="340"/>
      <c r="E17" s="797"/>
      <c r="F17" s="797"/>
      <c r="G17" s="797"/>
      <c r="H17" s="797"/>
      <c r="J17" s="334"/>
      <c r="K17" s="334"/>
    </row>
    <row r="18" spans="1:11" ht="15" customHeight="1">
      <c r="A18" s="334"/>
      <c r="B18" s="334"/>
      <c r="D18" s="342"/>
      <c r="E18" s="797" t="s">
        <v>104</v>
      </c>
      <c r="F18" s="797"/>
      <c r="G18" s="797"/>
      <c r="H18" s="797"/>
      <c r="J18" s="334"/>
      <c r="K18" s="334"/>
    </row>
    <row r="19" spans="1:11" ht="30" customHeight="1">
      <c r="A19" s="334"/>
      <c r="B19" s="334"/>
      <c r="D19" s="340"/>
      <c r="E19" s="797"/>
      <c r="F19" s="797"/>
      <c r="G19" s="797"/>
      <c r="H19" s="797"/>
      <c r="J19" s="334"/>
      <c r="K19" s="334"/>
    </row>
    <row r="20" spans="1:11" ht="15" customHeight="1">
      <c r="A20" s="334"/>
      <c r="B20" s="334"/>
      <c r="D20" s="330"/>
      <c r="E20" s="797" t="s">
        <v>105</v>
      </c>
      <c r="F20" s="797"/>
      <c r="G20" s="797"/>
      <c r="H20" s="797"/>
      <c r="J20" s="334"/>
      <c r="K20" s="334"/>
    </row>
    <row r="21" spans="1:11" ht="8.25" customHeight="1">
      <c r="A21" s="334"/>
      <c r="B21" s="334"/>
      <c r="D21" s="340"/>
      <c r="E21" s="703"/>
      <c r="F21" s="703"/>
      <c r="G21" s="703"/>
      <c r="H21" s="703"/>
      <c r="J21" s="334"/>
      <c r="K21" s="334"/>
    </row>
    <row r="22" spans="1:11" s="331" customFormat="1" ht="22" customHeight="1">
      <c r="A22" s="336"/>
      <c r="B22" s="336"/>
      <c r="D22" s="786" t="s">
        <v>106</v>
      </c>
      <c r="E22" s="787"/>
      <c r="F22" s="795" t="s">
        <v>486</v>
      </c>
      <c r="G22" s="795"/>
      <c r="H22" s="796"/>
      <c r="J22" s="336"/>
      <c r="K22" s="336"/>
    </row>
    <row r="23" spans="1:11" s="331" customFormat="1" ht="40" customHeight="1">
      <c r="A23" s="336"/>
      <c r="B23" s="336"/>
      <c r="D23" s="788"/>
      <c r="E23" s="789"/>
      <c r="F23" s="797" t="s">
        <v>487</v>
      </c>
      <c r="G23" s="797"/>
      <c r="H23" s="798"/>
      <c r="J23" s="336"/>
      <c r="K23" s="336"/>
    </row>
    <row r="24" spans="1:11" s="331" customFormat="1" ht="99.75" customHeight="1">
      <c r="A24" s="336"/>
      <c r="B24" s="336"/>
      <c r="D24" s="788"/>
      <c r="E24" s="789"/>
      <c r="F24" s="797" t="s">
        <v>488</v>
      </c>
      <c r="G24" s="797"/>
      <c r="H24" s="798"/>
      <c r="J24" s="336"/>
      <c r="K24" s="336"/>
    </row>
    <row r="25" spans="1:11" s="331" customFormat="1" ht="52.4" customHeight="1">
      <c r="A25" s="336"/>
      <c r="B25" s="336"/>
      <c r="D25" s="788"/>
      <c r="E25" s="789"/>
      <c r="F25" s="799" t="s">
        <v>107</v>
      </c>
      <c r="G25" s="800"/>
      <c r="H25" s="801"/>
      <c r="J25" s="336"/>
      <c r="K25" s="336"/>
    </row>
    <row r="26" spans="1:11" s="331" customFormat="1" ht="31.5" customHeight="1">
      <c r="A26" s="336"/>
      <c r="B26" s="336"/>
      <c r="D26" s="788"/>
      <c r="E26" s="789"/>
      <c r="F26" s="797" t="s">
        <v>489</v>
      </c>
      <c r="G26" s="797"/>
      <c r="H26" s="798"/>
      <c r="J26" s="336"/>
      <c r="K26" s="336"/>
    </row>
    <row r="27" spans="1:11" s="331" customFormat="1" ht="101.25" customHeight="1">
      <c r="A27" s="336"/>
      <c r="B27" s="336"/>
      <c r="D27" s="788"/>
      <c r="E27" s="789"/>
      <c r="F27" s="797" t="s">
        <v>490</v>
      </c>
      <c r="G27" s="797"/>
      <c r="H27" s="798"/>
      <c r="J27" s="336"/>
      <c r="K27" s="336"/>
    </row>
    <row r="28" spans="1:11" s="331" customFormat="1" ht="56.15" customHeight="1">
      <c r="A28" s="336"/>
      <c r="B28" s="336"/>
      <c r="D28" s="790"/>
      <c r="E28" s="791"/>
      <c r="F28" s="782" t="s">
        <v>108</v>
      </c>
      <c r="G28" s="783"/>
      <c r="H28" s="784"/>
      <c r="J28" s="336"/>
      <c r="K28" s="336"/>
    </row>
    <row r="29" spans="1:11" ht="8.5" customHeight="1">
      <c r="A29" s="334"/>
      <c r="B29" s="334"/>
      <c r="D29" s="340"/>
      <c r="E29" s="340"/>
      <c r="F29" s="340"/>
      <c r="G29" s="345"/>
      <c r="H29" s="340"/>
      <c r="J29" s="334"/>
      <c r="K29" s="334"/>
    </row>
    <row r="30" spans="1:11" ht="248.25" customHeight="1">
      <c r="A30" s="334"/>
      <c r="B30" s="334"/>
      <c r="D30" s="814" t="s">
        <v>109</v>
      </c>
      <c r="E30" s="815"/>
      <c r="F30" s="816" t="s">
        <v>492</v>
      </c>
      <c r="G30" s="816"/>
      <c r="H30" s="817"/>
      <c r="J30" s="334"/>
      <c r="K30" s="334"/>
    </row>
    <row r="31" spans="1:11" ht="8.25" customHeight="1">
      <c r="A31" s="334"/>
      <c r="B31" s="334"/>
      <c r="D31" s="340"/>
      <c r="E31" s="340"/>
      <c r="F31" s="340"/>
      <c r="G31" s="341"/>
      <c r="H31" s="340"/>
      <c r="J31" s="334"/>
      <c r="K31" s="334"/>
    </row>
    <row r="32" spans="1:11" ht="5.5" customHeight="1">
      <c r="A32" s="334"/>
      <c r="B32" s="334"/>
      <c r="D32" s="340"/>
      <c r="E32" s="340"/>
      <c r="F32" s="340"/>
      <c r="G32" s="340"/>
      <c r="H32" s="340"/>
      <c r="J32" s="334"/>
      <c r="K32" s="334"/>
    </row>
    <row r="33" spans="1:11" ht="233.5" customHeight="1">
      <c r="A33" s="334"/>
      <c r="B33" s="334"/>
      <c r="D33" s="786" t="s">
        <v>110</v>
      </c>
      <c r="E33" s="787"/>
      <c r="F33" s="818" t="s">
        <v>111</v>
      </c>
      <c r="G33" s="818"/>
      <c r="H33" s="346"/>
      <c r="J33" s="334"/>
      <c r="K33" s="334"/>
    </row>
    <row r="34" spans="1:11" ht="27" customHeight="1">
      <c r="A34" s="334"/>
      <c r="B34" s="334"/>
      <c r="D34" s="788"/>
      <c r="E34" s="789"/>
      <c r="F34" s="792" t="s">
        <v>112</v>
      </c>
      <c r="G34" s="792"/>
      <c r="H34" s="785" t="s">
        <v>113</v>
      </c>
      <c r="J34" s="334"/>
      <c r="K34" s="334"/>
    </row>
    <row r="35" spans="1:11" s="665" customFormat="1" ht="20.25" customHeight="1">
      <c r="A35" s="664"/>
      <c r="B35" s="664"/>
      <c r="D35" s="788"/>
      <c r="E35" s="789"/>
      <c r="F35" s="819" t="s">
        <v>114</v>
      </c>
      <c r="G35" s="819"/>
      <c r="H35" s="785"/>
      <c r="J35" s="664"/>
      <c r="K35" s="664"/>
    </row>
    <row r="36" spans="1:11" s="665" customFormat="1" ht="20.25" customHeight="1">
      <c r="A36" s="664"/>
      <c r="B36" s="664"/>
      <c r="D36" s="788"/>
      <c r="E36" s="789"/>
      <c r="F36" s="819" t="s">
        <v>115</v>
      </c>
      <c r="G36" s="819"/>
      <c r="H36" s="785"/>
      <c r="J36" s="664"/>
      <c r="K36" s="664"/>
    </row>
    <row r="37" spans="1:11" s="665" customFormat="1" ht="20.25" customHeight="1">
      <c r="A37" s="664"/>
      <c r="B37" s="664"/>
      <c r="D37" s="788"/>
      <c r="E37" s="789"/>
      <c r="F37" s="819" t="s">
        <v>116</v>
      </c>
      <c r="G37" s="819"/>
      <c r="H37" s="785"/>
      <c r="J37" s="664"/>
      <c r="K37" s="664"/>
    </row>
    <row r="38" spans="1:11" ht="8.5" customHeight="1">
      <c r="A38" s="334"/>
      <c r="B38" s="334"/>
      <c r="D38" s="788"/>
      <c r="E38" s="789"/>
      <c r="F38" s="820"/>
      <c r="G38" s="820"/>
      <c r="H38" s="347"/>
      <c r="J38" s="334"/>
      <c r="K38" s="334"/>
    </row>
    <row r="39" spans="1:11" s="667" customFormat="1" ht="409.5" customHeight="1">
      <c r="A39" s="666"/>
      <c r="B39" s="666"/>
      <c r="D39" s="788"/>
      <c r="E39" s="789"/>
      <c r="F39" s="821" t="s">
        <v>117</v>
      </c>
      <c r="G39" s="822"/>
      <c r="H39" s="823"/>
      <c r="J39" s="666"/>
      <c r="K39" s="666"/>
    </row>
    <row r="40" spans="1:11">
      <c r="A40" s="334"/>
      <c r="B40" s="334"/>
      <c r="D40" s="788"/>
      <c r="E40" s="789"/>
      <c r="F40" s="792" t="s">
        <v>112</v>
      </c>
      <c r="G40" s="792"/>
      <c r="H40" s="347"/>
      <c r="J40" s="334"/>
      <c r="K40" s="334"/>
    </row>
    <row r="41" spans="1:11" s="331" customFormat="1" ht="28" customHeight="1">
      <c r="A41" s="336"/>
      <c r="B41" s="336"/>
      <c r="D41" s="790"/>
      <c r="E41" s="791"/>
      <c r="F41" s="793" t="s">
        <v>118</v>
      </c>
      <c r="G41" s="793"/>
      <c r="H41" s="794"/>
      <c r="J41" s="336"/>
      <c r="K41" s="336"/>
    </row>
    <row r="42" spans="1:11" ht="9" customHeight="1">
      <c r="A42" s="334"/>
      <c r="B42" s="334"/>
      <c r="G42" s="332"/>
      <c r="J42" s="334"/>
      <c r="K42" s="334"/>
    </row>
    <row r="43" spans="1:11" ht="45" customHeight="1">
      <c r="A43" s="334"/>
      <c r="B43" s="334"/>
      <c r="C43" s="813" t="s">
        <v>119</v>
      </c>
      <c r="D43" s="813"/>
      <c r="E43" s="813"/>
      <c r="F43" s="813"/>
      <c r="G43" s="813"/>
      <c r="H43" s="813"/>
      <c r="I43" s="813"/>
      <c r="J43" s="334"/>
      <c r="K43" s="334"/>
    </row>
    <row r="44" spans="1:11" ht="8.25" customHeight="1">
      <c r="A44" s="334"/>
      <c r="B44" s="334"/>
      <c r="C44" s="348"/>
      <c r="D44" s="348"/>
      <c r="E44" s="348"/>
      <c r="F44" s="348"/>
      <c r="G44" s="348"/>
      <c r="H44" s="348"/>
      <c r="I44" s="348"/>
      <c r="J44" s="334"/>
      <c r="K44" s="334"/>
    </row>
    <row r="45" spans="1:11" ht="61" customHeight="1">
      <c r="A45" s="334"/>
      <c r="B45" s="334"/>
      <c r="D45" s="824" t="s">
        <v>120</v>
      </c>
      <c r="E45" s="824"/>
      <c r="F45" s="824"/>
      <c r="G45" s="824"/>
      <c r="H45" s="824"/>
      <c r="J45" s="334"/>
      <c r="K45" s="334"/>
    </row>
    <row r="46" spans="1:11" ht="8.5" customHeight="1">
      <c r="A46" s="334"/>
      <c r="B46" s="334"/>
      <c r="G46" s="328"/>
      <c r="J46" s="334"/>
      <c r="K46" s="334"/>
    </row>
    <row r="47" spans="1:11" ht="45" customHeight="1">
      <c r="A47" s="334"/>
      <c r="B47" s="334"/>
      <c r="C47" s="825" t="s">
        <v>121</v>
      </c>
      <c r="D47" s="825"/>
      <c r="E47" s="825"/>
      <c r="F47" s="825"/>
      <c r="G47" s="825"/>
      <c r="H47" s="825"/>
      <c r="I47" s="825"/>
      <c r="J47" s="334"/>
      <c r="K47" s="334"/>
    </row>
    <row r="48" spans="1:11" ht="8.25" customHeight="1">
      <c r="A48" s="334"/>
      <c r="B48" s="334"/>
      <c r="D48" s="327"/>
      <c r="E48" s="327"/>
      <c r="F48" s="327"/>
      <c r="G48" s="327"/>
      <c r="J48" s="334"/>
      <c r="K48" s="334"/>
    </row>
    <row r="49" spans="1:11" ht="52" customHeight="1">
      <c r="A49" s="334"/>
      <c r="B49" s="334"/>
      <c r="D49" s="828" t="s">
        <v>122</v>
      </c>
      <c r="E49" s="828"/>
      <c r="F49" s="828"/>
      <c r="G49" s="828"/>
      <c r="H49" s="828"/>
      <c r="J49" s="334"/>
      <c r="K49" s="334"/>
    </row>
    <row r="50" spans="1:11" ht="372" customHeight="1">
      <c r="A50" s="334"/>
      <c r="B50" s="334"/>
      <c r="D50" s="827" t="s">
        <v>123</v>
      </c>
      <c r="E50" s="828"/>
      <c r="F50" s="828"/>
      <c r="G50" s="828"/>
      <c r="H50" s="828"/>
      <c r="J50" s="334"/>
      <c r="K50" s="334"/>
    </row>
    <row r="51" spans="1:11" ht="8.5" customHeight="1">
      <c r="A51" s="334"/>
      <c r="B51" s="334"/>
      <c r="G51" s="328"/>
      <c r="J51" s="334"/>
      <c r="K51" s="334"/>
    </row>
    <row r="52" spans="1:11" ht="45" customHeight="1">
      <c r="A52" s="334"/>
      <c r="B52" s="334"/>
      <c r="C52" s="825" t="s">
        <v>124</v>
      </c>
      <c r="D52" s="825"/>
      <c r="E52" s="825"/>
      <c r="F52" s="825"/>
      <c r="G52" s="825"/>
      <c r="H52" s="825"/>
      <c r="I52" s="825"/>
      <c r="J52" s="334"/>
      <c r="K52" s="334"/>
    </row>
    <row r="53" spans="1:11" ht="8.25" customHeight="1">
      <c r="A53" s="334"/>
      <c r="B53" s="334"/>
      <c r="C53" s="348"/>
      <c r="D53" s="348"/>
      <c r="E53" s="348"/>
      <c r="F53" s="348"/>
      <c r="G53" s="348"/>
      <c r="H53" s="348"/>
      <c r="I53" s="348"/>
      <c r="J53" s="334"/>
      <c r="K53" s="334"/>
    </row>
    <row r="54" spans="1:11" ht="87" customHeight="1">
      <c r="A54" s="334"/>
      <c r="B54" s="334"/>
      <c r="D54" s="831" t="s">
        <v>125</v>
      </c>
      <c r="E54" s="831"/>
      <c r="F54" s="831"/>
      <c r="G54" s="831"/>
      <c r="H54" s="831"/>
      <c r="J54" s="334"/>
      <c r="K54" s="334"/>
    </row>
    <row r="55" spans="1:11" ht="8.5" customHeight="1">
      <c r="A55" s="334"/>
      <c r="B55" s="334"/>
      <c r="G55" s="328"/>
      <c r="J55" s="334"/>
      <c r="K55" s="334"/>
    </row>
    <row r="56" spans="1:11" ht="25" customHeight="1">
      <c r="A56" s="334"/>
      <c r="B56" s="334"/>
      <c r="C56" s="830" t="s">
        <v>126</v>
      </c>
      <c r="D56" s="830"/>
      <c r="E56" s="830"/>
      <c r="F56" s="830"/>
      <c r="G56" s="830"/>
      <c r="H56" s="830"/>
      <c r="I56" s="830"/>
      <c r="J56" s="334"/>
      <c r="K56" s="334"/>
    </row>
    <row r="57" spans="1:11" ht="20.25" customHeight="1">
      <c r="A57" s="334"/>
      <c r="B57" s="334"/>
      <c r="C57" s="701"/>
      <c r="D57" s="826" t="s">
        <v>127</v>
      </c>
      <c r="E57" s="826"/>
      <c r="F57" s="826"/>
      <c r="G57" s="826"/>
      <c r="H57" s="826"/>
      <c r="I57" s="701"/>
      <c r="J57" s="334"/>
      <c r="K57" s="334"/>
    </row>
    <row r="58" spans="1:11" ht="20.25" customHeight="1">
      <c r="A58" s="334"/>
      <c r="B58" s="334"/>
      <c r="C58" s="701"/>
      <c r="D58" s="826" t="s">
        <v>128</v>
      </c>
      <c r="E58" s="826"/>
      <c r="F58" s="826"/>
      <c r="G58" s="826"/>
      <c r="H58" s="826"/>
      <c r="I58" s="701"/>
      <c r="J58" s="334"/>
      <c r="K58" s="334"/>
    </row>
    <row r="59" spans="1:11" ht="20.25" customHeight="1">
      <c r="A59" s="334"/>
      <c r="B59" s="334"/>
      <c r="C59" s="701"/>
      <c r="D59" s="826" t="s">
        <v>129</v>
      </c>
      <c r="E59" s="826"/>
      <c r="F59" s="826"/>
      <c r="G59" s="826"/>
      <c r="H59" s="826"/>
      <c r="I59" s="701"/>
      <c r="J59" s="334"/>
      <c r="K59" s="334"/>
    </row>
    <row r="60" spans="1:11" ht="20.25" customHeight="1">
      <c r="A60" s="334"/>
      <c r="B60" s="334"/>
      <c r="C60" s="701"/>
      <c r="D60" s="826" t="s">
        <v>130</v>
      </c>
      <c r="E60" s="826"/>
      <c r="F60" s="826"/>
      <c r="G60" s="826"/>
      <c r="H60" s="826"/>
      <c r="I60" s="701"/>
      <c r="J60" s="334"/>
      <c r="K60" s="334"/>
    </row>
    <row r="61" spans="1:11" ht="20.25" customHeight="1">
      <c r="A61" s="334"/>
      <c r="B61" s="334"/>
      <c r="C61" s="701"/>
      <c r="D61" s="826" t="s">
        <v>131</v>
      </c>
      <c r="E61" s="826"/>
      <c r="F61" s="826"/>
      <c r="G61" s="826"/>
      <c r="H61" s="826"/>
      <c r="I61" s="701"/>
      <c r="J61" s="334"/>
      <c r="K61" s="334"/>
    </row>
    <row r="62" spans="1:11" ht="53.25" customHeight="1">
      <c r="A62" s="334"/>
      <c r="B62" s="334"/>
      <c r="C62" s="701"/>
      <c r="D62" s="826" t="s">
        <v>132</v>
      </c>
      <c r="E62" s="826"/>
      <c r="F62" s="826"/>
      <c r="G62" s="826"/>
      <c r="H62" s="826"/>
      <c r="I62" s="701"/>
      <c r="J62" s="334"/>
      <c r="K62" s="334"/>
    </row>
    <row r="63" spans="1:11" ht="42" customHeight="1">
      <c r="A63" s="334"/>
      <c r="B63" s="334"/>
      <c r="C63" s="701"/>
      <c r="D63" s="826" t="s">
        <v>133</v>
      </c>
      <c r="E63" s="826"/>
      <c r="F63" s="826"/>
      <c r="G63" s="826"/>
      <c r="H63" s="826"/>
      <c r="I63" s="701"/>
      <c r="J63" s="334"/>
      <c r="K63" s="334"/>
    </row>
    <row r="64" spans="1:11" ht="58" customHeight="1">
      <c r="A64" s="334"/>
      <c r="B64" s="334"/>
      <c r="C64" s="701"/>
      <c r="D64" s="826" t="s">
        <v>134</v>
      </c>
      <c r="E64" s="826"/>
      <c r="F64" s="826"/>
      <c r="G64" s="826"/>
      <c r="H64" s="826"/>
      <c r="I64" s="701"/>
      <c r="J64" s="334"/>
      <c r="K64" s="334"/>
    </row>
    <row r="65" spans="1:11" ht="63" customHeight="1">
      <c r="A65" s="334"/>
      <c r="B65" s="334"/>
      <c r="C65" s="701"/>
      <c r="D65" s="826" t="s">
        <v>135</v>
      </c>
      <c r="E65" s="826"/>
      <c r="F65" s="826"/>
      <c r="G65" s="826"/>
      <c r="H65" s="826"/>
      <c r="I65" s="701"/>
      <c r="J65" s="334"/>
      <c r="K65" s="334"/>
    </row>
    <row r="66" spans="1:11" ht="38.25" customHeight="1">
      <c r="A66" s="334"/>
      <c r="B66" s="334"/>
      <c r="C66" s="701"/>
      <c r="D66" s="829" t="s">
        <v>136</v>
      </c>
      <c r="E66" s="829"/>
      <c r="F66" s="829"/>
      <c r="G66" s="829"/>
      <c r="H66" s="829"/>
      <c r="I66" s="701"/>
      <c r="J66" s="334"/>
      <c r="K66" s="334"/>
    </row>
    <row r="67" spans="1:11">
      <c r="A67" s="334"/>
      <c r="B67" s="334"/>
      <c r="C67" s="334"/>
      <c r="D67" s="334"/>
      <c r="E67" s="334"/>
      <c r="F67" s="334"/>
      <c r="G67" s="337"/>
      <c r="H67" s="334"/>
      <c r="I67" s="334"/>
      <c r="J67" s="334"/>
      <c r="K67" s="334"/>
    </row>
  </sheetData>
  <sheetProtection algorithmName="SHA-512" hashValue="gDg05NMSzowe7EN+by4rzVHwSPXRkgQRBEbRjIPO2ZfiQlBe74SXx0ZPXu8yueXLfa5LTi55oumY2eG5kYbcEA==" saltValue="8+6KvpR8vWKSa0yd0oxwsA==" spinCount="100000" sheet="1" objects="1" scenarios="1" formatCells="0"/>
  <mergeCells count="51">
    <mergeCell ref="D65:H65"/>
    <mergeCell ref="D66:H66"/>
    <mergeCell ref="C56:I56"/>
    <mergeCell ref="C52:I52"/>
    <mergeCell ref="D54:H54"/>
    <mergeCell ref="D60:H60"/>
    <mergeCell ref="D61:H61"/>
    <mergeCell ref="D62:H62"/>
    <mergeCell ref="D63:H63"/>
    <mergeCell ref="D64:H64"/>
    <mergeCell ref="D45:H45"/>
    <mergeCell ref="C47:I47"/>
    <mergeCell ref="D57:H57"/>
    <mergeCell ref="D58:H58"/>
    <mergeCell ref="D59:H59"/>
    <mergeCell ref="D50:H50"/>
    <mergeCell ref="D49:H49"/>
    <mergeCell ref="C43:I43"/>
    <mergeCell ref="D30:E30"/>
    <mergeCell ref="F30:H30"/>
    <mergeCell ref="F33:G33"/>
    <mergeCell ref="F34:G34"/>
    <mergeCell ref="F35:G35"/>
    <mergeCell ref="F36:G36"/>
    <mergeCell ref="F37:G37"/>
    <mergeCell ref="F38:G38"/>
    <mergeCell ref="F39:H39"/>
    <mergeCell ref="E20:H20"/>
    <mergeCell ref="B6:J6"/>
    <mergeCell ref="D8:H8"/>
    <mergeCell ref="D10:H10"/>
    <mergeCell ref="B12:J12"/>
    <mergeCell ref="E2:G2"/>
    <mergeCell ref="E3:G3"/>
    <mergeCell ref="C14:I14"/>
    <mergeCell ref="E16:H17"/>
    <mergeCell ref="E18:H19"/>
    <mergeCell ref="D4:I4"/>
    <mergeCell ref="H3:J3"/>
    <mergeCell ref="F28:H28"/>
    <mergeCell ref="H34:H37"/>
    <mergeCell ref="D22:E28"/>
    <mergeCell ref="F40:G40"/>
    <mergeCell ref="F41:H41"/>
    <mergeCell ref="D33:E41"/>
    <mergeCell ref="F22:H22"/>
    <mergeCell ref="F23:H23"/>
    <mergeCell ref="F24:H24"/>
    <mergeCell ref="F26:H26"/>
    <mergeCell ref="F27:H27"/>
    <mergeCell ref="F25:H25"/>
  </mergeCells>
  <hyperlinks>
    <hyperlink ref="F41" r:id="rId1" display="http://immunizationeconomics.org/ican-idcc" xr:uid="{00044965-7ECE-4A1F-8255-E247BEA1B12C}"/>
    <hyperlink ref="F37" r:id="rId2" display="Supplies costs: UNICEF website – price data" xr:uid="{8CD90666-7B13-4E33-9CC4-15080D2AE0B4}"/>
    <hyperlink ref="F35" r:id="rId3" display="https://www.gavi.org/our-alliance/market-shaping/product-information-vaccines-cold-chain-equipment" xr:uid="{F0D991D6-1576-4DF0-AACD-26FF3E42A05B}"/>
    <hyperlink ref="F36" r:id="rId4" display="Handling fees: UNICEF website – price data" xr:uid="{E19E51EC-28FD-6743-BB45-428AFE5BB048}"/>
    <hyperlink ref="F41:H41" r:id="rId5" display="Costo incremental de la administración por dosis: Immunization Cost of Delivery Catalogue (IDCC)" xr:uid="{E3498AAC-3B16-4196-BF2E-48306CB67108}"/>
  </hyperlinks>
  <pageMargins left="0.7" right="0.7" top="0.75" bottom="0.75" header="0.3" footer="0.3"/>
  <pageSetup scale="62" orientation="portrait" r:id="rId6"/>
  <rowBreaks count="3" manualBreakCount="3">
    <brk id="11" max="16383" man="1"/>
    <brk id="32" max="16383" man="1"/>
    <brk id="46" max="16383" man="1"/>
  </rowBreaks>
  <drawing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249977111117893"/>
  </sheetPr>
  <dimension ref="A1:MN248"/>
  <sheetViews>
    <sheetView showGridLines="0" zoomScale="90" zoomScaleNormal="90" workbookViewId="0"/>
  </sheetViews>
  <sheetFormatPr defaultColWidth="8.81640625" defaultRowHeight="15.5" outlineLevelRow="2" outlineLevelCol="1"/>
  <cols>
    <col min="1" max="1" width="1.453125" style="409" customWidth="1"/>
    <col min="2" max="3" width="4.453125" style="410" customWidth="1"/>
    <col min="4" max="4" width="43.81640625" style="409" customWidth="1"/>
    <col min="5" max="5" width="16.54296875" style="409" customWidth="1"/>
    <col min="6" max="7" width="15" style="409" hidden="1" customWidth="1" outlineLevel="1"/>
    <col min="8" max="8" width="16.54296875" style="409" customWidth="1" collapsed="1"/>
    <col min="9" max="10" width="15" style="409" hidden="1" customWidth="1" outlineLevel="1"/>
    <col min="11" max="11" width="15" style="409" customWidth="1" collapsed="1"/>
    <col min="12" max="12" width="15" style="409" customWidth="1"/>
    <col min="13" max="13" width="18.453125" style="409" customWidth="1"/>
    <col min="14" max="14" width="30.81640625" style="409" customWidth="1"/>
    <col min="15" max="15" width="4.453125" style="409" customWidth="1"/>
    <col min="16" max="16" width="4.453125" style="410" customWidth="1"/>
    <col min="17" max="17" width="46.81640625" style="410" customWidth="1"/>
    <col min="18" max="18" width="25.453125" style="410" customWidth="1"/>
    <col min="19" max="19" width="4.81640625" style="410" customWidth="1"/>
    <col min="20" max="20" width="17.453125" style="409" customWidth="1"/>
    <col min="21" max="21" width="1.1796875" style="409" customWidth="1"/>
    <col min="22" max="22" width="17.453125" style="409" customWidth="1"/>
    <col min="23" max="23" width="59.1796875" style="409" customWidth="1"/>
    <col min="24" max="24" width="5.1796875" style="409" customWidth="1"/>
    <col min="25" max="25" width="25.453125" style="409" customWidth="1"/>
    <col min="26" max="26" width="19.1796875" style="409" customWidth="1"/>
    <col min="27" max="27" width="24.81640625" style="409" customWidth="1"/>
    <col min="28" max="28" width="19.1796875" style="409" customWidth="1"/>
    <col min="29" max="29" width="25" style="409" customWidth="1"/>
    <col min="30" max="30" width="19.453125" style="409" customWidth="1"/>
    <col min="31" max="31" width="15.81640625" style="409" customWidth="1"/>
    <col min="32" max="32" width="37" style="409" customWidth="1"/>
    <col min="33" max="33" width="8.81640625" style="409" customWidth="1"/>
    <col min="34" max="34" width="22.81640625" style="409" customWidth="1"/>
    <col min="35" max="35" width="15.81640625" style="409" customWidth="1"/>
    <col min="36" max="36" width="37" style="409" customWidth="1"/>
    <col min="37" max="37" width="2.81640625" style="409" customWidth="1"/>
    <col min="38" max="16384" width="8.81640625" style="409"/>
  </cols>
  <sheetData>
    <row r="1" spans="2:21" ht="8.25" customHeight="1">
      <c r="B1" s="539"/>
      <c r="C1" s="539"/>
      <c r="D1" s="539"/>
      <c r="E1" s="539"/>
      <c r="F1" s="539"/>
      <c r="G1" s="539"/>
      <c r="H1" s="539"/>
      <c r="I1" s="539"/>
      <c r="J1" s="539"/>
      <c r="K1" s="539"/>
      <c r="L1" s="539"/>
      <c r="M1" s="539"/>
      <c r="N1" s="539"/>
      <c r="O1" s="539"/>
      <c r="P1" s="539"/>
    </row>
    <row r="2" spans="2:21" ht="18.649999999999999" customHeight="1">
      <c r="B2" s="1034" t="s">
        <v>137</v>
      </c>
      <c r="C2" s="1035"/>
      <c r="D2" s="1035"/>
      <c r="E2" s="1035"/>
      <c r="F2" s="1035"/>
      <c r="G2" s="1035"/>
      <c r="H2" s="1035"/>
      <c r="I2" s="1035"/>
      <c r="J2" s="1035"/>
      <c r="K2" s="1035"/>
      <c r="L2" s="1035"/>
      <c r="M2" s="1035"/>
      <c r="N2" s="1035"/>
      <c r="O2" s="1035"/>
      <c r="P2" s="1035"/>
    </row>
    <row r="3" spans="2:21" ht="14.25" customHeight="1">
      <c r="B3" s="426"/>
      <c r="C3" s="426"/>
      <c r="D3" s="427"/>
      <c r="E3" s="427"/>
      <c r="F3" s="426"/>
      <c r="G3" s="427"/>
      <c r="H3" s="427"/>
      <c r="I3" s="426"/>
      <c r="J3" s="426"/>
      <c r="K3" s="427"/>
      <c r="L3" s="426"/>
      <c r="M3" s="426"/>
      <c r="N3" s="426"/>
      <c r="O3" s="426"/>
      <c r="P3" s="426"/>
      <c r="Q3" s="411"/>
      <c r="S3" s="412"/>
      <c r="U3" s="413"/>
    </row>
    <row r="4" spans="2:21" ht="60" customHeight="1">
      <c r="B4" s="426"/>
      <c r="C4" s="987" t="s">
        <v>138</v>
      </c>
      <c r="D4" s="987"/>
      <c r="E4" s="987"/>
      <c r="F4" s="987"/>
      <c r="G4" s="987"/>
      <c r="H4" s="987"/>
      <c r="I4" s="987"/>
      <c r="J4" s="987"/>
      <c r="K4" s="987"/>
      <c r="L4" s="987"/>
      <c r="M4" s="987"/>
      <c r="N4" s="987"/>
      <c r="O4" s="987"/>
      <c r="P4" s="426"/>
      <c r="R4" s="415"/>
      <c r="S4" s="415"/>
      <c r="T4" s="416"/>
    </row>
    <row r="5" spans="2:21" ht="26.25" hidden="1" customHeight="1">
      <c r="D5" s="408"/>
      <c r="E5" s="408"/>
      <c r="F5" s="408"/>
      <c r="G5" s="408"/>
      <c r="H5" s="408"/>
      <c r="I5" s="408"/>
      <c r="J5" s="408"/>
      <c r="K5" s="1011"/>
      <c r="L5" s="1011"/>
      <c r="M5" s="408"/>
      <c r="N5" s="408"/>
      <c r="R5" s="415"/>
      <c r="S5" s="415"/>
      <c r="T5" s="416"/>
    </row>
    <row r="6" spans="2:21" ht="14.25" hidden="1" customHeight="1">
      <c r="D6" s="408"/>
      <c r="E6" s="408"/>
      <c r="F6" s="408"/>
      <c r="G6" s="408"/>
      <c r="H6" s="408"/>
      <c r="I6" s="408"/>
      <c r="J6" s="408"/>
      <c r="K6" s="1011"/>
      <c r="L6" s="1011"/>
      <c r="M6" s="408"/>
      <c r="N6" s="408"/>
      <c r="R6" s="415"/>
      <c r="S6" s="415"/>
      <c r="T6" s="416"/>
    </row>
    <row r="7" spans="2:21" ht="14.25" hidden="1" customHeight="1">
      <c r="D7" s="408"/>
      <c r="E7" s="408"/>
      <c r="F7" s="408"/>
      <c r="G7" s="408"/>
      <c r="H7" s="408"/>
      <c r="I7" s="408"/>
      <c r="J7" s="408"/>
      <c r="K7" s="408"/>
      <c r="L7" s="408"/>
      <c r="M7" s="417"/>
      <c r="N7" s="408"/>
      <c r="Q7" s="418"/>
      <c r="R7" s="415"/>
      <c r="S7" s="415"/>
      <c r="T7" s="416"/>
    </row>
    <row r="8" spans="2:21" ht="20.25" hidden="1" customHeight="1">
      <c r="D8" s="1012" t="s">
        <v>2</v>
      </c>
      <c r="E8" s="1013"/>
      <c r="F8" s="1013"/>
      <c r="G8" s="1013"/>
      <c r="H8" s="1013"/>
      <c r="I8" s="1013"/>
      <c r="J8" s="1013"/>
      <c r="K8" s="1013"/>
      <c r="L8" s="1013"/>
      <c r="M8" s="1013"/>
      <c r="N8" s="1014"/>
      <c r="P8" s="350"/>
      <c r="Q8" s="350"/>
      <c r="R8" s="350"/>
      <c r="S8" s="350"/>
      <c r="T8" s="416"/>
    </row>
    <row r="9" spans="2:21" ht="20.25" hidden="1" customHeight="1">
      <c r="D9" s="1015"/>
      <c r="E9" s="1016"/>
      <c r="F9" s="1016"/>
      <c r="G9" s="1016"/>
      <c r="H9" s="1016"/>
      <c r="I9" s="1016"/>
      <c r="J9" s="1016"/>
      <c r="K9" s="1016"/>
      <c r="L9" s="1016"/>
      <c r="M9" s="1016"/>
      <c r="N9" s="1017"/>
      <c r="P9" s="350"/>
      <c r="Q9" s="350"/>
      <c r="R9" s="350"/>
      <c r="S9" s="350"/>
      <c r="T9" s="416"/>
    </row>
    <row r="10" spans="2:21" ht="20.25" hidden="1" customHeight="1">
      <c r="D10" s="1015"/>
      <c r="E10" s="1016"/>
      <c r="F10" s="1016"/>
      <c r="G10" s="1016"/>
      <c r="H10" s="1016"/>
      <c r="I10" s="1016"/>
      <c r="J10" s="1016"/>
      <c r="K10" s="1016"/>
      <c r="L10" s="1016"/>
      <c r="M10" s="1016"/>
      <c r="N10" s="1017"/>
      <c r="P10" s="350"/>
      <c r="Q10" s="350"/>
      <c r="R10" s="350"/>
      <c r="S10" s="350"/>
      <c r="T10" s="416"/>
    </row>
    <row r="11" spans="2:21" ht="16" hidden="1" customHeight="1">
      <c r="D11" s="1018"/>
      <c r="E11" s="1019"/>
      <c r="F11" s="1019"/>
      <c r="G11" s="1019"/>
      <c r="H11" s="1019"/>
      <c r="I11" s="1019"/>
      <c r="J11" s="1019"/>
      <c r="K11" s="1019"/>
      <c r="L11" s="1019"/>
      <c r="M11" s="1019"/>
      <c r="N11" s="1020"/>
      <c r="P11" s="350"/>
      <c r="Q11" s="350"/>
      <c r="R11" s="350"/>
      <c r="S11" s="350"/>
      <c r="T11" s="416"/>
    </row>
    <row r="12" spans="2:21" ht="12" customHeight="1">
      <c r="B12" s="426"/>
      <c r="C12" s="426"/>
      <c r="D12" s="426"/>
      <c r="E12" s="426"/>
      <c r="F12" s="426"/>
      <c r="G12" s="426"/>
      <c r="H12" s="426"/>
      <c r="I12" s="426"/>
      <c r="J12" s="426"/>
      <c r="K12" s="427"/>
      <c r="L12" s="426"/>
      <c r="M12" s="426"/>
      <c r="N12" s="426"/>
      <c r="O12" s="426"/>
      <c r="P12" s="426"/>
      <c r="Q12" s="411"/>
      <c r="S12" s="412"/>
      <c r="U12" s="413"/>
    </row>
    <row r="13" spans="2:21" ht="52" customHeight="1">
      <c r="B13" s="426"/>
      <c r="C13" s="426"/>
      <c r="D13" s="1029" t="s">
        <v>139</v>
      </c>
      <c r="E13" s="1030"/>
      <c r="F13" s="426"/>
      <c r="G13" s="426"/>
      <c r="H13" s="426"/>
      <c r="I13" s="426"/>
      <c r="J13" s="426"/>
      <c r="K13" s="426"/>
      <c r="L13" s="426"/>
      <c r="M13" s="435"/>
      <c r="N13" s="426"/>
      <c r="O13" s="426"/>
      <c r="P13" s="426"/>
      <c r="Q13" s="411"/>
      <c r="R13" s="415"/>
      <c r="S13" s="415"/>
      <c r="T13" s="416"/>
    </row>
    <row r="14" spans="2:21" ht="12" customHeight="1">
      <c r="B14" s="426"/>
      <c r="C14" s="426"/>
      <c r="D14" s="426"/>
      <c r="E14" s="426"/>
      <c r="F14" s="426"/>
      <c r="G14" s="426"/>
      <c r="H14" s="426"/>
      <c r="I14" s="426"/>
      <c r="J14" s="426"/>
      <c r="K14" s="427"/>
      <c r="L14" s="426"/>
      <c r="M14" s="426"/>
      <c r="N14" s="426"/>
      <c r="O14" s="426"/>
      <c r="P14" s="426"/>
      <c r="Q14" s="411"/>
      <c r="S14" s="412"/>
      <c r="U14" s="413"/>
    </row>
    <row r="15" spans="2:21" ht="46" customHeight="1">
      <c r="B15" s="426"/>
      <c r="C15" s="426"/>
      <c r="D15" s="988" t="s">
        <v>140</v>
      </c>
      <c r="E15" s="988"/>
      <c r="F15" s="988"/>
      <c r="G15" s="988"/>
      <c r="H15" s="988"/>
      <c r="I15" s="988"/>
      <c r="J15" s="988"/>
      <c r="K15" s="988"/>
      <c r="L15" s="988"/>
      <c r="M15" s="988"/>
      <c r="N15" s="988"/>
      <c r="O15" s="428"/>
      <c r="P15" s="428"/>
      <c r="S15" s="722"/>
      <c r="T15" s="712"/>
      <c r="U15" s="419"/>
    </row>
    <row r="16" spans="2:21" ht="12" customHeight="1">
      <c r="B16" s="426"/>
      <c r="C16" s="426"/>
      <c r="D16" s="426"/>
      <c r="E16" s="426"/>
      <c r="F16" s="426"/>
      <c r="G16" s="426"/>
      <c r="H16" s="426"/>
      <c r="I16" s="426"/>
      <c r="J16" s="426"/>
      <c r="K16" s="427"/>
      <c r="L16" s="426"/>
      <c r="M16" s="426"/>
      <c r="N16" s="426"/>
      <c r="O16" s="426"/>
      <c r="P16" s="426"/>
      <c r="Q16" s="411"/>
      <c r="S16" s="412"/>
      <c r="U16" s="413"/>
    </row>
    <row r="17" spans="2:21" ht="34.5" customHeight="1">
      <c r="B17" s="426"/>
      <c r="C17" s="426"/>
      <c r="D17" s="705" t="s">
        <v>141</v>
      </c>
      <c r="E17" s="454" t="s">
        <v>142</v>
      </c>
      <c r="F17" s="426"/>
      <c r="G17" s="426"/>
      <c r="H17" s="438"/>
      <c r="I17" s="438"/>
      <c r="J17" s="438"/>
      <c r="K17" s="438"/>
      <c r="L17" s="438"/>
      <c r="M17" s="438"/>
      <c r="N17" s="438"/>
      <c r="O17" s="426"/>
      <c r="P17" s="426"/>
      <c r="Q17" s="411"/>
      <c r="S17" s="412"/>
      <c r="U17" s="413"/>
    </row>
    <row r="18" spans="2:21" ht="32.15" customHeight="1">
      <c r="B18" s="426"/>
      <c r="C18" s="426"/>
      <c r="D18" s="452" t="s">
        <v>143</v>
      </c>
      <c r="E18" s="450" t="s">
        <v>144</v>
      </c>
      <c r="F18" s="426"/>
      <c r="G18" s="426"/>
      <c r="H18" s="438"/>
      <c r="I18" s="438"/>
      <c r="J18" s="438"/>
      <c r="K18" s="438"/>
      <c r="L18" s="438"/>
      <c r="M18" s="438"/>
      <c r="N18" s="438"/>
      <c r="O18" s="426"/>
      <c r="P18" s="426"/>
      <c r="Q18" s="411"/>
      <c r="S18" s="412"/>
      <c r="U18" s="413"/>
    </row>
    <row r="19" spans="2:21" ht="7.5" customHeight="1">
      <c r="B19" s="426"/>
      <c r="C19" s="426"/>
      <c r="D19" s="452"/>
      <c r="E19" s="455"/>
      <c r="F19" s="426"/>
      <c r="G19" s="426"/>
      <c r="H19" s="438"/>
      <c r="I19" s="438"/>
      <c r="J19" s="438"/>
      <c r="K19" s="438"/>
      <c r="L19" s="438"/>
      <c r="M19" s="438"/>
      <c r="N19" s="438"/>
      <c r="O19" s="426"/>
      <c r="P19" s="426"/>
      <c r="Q19" s="411"/>
      <c r="S19" s="412"/>
      <c r="U19" s="413"/>
    </row>
    <row r="20" spans="2:21" ht="20.5" customHeight="1">
      <c r="B20" s="426"/>
      <c r="C20" s="426"/>
      <c r="D20" s="452" t="s">
        <v>145</v>
      </c>
      <c r="E20" s="450" t="s">
        <v>506</v>
      </c>
      <c r="F20" s="426"/>
      <c r="G20" s="426"/>
      <c r="H20" s="438"/>
      <c r="I20" s="438"/>
      <c r="J20" s="438"/>
      <c r="K20" s="438"/>
      <c r="L20" s="438"/>
      <c r="M20" s="438"/>
      <c r="N20" s="438"/>
      <c r="O20" s="426"/>
      <c r="P20" s="426"/>
      <c r="Q20" s="411"/>
      <c r="S20" s="412"/>
      <c r="U20" s="413"/>
    </row>
    <row r="21" spans="2:21" ht="7.5" customHeight="1">
      <c r="B21" s="426"/>
      <c r="C21" s="426"/>
      <c r="D21" s="452"/>
      <c r="E21" s="455"/>
      <c r="F21" s="426"/>
      <c r="G21" s="426"/>
      <c r="H21" s="438"/>
      <c r="I21" s="438"/>
      <c r="J21" s="438"/>
      <c r="K21" s="438"/>
      <c r="L21" s="438"/>
      <c r="M21" s="438"/>
      <c r="N21" s="438"/>
      <c r="O21" s="426"/>
      <c r="P21" s="426"/>
      <c r="Q21" s="411"/>
      <c r="S21" s="412"/>
      <c r="U21" s="413"/>
    </row>
    <row r="22" spans="2:21" ht="31" customHeight="1">
      <c r="B22" s="426"/>
      <c r="C22" s="426"/>
      <c r="D22" s="453" t="s">
        <v>146</v>
      </c>
      <c r="E22" s="451" t="s">
        <v>144</v>
      </c>
      <c r="F22" s="426"/>
      <c r="G22" s="426"/>
      <c r="H22" s="438"/>
      <c r="I22" s="438"/>
      <c r="J22" s="438"/>
      <c r="K22" s="438"/>
      <c r="L22" s="438"/>
      <c r="M22" s="438"/>
      <c r="N22" s="438"/>
      <c r="O22" s="426"/>
      <c r="P22" s="426"/>
      <c r="Q22" s="411"/>
      <c r="S22" s="412"/>
      <c r="U22" s="413"/>
    </row>
    <row r="23" spans="2:21" ht="43.5" customHeight="1">
      <c r="B23" s="426"/>
      <c r="C23" s="426"/>
      <c r="D23" s="426"/>
      <c r="E23" s="955" t="s">
        <v>147</v>
      </c>
      <c r="F23" s="956"/>
      <c r="G23" s="956"/>
      <c r="H23" s="955" t="s">
        <v>148</v>
      </c>
      <c r="I23" s="956"/>
      <c r="J23" s="956"/>
      <c r="K23" s="955" t="s">
        <v>149</v>
      </c>
      <c r="L23" s="956"/>
      <c r="M23" s="1050"/>
      <c r="N23" s="1050"/>
      <c r="O23" s="426"/>
      <c r="P23" s="426"/>
      <c r="Q23" s="411"/>
      <c r="S23" s="412"/>
      <c r="U23" s="413"/>
    </row>
    <row r="24" spans="2:21" ht="119.5" customHeight="1">
      <c r="B24" s="426"/>
      <c r="C24" s="426"/>
      <c r="D24" s="440" t="s">
        <v>150</v>
      </c>
      <c r="E24" s="1027" t="s">
        <v>151</v>
      </c>
      <c r="F24" s="1027"/>
      <c r="G24" s="1027"/>
      <c r="H24" s="1027" t="s">
        <v>152</v>
      </c>
      <c r="I24" s="1027"/>
      <c r="J24" s="1027"/>
      <c r="K24" s="1027" t="s">
        <v>153</v>
      </c>
      <c r="L24" s="1027"/>
      <c r="M24" s="1028" t="s">
        <v>154</v>
      </c>
      <c r="N24" s="1028"/>
      <c r="O24" s="429"/>
      <c r="P24" s="429"/>
      <c r="Q24" s="420"/>
      <c r="S24" s="722"/>
      <c r="T24" s="712"/>
    </row>
    <row r="25" spans="2:21" ht="12" customHeight="1">
      <c r="B25" s="426"/>
      <c r="C25" s="426"/>
      <c r="D25" s="426"/>
      <c r="E25" s="426"/>
      <c r="F25" s="426"/>
      <c r="G25" s="426"/>
      <c r="H25" s="426"/>
      <c r="I25" s="426"/>
      <c r="J25" s="426"/>
      <c r="K25" s="438"/>
      <c r="L25" s="426"/>
      <c r="M25" s="426"/>
      <c r="N25" s="426"/>
      <c r="O25" s="426"/>
      <c r="P25" s="426"/>
      <c r="Q25" s="411"/>
      <c r="S25" s="412"/>
      <c r="U25" s="413"/>
    </row>
    <row r="26" spans="2:21" ht="50.25" customHeight="1">
      <c r="B26" s="426"/>
      <c r="C26" s="426"/>
      <c r="D26" s="719" t="s">
        <v>155</v>
      </c>
      <c r="E26" s="1031">
        <v>2025</v>
      </c>
      <c r="F26" s="1031"/>
      <c r="G26" s="1031"/>
      <c r="H26" s="1031"/>
      <c r="I26" s="1031"/>
      <c r="J26" s="1031"/>
      <c r="K26" s="1031"/>
      <c r="L26" s="1031"/>
      <c r="M26" s="958" t="s">
        <v>156</v>
      </c>
      <c r="N26" s="958"/>
      <c r="O26" s="708"/>
      <c r="P26" s="708"/>
      <c r="S26" s="721"/>
      <c r="U26" s="352"/>
    </row>
    <row r="27" spans="2:21" ht="12" customHeight="1">
      <c r="B27" s="426"/>
      <c r="C27" s="426"/>
      <c r="D27" s="426"/>
      <c r="E27" s="426"/>
      <c r="F27" s="426"/>
      <c r="G27" s="426"/>
      <c r="H27" s="426"/>
      <c r="I27" s="426"/>
      <c r="J27" s="426"/>
      <c r="K27" s="438"/>
      <c r="L27" s="426"/>
      <c r="M27" s="437"/>
      <c r="N27" s="437"/>
      <c r="O27" s="426"/>
      <c r="P27" s="426"/>
      <c r="Q27" s="411"/>
      <c r="S27" s="412"/>
      <c r="U27" s="413"/>
    </row>
    <row r="28" spans="2:21" ht="12" hidden="1" customHeight="1" thickBot="1">
      <c r="B28" s="426"/>
      <c r="C28" s="426"/>
      <c r="D28" s="408"/>
      <c r="E28" s="408"/>
      <c r="F28" s="408"/>
      <c r="G28" s="408"/>
      <c r="H28" s="408"/>
      <c r="I28" s="408"/>
      <c r="J28" s="408"/>
      <c r="K28" s="439"/>
      <c r="L28" s="408"/>
      <c r="M28" s="423"/>
      <c r="N28" s="423"/>
      <c r="O28" s="426"/>
      <c r="P28" s="426"/>
      <c r="Q28" s="411"/>
      <c r="S28" s="412"/>
      <c r="U28" s="413"/>
    </row>
    <row r="29" spans="2:21" ht="50.25" customHeight="1">
      <c r="B29" s="426"/>
      <c r="C29" s="426"/>
      <c r="D29" s="1048" t="s">
        <v>157</v>
      </c>
      <c r="E29" s="1032" t="s">
        <v>158</v>
      </c>
      <c r="F29" s="992"/>
      <c r="G29" s="992"/>
      <c r="H29" s="992" t="s">
        <v>159</v>
      </c>
      <c r="I29" s="992"/>
      <c r="J29" s="992"/>
      <c r="K29" s="709" t="s">
        <v>160</v>
      </c>
      <c r="L29" s="710" t="s">
        <v>159</v>
      </c>
      <c r="M29" s="958" t="s">
        <v>161</v>
      </c>
      <c r="N29" s="958"/>
      <c r="O29" s="708"/>
      <c r="P29" s="708"/>
      <c r="S29" s="353"/>
      <c r="U29" s="354"/>
    </row>
    <row r="30" spans="2:21" ht="50.25" customHeight="1">
      <c r="B30" s="426"/>
      <c r="C30" s="426"/>
      <c r="D30" s="1048"/>
      <c r="E30" s="986">
        <v>200000</v>
      </c>
      <c r="F30" s="986"/>
      <c r="G30" s="986"/>
      <c r="H30" s="986">
        <v>180000</v>
      </c>
      <c r="I30" s="986"/>
      <c r="J30" s="986"/>
      <c r="K30" s="540">
        <v>200000</v>
      </c>
      <c r="L30" s="734">
        <f>K30-(K30*K37)</f>
        <v>100000</v>
      </c>
      <c r="M30" s="958"/>
      <c r="N30" s="958"/>
      <c r="O30" s="708"/>
      <c r="P30" s="708"/>
      <c r="S30" s="353"/>
      <c r="U30" s="354"/>
    </row>
    <row r="31" spans="2:21" ht="50.25" hidden="1" customHeight="1">
      <c r="B31" s="426"/>
      <c r="C31" s="426"/>
      <c r="D31" s="442" t="s">
        <v>21</v>
      </c>
      <c r="E31" s="443">
        <v>12</v>
      </c>
      <c r="F31" s="443"/>
      <c r="G31" s="443"/>
      <c r="H31" s="443">
        <v>6</v>
      </c>
      <c r="I31" s="443"/>
      <c r="J31" s="443"/>
      <c r="K31" s="441">
        <f>E31</f>
        <v>12</v>
      </c>
      <c r="L31" s="441">
        <f>H31</f>
        <v>6</v>
      </c>
      <c r="M31" s="958" t="s">
        <v>22</v>
      </c>
      <c r="N31" s="958"/>
      <c r="O31" s="708"/>
      <c r="P31" s="708"/>
      <c r="S31" s="353"/>
      <c r="U31" s="354"/>
    </row>
    <row r="32" spans="2:21" ht="50.25" hidden="1" customHeight="1" thickBot="1">
      <c r="B32" s="426"/>
      <c r="C32" s="426"/>
      <c r="D32" s="442" t="s">
        <v>23</v>
      </c>
      <c r="E32" s="444">
        <v>0.7</v>
      </c>
      <c r="F32" s="443"/>
      <c r="G32" s="443"/>
      <c r="H32" s="444">
        <v>1</v>
      </c>
      <c r="I32" s="443"/>
      <c r="J32" s="443"/>
      <c r="K32" s="445">
        <f>E32</f>
        <v>0.7</v>
      </c>
      <c r="L32" s="445">
        <f>H32</f>
        <v>1</v>
      </c>
      <c r="M32" s="958" t="s">
        <v>24</v>
      </c>
      <c r="N32" s="958"/>
      <c r="O32" s="708"/>
      <c r="P32" s="708"/>
      <c r="S32" s="353"/>
      <c r="U32" s="354"/>
    </row>
    <row r="33" spans="2:21" ht="49" hidden="1" customHeight="1" thickBot="1">
      <c r="B33" s="426"/>
      <c r="C33" s="426"/>
      <c r="D33" s="705" t="s">
        <v>25</v>
      </c>
      <c r="E33" s="1033">
        <f>E30*(E31/12)*E32</f>
        <v>140000</v>
      </c>
      <c r="F33" s="1033"/>
      <c r="G33" s="1033"/>
      <c r="H33" s="1033">
        <f t="shared" ref="H33" si="0">H30*(H31/12)*H32</f>
        <v>90000</v>
      </c>
      <c r="I33" s="1033"/>
      <c r="J33" s="1033"/>
      <c r="K33" s="446">
        <f>K30*(K31/12)*K32</f>
        <v>140000</v>
      </c>
      <c r="L33" s="446">
        <f>L30*(L31/12)*L32</f>
        <v>50000</v>
      </c>
      <c r="M33" s="704"/>
      <c r="N33" s="704"/>
      <c r="O33" s="708"/>
      <c r="P33" s="708"/>
      <c r="S33" s="355"/>
      <c r="U33" s="356"/>
    </row>
    <row r="34" spans="2:21" ht="50.25" customHeight="1">
      <c r="B34" s="426"/>
      <c r="C34" s="426"/>
      <c r="D34" s="705" t="s">
        <v>162</v>
      </c>
      <c r="E34" s="1001">
        <v>0.03</v>
      </c>
      <c r="F34" s="1001"/>
      <c r="G34" s="1001"/>
      <c r="H34" s="1001">
        <v>0.03</v>
      </c>
      <c r="I34" s="1001"/>
      <c r="J34" s="1001"/>
      <c r="K34" s="715">
        <v>0.03</v>
      </c>
      <c r="L34" s="715">
        <v>0.03</v>
      </c>
      <c r="M34" s="958" t="s">
        <v>27</v>
      </c>
      <c r="N34" s="958"/>
      <c r="O34" s="708"/>
      <c r="P34" s="708"/>
      <c r="S34" s="355"/>
      <c r="U34" s="356"/>
    </row>
    <row r="35" spans="2:21" ht="12" customHeight="1">
      <c r="B35" s="426"/>
      <c r="C35" s="426"/>
      <c r="D35" s="426"/>
      <c r="E35" s="426"/>
      <c r="F35" s="426"/>
      <c r="G35" s="426"/>
      <c r="H35" s="426"/>
      <c r="I35" s="426"/>
      <c r="J35" s="426"/>
      <c r="K35" s="438"/>
      <c r="L35" s="426"/>
      <c r="M35" s="437"/>
      <c r="N35" s="437"/>
      <c r="O35" s="426"/>
      <c r="P35" s="426"/>
      <c r="Q35" s="411"/>
      <c r="S35" s="412"/>
      <c r="U35" s="413"/>
    </row>
    <row r="36" spans="2:21" ht="25.5" customHeight="1">
      <c r="B36" s="426"/>
      <c r="C36" s="426"/>
      <c r="D36" s="989" t="s">
        <v>163</v>
      </c>
      <c r="E36" s="990"/>
      <c r="F36" s="990"/>
      <c r="G36" s="990"/>
      <c r="H36" s="990"/>
      <c r="I36" s="990"/>
      <c r="J36" s="990"/>
      <c r="K36" s="990"/>
      <c r="L36" s="991"/>
      <c r="M36" s="958" t="s">
        <v>164</v>
      </c>
      <c r="N36" s="958"/>
      <c r="O36" s="708"/>
      <c r="P36" s="708"/>
      <c r="S36" s="355"/>
      <c r="U36" s="356"/>
    </row>
    <row r="37" spans="2:21" ht="63" customHeight="1">
      <c r="B37" s="426"/>
      <c r="C37" s="426"/>
      <c r="D37" s="714">
        <f>$E$26</f>
        <v>2025</v>
      </c>
      <c r="E37" s="1002">
        <v>0.6</v>
      </c>
      <c r="F37" s="1002"/>
      <c r="G37" s="1002"/>
      <c r="H37" s="1002">
        <v>0.8</v>
      </c>
      <c r="I37" s="1002"/>
      <c r="J37" s="1002"/>
      <c r="K37" s="707">
        <v>0.5</v>
      </c>
      <c r="L37" s="707">
        <v>0.9</v>
      </c>
      <c r="M37" s="958" t="s">
        <v>165</v>
      </c>
      <c r="N37" s="958"/>
      <c r="O37" s="430"/>
      <c r="P37" s="431"/>
      <c r="S37" s="355"/>
      <c r="U37" s="356"/>
    </row>
    <row r="38" spans="2:21" ht="63" customHeight="1">
      <c r="B38" s="426"/>
      <c r="C38" s="426"/>
      <c r="D38" s="705">
        <f>$E$26+1</f>
        <v>2026</v>
      </c>
      <c r="E38" s="1002">
        <v>0.7</v>
      </c>
      <c r="F38" s="1002"/>
      <c r="G38" s="1002"/>
      <c r="H38" s="1002">
        <v>0.8</v>
      </c>
      <c r="I38" s="1002"/>
      <c r="J38" s="1002"/>
      <c r="K38" s="707">
        <v>0.6</v>
      </c>
      <c r="L38" s="707">
        <v>0.9</v>
      </c>
      <c r="M38" s="958"/>
      <c r="N38" s="958"/>
      <c r="O38" s="430"/>
      <c r="P38" s="432"/>
      <c r="S38" s="355"/>
      <c r="U38" s="356"/>
    </row>
    <row r="39" spans="2:21" ht="63" customHeight="1">
      <c r="B39" s="426"/>
      <c r="C39" s="426"/>
      <c r="D39" s="705">
        <f>$E$26+2</f>
        <v>2027</v>
      </c>
      <c r="E39" s="1002">
        <v>0.7</v>
      </c>
      <c r="F39" s="1002"/>
      <c r="G39" s="1002"/>
      <c r="H39" s="1002">
        <v>0.7</v>
      </c>
      <c r="I39" s="1002"/>
      <c r="J39" s="1002"/>
      <c r="K39" s="707">
        <v>0.7</v>
      </c>
      <c r="L39" s="707">
        <v>0.9</v>
      </c>
      <c r="M39" s="958"/>
      <c r="N39" s="958"/>
      <c r="O39" s="430"/>
      <c r="P39" s="430"/>
      <c r="S39" s="355"/>
      <c r="U39" s="356"/>
    </row>
    <row r="40" spans="2:21" ht="63" customHeight="1">
      <c r="B40" s="426"/>
      <c r="C40" s="426"/>
      <c r="D40" s="705">
        <f>$E$26+3</f>
        <v>2028</v>
      </c>
      <c r="E40" s="1002">
        <v>0.8</v>
      </c>
      <c r="F40" s="1002"/>
      <c r="G40" s="1002"/>
      <c r="H40" s="1002">
        <v>0.8</v>
      </c>
      <c r="I40" s="1002"/>
      <c r="J40" s="1002"/>
      <c r="K40" s="707">
        <v>0.8</v>
      </c>
      <c r="L40" s="707">
        <v>0.9</v>
      </c>
      <c r="M40" s="958"/>
      <c r="N40" s="958"/>
      <c r="O40" s="430"/>
      <c r="P40" s="430"/>
      <c r="S40" s="355"/>
      <c r="U40" s="356"/>
    </row>
    <row r="41" spans="2:21" ht="63" customHeight="1">
      <c r="B41" s="426"/>
      <c r="C41" s="426"/>
      <c r="D41" s="705">
        <f>$E$26+4</f>
        <v>2029</v>
      </c>
      <c r="E41" s="1002">
        <v>0.9</v>
      </c>
      <c r="F41" s="1002"/>
      <c r="G41" s="1002"/>
      <c r="H41" s="1002">
        <v>0.9</v>
      </c>
      <c r="I41" s="1002"/>
      <c r="J41" s="1002"/>
      <c r="K41" s="707">
        <v>0.9</v>
      </c>
      <c r="L41" s="707">
        <v>0.9</v>
      </c>
      <c r="M41" s="958"/>
      <c r="N41" s="958"/>
      <c r="O41" s="430"/>
      <c r="P41" s="430"/>
      <c r="S41" s="355"/>
      <c r="U41" s="356"/>
    </row>
    <row r="42" spans="2:21" ht="36" hidden="1" customHeight="1" outlineLevel="2" thickBot="1">
      <c r="B42" s="426"/>
      <c r="C42" s="426"/>
      <c r="D42" s="447" t="s">
        <v>166</v>
      </c>
      <c r="E42" s="448"/>
      <c r="F42" s="448"/>
      <c r="G42" s="448"/>
      <c r="H42" s="448"/>
      <c r="I42" s="448"/>
      <c r="J42" s="448"/>
      <c r="K42" s="448"/>
      <c r="L42" s="449"/>
      <c r="M42" s="1051" t="s">
        <v>167</v>
      </c>
      <c r="N42" s="966"/>
      <c r="O42" s="430"/>
      <c r="P42" s="430"/>
      <c r="S42" s="355"/>
      <c r="U42" s="356"/>
    </row>
    <row r="43" spans="2:21" ht="24" hidden="1" customHeight="1" outlineLevel="2">
      <c r="B43" s="426"/>
      <c r="C43" s="426"/>
      <c r="D43" s="360">
        <f>$E$26</f>
        <v>2025</v>
      </c>
      <c r="E43" s="967">
        <v>0.5</v>
      </c>
      <c r="F43" s="968"/>
      <c r="G43" s="968"/>
      <c r="H43" s="967">
        <v>0.5</v>
      </c>
      <c r="I43" s="968"/>
      <c r="J43" s="968"/>
      <c r="K43" s="361">
        <v>0.5</v>
      </c>
      <c r="L43" s="361">
        <v>0.5</v>
      </c>
      <c r="M43" s="961" t="s">
        <v>168</v>
      </c>
      <c r="N43" s="962"/>
      <c r="O43" s="430"/>
      <c r="P43" s="430"/>
      <c r="S43" s="355"/>
      <c r="U43" s="356"/>
    </row>
    <row r="44" spans="2:21" ht="24" hidden="1" customHeight="1" outlineLevel="2">
      <c r="B44" s="426"/>
      <c r="C44" s="426"/>
      <c r="D44" s="366">
        <f>$E$26+1</f>
        <v>2026</v>
      </c>
      <c r="E44" s="967">
        <v>0.6</v>
      </c>
      <c r="F44" s="968"/>
      <c r="G44" s="968"/>
      <c r="H44" s="967">
        <v>0.6</v>
      </c>
      <c r="I44" s="968"/>
      <c r="J44" s="968"/>
      <c r="K44" s="364">
        <v>0.6</v>
      </c>
      <c r="L44" s="364">
        <v>0.6</v>
      </c>
      <c r="M44" s="963"/>
      <c r="N44" s="964"/>
      <c r="O44" s="430"/>
      <c r="P44" s="430"/>
      <c r="S44" s="355"/>
      <c r="U44" s="356"/>
    </row>
    <row r="45" spans="2:21" ht="24" hidden="1" customHeight="1" outlineLevel="2">
      <c r="B45" s="426"/>
      <c r="C45" s="426"/>
      <c r="D45" s="366">
        <f>$E$26+2</f>
        <v>2027</v>
      </c>
      <c r="E45" s="967">
        <v>0.7</v>
      </c>
      <c r="F45" s="968"/>
      <c r="G45" s="968"/>
      <c r="H45" s="967">
        <v>0.7</v>
      </c>
      <c r="I45" s="968"/>
      <c r="J45" s="968"/>
      <c r="K45" s="364">
        <v>0.7</v>
      </c>
      <c r="L45" s="364">
        <v>0.7</v>
      </c>
      <c r="M45" s="963"/>
      <c r="N45" s="964"/>
      <c r="O45" s="430"/>
      <c r="P45" s="430"/>
      <c r="S45" s="355"/>
      <c r="U45" s="356"/>
    </row>
    <row r="46" spans="2:21" ht="24" hidden="1" customHeight="1" outlineLevel="2">
      <c r="B46" s="426"/>
      <c r="C46" s="426"/>
      <c r="D46" s="366">
        <f>$E$26+3</f>
        <v>2028</v>
      </c>
      <c r="E46" s="967">
        <v>0.8</v>
      </c>
      <c r="F46" s="968"/>
      <c r="G46" s="968"/>
      <c r="H46" s="967">
        <v>0.8</v>
      </c>
      <c r="I46" s="968"/>
      <c r="J46" s="968"/>
      <c r="K46" s="364">
        <v>0.8</v>
      </c>
      <c r="L46" s="364">
        <v>0.8</v>
      </c>
      <c r="M46" s="963"/>
      <c r="N46" s="964"/>
      <c r="O46" s="430"/>
      <c r="P46" s="430"/>
      <c r="S46" s="355"/>
      <c r="U46" s="356"/>
    </row>
    <row r="47" spans="2:21" ht="24" hidden="1" customHeight="1" outlineLevel="2" thickBot="1">
      <c r="B47" s="426"/>
      <c r="C47" s="426"/>
      <c r="D47" s="366">
        <f>$E$26+4</f>
        <v>2029</v>
      </c>
      <c r="E47" s="967">
        <v>0.9</v>
      </c>
      <c r="F47" s="968"/>
      <c r="G47" s="968"/>
      <c r="H47" s="967">
        <v>0.9</v>
      </c>
      <c r="I47" s="968"/>
      <c r="J47" s="968"/>
      <c r="K47" s="365">
        <v>0.9</v>
      </c>
      <c r="L47" s="365">
        <v>0.9</v>
      </c>
      <c r="M47" s="965"/>
      <c r="N47" s="966"/>
      <c r="O47" s="430"/>
      <c r="P47" s="430"/>
      <c r="S47" s="355"/>
      <c r="U47" s="356"/>
    </row>
    <row r="48" spans="2:21" ht="38.25" hidden="1" customHeight="1" outlineLevel="2" thickBot="1">
      <c r="B48" s="426"/>
      <c r="C48" s="426"/>
      <c r="D48" s="357" t="s">
        <v>169</v>
      </c>
      <c r="E48" s="358"/>
      <c r="F48" s="358"/>
      <c r="G48" s="358"/>
      <c r="H48" s="358"/>
      <c r="I48" s="358"/>
      <c r="J48" s="358"/>
      <c r="K48" s="358"/>
      <c r="L48" s="359"/>
      <c r="M48" s="1004" t="s">
        <v>170</v>
      </c>
      <c r="N48" s="1005"/>
      <c r="O48" s="430"/>
      <c r="P48" s="430"/>
      <c r="S48" s="355"/>
      <c r="U48" s="356"/>
    </row>
    <row r="49" spans="2:21" ht="24" hidden="1" customHeight="1" outlineLevel="2">
      <c r="B49" s="426"/>
      <c r="C49" s="426"/>
      <c r="D49" s="360">
        <f>$E$26</f>
        <v>2025</v>
      </c>
      <c r="E49" s="959">
        <v>0.9</v>
      </c>
      <c r="F49" s="960"/>
      <c r="G49" s="960"/>
      <c r="H49" s="959">
        <v>0.9</v>
      </c>
      <c r="I49" s="960"/>
      <c r="J49" s="960"/>
      <c r="K49" s="362">
        <v>0.9</v>
      </c>
      <c r="L49" s="362">
        <v>0.9</v>
      </c>
      <c r="M49" s="961" t="s">
        <v>171</v>
      </c>
      <c r="N49" s="962"/>
      <c r="O49" s="430"/>
      <c r="P49" s="430"/>
      <c r="S49" s="355"/>
      <c r="U49" s="356"/>
    </row>
    <row r="50" spans="2:21" ht="24" hidden="1" customHeight="1" outlineLevel="2">
      <c r="B50" s="426"/>
      <c r="C50" s="426"/>
      <c r="D50" s="366">
        <f>$E$26+1</f>
        <v>2026</v>
      </c>
      <c r="E50" s="967">
        <v>0.9</v>
      </c>
      <c r="F50" s="968"/>
      <c r="G50" s="968"/>
      <c r="H50" s="967">
        <v>0.9</v>
      </c>
      <c r="I50" s="968"/>
      <c r="J50" s="968"/>
      <c r="K50" s="364">
        <v>0.9</v>
      </c>
      <c r="L50" s="364">
        <v>0.9</v>
      </c>
      <c r="M50" s="963"/>
      <c r="N50" s="964"/>
      <c r="O50" s="430"/>
      <c r="P50" s="430"/>
      <c r="S50" s="355"/>
      <c r="U50" s="356"/>
    </row>
    <row r="51" spans="2:21" ht="24" hidden="1" customHeight="1" outlineLevel="2">
      <c r="B51" s="426"/>
      <c r="C51" s="426"/>
      <c r="D51" s="366">
        <f>$E$26+2</f>
        <v>2027</v>
      </c>
      <c r="E51" s="967">
        <v>0.9</v>
      </c>
      <c r="F51" s="968"/>
      <c r="G51" s="968"/>
      <c r="H51" s="967">
        <v>0.9</v>
      </c>
      <c r="I51" s="968"/>
      <c r="J51" s="968"/>
      <c r="K51" s="364">
        <v>0.9</v>
      </c>
      <c r="L51" s="364">
        <v>0.9</v>
      </c>
      <c r="M51" s="963"/>
      <c r="N51" s="964"/>
      <c r="O51" s="430"/>
      <c r="P51" s="430"/>
      <c r="S51" s="355"/>
      <c r="U51" s="356"/>
    </row>
    <row r="52" spans="2:21" ht="24" hidden="1" customHeight="1" outlineLevel="2">
      <c r="B52" s="426"/>
      <c r="C52" s="426"/>
      <c r="D52" s="366">
        <f>$E$26+3</f>
        <v>2028</v>
      </c>
      <c r="E52" s="967">
        <v>0.9</v>
      </c>
      <c r="F52" s="968"/>
      <c r="G52" s="968"/>
      <c r="H52" s="967">
        <v>0.9</v>
      </c>
      <c r="I52" s="968"/>
      <c r="J52" s="968"/>
      <c r="K52" s="364">
        <v>0.9</v>
      </c>
      <c r="L52" s="364">
        <v>0.9</v>
      </c>
      <c r="M52" s="963"/>
      <c r="N52" s="964"/>
      <c r="O52" s="430"/>
      <c r="P52" s="430"/>
      <c r="S52" s="355"/>
      <c r="U52" s="356"/>
    </row>
    <row r="53" spans="2:21" ht="24" hidden="1" customHeight="1" outlineLevel="2" thickBot="1">
      <c r="B53" s="426"/>
      <c r="C53" s="426"/>
      <c r="D53" s="366">
        <f>$E$26+4</f>
        <v>2029</v>
      </c>
      <c r="E53" s="1006">
        <v>0.9</v>
      </c>
      <c r="F53" s="1007"/>
      <c r="G53" s="1007"/>
      <c r="H53" s="1006">
        <v>0.9</v>
      </c>
      <c r="I53" s="1007"/>
      <c r="J53" s="1007"/>
      <c r="K53" s="365">
        <v>0.9</v>
      </c>
      <c r="L53" s="365">
        <v>0.9</v>
      </c>
      <c r="M53" s="965"/>
      <c r="N53" s="966"/>
      <c r="O53" s="430"/>
      <c r="P53" s="430"/>
      <c r="S53" s="355"/>
      <c r="U53" s="356"/>
    </row>
    <row r="54" spans="2:21" ht="30" customHeight="1" collapsed="1">
      <c r="B54" s="426"/>
      <c r="C54" s="426"/>
      <c r="D54" s="426"/>
      <c r="E54" s="426"/>
      <c r="F54" s="426"/>
      <c r="G54" s="426"/>
      <c r="H54" s="426"/>
      <c r="I54" s="426"/>
      <c r="J54" s="426"/>
      <c r="K54" s="427"/>
      <c r="L54" s="426"/>
      <c r="M54" s="426"/>
      <c r="N54" s="426"/>
      <c r="O54" s="426"/>
      <c r="P54" s="426"/>
      <c r="Q54" s="411"/>
      <c r="S54" s="412"/>
      <c r="U54" s="413"/>
    </row>
    <row r="55" spans="2:21" ht="46" customHeight="1">
      <c r="B55" s="426"/>
      <c r="C55" s="426"/>
      <c r="D55" s="988" t="s">
        <v>172</v>
      </c>
      <c r="E55" s="988"/>
      <c r="F55" s="988"/>
      <c r="G55" s="988"/>
      <c r="H55" s="988"/>
      <c r="I55" s="988"/>
      <c r="J55" s="988"/>
      <c r="K55" s="988"/>
      <c r="L55" s="988"/>
      <c r="M55" s="988"/>
      <c r="N55" s="988"/>
      <c r="O55" s="428"/>
      <c r="P55" s="428"/>
      <c r="Q55" s="411"/>
      <c r="S55" s="412"/>
      <c r="U55" s="413"/>
    </row>
    <row r="56" spans="2:21" ht="8.25" customHeight="1">
      <c r="B56" s="426"/>
      <c r="C56" s="426"/>
      <c r="D56" s="426"/>
      <c r="E56" s="426"/>
      <c r="F56" s="426"/>
      <c r="G56" s="426"/>
      <c r="H56" s="426"/>
      <c r="I56" s="426"/>
      <c r="J56" s="426"/>
      <c r="K56" s="427"/>
      <c r="L56" s="426"/>
      <c r="M56" s="426"/>
      <c r="N56" s="426"/>
      <c r="O56" s="426"/>
      <c r="P56" s="426"/>
      <c r="Q56" s="411"/>
      <c r="S56" s="412"/>
      <c r="U56" s="413"/>
    </row>
    <row r="57" spans="2:21" ht="70.400000000000006" customHeight="1">
      <c r="B57" s="426"/>
      <c r="C57" s="426"/>
      <c r="D57" s="735" t="s">
        <v>502</v>
      </c>
      <c r="E57" s="367" t="s">
        <v>144</v>
      </c>
      <c r="F57" s="1021" t="s">
        <v>501</v>
      </c>
      <c r="G57" s="1022"/>
      <c r="H57" s="1022"/>
      <c r="I57" s="1022"/>
      <c r="J57" s="1022"/>
      <c r="K57" s="1022"/>
      <c r="L57" s="1022"/>
      <c r="M57" s="1022"/>
      <c r="N57" s="1023"/>
      <c r="O57" s="433"/>
      <c r="P57" s="433"/>
      <c r="Q57" s="411"/>
      <c r="S57" s="412"/>
      <c r="U57" s="413"/>
    </row>
    <row r="58" spans="2:21" ht="8.25" customHeight="1">
      <c r="B58" s="426"/>
      <c r="C58" s="426"/>
      <c r="D58" s="426"/>
      <c r="E58" s="426"/>
      <c r="F58" s="437"/>
      <c r="G58" s="437"/>
      <c r="H58" s="437"/>
      <c r="I58" s="437"/>
      <c r="J58" s="437"/>
      <c r="K58" s="428"/>
      <c r="L58" s="437"/>
      <c r="M58" s="437"/>
      <c r="N58" s="437"/>
      <c r="O58" s="426"/>
      <c r="P58" s="426"/>
      <c r="Q58" s="411"/>
      <c r="S58" s="412"/>
      <c r="U58" s="413"/>
    </row>
    <row r="59" spans="2:21" ht="68.5" customHeight="1">
      <c r="B59" s="426"/>
      <c r="C59" s="426"/>
      <c r="D59" s="368" t="s">
        <v>173</v>
      </c>
      <c r="E59" s="369" t="s">
        <v>292</v>
      </c>
      <c r="F59" s="1024" t="s">
        <v>500</v>
      </c>
      <c r="G59" s="1025"/>
      <c r="H59" s="1025"/>
      <c r="I59" s="1025"/>
      <c r="J59" s="1025"/>
      <c r="K59" s="1025"/>
      <c r="L59" s="1025"/>
      <c r="M59" s="1025"/>
      <c r="N59" s="1026"/>
      <c r="O59" s="708"/>
      <c r="P59" s="708"/>
      <c r="Q59" s="411"/>
      <c r="S59" s="412"/>
      <c r="U59" s="413"/>
    </row>
    <row r="60" spans="2:21" ht="68.5" customHeight="1">
      <c r="B60" s="426"/>
      <c r="C60" s="426"/>
      <c r="D60" s="736" t="s">
        <v>496</v>
      </c>
      <c r="E60" s="369" t="s">
        <v>484</v>
      </c>
      <c r="F60" s="969" t="s">
        <v>495</v>
      </c>
      <c r="G60" s="970"/>
      <c r="H60" s="970"/>
      <c r="I60" s="970"/>
      <c r="J60" s="970"/>
      <c r="K60" s="970"/>
      <c r="L60" s="970"/>
      <c r="M60" s="970"/>
      <c r="N60" s="971"/>
      <c r="O60" s="708"/>
      <c r="P60" s="708"/>
      <c r="Q60" s="411"/>
      <c r="S60" s="412"/>
      <c r="U60" s="413"/>
    </row>
    <row r="61" spans="2:21" ht="95.5" customHeight="1">
      <c r="B61" s="426"/>
      <c r="C61" s="426"/>
      <c r="D61" s="736" t="s">
        <v>499</v>
      </c>
      <c r="E61" s="730">
        <v>3</v>
      </c>
      <c r="F61" s="969" t="s">
        <v>497</v>
      </c>
      <c r="G61" s="970"/>
      <c r="H61" s="970"/>
      <c r="I61" s="970"/>
      <c r="J61" s="970"/>
      <c r="K61" s="970"/>
      <c r="L61" s="970"/>
      <c r="M61" s="970"/>
      <c r="N61" s="971"/>
      <c r="O61" s="708"/>
      <c r="P61" s="708"/>
      <c r="Q61" s="411"/>
      <c r="S61" s="412"/>
      <c r="U61" s="413"/>
    </row>
    <row r="62" spans="2:21" ht="7.5" customHeight="1">
      <c r="B62" s="426"/>
      <c r="C62" s="708"/>
      <c r="D62" s="708"/>
      <c r="E62" s="708"/>
      <c r="F62" s="708"/>
      <c r="G62" s="708"/>
      <c r="H62" s="708"/>
      <c r="I62" s="708"/>
      <c r="J62" s="708"/>
      <c r="K62" s="708"/>
      <c r="L62" s="708"/>
      <c r="M62" s="708"/>
      <c r="N62" s="708"/>
      <c r="O62" s="708"/>
      <c r="P62" s="708"/>
      <c r="Q62" s="731"/>
      <c r="S62" s="412"/>
      <c r="U62" s="413"/>
    </row>
    <row r="63" spans="2:21" ht="46" customHeight="1">
      <c r="B63" s="426"/>
      <c r="C63" s="426"/>
      <c r="D63" s="366" t="s">
        <v>174</v>
      </c>
      <c r="E63" s="732"/>
      <c r="F63" s="972" t="s">
        <v>494</v>
      </c>
      <c r="G63" s="972"/>
      <c r="H63" s="972"/>
      <c r="I63" s="972"/>
      <c r="J63" s="972"/>
      <c r="K63" s="972"/>
      <c r="L63" s="972"/>
      <c r="M63" s="972"/>
      <c r="N63" s="972"/>
      <c r="O63" s="426"/>
      <c r="P63" s="426"/>
      <c r="Q63" s="411"/>
      <c r="S63" s="412"/>
      <c r="U63" s="413"/>
    </row>
    <row r="64" spans="2:21" ht="50.15" customHeight="1">
      <c r="B64" s="426"/>
      <c r="C64" s="426"/>
      <c r="D64" s="737" t="s">
        <v>491</v>
      </c>
      <c r="E64" s="733">
        <v>0.15</v>
      </c>
      <c r="F64" s="973" t="s">
        <v>503</v>
      </c>
      <c r="G64" s="974"/>
      <c r="H64" s="974"/>
      <c r="I64" s="974"/>
      <c r="J64" s="974"/>
      <c r="K64" s="974"/>
      <c r="L64" s="974"/>
      <c r="M64" s="974"/>
      <c r="N64" s="975"/>
      <c r="O64" s="426"/>
      <c r="P64" s="426"/>
      <c r="Q64" s="411"/>
      <c r="S64" s="412"/>
      <c r="U64" s="413"/>
    </row>
    <row r="65" spans="2:36" ht="25.5" customHeight="1">
      <c r="B65" s="426"/>
      <c r="C65" s="426"/>
      <c r="D65" s="370">
        <f>E26</f>
        <v>2025</v>
      </c>
      <c r="E65" s="766" t="str">
        <f>IF($E$57="No",1,IF($E$59="Transición preparatoria",MIN(0.8,E64),IF($E$59="Transición acelerada",_xlfn.XLOOKUP(D65,Datos!$B$32:$B$36,Datos!$C$32:$C$36),"vea abajo")))</f>
        <v>vea abajo</v>
      </c>
      <c r="F65" s="976"/>
      <c r="G65" s="977"/>
      <c r="H65" s="977"/>
      <c r="I65" s="977"/>
      <c r="J65" s="977"/>
      <c r="K65" s="977"/>
      <c r="L65" s="977"/>
      <c r="M65" s="977"/>
      <c r="N65" s="978"/>
      <c r="O65" s="708"/>
      <c r="P65" s="708"/>
      <c r="Q65" s="411"/>
      <c r="S65" s="412"/>
      <c r="U65" s="413"/>
    </row>
    <row r="66" spans="2:36" ht="25.5" customHeight="1">
      <c r="B66" s="426"/>
      <c r="C66" s="426"/>
      <c r="D66" s="371">
        <f>$E$26+1</f>
        <v>2026</v>
      </c>
      <c r="E66" s="766" t="str">
        <f>IF($E$57="No",1,IF($E$59="Transición preparatoria",MIN(0.8,E65*1.15),IF($E$59="Transición acelerada",_xlfn.XLOOKUP(D66,Datos!$B$32:$B$36,Datos!$C$32:$C$36),"vea abajo")))</f>
        <v>vea abajo</v>
      </c>
      <c r="F66" s="976"/>
      <c r="G66" s="977"/>
      <c r="H66" s="977"/>
      <c r="I66" s="977"/>
      <c r="J66" s="977"/>
      <c r="K66" s="977"/>
      <c r="L66" s="977"/>
      <c r="M66" s="977"/>
      <c r="N66" s="978"/>
      <c r="O66" s="708"/>
      <c r="P66" s="708"/>
      <c r="Q66" s="411"/>
      <c r="S66" s="412"/>
      <c r="U66" s="413"/>
    </row>
    <row r="67" spans="2:36" ht="25.5" customHeight="1">
      <c r="B67" s="426"/>
      <c r="C67" s="426"/>
      <c r="D67" s="371">
        <f>$E$26+2</f>
        <v>2027</v>
      </c>
      <c r="E67" s="766" t="str">
        <f>IF($E$57="No",1,IF($E$59="Transición preparatoria",MIN(0.8,E66*1.15),IF($E$59="Transición acelerada",_xlfn.XLOOKUP(D67,Datos!$B$32:$B$36,Datos!$C$32:$C$36),"vea abajo")))</f>
        <v>vea abajo</v>
      </c>
      <c r="F67" s="976"/>
      <c r="G67" s="977"/>
      <c r="H67" s="977"/>
      <c r="I67" s="977"/>
      <c r="J67" s="977"/>
      <c r="K67" s="977"/>
      <c r="L67" s="977"/>
      <c r="M67" s="977"/>
      <c r="N67" s="978"/>
      <c r="O67" s="708"/>
      <c r="P67" s="708"/>
      <c r="Q67" s="411"/>
      <c r="S67" s="412"/>
      <c r="U67" s="413"/>
    </row>
    <row r="68" spans="2:36" ht="25.5" customHeight="1">
      <c r="B68" s="426"/>
      <c r="C68" s="426"/>
      <c r="D68" s="371">
        <f>$E$26+3</f>
        <v>2028</v>
      </c>
      <c r="E68" s="766" t="str">
        <f>IF($E$57="No",1,IF($E$59="Transición preparatoria",MIN(0.8,E67*1.15),IF($E$59="Transición acelerada",_xlfn.XLOOKUP(D68,Datos!$B$32:$B$36,Datos!$C$32:$C$36),"vea abajo")))</f>
        <v>vea abajo</v>
      </c>
      <c r="F68" s="976"/>
      <c r="G68" s="977"/>
      <c r="H68" s="977"/>
      <c r="I68" s="977"/>
      <c r="J68" s="977"/>
      <c r="K68" s="977"/>
      <c r="L68" s="977"/>
      <c r="M68" s="977"/>
      <c r="N68" s="978"/>
      <c r="O68" s="708"/>
      <c r="P68" s="708"/>
      <c r="Q68" s="411"/>
      <c r="S68" s="412"/>
      <c r="U68" s="413"/>
    </row>
    <row r="69" spans="2:36" ht="25" customHeight="1">
      <c r="B69" s="426"/>
      <c r="C69" s="426"/>
      <c r="D69" s="371">
        <f>$E$26+4</f>
        <v>2029</v>
      </c>
      <c r="E69" s="766" t="str">
        <f>IF($E$57="No",1,IF($E$59="Transición preparatoria",MIN(0.8,E68*1.15),IF($E$59="Transición acelerada",_xlfn.XLOOKUP(D69,Datos!$B$32:$B$36,Datos!$C$32:$C$36),"vea abajo")))</f>
        <v>vea abajo</v>
      </c>
      <c r="F69" s="979"/>
      <c r="G69" s="980"/>
      <c r="H69" s="980"/>
      <c r="I69" s="980"/>
      <c r="J69" s="980"/>
      <c r="K69" s="980"/>
      <c r="L69" s="980"/>
      <c r="M69" s="980"/>
      <c r="N69" s="981"/>
      <c r="O69" s="708"/>
      <c r="P69" s="708"/>
      <c r="Q69" s="411"/>
      <c r="S69" s="412"/>
      <c r="U69" s="413"/>
    </row>
    <row r="70" spans="2:36" ht="44.15" customHeight="1">
      <c r="B70" s="426"/>
      <c r="C70" s="426"/>
      <c r="D70" s="1009"/>
      <c r="E70" s="1009"/>
      <c r="F70" s="1010"/>
      <c r="G70" s="1010"/>
      <c r="H70" s="1010"/>
      <c r="I70" s="1010"/>
      <c r="J70" s="1010"/>
      <c r="K70" s="1010"/>
      <c r="L70" s="1010"/>
      <c r="M70" s="426"/>
      <c r="N70" s="426"/>
      <c r="O70" s="426"/>
      <c r="P70" s="434"/>
      <c r="Q70" s="411"/>
      <c r="S70" s="412"/>
      <c r="U70" s="413"/>
    </row>
    <row r="71" spans="2:36" ht="46" customHeight="1">
      <c r="B71" s="426"/>
      <c r="C71" s="426"/>
      <c r="D71" s="988" t="s">
        <v>175</v>
      </c>
      <c r="E71" s="988"/>
      <c r="F71" s="988"/>
      <c r="G71" s="988"/>
      <c r="H71" s="988"/>
      <c r="I71" s="988"/>
      <c r="J71" s="988"/>
      <c r="K71" s="988"/>
      <c r="L71" s="988"/>
      <c r="M71" s="988"/>
      <c r="N71" s="988"/>
      <c r="O71" s="435"/>
      <c r="P71" s="435"/>
      <c r="Q71" s="422"/>
      <c r="R71" s="422"/>
      <c r="S71" s="422"/>
      <c r="T71" s="712"/>
      <c r="U71" s="712"/>
      <c r="V71" s="712"/>
      <c r="W71" s="712"/>
      <c r="X71" s="712"/>
      <c r="Z71" s="1008"/>
      <c r="AA71" s="1008"/>
      <c r="AB71" s="1008"/>
      <c r="AC71" s="1008"/>
      <c r="AD71" s="1008"/>
      <c r="AE71" s="1008"/>
      <c r="AF71" s="1008"/>
      <c r="AG71" s="1008"/>
      <c r="AH71" s="1008"/>
      <c r="AI71" s="1008"/>
      <c r="AJ71" s="1008"/>
    </row>
    <row r="72" spans="2:36" ht="25" customHeight="1">
      <c r="B72" s="426"/>
      <c r="C72" s="426"/>
      <c r="D72" s="687" t="s">
        <v>176</v>
      </c>
      <c r="E72" s="456" t="s">
        <v>177</v>
      </c>
      <c r="F72" s="426"/>
      <c r="G72" s="426"/>
      <c r="H72" s="426"/>
      <c r="I72" s="456"/>
      <c r="J72" s="456"/>
      <c r="K72" s="426"/>
      <c r="L72" s="426"/>
      <c r="M72" s="426"/>
      <c r="N72" s="426"/>
      <c r="O72" s="474" t="s">
        <v>178</v>
      </c>
      <c r="P72" s="426"/>
    </row>
    <row r="73" spans="2:36" ht="32.5" customHeight="1">
      <c r="B73" s="426"/>
      <c r="C73" s="426"/>
      <c r="D73" s="457"/>
      <c r="E73" s="955" t="s">
        <v>147</v>
      </c>
      <c r="F73" s="956"/>
      <c r="G73" s="956"/>
      <c r="H73" s="955" t="s">
        <v>148</v>
      </c>
      <c r="I73" s="956"/>
      <c r="J73" s="956"/>
      <c r="K73" s="955" t="s">
        <v>149</v>
      </c>
      <c r="L73" s="956"/>
      <c r="M73" s="426"/>
      <c r="N73" s="426"/>
      <c r="O73" s="426"/>
      <c r="P73" s="426"/>
    </row>
    <row r="74" spans="2:36" s="487" customFormat="1" ht="50.25" customHeight="1">
      <c r="B74" s="481"/>
      <c r="C74" s="481"/>
      <c r="D74" s="482" t="s">
        <v>179</v>
      </c>
      <c r="E74" s="483"/>
      <c r="F74" s="483"/>
      <c r="G74" s="483"/>
      <c r="H74" s="483"/>
      <c r="I74" s="483"/>
      <c r="J74" s="483"/>
      <c r="K74" s="483"/>
      <c r="L74" s="483"/>
      <c r="M74" s="483"/>
      <c r="N74" s="484"/>
      <c r="O74" s="485"/>
      <c r="P74" s="485"/>
      <c r="Q74" s="486"/>
      <c r="R74" s="486"/>
      <c r="S74" s="486"/>
      <c r="T74" s="716"/>
      <c r="U74" s="716"/>
      <c r="V74" s="716"/>
      <c r="W74" s="716"/>
      <c r="X74" s="716"/>
      <c r="Z74" s="1003"/>
      <c r="AA74" s="1003"/>
      <c r="AB74" s="1003"/>
      <c r="AC74" s="1003"/>
      <c r="AD74" s="1003"/>
      <c r="AE74" s="1003"/>
      <c r="AF74" s="1003"/>
      <c r="AG74" s="1003"/>
      <c r="AH74" s="1003"/>
      <c r="AI74" s="1003"/>
      <c r="AJ74" s="1003"/>
    </row>
    <row r="75" spans="2:36" ht="7.5" customHeight="1">
      <c r="B75" s="426"/>
      <c r="C75" s="426"/>
      <c r="D75" s="437"/>
      <c r="E75" s="426"/>
      <c r="F75" s="426"/>
      <c r="G75" s="426"/>
      <c r="H75" s="426"/>
      <c r="I75" s="426"/>
      <c r="J75" s="426"/>
      <c r="K75" s="426"/>
      <c r="L75" s="426"/>
      <c r="M75" s="426"/>
      <c r="N75" s="426"/>
      <c r="O75" s="426"/>
      <c r="P75" s="426"/>
    </row>
    <row r="76" spans="2:36" s="410" customFormat="1" ht="158.15" customHeight="1">
      <c r="B76" s="426"/>
      <c r="C76" s="426"/>
      <c r="D76" s="688" t="s">
        <v>180</v>
      </c>
      <c r="E76" s="1000" t="s">
        <v>181</v>
      </c>
      <c r="F76" s="1000"/>
      <c r="G76" s="1000"/>
      <c r="H76" s="1000" t="s">
        <v>152</v>
      </c>
      <c r="I76" s="1000"/>
      <c r="J76" s="1000"/>
      <c r="K76" s="1000" t="s">
        <v>182</v>
      </c>
      <c r="L76" s="1000"/>
      <c r="M76" s="957" t="s">
        <v>154</v>
      </c>
      <c r="N76" s="957"/>
      <c r="O76" s="426"/>
      <c r="P76" s="426"/>
      <c r="S76" s="721"/>
      <c r="T76" s="722"/>
      <c r="U76" s="721"/>
      <c r="V76" s="722"/>
      <c r="X76" s="722"/>
      <c r="Y76" s="721"/>
      <c r="Z76" s="721"/>
      <c r="AA76" s="722"/>
      <c r="AB76" s="722"/>
      <c r="AD76" s="422"/>
    </row>
    <row r="77" spans="2:36" s="410" customFormat="1" ht="56.25" hidden="1" customHeight="1">
      <c r="B77" s="426"/>
      <c r="C77" s="426"/>
      <c r="D77" s="458"/>
      <c r="E77" s="714"/>
      <c r="F77" s="714"/>
      <c r="G77" s="714"/>
      <c r="H77" s="705"/>
      <c r="I77" s="714"/>
      <c r="J77" s="714"/>
      <c r="K77" s="714"/>
      <c r="L77" s="714"/>
      <c r="M77" s="459"/>
      <c r="N77" s="459"/>
      <c r="O77" s="426"/>
      <c r="P77" s="426"/>
      <c r="S77" s="721"/>
      <c r="T77" s="722"/>
      <c r="U77" s="721"/>
      <c r="V77" s="722"/>
      <c r="X77" s="722"/>
      <c r="Y77" s="721"/>
      <c r="Z77" s="721"/>
      <c r="AA77" s="722"/>
      <c r="AB77" s="722"/>
      <c r="AD77" s="422"/>
    </row>
    <row r="78" spans="2:36" ht="75" customHeight="1">
      <c r="B78" s="426"/>
      <c r="C78" s="426"/>
      <c r="D78" s="440" t="s">
        <v>183</v>
      </c>
      <c r="E78" s="460" t="s">
        <v>53</v>
      </c>
      <c r="F78" s="460" t="s">
        <v>185</v>
      </c>
      <c r="G78" s="460" t="s">
        <v>185</v>
      </c>
      <c r="H78" s="460" t="s">
        <v>185</v>
      </c>
      <c r="I78" s="460" t="s">
        <v>185</v>
      </c>
      <c r="J78" s="460" t="s">
        <v>185</v>
      </c>
      <c r="K78" s="460" t="s">
        <v>53</v>
      </c>
      <c r="L78" s="460" t="s">
        <v>289</v>
      </c>
      <c r="M78" s="958" t="s">
        <v>186</v>
      </c>
      <c r="N78" s="958"/>
      <c r="O78" s="426"/>
      <c r="P78" s="426"/>
      <c r="S78" s="372"/>
      <c r="T78" s="373"/>
      <c r="U78" s="352"/>
      <c r="V78" s="352"/>
      <c r="X78" s="712"/>
      <c r="Y78" s="713"/>
      <c r="AA78" s="713"/>
      <c r="AC78" s="713"/>
    </row>
    <row r="79" spans="2:36" ht="8.25" customHeight="1">
      <c r="B79" s="426"/>
      <c r="C79" s="426"/>
      <c r="D79" s="464"/>
      <c r="E79" s="465" t="str">
        <f>IF(E78=Datos!$A$13, "! Este producto no está disponible para los países pertenecientes a Gavi !"," ")</f>
        <v xml:space="preserve"> </v>
      </c>
      <c r="F79" s="465" t="str">
        <f>IF(F78=Datos!$A$13, "! Este producto no está disponible para los países pertenecientes a Gavi !"," ")</f>
        <v xml:space="preserve"> </v>
      </c>
      <c r="G79" s="465" t="str">
        <f>IF(G78=Datos!$A$13, "! Este producto no está disponible para los países pertenecientes a Gavi !"," ")</f>
        <v xml:space="preserve"> </v>
      </c>
      <c r="H79" s="465" t="str">
        <f>IF(H78=Datos!$A$13, "! Este producto no está disponible para los países pertenecientes a Gavi !"," ")</f>
        <v xml:space="preserve"> </v>
      </c>
      <c r="I79" s="465" t="str">
        <f>IF(I78=Datos!$A$13, "! Este producto no está disponible para los países pertenecientes a Gavi !"," ")</f>
        <v xml:space="preserve"> </v>
      </c>
      <c r="J79" s="465" t="str">
        <f>IF(J78=Datos!$A$13, "! Este producto no está disponible para los países pertenecientes a Gavi !"," ")</f>
        <v xml:space="preserve"> </v>
      </c>
      <c r="K79" s="465"/>
      <c r="L79" s="465"/>
      <c r="M79" s="437"/>
      <c r="N79" s="437"/>
      <c r="O79" s="436"/>
      <c r="P79" s="426"/>
      <c r="S79" s="374"/>
      <c r="T79" s="375"/>
      <c r="U79" s="376"/>
      <c r="V79" s="373"/>
      <c r="Y79" s="713"/>
      <c r="AA79" s="713"/>
      <c r="AC79" s="713"/>
    </row>
    <row r="80" spans="2:36" ht="42" customHeight="1">
      <c r="B80" s="426"/>
      <c r="C80" s="426"/>
      <c r="D80" s="717" t="s">
        <v>187</v>
      </c>
      <c r="E80" s="669">
        <v>3.5</v>
      </c>
      <c r="F80" s="718">
        <v>3</v>
      </c>
      <c r="G80" s="670">
        <v>3</v>
      </c>
      <c r="H80" s="671">
        <v>20</v>
      </c>
      <c r="I80" s="718">
        <v>3</v>
      </c>
      <c r="J80" s="670">
        <v>3</v>
      </c>
      <c r="K80" s="718">
        <v>3</v>
      </c>
      <c r="L80" s="670">
        <v>20</v>
      </c>
      <c r="M80" s="1038" t="s">
        <v>188</v>
      </c>
      <c r="N80" s="1039"/>
      <c r="O80" s="436"/>
      <c r="P80" s="426"/>
      <c r="S80" s="377"/>
      <c r="T80" s="380"/>
      <c r="U80" s="375"/>
      <c r="V80" s="375"/>
      <c r="X80" s="351"/>
      <c r="Y80" s="713"/>
      <c r="AA80" s="713"/>
      <c r="AC80" s="713"/>
    </row>
    <row r="81" spans="1:352" ht="30" customHeight="1">
      <c r="B81" s="426"/>
      <c r="C81" s="426"/>
      <c r="D81" s="378" t="s">
        <v>189</v>
      </c>
      <c r="E81" s="672">
        <f>IFERROR(INDEX(Datos!$A$2:$E$9,MATCH(E78,Datos!$A$2:$A$9,0),2),"-")</f>
        <v>3.5</v>
      </c>
      <c r="F81" s="673" t="str">
        <f>IFERROR(INDEX(Datos!$A$2:$E$9,MATCH(F78,Datos!$A$2:$A$9,0),2),"-")</f>
        <v>N.A.</v>
      </c>
      <c r="G81" s="674" t="str">
        <f>IFERROR(INDEX(Datos!$A$2:$E$9,MATCH(G78,Datos!$A$2:$A$9,0),2),"-")</f>
        <v>N.A.</v>
      </c>
      <c r="H81" s="675" t="str">
        <f>IFERROR(INDEX(Datos!$A$2:$E$9,MATCH(H78,Datos!$A$2:$A$9,0),2),"-")</f>
        <v>N.A.</v>
      </c>
      <c r="I81" s="673" t="str">
        <f>IFERROR(INDEX(Datos!$A$2:$E$9,MATCH(I78,Datos!$A$2:$A$9,0),2),"-")</f>
        <v>N.A.</v>
      </c>
      <c r="J81" s="674" t="str">
        <f>IFERROR(INDEX(Datos!$A$2:$E$9,MATCH(J78,Datos!$A$2:$A$9,0),2),"-")</f>
        <v>N.A.</v>
      </c>
      <c r="K81" s="673">
        <f>IFERROR(INDEX(Datos!$A$2:$E$9,MATCH(K78,Datos!$A$2:$A$9,0),2),"-")</f>
        <v>3.5</v>
      </c>
      <c r="L81" s="674">
        <f>IFERROR(INDEX(Datos!$A$2:$E$9,MATCH(L78,Datos!$A$2:$A$9,0),2),"-")</f>
        <v>20</v>
      </c>
      <c r="M81" s="1049"/>
      <c r="N81" s="999"/>
      <c r="O81" s="436"/>
      <c r="P81" s="426"/>
      <c r="S81" s="377"/>
      <c r="T81" s="380"/>
      <c r="U81" s="375"/>
      <c r="V81" s="375"/>
      <c r="X81" s="351"/>
      <c r="Y81" s="713"/>
      <c r="AA81" s="713"/>
      <c r="AC81" s="713"/>
    </row>
    <row r="82" spans="1:352" ht="30" hidden="1" customHeight="1" outlineLevel="1">
      <c r="B82" s="426"/>
      <c r="C82" s="426"/>
      <c r="D82" s="461" t="s">
        <v>190</v>
      </c>
      <c r="E82" s="466"/>
      <c r="F82" s="466"/>
      <c r="G82" s="466"/>
      <c r="H82" s="466"/>
      <c r="I82" s="466"/>
      <c r="J82" s="466"/>
      <c r="K82" s="466"/>
      <c r="L82" s="466"/>
      <c r="M82" s="1043"/>
      <c r="N82" s="1044"/>
      <c r="O82" s="426"/>
      <c r="P82" s="426"/>
      <c r="S82" s="377"/>
      <c r="T82" s="379"/>
      <c r="U82" s="375"/>
      <c r="V82" s="380"/>
      <c r="X82" s="380"/>
      <c r="Y82" s="380"/>
      <c r="AA82" s="380"/>
      <c r="AC82" s="380"/>
    </row>
    <row r="83" spans="1:352" ht="30" hidden="1" customHeight="1" outlineLevel="1">
      <c r="B83" s="426"/>
      <c r="C83" s="426"/>
      <c r="D83" s="442">
        <f>$E$26</f>
        <v>2025</v>
      </c>
      <c r="E83" s="738">
        <f t="shared" ref="E83:L87" si="1">IFERROR(IF($E$57="No",E$80,IF($E$59="Fase inicial de autofinanciación",0.2, $E65*E$80)),"-")</f>
        <v>0.2</v>
      </c>
      <c r="F83" s="738">
        <f t="shared" si="1"/>
        <v>0.2</v>
      </c>
      <c r="G83" s="738">
        <f t="shared" si="1"/>
        <v>0.2</v>
      </c>
      <c r="H83" s="738">
        <f t="shared" si="1"/>
        <v>0.2</v>
      </c>
      <c r="I83" s="738">
        <f t="shared" si="1"/>
        <v>0.2</v>
      </c>
      <c r="J83" s="738">
        <f t="shared" si="1"/>
        <v>0.2</v>
      </c>
      <c r="K83" s="738">
        <f t="shared" si="1"/>
        <v>0.2</v>
      </c>
      <c r="L83" s="739">
        <f t="shared" si="1"/>
        <v>0.2</v>
      </c>
      <c r="M83" s="958"/>
      <c r="N83" s="958"/>
      <c r="O83" s="426"/>
      <c r="P83" s="426"/>
      <c r="S83" s="381"/>
      <c r="T83" s="379"/>
      <c r="U83" s="379"/>
      <c r="V83" s="379"/>
      <c r="X83" s="351"/>
      <c r="Y83" s="382"/>
      <c r="AA83" s="382"/>
      <c r="AC83" s="382"/>
    </row>
    <row r="84" spans="1:352" ht="30" hidden="1" customHeight="1" outlineLevel="1">
      <c r="B84" s="426"/>
      <c r="C84" s="426"/>
      <c r="D84" s="442">
        <f>$E$26+1</f>
        <v>2026</v>
      </c>
      <c r="E84" s="675">
        <f t="shared" si="1"/>
        <v>0.2</v>
      </c>
      <c r="F84" s="675">
        <f t="shared" si="1"/>
        <v>0.2</v>
      </c>
      <c r="G84" s="675">
        <f t="shared" si="1"/>
        <v>0.2</v>
      </c>
      <c r="H84" s="675">
        <f t="shared" si="1"/>
        <v>0.2</v>
      </c>
      <c r="I84" s="675">
        <f t="shared" si="1"/>
        <v>0.2</v>
      </c>
      <c r="J84" s="675">
        <f t="shared" si="1"/>
        <v>0.2</v>
      </c>
      <c r="K84" s="675">
        <f t="shared" si="1"/>
        <v>0.2</v>
      </c>
      <c r="L84" s="675">
        <f t="shared" si="1"/>
        <v>0.2</v>
      </c>
      <c r="M84" s="958"/>
      <c r="N84" s="958"/>
      <c r="O84" s="426"/>
      <c r="P84" s="426"/>
      <c r="S84" s="381"/>
      <c r="T84" s="379"/>
      <c r="U84" s="379"/>
      <c r="V84" s="379"/>
      <c r="X84" s="351"/>
      <c r="Y84" s="382"/>
      <c r="AA84" s="382"/>
      <c r="AC84" s="382"/>
    </row>
    <row r="85" spans="1:352" ht="30" hidden="1" customHeight="1" outlineLevel="1">
      <c r="B85" s="426"/>
      <c r="C85" s="426"/>
      <c r="D85" s="442">
        <f>$E$26+2</f>
        <v>2027</v>
      </c>
      <c r="E85" s="675">
        <f t="shared" si="1"/>
        <v>0.2</v>
      </c>
      <c r="F85" s="675">
        <f t="shared" si="1"/>
        <v>0.2</v>
      </c>
      <c r="G85" s="675">
        <f t="shared" si="1"/>
        <v>0.2</v>
      </c>
      <c r="H85" s="675">
        <f t="shared" si="1"/>
        <v>0.2</v>
      </c>
      <c r="I85" s="675">
        <f t="shared" si="1"/>
        <v>0.2</v>
      </c>
      <c r="J85" s="675">
        <f t="shared" si="1"/>
        <v>0.2</v>
      </c>
      <c r="K85" s="675">
        <f t="shared" si="1"/>
        <v>0.2</v>
      </c>
      <c r="L85" s="675">
        <f t="shared" si="1"/>
        <v>0.2</v>
      </c>
      <c r="M85" s="958"/>
      <c r="N85" s="958"/>
      <c r="O85" s="426"/>
      <c r="P85" s="426"/>
      <c r="S85" s="381"/>
      <c r="T85" s="379"/>
      <c r="U85" s="379"/>
      <c r="V85" s="379"/>
      <c r="X85" s="351"/>
      <c r="Y85" s="382"/>
      <c r="AA85" s="382"/>
      <c r="AC85" s="382"/>
    </row>
    <row r="86" spans="1:352" ht="30" hidden="1" customHeight="1" outlineLevel="1">
      <c r="B86" s="426"/>
      <c r="C86" s="426"/>
      <c r="D86" s="442">
        <f>$E$26+3</f>
        <v>2028</v>
      </c>
      <c r="E86" s="675">
        <f t="shared" si="1"/>
        <v>0.2</v>
      </c>
      <c r="F86" s="675">
        <f t="shared" si="1"/>
        <v>0.2</v>
      </c>
      <c r="G86" s="675">
        <f t="shared" si="1"/>
        <v>0.2</v>
      </c>
      <c r="H86" s="675">
        <f t="shared" si="1"/>
        <v>0.2</v>
      </c>
      <c r="I86" s="675">
        <f t="shared" si="1"/>
        <v>0.2</v>
      </c>
      <c r="J86" s="675">
        <f t="shared" si="1"/>
        <v>0.2</v>
      </c>
      <c r="K86" s="675">
        <f t="shared" si="1"/>
        <v>0.2</v>
      </c>
      <c r="L86" s="675">
        <f t="shared" si="1"/>
        <v>0.2</v>
      </c>
      <c r="M86" s="958"/>
      <c r="N86" s="958"/>
      <c r="O86" s="426"/>
      <c r="P86" s="426"/>
      <c r="S86" s="381"/>
      <c r="T86" s="379"/>
      <c r="U86" s="379"/>
      <c r="V86" s="379"/>
      <c r="X86" s="351"/>
      <c r="Y86" s="382"/>
      <c r="AA86" s="382"/>
      <c r="AC86" s="382"/>
    </row>
    <row r="87" spans="1:352" ht="30" hidden="1" customHeight="1" outlineLevel="1">
      <c r="B87" s="426"/>
      <c r="C87" s="426"/>
      <c r="D87" s="442">
        <f>$E$26+4</f>
        <v>2029</v>
      </c>
      <c r="E87" s="675">
        <f t="shared" si="1"/>
        <v>0.2</v>
      </c>
      <c r="F87" s="675">
        <f t="shared" si="1"/>
        <v>0.2</v>
      </c>
      <c r="G87" s="675">
        <f t="shared" si="1"/>
        <v>0.2</v>
      </c>
      <c r="H87" s="675">
        <f t="shared" si="1"/>
        <v>0.2</v>
      </c>
      <c r="I87" s="675">
        <f t="shared" si="1"/>
        <v>0.2</v>
      </c>
      <c r="J87" s="675">
        <f t="shared" si="1"/>
        <v>0.2</v>
      </c>
      <c r="K87" s="675">
        <f t="shared" si="1"/>
        <v>0.2</v>
      </c>
      <c r="L87" s="675">
        <f t="shared" si="1"/>
        <v>0.2</v>
      </c>
      <c r="M87" s="1045"/>
      <c r="N87" s="1045"/>
      <c r="O87" s="426"/>
      <c r="P87" s="426"/>
      <c r="S87" s="381"/>
      <c r="T87" s="383"/>
      <c r="U87" s="379"/>
      <c r="V87" s="379"/>
      <c r="X87" s="351"/>
      <c r="Y87" s="382"/>
      <c r="AA87" s="382"/>
      <c r="AC87" s="382"/>
    </row>
    <row r="88" spans="1:352" ht="30" customHeight="1" collapsed="1">
      <c r="B88" s="426"/>
      <c r="C88" s="426"/>
      <c r="D88" s="714" t="s">
        <v>191</v>
      </c>
      <c r="E88" s="767">
        <f>IFERROR(INDEX(Datos!$A$2:$E$9,MATCH(E78,Datos!$A$2:$A$9,0),3),"-")</f>
        <v>1</v>
      </c>
      <c r="F88" s="767" t="str">
        <f>IFERROR(INDEX(Datos!$A$2:$E$9,MATCH(F78,Datos!$A$2:$A$9,0),3),"-")</f>
        <v>N.A.</v>
      </c>
      <c r="G88" s="767" t="str">
        <f>IFERROR(INDEX(Datos!$A$2:$E$9,MATCH(G78,Datos!$A$2:$A$9,0),3),"-")</f>
        <v>N.A.</v>
      </c>
      <c r="H88" s="767" t="str">
        <f>IFERROR(INDEX(Datos!$A$2:$E$9,MATCH(H78,Datos!$A$2:$A$9,0),3),"-")</f>
        <v>N.A.</v>
      </c>
      <c r="I88" s="767" t="str">
        <f>IFERROR(INDEX(Datos!$A$2:$E$9,MATCH(I78,Datos!$A$2:$A$9,0),3),"-")</f>
        <v>N.A.</v>
      </c>
      <c r="J88" s="767" t="str">
        <f>IFERROR(INDEX(Datos!$A$2:$E$9,MATCH(J78,Datos!$A$2:$A$9,0),3),"-")</f>
        <v>N.A.</v>
      </c>
      <c r="K88" s="767">
        <f>IFERROR(INDEX(Datos!$A$2:$E$9,MATCH(K78,Datos!$A$2:$A$9,0),3),"-")</f>
        <v>1</v>
      </c>
      <c r="L88" s="768">
        <f>IFERROR(INDEX(Datos!$A$2:$E$9,MATCH(L78,Datos!$A$2:$A$9,0),3),"-")</f>
        <v>2</v>
      </c>
      <c r="M88" s="477"/>
      <c r="N88" s="478"/>
      <c r="O88" s="474"/>
      <c r="P88" s="426"/>
      <c r="S88" s="385"/>
      <c r="T88" s="386"/>
      <c r="U88" s="383"/>
      <c r="V88" s="383"/>
      <c r="X88" s="351"/>
      <c r="Y88" s="713"/>
      <c r="AA88" s="713"/>
      <c r="AC88" s="713"/>
    </row>
    <row r="89" spans="1:352" ht="30" customHeight="1">
      <c r="B89" s="426"/>
      <c r="C89" s="426"/>
      <c r="D89" s="705" t="s">
        <v>192</v>
      </c>
      <c r="E89" s="467">
        <f>IFERROR(INDEX(Datos!$A$2:$E$9,MATCH(E78,Datos!$A$2:$A$9,0),5),"-")</f>
        <v>6.06</v>
      </c>
      <c r="F89" s="467" t="str">
        <f>IFERROR(INDEX(Datos!$A$2:$E$9,MATCH(F78,Datos!$A$2:$A$9,0),5),"-")</f>
        <v>N.A.</v>
      </c>
      <c r="G89" s="467" t="str">
        <f>IFERROR(INDEX(Datos!$A$2:$E$9,MATCH(G78,Datos!$A$2:$A$9,0),5),"-")</f>
        <v>N.A.</v>
      </c>
      <c r="H89" s="467" t="str">
        <f>IFERROR(INDEX(Datos!$A$2:$E$9,MATCH(H78,Datos!$A$2:$A$9,0),5),"-")</f>
        <v>N.A.</v>
      </c>
      <c r="I89" s="467" t="str">
        <f>IFERROR(INDEX(Datos!$A$2:$E$9,MATCH(I78,Datos!$A$2:$A$9,0),5),"-")</f>
        <v>N.A.</v>
      </c>
      <c r="J89" s="467" t="str">
        <f>IFERROR(INDEX(Datos!$A$2:$E$9,MATCH(J78,Datos!$A$2:$A$9,0),5),"-")</f>
        <v>N.A.</v>
      </c>
      <c r="K89" s="467">
        <f>IFERROR(INDEX(Datos!$A$2:$E$9,MATCH(K78,Datos!$A$2:$A$9,0),5),"-")</f>
        <v>6.06</v>
      </c>
      <c r="L89" s="476">
        <f>IFERROR(INDEX(Datos!$A$2:$E$9,MATCH(L78,Datos!$A$2:$A$9,0),5),"-")</f>
        <v>17.12</v>
      </c>
      <c r="M89" s="479"/>
      <c r="N89" s="480"/>
      <c r="O89" s="475"/>
      <c r="P89" s="426"/>
      <c r="S89" s="387"/>
      <c r="T89" s="388"/>
      <c r="U89" s="386"/>
      <c r="V89" s="386"/>
      <c r="X89" s="351"/>
      <c r="Y89" s="713"/>
      <c r="AA89" s="713"/>
      <c r="AC89" s="713"/>
    </row>
    <row r="90" spans="1:352" ht="30" customHeight="1">
      <c r="B90" s="426"/>
      <c r="C90" s="426"/>
      <c r="D90" s="462" t="s">
        <v>193</v>
      </c>
      <c r="E90" s="469">
        <v>0.1</v>
      </c>
      <c r="F90" s="470">
        <v>0.1</v>
      </c>
      <c r="G90" s="470">
        <v>0.1</v>
      </c>
      <c r="H90" s="470">
        <v>0.1</v>
      </c>
      <c r="I90" s="470">
        <v>0.1</v>
      </c>
      <c r="J90" s="469">
        <v>0.1</v>
      </c>
      <c r="K90" s="469">
        <v>0.1</v>
      </c>
      <c r="L90" s="469">
        <v>0.1</v>
      </c>
      <c r="M90" s="1046"/>
      <c r="N90" s="1041"/>
      <c r="O90" s="474" t="s">
        <v>194</v>
      </c>
      <c r="P90" s="426"/>
      <c r="S90" s="389"/>
      <c r="T90" s="390"/>
      <c r="U90" s="391"/>
      <c r="V90" s="388"/>
      <c r="X90" s="392"/>
      <c r="Y90" s="995"/>
      <c r="AA90" s="995"/>
      <c r="AC90" s="995"/>
    </row>
    <row r="91" spans="1:352" s="424" customFormat="1" ht="30" customHeight="1">
      <c r="A91" s="410"/>
      <c r="B91" s="426"/>
      <c r="C91" s="426"/>
      <c r="D91" s="463" t="s">
        <v>195</v>
      </c>
      <c r="E91" s="769">
        <f>IFERROR(INDEX(Datos!$A$2:$E$9,MATCH(E78,Datos!$A$2:$A$9,0),4),"-")</f>
        <v>0.1</v>
      </c>
      <c r="F91" s="770" t="str">
        <f>IFERROR(INDEX(Datos!$A$2:$E$9,MATCH(F78,Datos!$A$2:$A$9,0),4),"-")</f>
        <v>N.A.</v>
      </c>
      <c r="G91" s="770" t="str">
        <f>IFERROR(INDEX(Datos!$A$2:$E$9,MATCH(G78,Datos!$A$2:$A$9,0),4),"-")</f>
        <v>N.A.</v>
      </c>
      <c r="H91" s="770" t="str">
        <f>IFERROR(INDEX(Datos!$A$2:$E$9,MATCH(H78,Datos!$A$2:$A$9,0),4),"-")</f>
        <v>N.A.</v>
      </c>
      <c r="I91" s="770" t="str">
        <f>IFERROR(INDEX(Datos!$A$2:$E$9,MATCH(I78,Datos!$A$2:$A$9,0),4),"-")</f>
        <v>N.A.</v>
      </c>
      <c r="J91" s="769" t="str">
        <f>IFERROR(INDEX(Datos!$A$2:$E$9,MATCH(J78,Datos!$A$2:$A$9,0),4),"-")</f>
        <v>N.A.</v>
      </c>
      <c r="K91" s="769">
        <f>IFERROR(INDEX(Datos!$A$2:$E$9,MATCH(K78,Datos!$A$2:$A$9,0),4),"-")</f>
        <v>0.1</v>
      </c>
      <c r="L91" s="769">
        <f>IFERROR(INDEX(Datos!$A$2:$E$9,MATCH(L78,Datos!$A$2:$A$9,0),4),"-")</f>
        <v>0.1</v>
      </c>
      <c r="M91" s="998"/>
      <c r="N91" s="999"/>
      <c r="O91" s="426"/>
      <c r="P91" s="426"/>
      <c r="Q91" s="410"/>
      <c r="R91" s="420"/>
      <c r="S91" s="393"/>
      <c r="T91" s="394"/>
      <c r="U91" s="390"/>
      <c r="V91" s="390"/>
      <c r="W91" s="409"/>
      <c r="X91" s="395"/>
      <c r="Y91" s="995"/>
      <c r="Z91" s="409"/>
      <c r="AA91" s="995"/>
      <c r="AB91" s="409"/>
      <c r="AC91" s="995"/>
      <c r="AD91" s="409"/>
      <c r="AE91" s="409"/>
      <c r="AF91" s="409"/>
      <c r="AG91" s="409"/>
      <c r="AH91" s="409"/>
      <c r="AI91" s="409"/>
      <c r="AJ91" s="409"/>
      <c r="AL91" s="410"/>
      <c r="AM91" s="410"/>
      <c r="AN91" s="410"/>
      <c r="AO91" s="410"/>
      <c r="AP91" s="410"/>
      <c r="AQ91" s="410"/>
      <c r="AR91" s="410"/>
      <c r="AS91" s="410"/>
      <c r="AT91" s="410"/>
      <c r="AU91" s="410"/>
      <c r="AV91" s="410"/>
      <c r="AW91" s="410"/>
      <c r="AX91" s="410"/>
      <c r="AY91" s="410"/>
      <c r="AZ91" s="410"/>
      <c r="BA91" s="410"/>
      <c r="BB91" s="410"/>
      <c r="BC91" s="410"/>
      <c r="BD91" s="410"/>
      <c r="BE91" s="410"/>
      <c r="BF91" s="410"/>
      <c r="BG91" s="410"/>
      <c r="BH91" s="410"/>
      <c r="BI91" s="410"/>
      <c r="BJ91" s="410"/>
      <c r="BK91" s="410"/>
      <c r="BL91" s="410"/>
      <c r="BM91" s="410"/>
      <c r="BN91" s="410"/>
      <c r="BO91" s="410"/>
      <c r="BP91" s="410"/>
      <c r="BQ91" s="410"/>
      <c r="BR91" s="410"/>
      <c r="BS91" s="410"/>
      <c r="BT91" s="410"/>
      <c r="BU91" s="410"/>
      <c r="BV91" s="410"/>
      <c r="BW91" s="410"/>
      <c r="BX91" s="410"/>
      <c r="BY91" s="410"/>
      <c r="BZ91" s="410"/>
      <c r="CA91" s="410"/>
      <c r="CB91" s="410"/>
      <c r="CC91" s="410"/>
      <c r="CD91" s="410"/>
      <c r="CE91" s="410"/>
      <c r="CF91" s="410"/>
      <c r="CG91" s="410"/>
      <c r="CH91" s="410"/>
      <c r="CI91" s="410"/>
      <c r="CJ91" s="410"/>
      <c r="CK91" s="410"/>
      <c r="CL91" s="410"/>
      <c r="CM91" s="410"/>
      <c r="CN91" s="410"/>
      <c r="CO91" s="410"/>
      <c r="CP91" s="410"/>
      <c r="CQ91" s="410"/>
      <c r="CR91" s="410"/>
      <c r="CS91" s="410"/>
      <c r="CT91" s="410"/>
      <c r="CU91" s="410"/>
      <c r="CV91" s="410"/>
      <c r="CW91" s="410"/>
      <c r="CX91" s="410"/>
      <c r="CY91" s="410"/>
      <c r="CZ91" s="410"/>
      <c r="DA91" s="410"/>
      <c r="DB91" s="410"/>
      <c r="DC91" s="410"/>
      <c r="DD91" s="410"/>
      <c r="DE91" s="410"/>
      <c r="DF91" s="410"/>
      <c r="DG91" s="410"/>
      <c r="DH91" s="410"/>
      <c r="DI91" s="410"/>
      <c r="DJ91" s="410"/>
      <c r="DK91" s="410"/>
      <c r="DL91" s="410"/>
      <c r="DM91" s="410"/>
      <c r="DN91" s="410"/>
      <c r="DO91" s="410"/>
      <c r="DP91" s="410"/>
      <c r="DQ91" s="410"/>
      <c r="DR91" s="410"/>
      <c r="DS91" s="410"/>
      <c r="DT91" s="410"/>
      <c r="DU91" s="410"/>
      <c r="DV91" s="410"/>
      <c r="DW91" s="410"/>
      <c r="DX91" s="410"/>
      <c r="DY91" s="410"/>
      <c r="DZ91" s="410"/>
      <c r="EA91" s="410"/>
      <c r="EB91" s="410"/>
      <c r="EC91" s="410"/>
      <c r="ED91" s="410"/>
      <c r="EE91" s="410"/>
      <c r="EF91" s="410"/>
      <c r="EG91" s="410"/>
      <c r="EH91" s="410"/>
      <c r="EI91" s="410"/>
      <c r="EJ91" s="410"/>
      <c r="EK91" s="410"/>
      <c r="EL91" s="410"/>
      <c r="EM91" s="410"/>
      <c r="EN91" s="410"/>
      <c r="EO91" s="410"/>
      <c r="EP91" s="410"/>
      <c r="EQ91" s="410"/>
      <c r="ER91" s="410"/>
      <c r="ES91" s="410"/>
      <c r="ET91" s="410"/>
      <c r="EU91" s="410"/>
      <c r="EV91" s="410"/>
      <c r="EW91" s="410"/>
      <c r="EX91" s="410"/>
      <c r="EY91" s="410"/>
      <c r="EZ91" s="410"/>
      <c r="FA91" s="410"/>
      <c r="FB91" s="410"/>
      <c r="FC91" s="410"/>
      <c r="FD91" s="410"/>
      <c r="FE91" s="410"/>
      <c r="FF91" s="410"/>
      <c r="FG91" s="410"/>
      <c r="FH91" s="410"/>
      <c r="FI91" s="410"/>
      <c r="FJ91" s="410"/>
      <c r="FK91" s="410"/>
      <c r="FL91" s="410"/>
      <c r="FM91" s="410"/>
      <c r="FN91" s="410"/>
      <c r="FO91" s="410"/>
      <c r="FP91" s="410"/>
      <c r="FQ91" s="410"/>
      <c r="FR91" s="410"/>
      <c r="FS91" s="410"/>
      <c r="FT91" s="410"/>
      <c r="FU91" s="410"/>
      <c r="FV91" s="410"/>
      <c r="FW91" s="410"/>
      <c r="FX91" s="410"/>
      <c r="FY91" s="410"/>
      <c r="FZ91" s="410"/>
      <c r="GA91" s="410"/>
      <c r="GB91" s="410"/>
      <c r="GC91" s="410"/>
      <c r="GD91" s="410"/>
      <c r="GE91" s="410"/>
      <c r="GF91" s="410"/>
      <c r="GG91" s="410"/>
      <c r="GH91" s="410"/>
      <c r="GI91" s="410"/>
      <c r="GJ91" s="410"/>
      <c r="GK91" s="410"/>
      <c r="GL91" s="410"/>
      <c r="GM91" s="410"/>
      <c r="GN91" s="410"/>
      <c r="GO91" s="410"/>
      <c r="GP91" s="410"/>
      <c r="GQ91" s="410"/>
      <c r="GR91" s="410"/>
      <c r="GS91" s="410"/>
      <c r="GT91" s="410"/>
      <c r="GU91" s="410"/>
      <c r="GV91" s="410"/>
      <c r="GW91" s="410"/>
      <c r="GX91" s="410"/>
      <c r="GY91" s="410"/>
      <c r="GZ91" s="410"/>
      <c r="HA91" s="410"/>
      <c r="HB91" s="410"/>
      <c r="HC91" s="410"/>
      <c r="HD91" s="410"/>
      <c r="HE91" s="410"/>
      <c r="HF91" s="410"/>
      <c r="HG91" s="410"/>
      <c r="HH91" s="410"/>
      <c r="HI91" s="410"/>
      <c r="HJ91" s="410"/>
      <c r="HK91" s="410"/>
      <c r="HL91" s="410"/>
      <c r="HM91" s="410"/>
      <c r="HN91" s="410"/>
      <c r="HO91" s="410"/>
      <c r="HP91" s="410"/>
      <c r="HQ91" s="410"/>
      <c r="HR91" s="410"/>
      <c r="HS91" s="410"/>
      <c r="HT91" s="410"/>
      <c r="HU91" s="410"/>
      <c r="HV91" s="410"/>
      <c r="HW91" s="410"/>
      <c r="HX91" s="410"/>
      <c r="HY91" s="410"/>
      <c r="HZ91" s="410"/>
      <c r="IA91" s="410"/>
      <c r="IB91" s="410"/>
      <c r="IC91" s="410"/>
      <c r="ID91" s="410"/>
      <c r="IE91" s="410"/>
      <c r="IF91" s="410"/>
      <c r="IG91" s="410"/>
      <c r="IH91" s="410"/>
      <c r="II91" s="410"/>
      <c r="IJ91" s="410"/>
      <c r="IK91" s="410"/>
      <c r="IL91" s="410"/>
      <c r="IM91" s="410"/>
      <c r="IN91" s="410"/>
      <c r="IO91" s="410"/>
      <c r="IP91" s="410"/>
      <c r="IQ91" s="410"/>
      <c r="IR91" s="410"/>
      <c r="IS91" s="410"/>
      <c r="IT91" s="410"/>
      <c r="IU91" s="410"/>
      <c r="IV91" s="410"/>
      <c r="IW91" s="410"/>
      <c r="IX91" s="410"/>
      <c r="IY91" s="410"/>
      <c r="IZ91" s="410"/>
      <c r="JA91" s="410"/>
      <c r="JB91" s="410"/>
      <c r="JC91" s="410"/>
      <c r="JD91" s="410"/>
      <c r="JE91" s="410"/>
      <c r="JF91" s="410"/>
      <c r="JG91" s="410"/>
      <c r="JH91" s="410"/>
      <c r="JI91" s="410"/>
      <c r="JJ91" s="410"/>
      <c r="JK91" s="410"/>
      <c r="JL91" s="410"/>
      <c r="JM91" s="410"/>
      <c r="JN91" s="410"/>
      <c r="JO91" s="410"/>
      <c r="JP91" s="410"/>
      <c r="JQ91" s="410"/>
      <c r="JR91" s="410"/>
      <c r="JS91" s="410"/>
      <c r="JT91" s="410"/>
      <c r="JU91" s="410"/>
      <c r="JV91" s="410"/>
      <c r="JW91" s="410"/>
      <c r="JX91" s="410"/>
      <c r="JY91" s="410"/>
      <c r="JZ91" s="410"/>
      <c r="KA91" s="410"/>
      <c r="KB91" s="410"/>
      <c r="KC91" s="410"/>
      <c r="KD91" s="410"/>
      <c r="KE91" s="410"/>
      <c r="KF91" s="410"/>
      <c r="KG91" s="410"/>
      <c r="KH91" s="410"/>
      <c r="KI91" s="410"/>
      <c r="KJ91" s="410"/>
      <c r="KK91" s="410"/>
      <c r="KL91" s="410"/>
      <c r="KM91" s="410"/>
      <c r="KN91" s="410"/>
      <c r="KO91" s="410"/>
      <c r="KP91" s="410"/>
      <c r="KQ91" s="410"/>
      <c r="KR91" s="410"/>
      <c r="KS91" s="410"/>
      <c r="KT91" s="410"/>
      <c r="KU91" s="410"/>
      <c r="KV91" s="410"/>
      <c r="KW91" s="410"/>
      <c r="KX91" s="410"/>
      <c r="KY91" s="410"/>
      <c r="KZ91" s="410"/>
      <c r="LA91" s="410"/>
      <c r="LB91" s="410"/>
      <c r="LC91" s="410"/>
      <c r="LD91" s="410"/>
      <c r="LE91" s="410"/>
      <c r="LF91" s="410"/>
      <c r="LG91" s="410"/>
      <c r="LH91" s="410"/>
      <c r="LI91" s="410"/>
      <c r="LJ91" s="410"/>
      <c r="LK91" s="410"/>
      <c r="LL91" s="410"/>
      <c r="LM91" s="410"/>
      <c r="LN91" s="410"/>
      <c r="LO91" s="410"/>
      <c r="LP91" s="410"/>
      <c r="LQ91" s="410"/>
      <c r="LR91" s="410"/>
      <c r="LS91" s="410"/>
      <c r="LT91" s="410"/>
      <c r="LU91" s="410"/>
      <c r="LV91" s="410"/>
      <c r="LW91" s="410"/>
      <c r="LX91" s="410"/>
      <c r="LY91" s="410"/>
      <c r="LZ91" s="410"/>
      <c r="MA91" s="410"/>
      <c r="MB91" s="410"/>
      <c r="MC91" s="410"/>
      <c r="MD91" s="410"/>
      <c r="ME91" s="410"/>
      <c r="MF91" s="410"/>
      <c r="MG91" s="410"/>
      <c r="MH91" s="410"/>
      <c r="MI91" s="410"/>
      <c r="MJ91" s="410"/>
      <c r="MK91" s="410"/>
      <c r="ML91" s="410"/>
      <c r="MM91" s="410"/>
      <c r="MN91" s="410"/>
    </row>
    <row r="92" spans="1:352" ht="30" customHeight="1">
      <c r="B92" s="426"/>
      <c r="C92" s="426"/>
      <c r="D92" s="705" t="s">
        <v>196</v>
      </c>
      <c r="E92" s="468">
        <f>IFERROR((1/(1-E90)),"")</f>
        <v>1.1111111111111112</v>
      </c>
      <c r="F92" s="468">
        <f t="shared" ref="F92:G92" si="2">IFERROR((1/(1-F90)),"")</f>
        <v>1.1111111111111112</v>
      </c>
      <c r="G92" s="468">
        <f t="shared" si="2"/>
        <v>1.1111111111111112</v>
      </c>
      <c r="H92" s="468">
        <f t="shared" ref="H92:L92" si="3">IFERROR((1/(1-H90)),"")</f>
        <v>1.1111111111111112</v>
      </c>
      <c r="I92" s="468">
        <f t="shared" si="3"/>
        <v>1.1111111111111112</v>
      </c>
      <c r="J92" s="468">
        <f t="shared" si="3"/>
        <v>1.1111111111111112</v>
      </c>
      <c r="K92" s="468">
        <f t="shared" si="3"/>
        <v>1.1111111111111112</v>
      </c>
      <c r="L92" s="468">
        <f t="shared" si="3"/>
        <v>1.1111111111111112</v>
      </c>
      <c r="M92" s="996" t="s">
        <v>71</v>
      </c>
      <c r="N92" s="997"/>
      <c r="O92" s="426"/>
      <c r="P92" s="426"/>
      <c r="R92" s="420"/>
      <c r="S92" s="396"/>
      <c r="T92" s="397"/>
      <c r="U92" s="394"/>
      <c r="V92" s="394"/>
      <c r="X92" s="351"/>
      <c r="Y92" s="713"/>
      <c r="AA92" s="713"/>
      <c r="AC92" s="713"/>
    </row>
    <row r="93" spans="1:352" ht="30" customHeight="1">
      <c r="B93" s="426"/>
      <c r="C93" s="426"/>
      <c r="D93" s="705" t="s">
        <v>197</v>
      </c>
      <c r="E93" s="707">
        <v>0.25</v>
      </c>
      <c r="F93" s="707">
        <v>0.25</v>
      </c>
      <c r="G93" s="707">
        <v>0.25</v>
      </c>
      <c r="H93" s="707">
        <v>0.25</v>
      </c>
      <c r="I93" s="707">
        <v>0.25</v>
      </c>
      <c r="J93" s="707">
        <v>0.25</v>
      </c>
      <c r="K93" s="707">
        <v>0.25</v>
      </c>
      <c r="L93" s="707">
        <v>0.25</v>
      </c>
      <c r="M93" s="1038" t="s">
        <v>198</v>
      </c>
      <c r="N93" s="1039"/>
      <c r="O93" s="426"/>
      <c r="P93" s="426"/>
      <c r="R93" s="420"/>
      <c r="S93" s="396"/>
      <c r="T93" s="397"/>
      <c r="U93" s="394"/>
      <c r="V93" s="394"/>
      <c r="X93" s="351"/>
      <c r="Y93" s="713"/>
      <c r="AA93" s="713"/>
      <c r="AC93" s="713"/>
    </row>
    <row r="94" spans="1:352" ht="30" customHeight="1">
      <c r="B94" s="426"/>
      <c r="C94" s="426"/>
      <c r="D94" s="705" t="s">
        <v>199</v>
      </c>
      <c r="E94" s="471">
        <v>0.03</v>
      </c>
      <c r="F94" s="471">
        <v>0.03</v>
      </c>
      <c r="G94" s="471">
        <v>0.03</v>
      </c>
      <c r="H94" s="471">
        <v>0.03</v>
      </c>
      <c r="I94" s="471">
        <v>0.03</v>
      </c>
      <c r="J94" s="471">
        <v>0.03</v>
      </c>
      <c r="K94" s="471">
        <v>0.03</v>
      </c>
      <c r="L94" s="471">
        <v>0.03</v>
      </c>
      <c r="M94" s="1038" t="s">
        <v>200</v>
      </c>
      <c r="N94" s="1039"/>
      <c r="O94" s="426"/>
      <c r="P94" s="426"/>
      <c r="R94" s="420"/>
      <c r="S94" s="398"/>
      <c r="T94" s="391"/>
      <c r="U94" s="397"/>
      <c r="V94" s="397"/>
      <c r="X94" s="351"/>
      <c r="Y94" s="713"/>
      <c r="AA94" s="713"/>
      <c r="AC94" s="713"/>
    </row>
    <row r="95" spans="1:352" ht="30" customHeight="1">
      <c r="B95" s="426"/>
      <c r="C95" s="426"/>
      <c r="D95" s="705" t="s">
        <v>201</v>
      </c>
      <c r="E95" s="707">
        <v>7.0000000000000007E-2</v>
      </c>
      <c r="F95" s="707">
        <v>7.0000000000000007E-2</v>
      </c>
      <c r="G95" s="707">
        <v>7.0000000000000007E-2</v>
      </c>
      <c r="H95" s="707">
        <v>7.0000000000000007E-2</v>
      </c>
      <c r="I95" s="707">
        <v>7.0000000000000007E-2</v>
      </c>
      <c r="J95" s="707">
        <v>7.0000000000000007E-2</v>
      </c>
      <c r="K95" s="707">
        <v>7.0000000000000007E-2</v>
      </c>
      <c r="L95" s="707">
        <v>7.0000000000000007E-2</v>
      </c>
      <c r="M95" s="1038" t="s">
        <v>200</v>
      </c>
      <c r="N95" s="1039"/>
      <c r="O95" s="426"/>
      <c r="P95" s="426"/>
      <c r="R95" s="420"/>
      <c r="S95" s="389"/>
      <c r="T95" s="399"/>
      <c r="U95" s="391"/>
      <c r="V95" s="391"/>
      <c r="X95" s="351"/>
      <c r="Y95" s="713"/>
      <c r="AA95" s="713"/>
      <c r="AC95" s="713"/>
    </row>
    <row r="96" spans="1:352" ht="30" customHeight="1">
      <c r="B96" s="426"/>
      <c r="C96" s="426"/>
      <c r="D96" s="705" t="s">
        <v>202</v>
      </c>
      <c r="E96" s="676">
        <v>0.8</v>
      </c>
      <c r="F96" s="676">
        <v>0.8</v>
      </c>
      <c r="G96" s="676">
        <v>0.8</v>
      </c>
      <c r="H96" s="676">
        <v>0.8</v>
      </c>
      <c r="I96" s="676">
        <v>0.8</v>
      </c>
      <c r="J96" s="676">
        <v>0.8</v>
      </c>
      <c r="K96" s="676">
        <v>0.8</v>
      </c>
      <c r="L96" s="676">
        <v>0.8</v>
      </c>
      <c r="M96" s="1038" t="s">
        <v>203</v>
      </c>
      <c r="N96" s="1039"/>
      <c r="O96" s="426"/>
      <c r="P96" s="426"/>
      <c r="R96" s="420"/>
      <c r="S96" s="400"/>
      <c r="T96" s="401"/>
      <c r="U96" s="399"/>
      <c r="V96" s="399"/>
      <c r="X96" s="351"/>
      <c r="Y96" s="713"/>
      <c r="AA96" s="713"/>
      <c r="AC96" s="713"/>
    </row>
    <row r="97" spans="2:36" ht="30" customHeight="1">
      <c r="B97" s="426"/>
      <c r="C97" s="426"/>
      <c r="D97" s="705" t="s">
        <v>204</v>
      </c>
      <c r="E97" s="472">
        <v>100</v>
      </c>
      <c r="F97" s="472">
        <v>100</v>
      </c>
      <c r="G97" s="472">
        <v>100</v>
      </c>
      <c r="H97" s="472">
        <v>100</v>
      </c>
      <c r="I97" s="472">
        <v>100</v>
      </c>
      <c r="J97" s="472">
        <v>100</v>
      </c>
      <c r="K97" s="472">
        <v>100</v>
      </c>
      <c r="L97" s="472">
        <v>100</v>
      </c>
      <c r="M97" s="1040" t="s">
        <v>205</v>
      </c>
      <c r="N97" s="1041"/>
      <c r="O97" s="426"/>
      <c r="P97" s="426"/>
      <c r="R97" s="420"/>
      <c r="S97" s="402"/>
      <c r="T97" s="382"/>
      <c r="U97" s="401"/>
      <c r="V97" s="401"/>
      <c r="X97" s="351"/>
      <c r="Y97" s="713"/>
      <c r="AA97" s="713"/>
      <c r="AC97" s="713"/>
    </row>
    <row r="98" spans="2:36" ht="8.25" customHeight="1">
      <c r="B98" s="426"/>
      <c r="C98" s="426"/>
      <c r="D98" s="706"/>
      <c r="E98" s="426"/>
      <c r="F98" s="426"/>
      <c r="G98" s="426"/>
      <c r="H98" s="426"/>
      <c r="I98" s="706"/>
      <c r="J98" s="426"/>
      <c r="K98" s="426"/>
      <c r="L98" s="426"/>
      <c r="M98" s="708"/>
      <c r="N98" s="708"/>
      <c r="O98" s="426"/>
      <c r="P98" s="426"/>
      <c r="T98" s="712"/>
      <c r="X98" s="351"/>
      <c r="Z98" s="382"/>
      <c r="AD98" s="382"/>
      <c r="AH98" s="382"/>
    </row>
    <row r="99" spans="2:36" ht="50.25" customHeight="1">
      <c r="B99" s="426"/>
      <c r="C99" s="426"/>
      <c r="D99" s="473" t="s">
        <v>206</v>
      </c>
      <c r="E99" s="421"/>
      <c r="F99" s="421"/>
      <c r="G99" s="421"/>
      <c r="H99" s="421"/>
      <c r="I99" s="421"/>
      <c r="J99" s="421"/>
      <c r="K99" s="421"/>
      <c r="L99" s="421"/>
      <c r="M99" s="421"/>
      <c r="N99" s="414"/>
      <c r="O99" s="426"/>
      <c r="P99" s="426"/>
      <c r="S99" s="722"/>
      <c r="T99" s="712"/>
      <c r="U99" s="712"/>
      <c r="V99" s="712"/>
      <c r="X99" s="712"/>
      <c r="Z99" s="994"/>
      <c r="AA99" s="994"/>
      <c r="AB99" s="994"/>
      <c r="AC99" s="994"/>
      <c r="AD99" s="994"/>
      <c r="AE99" s="994"/>
      <c r="AF99" s="994"/>
      <c r="AG99" s="994"/>
      <c r="AH99" s="994"/>
      <c r="AI99" s="994"/>
      <c r="AJ99" s="994"/>
    </row>
    <row r="100" spans="2:36" ht="8.25" customHeight="1">
      <c r="B100" s="426"/>
      <c r="C100" s="426"/>
      <c r="D100" s="429"/>
      <c r="E100" s="429"/>
      <c r="F100" s="429"/>
      <c r="G100" s="429"/>
      <c r="H100" s="426"/>
      <c r="I100" s="429"/>
      <c r="J100" s="429"/>
      <c r="K100" s="429"/>
      <c r="L100" s="429"/>
      <c r="M100" s="708"/>
      <c r="N100" s="708"/>
      <c r="O100" s="426"/>
      <c r="P100" s="426"/>
      <c r="S100" s="722"/>
      <c r="T100" s="403"/>
      <c r="U100" s="712"/>
      <c r="V100" s="712"/>
      <c r="X100" s="351"/>
      <c r="Z100" s="712"/>
      <c r="AA100" s="712"/>
      <c r="AB100" s="712"/>
      <c r="AD100" s="712"/>
      <c r="AE100" s="712"/>
      <c r="AF100" s="712"/>
      <c r="AH100" s="712"/>
      <c r="AI100" s="712"/>
      <c r="AJ100" s="712"/>
    </row>
    <row r="101" spans="2:36" ht="45.75" customHeight="1">
      <c r="B101" s="426"/>
      <c r="C101" s="426"/>
      <c r="D101" s="384" t="s">
        <v>207</v>
      </c>
      <c r="E101" s="678">
        <v>5000</v>
      </c>
      <c r="F101" s="679">
        <v>5000</v>
      </c>
      <c r="G101" s="678">
        <v>5000</v>
      </c>
      <c r="H101" s="679">
        <v>5000</v>
      </c>
      <c r="I101" s="678">
        <v>5000</v>
      </c>
      <c r="J101" s="679">
        <v>5000</v>
      </c>
      <c r="K101" s="678">
        <v>5000</v>
      </c>
      <c r="L101" s="678">
        <v>5000</v>
      </c>
      <c r="M101" s="1042" t="s">
        <v>208</v>
      </c>
      <c r="N101" s="1039"/>
      <c r="O101" s="426"/>
      <c r="P101" s="426"/>
      <c r="S101" s="404"/>
      <c r="T101" s="405"/>
      <c r="U101" s="403"/>
      <c r="V101" s="403"/>
      <c r="X101" s="351"/>
      <c r="Y101" s="351"/>
      <c r="Z101" s="993"/>
      <c r="AA101" s="993"/>
      <c r="AB101" s="993"/>
      <c r="AC101" s="993"/>
      <c r="AD101" s="993"/>
      <c r="AE101" s="993"/>
      <c r="AF101" s="993"/>
      <c r="AG101" s="993"/>
      <c r="AH101" s="993"/>
      <c r="AI101" s="993"/>
      <c r="AJ101" s="993"/>
    </row>
    <row r="102" spans="2:36" ht="78.650000000000006" customHeight="1">
      <c r="B102" s="426"/>
      <c r="C102" s="426"/>
      <c r="D102" s="384" t="s">
        <v>209</v>
      </c>
      <c r="E102" s="677">
        <v>0.8</v>
      </c>
      <c r="F102" s="677">
        <v>0.8</v>
      </c>
      <c r="G102" s="677">
        <v>0.8</v>
      </c>
      <c r="H102" s="677">
        <v>0.8</v>
      </c>
      <c r="I102" s="677">
        <v>0.8</v>
      </c>
      <c r="J102" s="677">
        <v>0.8</v>
      </c>
      <c r="K102" s="677">
        <v>0</v>
      </c>
      <c r="L102" s="677">
        <v>0</v>
      </c>
      <c r="M102" s="1042" t="s">
        <v>210</v>
      </c>
      <c r="N102" s="1039"/>
      <c r="O102" s="426"/>
      <c r="P102" s="426"/>
      <c r="S102" s="404"/>
      <c r="T102" s="405"/>
      <c r="U102" s="403"/>
      <c r="V102" s="403"/>
      <c r="X102" s="351"/>
      <c r="Y102" s="351"/>
      <c r="Z102" s="711"/>
      <c r="AA102" s="711"/>
      <c r="AB102" s="711"/>
      <c r="AC102" s="711"/>
      <c r="AD102" s="711"/>
      <c r="AE102" s="711"/>
      <c r="AF102" s="711"/>
      <c r="AG102" s="711"/>
      <c r="AH102" s="711"/>
      <c r="AI102" s="711"/>
      <c r="AJ102" s="711"/>
    </row>
    <row r="103" spans="2:36" ht="64.400000000000006" customHeight="1">
      <c r="B103" s="426"/>
      <c r="C103" s="426"/>
      <c r="D103" s="982" t="s">
        <v>211</v>
      </c>
      <c r="E103" s="984">
        <v>1.32</v>
      </c>
      <c r="F103" s="984">
        <v>1.32</v>
      </c>
      <c r="G103" s="984">
        <v>1.32</v>
      </c>
      <c r="H103" s="984">
        <v>1.23</v>
      </c>
      <c r="I103" s="984">
        <v>1.23</v>
      </c>
      <c r="J103" s="984">
        <v>1.23</v>
      </c>
      <c r="K103" s="984">
        <v>1.32</v>
      </c>
      <c r="L103" s="984">
        <v>1.23</v>
      </c>
      <c r="M103" s="1047" t="s">
        <v>212</v>
      </c>
      <c r="N103" s="997"/>
      <c r="O103" s="437"/>
      <c r="P103" s="426"/>
      <c r="S103" s="406"/>
      <c r="T103" s="407"/>
      <c r="U103" s="405"/>
      <c r="V103" s="405"/>
      <c r="X103" s="351"/>
      <c r="Y103" s="351"/>
      <c r="Z103" s="363"/>
      <c r="AA103" s="363"/>
      <c r="AB103" s="363"/>
      <c r="AC103" s="363"/>
      <c r="AD103" s="363"/>
      <c r="AE103" s="363"/>
      <c r="AF103" s="363"/>
      <c r="AG103" s="363"/>
      <c r="AH103" s="363"/>
      <c r="AI103" s="363"/>
      <c r="AJ103" s="363"/>
    </row>
    <row r="104" spans="2:36" ht="20.25" customHeight="1">
      <c r="B104" s="426"/>
      <c r="C104" s="426"/>
      <c r="D104" s="983"/>
      <c r="E104" s="985"/>
      <c r="F104" s="985"/>
      <c r="G104" s="985"/>
      <c r="H104" s="985"/>
      <c r="I104" s="985"/>
      <c r="J104" s="985"/>
      <c r="K104" s="985"/>
      <c r="L104" s="985"/>
      <c r="M104" s="1036" t="s">
        <v>86</v>
      </c>
      <c r="N104" s="1037"/>
      <c r="O104" s="426"/>
      <c r="P104" s="426"/>
      <c r="S104" s="406"/>
      <c r="U104" s="405"/>
      <c r="V104" s="407"/>
      <c r="X104" s="425"/>
      <c r="Y104" s="425"/>
      <c r="AB104" s="351"/>
    </row>
    <row r="105" spans="2:36">
      <c r="B105" s="426"/>
      <c r="C105" s="426"/>
      <c r="D105" s="426"/>
      <c r="E105" s="426"/>
      <c r="F105" s="426"/>
      <c r="G105" s="426"/>
      <c r="H105" s="426"/>
      <c r="I105" s="426"/>
      <c r="J105" s="426"/>
      <c r="K105" s="426"/>
      <c r="L105" s="426"/>
      <c r="M105" s="426"/>
      <c r="N105" s="426"/>
      <c r="O105" s="426"/>
      <c r="P105" s="426"/>
    </row>
    <row r="106" spans="2:36" ht="20.25" customHeight="1" outlineLevel="1">
      <c r="D106" s="410"/>
      <c r="E106" s="410"/>
      <c r="F106" s="410"/>
      <c r="G106" s="410"/>
      <c r="H106" s="410"/>
      <c r="I106" s="410"/>
      <c r="J106" s="410"/>
      <c r="K106" s="410"/>
      <c r="L106" s="410"/>
      <c r="M106" s="410"/>
      <c r="N106" s="410"/>
      <c r="O106" s="410"/>
    </row>
    <row r="107" spans="2:36" ht="20.25" customHeight="1" outlineLevel="1">
      <c r="D107" s="410"/>
      <c r="E107" s="410"/>
      <c r="F107" s="410"/>
      <c r="G107" s="410"/>
      <c r="H107" s="410"/>
      <c r="I107" s="410"/>
      <c r="J107" s="410"/>
      <c r="K107" s="410"/>
      <c r="L107" s="410"/>
      <c r="M107" s="410"/>
      <c r="N107" s="410"/>
      <c r="O107" s="410"/>
    </row>
    <row r="108" spans="2:36" ht="20.25" customHeight="1" outlineLevel="1">
      <c r="D108" s="410"/>
      <c r="E108" s="410"/>
      <c r="F108" s="410"/>
      <c r="G108" s="410"/>
      <c r="H108" s="410"/>
      <c r="I108" s="410"/>
      <c r="J108" s="410"/>
      <c r="K108" s="410"/>
      <c r="L108" s="410"/>
      <c r="M108" s="410"/>
      <c r="N108" s="410"/>
      <c r="O108" s="410"/>
    </row>
    <row r="109" spans="2:36" ht="20.25" customHeight="1" outlineLevel="1">
      <c r="D109" s="410"/>
      <c r="E109" s="410"/>
      <c r="F109" s="410"/>
      <c r="G109" s="410"/>
      <c r="H109" s="410"/>
      <c r="I109" s="410"/>
      <c r="J109" s="410"/>
      <c r="K109" s="410"/>
      <c r="L109" s="410"/>
      <c r="M109" s="410"/>
      <c r="N109" s="410"/>
      <c r="O109" s="410"/>
    </row>
    <row r="110" spans="2:36" ht="20.25" customHeight="1" outlineLevel="1">
      <c r="D110" s="410"/>
      <c r="E110" s="410"/>
      <c r="F110" s="410"/>
      <c r="G110" s="410"/>
      <c r="H110" s="410"/>
      <c r="I110" s="410"/>
      <c r="J110" s="410"/>
      <c r="K110" s="410"/>
      <c r="L110" s="410"/>
      <c r="M110" s="410"/>
      <c r="N110" s="410"/>
      <c r="O110" s="410"/>
    </row>
    <row r="111" spans="2:36" ht="20.25" customHeight="1" outlineLevel="1">
      <c r="D111" s="410"/>
      <c r="E111" s="410"/>
      <c r="F111" s="410"/>
      <c r="G111" s="410"/>
      <c r="H111" s="410"/>
      <c r="I111" s="410"/>
      <c r="J111" s="410"/>
      <c r="K111" s="410"/>
      <c r="L111" s="410"/>
      <c r="M111" s="410"/>
      <c r="N111" s="410"/>
      <c r="O111" s="410"/>
    </row>
    <row r="112" spans="2:36" ht="20.25" customHeight="1" outlineLevel="1">
      <c r="D112" s="410"/>
      <c r="E112" s="410"/>
      <c r="F112" s="410"/>
      <c r="G112" s="410"/>
      <c r="H112" s="410"/>
      <c r="I112" s="410"/>
      <c r="J112" s="410"/>
      <c r="K112" s="410"/>
      <c r="L112" s="410"/>
      <c r="M112" s="410"/>
      <c r="N112" s="410"/>
      <c r="O112" s="410"/>
    </row>
    <row r="113" spans="4:15" ht="20.25" customHeight="1" outlineLevel="1">
      <c r="D113" s="410"/>
      <c r="E113" s="410"/>
      <c r="F113" s="410"/>
      <c r="G113" s="410"/>
      <c r="H113" s="410"/>
      <c r="I113" s="410"/>
      <c r="J113" s="410"/>
      <c r="K113" s="410"/>
      <c r="L113" s="410"/>
      <c r="M113" s="410"/>
      <c r="N113" s="410"/>
      <c r="O113" s="410"/>
    </row>
    <row r="114" spans="4:15" ht="20.25" customHeight="1" outlineLevel="1">
      <c r="D114" s="410"/>
      <c r="E114" s="410"/>
      <c r="F114" s="410"/>
      <c r="G114" s="410"/>
      <c r="H114" s="410"/>
      <c r="I114" s="410"/>
      <c r="J114" s="410"/>
      <c r="K114" s="410"/>
      <c r="L114" s="410"/>
      <c r="M114" s="410"/>
      <c r="N114" s="410"/>
      <c r="O114" s="410"/>
    </row>
    <row r="115" spans="4:15" ht="20.25" customHeight="1" outlineLevel="1">
      <c r="D115" s="410"/>
      <c r="E115" s="410"/>
      <c r="F115" s="410"/>
      <c r="G115" s="410"/>
      <c r="H115" s="410"/>
      <c r="I115" s="410"/>
      <c r="J115" s="410"/>
      <c r="K115" s="410"/>
      <c r="L115" s="410"/>
      <c r="M115" s="410"/>
      <c r="N115" s="410"/>
      <c r="O115" s="410"/>
    </row>
    <row r="116" spans="4:15" ht="29.25" customHeight="1">
      <c r="D116" s="410"/>
      <c r="E116" s="410"/>
      <c r="F116" s="410"/>
      <c r="G116" s="410"/>
      <c r="H116" s="410"/>
      <c r="I116" s="410"/>
      <c r="J116" s="410"/>
      <c r="K116" s="410"/>
      <c r="L116" s="410"/>
      <c r="M116" s="410"/>
      <c r="N116" s="410"/>
      <c r="O116" s="410"/>
    </row>
    <row r="117" spans="4:15" ht="20.25" customHeight="1" outlineLevel="1">
      <c r="D117" s="410"/>
      <c r="E117" s="410"/>
      <c r="F117" s="410"/>
      <c r="G117" s="410"/>
      <c r="H117" s="410"/>
      <c r="I117" s="410"/>
      <c r="J117" s="410"/>
      <c r="K117" s="410"/>
      <c r="L117" s="410"/>
      <c r="M117" s="410"/>
      <c r="N117" s="410"/>
      <c r="O117" s="410"/>
    </row>
    <row r="118" spans="4:15" ht="20.25" customHeight="1" outlineLevel="1">
      <c r="D118" s="410"/>
      <c r="E118" s="410"/>
      <c r="F118" s="410"/>
      <c r="G118" s="410"/>
      <c r="H118" s="410"/>
      <c r="I118" s="410"/>
      <c r="J118" s="410"/>
      <c r="K118" s="410"/>
      <c r="L118" s="410"/>
      <c r="M118" s="410"/>
      <c r="N118" s="410"/>
      <c r="O118" s="410"/>
    </row>
    <row r="119" spans="4:15" ht="20.25" customHeight="1" outlineLevel="1">
      <c r="D119" s="410"/>
      <c r="E119" s="410"/>
      <c r="F119" s="410"/>
      <c r="G119" s="410"/>
      <c r="H119" s="410"/>
      <c r="I119" s="410"/>
      <c r="J119" s="410"/>
      <c r="K119" s="410"/>
      <c r="L119" s="410"/>
      <c r="M119" s="410"/>
      <c r="N119" s="410"/>
      <c r="O119" s="410"/>
    </row>
    <row r="120" spans="4:15" ht="20.25" customHeight="1" outlineLevel="1">
      <c r="D120" s="410"/>
      <c r="E120" s="410"/>
      <c r="F120" s="410"/>
      <c r="G120" s="410"/>
      <c r="H120" s="410"/>
      <c r="I120" s="410"/>
      <c r="J120" s="410"/>
      <c r="K120" s="410"/>
      <c r="L120" s="410"/>
      <c r="M120" s="410"/>
      <c r="N120" s="410"/>
      <c r="O120" s="410"/>
    </row>
    <row r="121" spans="4:15" ht="20.25" customHeight="1" outlineLevel="1">
      <c r="D121" s="410"/>
      <c r="E121" s="410"/>
      <c r="F121" s="410"/>
      <c r="G121" s="410"/>
      <c r="H121" s="410"/>
      <c r="I121" s="410"/>
      <c r="J121" s="410"/>
      <c r="K121" s="410"/>
      <c r="L121" s="410"/>
      <c r="M121" s="410"/>
      <c r="N121" s="410"/>
      <c r="O121" s="410"/>
    </row>
    <row r="122" spans="4:15" ht="20.25" customHeight="1" outlineLevel="1">
      <c r="D122" s="410"/>
      <c r="E122" s="410"/>
      <c r="F122" s="410"/>
      <c r="G122" s="410"/>
      <c r="H122" s="410"/>
      <c r="I122" s="410"/>
      <c r="J122" s="410"/>
      <c r="K122" s="410"/>
      <c r="L122" s="410"/>
      <c r="M122" s="410"/>
      <c r="N122" s="410"/>
      <c r="O122" s="410"/>
    </row>
    <row r="123" spans="4:15" ht="20.25" customHeight="1" outlineLevel="1">
      <c r="D123" s="410"/>
      <c r="E123" s="410"/>
      <c r="F123" s="410"/>
      <c r="G123" s="410"/>
      <c r="H123" s="410"/>
      <c r="I123" s="410"/>
      <c r="J123" s="410"/>
      <c r="K123" s="410"/>
      <c r="L123" s="410"/>
      <c r="M123" s="410"/>
      <c r="N123" s="410"/>
      <c r="O123" s="410"/>
    </row>
    <row r="124" spans="4:15" ht="20.25" customHeight="1" outlineLevel="1">
      <c r="D124" s="410"/>
      <c r="E124" s="410"/>
      <c r="F124" s="410"/>
      <c r="G124" s="410"/>
      <c r="H124" s="410"/>
      <c r="I124" s="410"/>
      <c r="J124" s="410"/>
      <c r="K124" s="410"/>
      <c r="L124" s="410"/>
      <c r="M124" s="410"/>
      <c r="N124" s="410"/>
      <c r="O124" s="410"/>
    </row>
    <row r="125" spans="4:15" ht="20.25" customHeight="1" outlineLevel="1">
      <c r="D125" s="410"/>
      <c r="E125" s="410"/>
      <c r="F125" s="410"/>
      <c r="G125" s="410"/>
      <c r="H125" s="410"/>
      <c r="I125" s="410"/>
      <c r="J125" s="410"/>
      <c r="K125" s="410"/>
      <c r="L125" s="410"/>
      <c r="M125" s="410"/>
      <c r="N125" s="410"/>
      <c r="O125" s="410"/>
    </row>
    <row r="126" spans="4:15" ht="20.25" customHeight="1" outlineLevel="1">
      <c r="D126" s="410"/>
      <c r="E126" s="410"/>
      <c r="F126" s="410"/>
      <c r="G126" s="410"/>
      <c r="H126" s="410"/>
      <c r="I126" s="410"/>
      <c r="J126" s="410"/>
      <c r="K126" s="410"/>
      <c r="L126" s="410"/>
      <c r="M126" s="410"/>
      <c r="N126" s="410"/>
      <c r="O126" s="410"/>
    </row>
    <row r="127" spans="4:15" ht="18" customHeight="1">
      <c r="D127" s="410"/>
      <c r="E127" s="410"/>
      <c r="F127" s="410"/>
      <c r="G127" s="410"/>
      <c r="H127" s="410"/>
      <c r="I127" s="410"/>
      <c r="J127" s="410"/>
      <c r="K127" s="410"/>
      <c r="L127" s="410"/>
      <c r="M127" s="410"/>
      <c r="N127" s="410"/>
      <c r="O127" s="410"/>
    </row>
    <row r="128" spans="4:15" ht="25.5" customHeight="1">
      <c r="D128" s="410"/>
      <c r="E128" s="410"/>
      <c r="F128" s="410"/>
      <c r="G128" s="410"/>
      <c r="H128" s="410"/>
      <c r="I128" s="410"/>
      <c r="J128" s="410"/>
      <c r="K128" s="410"/>
      <c r="L128" s="410"/>
      <c r="M128" s="410"/>
      <c r="N128" s="410"/>
      <c r="O128" s="410"/>
    </row>
    <row r="129" spans="4:15" ht="18" customHeight="1">
      <c r="D129" s="410"/>
      <c r="E129" s="410"/>
      <c r="F129" s="410"/>
      <c r="G129" s="410"/>
      <c r="H129" s="410"/>
      <c r="I129" s="410"/>
      <c r="J129" s="410"/>
      <c r="K129" s="410"/>
      <c r="L129" s="410"/>
      <c r="M129" s="410"/>
      <c r="N129" s="410"/>
      <c r="O129" s="410"/>
    </row>
    <row r="130" spans="4:15">
      <c r="D130" s="410"/>
      <c r="E130" s="410"/>
      <c r="F130" s="410"/>
      <c r="G130" s="410"/>
      <c r="H130" s="410"/>
      <c r="I130" s="410"/>
      <c r="J130" s="410"/>
      <c r="K130" s="410"/>
      <c r="L130" s="410"/>
      <c r="M130" s="410"/>
      <c r="N130" s="410"/>
      <c r="O130" s="410"/>
    </row>
    <row r="131" spans="4:15" ht="20.25" customHeight="1" outlineLevel="1">
      <c r="D131" s="410"/>
      <c r="E131" s="410"/>
      <c r="F131" s="410"/>
      <c r="G131" s="410"/>
      <c r="H131" s="410"/>
      <c r="I131" s="410"/>
      <c r="J131" s="410"/>
      <c r="K131" s="410"/>
      <c r="L131" s="410"/>
      <c r="M131" s="410"/>
      <c r="N131" s="410"/>
      <c r="O131" s="410"/>
    </row>
    <row r="132" spans="4:15" ht="20.25" customHeight="1" outlineLevel="1">
      <c r="D132" s="410"/>
      <c r="E132" s="410"/>
      <c r="F132" s="410"/>
      <c r="G132" s="410"/>
      <c r="H132" s="410"/>
      <c r="I132" s="410"/>
      <c r="J132" s="410"/>
      <c r="K132" s="410"/>
      <c r="L132" s="410"/>
      <c r="M132" s="410"/>
      <c r="N132" s="410"/>
      <c r="O132" s="410"/>
    </row>
    <row r="133" spans="4:15" ht="20.25" customHeight="1" outlineLevel="1">
      <c r="D133" s="410"/>
      <c r="E133" s="410"/>
      <c r="F133" s="410"/>
      <c r="G133" s="410"/>
      <c r="H133" s="410"/>
      <c r="I133" s="410"/>
      <c r="J133" s="410"/>
      <c r="K133" s="410"/>
      <c r="L133" s="410"/>
      <c r="M133" s="410"/>
      <c r="N133" s="410"/>
      <c r="O133" s="410"/>
    </row>
    <row r="134" spans="4:15" ht="20.25" customHeight="1" outlineLevel="1">
      <c r="D134" s="410"/>
      <c r="E134" s="410"/>
      <c r="F134" s="410"/>
      <c r="G134" s="410"/>
      <c r="H134" s="410"/>
      <c r="I134" s="410"/>
      <c r="J134" s="410"/>
      <c r="K134" s="410"/>
      <c r="L134" s="410"/>
      <c r="M134" s="410"/>
      <c r="N134" s="410"/>
      <c r="O134" s="410"/>
    </row>
    <row r="135" spans="4:15" ht="20.25" customHeight="1" outlineLevel="1">
      <c r="D135" s="410"/>
      <c r="E135" s="410"/>
      <c r="F135" s="410"/>
      <c r="G135" s="410"/>
      <c r="H135" s="410"/>
      <c r="I135" s="410"/>
      <c r="J135" s="410"/>
      <c r="K135" s="410"/>
      <c r="L135" s="410"/>
      <c r="M135" s="410"/>
      <c r="N135" s="410"/>
      <c r="O135" s="410"/>
    </row>
    <row r="136" spans="4:15" ht="20.25" customHeight="1" outlineLevel="1">
      <c r="D136" s="410"/>
      <c r="E136" s="410"/>
      <c r="F136" s="410"/>
      <c r="G136" s="410"/>
      <c r="H136" s="410"/>
      <c r="I136" s="410"/>
      <c r="J136" s="410"/>
      <c r="K136" s="410"/>
      <c r="L136" s="410"/>
      <c r="M136" s="410"/>
      <c r="N136" s="410"/>
      <c r="O136" s="410"/>
    </row>
    <row r="137" spans="4:15" ht="20.25" customHeight="1" outlineLevel="1">
      <c r="D137" s="410"/>
      <c r="E137" s="410"/>
      <c r="F137" s="410"/>
      <c r="G137" s="410"/>
      <c r="H137" s="410"/>
      <c r="I137" s="410"/>
      <c r="J137" s="410"/>
      <c r="K137" s="410"/>
      <c r="L137" s="410"/>
      <c r="M137" s="410"/>
      <c r="N137" s="410"/>
      <c r="O137" s="410"/>
    </row>
    <row r="138" spans="4:15" ht="20.25" customHeight="1" outlineLevel="1">
      <c r="D138" s="410"/>
      <c r="E138" s="410"/>
      <c r="F138" s="410"/>
      <c r="G138" s="410"/>
      <c r="H138" s="410"/>
      <c r="I138" s="410"/>
      <c r="J138" s="410"/>
      <c r="K138" s="410"/>
      <c r="L138" s="410"/>
      <c r="M138" s="410"/>
      <c r="N138" s="410"/>
      <c r="O138" s="410"/>
    </row>
    <row r="139" spans="4:15" ht="20.25" customHeight="1" outlineLevel="1">
      <c r="D139" s="410"/>
      <c r="E139" s="410"/>
      <c r="F139" s="410"/>
      <c r="G139" s="410"/>
      <c r="H139" s="410"/>
      <c r="I139" s="410"/>
      <c r="J139" s="410"/>
      <c r="K139" s="410"/>
      <c r="L139" s="410"/>
      <c r="M139" s="410"/>
      <c r="N139" s="410"/>
      <c r="O139" s="410"/>
    </row>
    <row r="140" spans="4:15" ht="20.25" customHeight="1" outlineLevel="1">
      <c r="D140" s="410"/>
      <c r="E140" s="410"/>
      <c r="F140" s="410"/>
      <c r="G140" s="410"/>
      <c r="H140" s="410"/>
      <c r="I140" s="410"/>
      <c r="J140" s="410"/>
      <c r="K140" s="410"/>
      <c r="L140" s="410"/>
      <c r="M140" s="410"/>
      <c r="N140" s="410"/>
      <c r="O140" s="410"/>
    </row>
    <row r="141" spans="4:15">
      <c r="D141" s="410"/>
      <c r="E141" s="410"/>
      <c r="F141" s="410"/>
      <c r="G141" s="410"/>
      <c r="H141" s="410"/>
      <c r="I141" s="410"/>
      <c r="J141" s="410"/>
      <c r="K141" s="410"/>
      <c r="L141" s="410"/>
      <c r="M141" s="410"/>
      <c r="N141" s="410"/>
      <c r="O141" s="410"/>
    </row>
    <row r="142" spans="4:15" ht="20.25" customHeight="1" outlineLevel="1">
      <c r="D142" s="410"/>
      <c r="E142" s="410"/>
      <c r="F142" s="410"/>
      <c r="G142" s="410"/>
      <c r="H142" s="410"/>
      <c r="I142" s="410"/>
      <c r="J142" s="410"/>
      <c r="K142" s="410"/>
      <c r="L142" s="410"/>
      <c r="M142" s="410"/>
      <c r="N142" s="410"/>
      <c r="O142" s="410"/>
    </row>
    <row r="143" spans="4:15" ht="20.25" customHeight="1" outlineLevel="1">
      <c r="D143" s="410"/>
      <c r="E143" s="410"/>
      <c r="F143" s="410"/>
      <c r="G143" s="410"/>
      <c r="H143" s="410"/>
      <c r="I143" s="410"/>
      <c r="J143" s="410"/>
      <c r="K143" s="410"/>
      <c r="L143" s="410"/>
      <c r="M143" s="410"/>
      <c r="N143" s="410"/>
      <c r="O143" s="410"/>
    </row>
    <row r="144" spans="4:15" ht="20.25" customHeight="1" outlineLevel="1">
      <c r="D144" s="410"/>
      <c r="E144" s="410"/>
      <c r="F144" s="410"/>
      <c r="G144" s="410"/>
      <c r="H144" s="410"/>
      <c r="I144" s="410"/>
      <c r="J144" s="410"/>
      <c r="K144" s="410"/>
      <c r="L144" s="410"/>
      <c r="M144" s="410"/>
      <c r="N144" s="410"/>
      <c r="O144" s="410"/>
    </row>
    <row r="145" spans="4:15" ht="20.25" customHeight="1" outlineLevel="1">
      <c r="D145" s="410"/>
      <c r="E145" s="410"/>
      <c r="F145" s="410"/>
      <c r="G145" s="410"/>
      <c r="H145" s="410"/>
      <c r="I145" s="410"/>
      <c r="J145" s="410"/>
      <c r="K145" s="410"/>
      <c r="L145" s="410"/>
      <c r="M145" s="410"/>
      <c r="N145" s="410"/>
      <c r="O145" s="410"/>
    </row>
    <row r="146" spans="4:15" ht="20.25" customHeight="1" outlineLevel="1">
      <c r="D146" s="410"/>
      <c r="E146" s="410"/>
      <c r="F146" s="410"/>
      <c r="G146" s="410"/>
      <c r="H146" s="410"/>
      <c r="I146" s="410"/>
      <c r="J146" s="410"/>
      <c r="K146" s="410"/>
      <c r="L146" s="410"/>
      <c r="M146" s="410"/>
      <c r="N146" s="410"/>
      <c r="O146" s="410"/>
    </row>
    <row r="147" spans="4:15" ht="20.25" customHeight="1" outlineLevel="1">
      <c r="D147" s="410"/>
      <c r="E147" s="410"/>
      <c r="F147" s="410"/>
      <c r="G147" s="410"/>
      <c r="H147" s="410"/>
      <c r="I147" s="410"/>
      <c r="J147" s="410"/>
      <c r="K147" s="410"/>
      <c r="L147" s="410"/>
      <c r="M147" s="410"/>
      <c r="N147" s="410"/>
      <c r="O147" s="410"/>
    </row>
    <row r="148" spans="4:15" ht="20.25" customHeight="1" outlineLevel="1">
      <c r="D148" s="410"/>
      <c r="E148" s="410"/>
      <c r="F148" s="410"/>
      <c r="G148" s="410"/>
      <c r="H148" s="410"/>
      <c r="I148" s="410"/>
      <c r="J148" s="410"/>
      <c r="K148" s="410"/>
      <c r="L148" s="410"/>
      <c r="M148" s="410"/>
      <c r="N148" s="410"/>
      <c r="O148" s="410"/>
    </row>
    <row r="149" spans="4:15" ht="20.25" customHeight="1" outlineLevel="1">
      <c r="D149" s="410"/>
      <c r="E149" s="410"/>
      <c r="F149" s="410"/>
      <c r="G149" s="410"/>
      <c r="H149" s="410"/>
      <c r="I149" s="410"/>
      <c r="J149" s="410"/>
      <c r="K149" s="410"/>
      <c r="L149" s="410"/>
      <c r="M149" s="410"/>
      <c r="N149" s="410"/>
      <c r="O149" s="410"/>
    </row>
    <row r="150" spans="4:15" ht="20.25" customHeight="1" outlineLevel="1">
      <c r="D150" s="410"/>
      <c r="E150" s="410"/>
      <c r="F150" s="410"/>
      <c r="G150" s="410"/>
      <c r="H150" s="410"/>
      <c r="I150" s="410"/>
      <c r="J150" s="410"/>
      <c r="K150" s="410"/>
      <c r="L150" s="410"/>
      <c r="M150" s="410"/>
      <c r="N150" s="410"/>
      <c r="O150" s="410"/>
    </row>
    <row r="151" spans="4:15" ht="20.25" customHeight="1" outlineLevel="1">
      <c r="D151" s="410"/>
      <c r="E151" s="410"/>
      <c r="F151" s="410"/>
      <c r="G151" s="410"/>
      <c r="H151" s="410"/>
      <c r="I151" s="410"/>
      <c r="J151" s="410"/>
      <c r="K151" s="410"/>
      <c r="L151" s="410"/>
      <c r="M151" s="410"/>
      <c r="N151" s="410"/>
      <c r="O151" s="410"/>
    </row>
    <row r="152" spans="4:15">
      <c r="D152" s="410"/>
      <c r="E152" s="410"/>
      <c r="F152" s="410"/>
      <c r="G152" s="410"/>
      <c r="H152" s="410"/>
      <c r="I152" s="410"/>
      <c r="J152" s="410"/>
      <c r="K152" s="410"/>
      <c r="L152" s="410"/>
      <c r="M152" s="410"/>
      <c r="N152" s="410"/>
      <c r="O152" s="410"/>
    </row>
    <row r="153" spans="4:15" ht="25.5" customHeight="1">
      <c r="D153" s="410"/>
      <c r="E153" s="410"/>
      <c r="F153" s="410"/>
      <c r="G153" s="410"/>
      <c r="H153" s="410"/>
      <c r="I153" s="410"/>
      <c r="J153" s="410"/>
      <c r="K153" s="410"/>
      <c r="L153" s="410"/>
      <c r="M153" s="410"/>
      <c r="N153" s="410"/>
      <c r="O153" s="410"/>
    </row>
    <row r="154" spans="4:15">
      <c r="D154" s="410"/>
      <c r="E154" s="410"/>
      <c r="F154" s="410"/>
      <c r="G154" s="410"/>
      <c r="H154" s="410"/>
      <c r="I154" s="410"/>
      <c r="J154" s="410"/>
      <c r="K154" s="410"/>
      <c r="L154" s="410"/>
      <c r="M154" s="410"/>
      <c r="N154" s="410"/>
      <c r="O154" s="410"/>
    </row>
    <row r="155" spans="4:15" ht="36" customHeight="1">
      <c r="D155" s="410"/>
      <c r="E155" s="410"/>
      <c r="F155" s="410"/>
      <c r="G155" s="410"/>
      <c r="H155" s="410"/>
      <c r="I155" s="410"/>
      <c r="J155" s="410"/>
      <c r="K155" s="410"/>
      <c r="L155" s="410"/>
      <c r="M155" s="410"/>
      <c r="N155" s="410"/>
      <c r="O155" s="410"/>
    </row>
    <row r="156" spans="4:15" ht="20.25" customHeight="1" outlineLevel="1">
      <c r="D156" s="410"/>
      <c r="E156" s="410"/>
      <c r="F156" s="410"/>
      <c r="G156" s="410"/>
      <c r="H156" s="410"/>
      <c r="I156" s="410"/>
      <c r="J156" s="410"/>
      <c r="K156" s="410"/>
      <c r="L156" s="410"/>
      <c r="M156" s="410"/>
      <c r="N156" s="410"/>
      <c r="O156" s="410"/>
    </row>
    <row r="157" spans="4:15" ht="20.25" customHeight="1" outlineLevel="1">
      <c r="D157" s="410"/>
      <c r="E157" s="410"/>
      <c r="F157" s="410"/>
      <c r="G157" s="410"/>
      <c r="H157" s="410"/>
      <c r="I157" s="410"/>
      <c r="J157" s="410"/>
      <c r="K157" s="410"/>
      <c r="L157" s="410"/>
      <c r="M157" s="410"/>
      <c r="N157" s="410"/>
      <c r="O157" s="410"/>
    </row>
    <row r="158" spans="4:15" ht="20.25" customHeight="1" outlineLevel="1">
      <c r="D158" s="410"/>
      <c r="E158" s="410"/>
      <c r="F158" s="410"/>
      <c r="G158" s="410"/>
      <c r="H158" s="410"/>
      <c r="I158" s="410"/>
      <c r="J158" s="410"/>
      <c r="K158" s="410"/>
      <c r="L158" s="410"/>
      <c r="M158" s="410"/>
      <c r="N158" s="410"/>
      <c r="O158" s="410"/>
    </row>
    <row r="159" spans="4:15" ht="20.25" customHeight="1" outlineLevel="1">
      <c r="D159" s="410"/>
      <c r="E159" s="410"/>
      <c r="F159" s="410"/>
      <c r="G159" s="410"/>
      <c r="H159" s="410"/>
      <c r="I159" s="410"/>
      <c r="J159" s="410"/>
      <c r="K159" s="410"/>
      <c r="L159" s="410"/>
      <c r="M159" s="410"/>
      <c r="N159" s="410"/>
      <c r="O159" s="410"/>
    </row>
    <row r="160" spans="4:15" ht="20.25" customHeight="1" outlineLevel="1">
      <c r="D160" s="410"/>
      <c r="E160" s="410"/>
      <c r="F160" s="410"/>
      <c r="G160" s="410"/>
      <c r="H160" s="410"/>
      <c r="I160" s="410"/>
      <c r="J160" s="410"/>
      <c r="K160" s="410"/>
      <c r="L160" s="410"/>
      <c r="M160" s="410"/>
      <c r="N160" s="410"/>
      <c r="O160" s="410"/>
    </row>
    <row r="161" spans="4:15" ht="20.25" customHeight="1" outlineLevel="1">
      <c r="D161" s="410"/>
      <c r="E161" s="410"/>
      <c r="F161" s="410"/>
      <c r="G161" s="410"/>
      <c r="H161" s="410"/>
      <c r="I161" s="410"/>
      <c r="J161" s="410"/>
      <c r="K161" s="410"/>
      <c r="L161" s="410"/>
      <c r="M161" s="410"/>
      <c r="N161" s="410"/>
      <c r="O161" s="410"/>
    </row>
    <row r="162" spans="4:15" ht="20.25" customHeight="1" outlineLevel="1">
      <c r="D162" s="410"/>
      <c r="E162" s="410"/>
      <c r="F162" s="410"/>
      <c r="G162" s="410"/>
      <c r="H162" s="410"/>
      <c r="I162" s="410"/>
      <c r="J162" s="410"/>
      <c r="K162" s="410"/>
      <c r="L162" s="410"/>
      <c r="M162" s="410"/>
      <c r="N162" s="410"/>
      <c r="O162" s="410"/>
    </row>
    <row r="163" spans="4:15" ht="20.25" customHeight="1" outlineLevel="1">
      <c r="D163" s="410"/>
      <c r="E163" s="410"/>
      <c r="F163" s="410"/>
      <c r="G163" s="410"/>
      <c r="H163" s="410"/>
      <c r="I163" s="410"/>
      <c r="J163" s="410"/>
      <c r="K163" s="410"/>
      <c r="L163" s="410"/>
      <c r="M163" s="410"/>
      <c r="N163" s="410"/>
      <c r="O163" s="410"/>
    </row>
    <row r="164" spans="4:15" ht="20.25" customHeight="1" outlineLevel="1">
      <c r="D164" s="410"/>
      <c r="E164" s="410"/>
      <c r="F164" s="410"/>
      <c r="G164" s="410"/>
      <c r="H164" s="410"/>
      <c r="I164" s="410"/>
      <c r="J164" s="410"/>
      <c r="K164" s="410"/>
      <c r="L164" s="410"/>
      <c r="M164" s="410"/>
      <c r="N164" s="410"/>
      <c r="O164" s="410"/>
    </row>
    <row r="165" spans="4:15" ht="20.25" customHeight="1" outlineLevel="1">
      <c r="D165" s="410"/>
      <c r="E165" s="410"/>
      <c r="F165" s="410"/>
      <c r="G165" s="410"/>
      <c r="H165" s="410"/>
      <c r="I165" s="410"/>
      <c r="J165" s="410"/>
      <c r="K165" s="410"/>
      <c r="L165" s="410"/>
      <c r="M165" s="410"/>
      <c r="N165" s="410"/>
      <c r="O165" s="410"/>
    </row>
    <row r="166" spans="4:15">
      <c r="D166" s="410"/>
      <c r="E166" s="410"/>
      <c r="F166" s="410"/>
      <c r="G166" s="410"/>
      <c r="H166" s="410"/>
      <c r="I166" s="410"/>
      <c r="J166" s="410"/>
      <c r="K166" s="410"/>
      <c r="L166" s="410"/>
      <c r="M166" s="410"/>
      <c r="N166" s="410"/>
      <c r="O166" s="410"/>
    </row>
    <row r="167" spans="4:15" ht="20.25" customHeight="1" outlineLevel="1">
      <c r="D167" s="410"/>
      <c r="E167" s="410"/>
      <c r="F167" s="410"/>
      <c r="G167" s="410"/>
      <c r="H167" s="410"/>
      <c r="I167" s="410"/>
      <c r="J167" s="410"/>
      <c r="K167" s="410"/>
      <c r="L167" s="410"/>
      <c r="M167" s="410"/>
      <c r="N167" s="410"/>
      <c r="O167" s="410"/>
    </row>
    <row r="168" spans="4:15" ht="20.25" customHeight="1" outlineLevel="1">
      <c r="D168" s="410"/>
      <c r="E168" s="410"/>
      <c r="F168" s="410"/>
      <c r="G168" s="410"/>
      <c r="H168" s="410"/>
      <c r="I168" s="410"/>
      <c r="J168" s="410"/>
      <c r="K168" s="410"/>
      <c r="L168" s="410"/>
      <c r="M168" s="410"/>
      <c r="N168" s="410"/>
      <c r="O168" s="410"/>
    </row>
    <row r="169" spans="4:15" ht="20.25" customHeight="1" outlineLevel="1">
      <c r="D169" s="410"/>
      <c r="E169" s="410"/>
      <c r="F169" s="410"/>
      <c r="G169" s="410"/>
      <c r="H169" s="410"/>
      <c r="I169" s="410"/>
      <c r="J169" s="410"/>
      <c r="K169" s="410"/>
      <c r="L169" s="410"/>
      <c r="M169" s="410"/>
      <c r="N169" s="410"/>
      <c r="O169" s="410"/>
    </row>
    <row r="170" spans="4:15" ht="20.25" customHeight="1" outlineLevel="1">
      <c r="D170" s="410"/>
      <c r="E170" s="410"/>
      <c r="F170" s="410"/>
      <c r="G170" s="410"/>
      <c r="H170" s="410"/>
      <c r="I170" s="410"/>
      <c r="J170" s="410"/>
      <c r="K170" s="410"/>
      <c r="L170" s="410"/>
      <c r="M170" s="410"/>
      <c r="N170" s="410"/>
      <c r="O170" s="410"/>
    </row>
    <row r="171" spans="4:15" ht="20.25" customHeight="1" outlineLevel="1">
      <c r="D171" s="410"/>
      <c r="E171" s="410"/>
      <c r="F171" s="410"/>
      <c r="G171" s="410"/>
      <c r="H171" s="410"/>
      <c r="I171" s="410"/>
      <c r="J171" s="410"/>
      <c r="K171" s="410"/>
      <c r="L171" s="410"/>
      <c r="M171" s="410"/>
      <c r="N171" s="410"/>
      <c r="O171" s="410"/>
    </row>
    <row r="172" spans="4:15" ht="20.25" customHeight="1" outlineLevel="1">
      <c r="D172" s="410"/>
      <c r="E172" s="410"/>
      <c r="F172" s="410"/>
      <c r="G172" s="410"/>
      <c r="H172" s="410"/>
      <c r="I172" s="410"/>
      <c r="J172" s="410"/>
      <c r="K172" s="410"/>
      <c r="L172" s="410"/>
      <c r="M172" s="410"/>
      <c r="N172" s="410"/>
      <c r="O172" s="410"/>
    </row>
    <row r="173" spans="4:15" ht="20.25" customHeight="1" outlineLevel="1">
      <c r="D173" s="410"/>
      <c r="E173" s="410"/>
      <c r="F173" s="410"/>
      <c r="G173" s="410"/>
      <c r="H173" s="410"/>
      <c r="I173" s="410"/>
      <c r="J173" s="410"/>
      <c r="K173" s="410"/>
      <c r="L173" s="410"/>
      <c r="M173" s="410"/>
      <c r="N173" s="410"/>
      <c r="O173" s="410"/>
    </row>
    <row r="174" spans="4:15" ht="20.25" customHeight="1" outlineLevel="1">
      <c r="D174" s="410"/>
      <c r="E174" s="410"/>
      <c r="F174" s="410"/>
      <c r="G174" s="410"/>
      <c r="H174" s="410"/>
      <c r="I174" s="410"/>
      <c r="J174" s="410"/>
      <c r="K174" s="410"/>
      <c r="L174" s="410"/>
      <c r="M174" s="410"/>
      <c r="N174" s="410"/>
      <c r="O174" s="410"/>
    </row>
    <row r="175" spans="4:15" ht="20.25" customHeight="1" outlineLevel="1">
      <c r="D175" s="410"/>
      <c r="E175" s="410"/>
      <c r="F175" s="410"/>
      <c r="G175" s="410"/>
      <c r="H175" s="410"/>
      <c r="I175" s="410"/>
      <c r="J175" s="410"/>
      <c r="K175" s="410"/>
      <c r="L175" s="410"/>
      <c r="M175" s="410"/>
      <c r="N175" s="410"/>
      <c r="O175" s="410"/>
    </row>
    <row r="176" spans="4:15" ht="20.25" customHeight="1" outlineLevel="1">
      <c r="D176" s="410"/>
      <c r="E176" s="410"/>
      <c r="F176" s="410"/>
      <c r="G176" s="410"/>
      <c r="H176" s="410"/>
      <c r="I176" s="410"/>
      <c r="J176" s="410"/>
      <c r="K176" s="410"/>
      <c r="L176" s="410"/>
      <c r="M176" s="410"/>
      <c r="N176" s="410"/>
      <c r="O176" s="410"/>
    </row>
    <row r="177" spans="4:15">
      <c r="D177" s="410"/>
      <c r="E177" s="410"/>
      <c r="F177" s="410"/>
      <c r="G177" s="410"/>
      <c r="H177" s="410"/>
      <c r="I177" s="410"/>
      <c r="J177" s="410"/>
      <c r="K177" s="410"/>
      <c r="L177" s="410"/>
      <c r="M177" s="410"/>
      <c r="N177" s="410"/>
      <c r="O177" s="410"/>
    </row>
    <row r="178" spans="4:15">
      <c r="D178" s="410"/>
      <c r="E178" s="410"/>
      <c r="F178" s="410"/>
      <c r="G178" s="410"/>
      <c r="H178" s="410"/>
      <c r="I178" s="410"/>
      <c r="J178" s="410"/>
      <c r="K178" s="410"/>
      <c r="L178" s="410"/>
      <c r="M178" s="410"/>
      <c r="N178" s="410"/>
      <c r="O178" s="410"/>
    </row>
    <row r="179" spans="4:15">
      <c r="D179" s="410"/>
      <c r="E179" s="410"/>
      <c r="F179" s="410"/>
      <c r="G179" s="410"/>
      <c r="H179" s="410"/>
      <c r="I179" s="410"/>
      <c r="J179" s="410"/>
      <c r="K179" s="410"/>
      <c r="L179" s="410"/>
      <c r="M179" s="410"/>
      <c r="N179" s="410"/>
      <c r="O179" s="410"/>
    </row>
    <row r="180" spans="4:15">
      <c r="D180" s="410"/>
      <c r="E180" s="410"/>
      <c r="F180" s="410"/>
      <c r="G180" s="410"/>
      <c r="H180" s="410"/>
      <c r="I180" s="410"/>
      <c r="J180" s="410"/>
      <c r="K180" s="410"/>
      <c r="L180" s="410"/>
      <c r="M180" s="410"/>
      <c r="N180" s="410"/>
      <c r="O180" s="410"/>
    </row>
    <row r="181" spans="4:15">
      <c r="D181" s="410"/>
      <c r="E181" s="410"/>
      <c r="F181" s="410"/>
      <c r="G181" s="410"/>
      <c r="H181" s="410"/>
      <c r="I181" s="410"/>
      <c r="J181" s="410"/>
      <c r="K181" s="410"/>
      <c r="L181" s="410"/>
      <c r="M181" s="410"/>
      <c r="N181" s="410"/>
      <c r="O181" s="410"/>
    </row>
    <row r="182" spans="4:15">
      <c r="D182" s="410"/>
      <c r="E182" s="410"/>
      <c r="F182" s="410"/>
      <c r="G182" s="410"/>
      <c r="H182" s="410"/>
      <c r="I182" s="410"/>
      <c r="J182" s="410"/>
      <c r="K182" s="410"/>
      <c r="L182" s="410"/>
      <c r="M182" s="410"/>
      <c r="N182" s="410"/>
      <c r="O182" s="410"/>
    </row>
    <row r="183" spans="4:15">
      <c r="D183" s="410"/>
      <c r="E183" s="410"/>
      <c r="F183" s="410"/>
      <c r="G183" s="410"/>
      <c r="H183" s="410"/>
      <c r="I183" s="410"/>
      <c r="J183" s="410"/>
      <c r="K183" s="410"/>
      <c r="L183" s="410"/>
      <c r="M183" s="410"/>
      <c r="N183" s="410"/>
      <c r="O183" s="410"/>
    </row>
    <row r="184" spans="4:15">
      <c r="D184" s="410"/>
      <c r="E184" s="410"/>
      <c r="F184" s="410"/>
      <c r="G184" s="410"/>
      <c r="H184" s="410"/>
      <c r="I184" s="410"/>
      <c r="J184" s="410"/>
      <c r="K184" s="410"/>
      <c r="L184" s="410"/>
      <c r="M184" s="410"/>
      <c r="N184" s="410"/>
      <c r="O184" s="410"/>
    </row>
    <row r="185" spans="4:15">
      <c r="D185" s="410"/>
      <c r="E185" s="410"/>
      <c r="F185" s="410"/>
      <c r="G185" s="410"/>
      <c r="H185" s="410"/>
      <c r="I185" s="410"/>
      <c r="J185" s="410"/>
      <c r="K185" s="410"/>
      <c r="L185" s="410"/>
      <c r="M185" s="410"/>
      <c r="N185" s="410"/>
      <c r="O185" s="410"/>
    </row>
    <row r="186" spans="4:15">
      <c r="D186" s="410"/>
      <c r="E186" s="410"/>
      <c r="F186" s="410"/>
      <c r="G186" s="410"/>
      <c r="H186" s="410"/>
      <c r="I186" s="410"/>
      <c r="J186" s="410"/>
      <c r="K186" s="410"/>
      <c r="L186" s="410"/>
      <c r="M186" s="410"/>
      <c r="N186" s="410"/>
      <c r="O186" s="410"/>
    </row>
    <row r="187" spans="4:15">
      <c r="D187" s="410"/>
      <c r="E187" s="410"/>
      <c r="F187" s="410"/>
      <c r="G187" s="410"/>
      <c r="H187" s="410"/>
      <c r="I187" s="410"/>
      <c r="J187" s="410"/>
      <c r="K187" s="410"/>
      <c r="L187" s="410"/>
      <c r="M187" s="410"/>
      <c r="N187" s="410"/>
      <c r="O187" s="410"/>
    </row>
    <row r="188" spans="4:15">
      <c r="D188" s="410"/>
      <c r="E188" s="410"/>
      <c r="F188" s="410"/>
      <c r="G188" s="410"/>
      <c r="H188" s="410"/>
      <c r="I188" s="410"/>
      <c r="J188" s="410"/>
      <c r="K188" s="410"/>
      <c r="L188" s="410"/>
      <c r="M188" s="410"/>
      <c r="N188" s="410"/>
      <c r="O188" s="410"/>
    </row>
    <row r="189" spans="4:15">
      <c r="D189" s="410"/>
      <c r="E189" s="410"/>
      <c r="F189" s="410"/>
      <c r="G189" s="410"/>
      <c r="H189" s="410"/>
      <c r="I189" s="410"/>
      <c r="J189" s="410"/>
      <c r="K189" s="410"/>
      <c r="L189" s="410"/>
      <c r="M189" s="410"/>
      <c r="N189" s="410"/>
      <c r="O189" s="410"/>
    </row>
    <row r="190" spans="4:15">
      <c r="D190" s="410"/>
      <c r="E190" s="410"/>
      <c r="F190" s="410"/>
      <c r="G190" s="410"/>
      <c r="H190" s="410"/>
      <c r="I190" s="410"/>
      <c r="J190" s="410"/>
      <c r="K190" s="410"/>
      <c r="L190" s="410"/>
      <c r="M190" s="410"/>
      <c r="N190" s="410"/>
      <c r="O190" s="410"/>
    </row>
    <row r="191" spans="4:15">
      <c r="D191" s="410"/>
      <c r="E191" s="410"/>
      <c r="F191" s="410"/>
      <c r="G191" s="410"/>
      <c r="H191" s="410"/>
      <c r="I191" s="410"/>
      <c r="J191" s="410"/>
      <c r="K191" s="410"/>
      <c r="L191" s="410"/>
      <c r="M191" s="410"/>
      <c r="N191" s="410"/>
      <c r="O191" s="410"/>
    </row>
    <row r="192" spans="4:15">
      <c r="D192" s="410"/>
      <c r="E192" s="410"/>
      <c r="F192" s="410"/>
      <c r="G192" s="410"/>
      <c r="H192" s="410"/>
      <c r="I192" s="410"/>
      <c r="J192" s="410"/>
      <c r="K192" s="410"/>
      <c r="L192" s="410"/>
      <c r="M192" s="410"/>
      <c r="N192" s="410"/>
      <c r="O192" s="410"/>
    </row>
    <row r="193" spans="4:15">
      <c r="D193" s="410"/>
      <c r="E193" s="410"/>
      <c r="F193" s="410"/>
      <c r="G193" s="410"/>
      <c r="H193" s="410"/>
      <c r="I193" s="410"/>
      <c r="J193" s="410"/>
      <c r="K193" s="410"/>
      <c r="L193" s="410"/>
      <c r="M193" s="410"/>
      <c r="N193" s="410"/>
      <c r="O193" s="410"/>
    </row>
    <row r="194" spans="4:15">
      <c r="D194" s="410"/>
      <c r="E194" s="410"/>
      <c r="F194" s="410"/>
      <c r="G194" s="410"/>
      <c r="H194" s="410"/>
      <c r="I194" s="410"/>
      <c r="J194" s="410"/>
      <c r="K194" s="410"/>
      <c r="L194" s="410"/>
      <c r="M194" s="410"/>
      <c r="N194" s="410"/>
      <c r="O194" s="410"/>
    </row>
    <row r="195" spans="4:15">
      <c r="D195" s="410"/>
      <c r="E195" s="410"/>
      <c r="F195" s="410"/>
      <c r="G195" s="410"/>
      <c r="H195" s="410"/>
      <c r="I195" s="410"/>
      <c r="J195" s="410"/>
      <c r="K195" s="410"/>
      <c r="L195" s="410"/>
      <c r="M195" s="410"/>
      <c r="N195" s="410"/>
      <c r="O195" s="410"/>
    </row>
    <row r="196" spans="4:15">
      <c r="D196" s="410"/>
      <c r="E196" s="410"/>
      <c r="F196" s="410"/>
      <c r="G196" s="410"/>
      <c r="H196" s="410"/>
      <c r="I196" s="410"/>
      <c r="J196" s="410"/>
      <c r="K196" s="410"/>
      <c r="L196" s="410"/>
      <c r="M196" s="410"/>
      <c r="N196" s="410"/>
      <c r="O196" s="410"/>
    </row>
    <row r="197" spans="4:15">
      <c r="D197" s="410"/>
      <c r="E197" s="410"/>
      <c r="F197" s="410"/>
      <c r="G197" s="410"/>
      <c r="H197" s="410"/>
      <c r="I197" s="410"/>
      <c r="J197" s="410"/>
      <c r="K197" s="410"/>
      <c r="L197" s="410"/>
      <c r="M197" s="410"/>
      <c r="N197" s="410"/>
      <c r="O197" s="410"/>
    </row>
    <row r="198" spans="4:15">
      <c r="D198" s="410"/>
      <c r="E198" s="410"/>
      <c r="F198" s="410"/>
      <c r="G198" s="410"/>
      <c r="H198" s="410"/>
      <c r="I198" s="410"/>
      <c r="J198" s="410"/>
      <c r="K198" s="410"/>
      <c r="L198" s="410"/>
      <c r="M198" s="410"/>
      <c r="N198" s="410"/>
      <c r="O198" s="410"/>
    </row>
    <row r="199" spans="4:15">
      <c r="D199" s="410"/>
      <c r="E199" s="410"/>
      <c r="F199" s="410"/>
      <c r="G199" s="410"/>
      <c r="H199" s="410"/>
      <c r="I199" s="410"/>
      <c r="J199" s="410"/>
      <c r="K199" s="410"/>
      <c r="L199" s="410"/>
      <c r="M199" s="410"/>
      <c r="N199" s="410"/>
      <c r="O199" s="410"/>
    </row>
    <row r="200" spans="4:15">
      <c r="D200" s="410"/>
      <c r="E200" s="410"/>
      <c r="F200" s="410"/>
      <c r="G200" s="410"/>
      <c r="H200" s="410"/>
      <c r="I200" s="410"/>
      <c r="J200" s="410"/>
      <c r="K200" s="410"/>
      <c r="L200" s="410"/>
      <c r="M200" s="410"/>
      <c r="N200" s="410"/>
      <c r="O200" s="410"/>
    </row>
    <row r="201" spans="4:15">
      <c r="D201" s="410"/>
      <c r="E201" s="410"/>
      <c r="F201" s="410"/>
      <c r="G201" s="410"/>
      <c r="H201" s="410"/>
      <c r="I201" s="410"/>
      <c r="J201" s="410"/>
      <c r="K201" s="410"/>
      <c r="L201" s="410"/>
      <c r="M201" s="410"/>
      <c r="N201" s="410"/>
      <c r="O201" s="410"/>
    </row>
    <row r="202" spans="4:15">
      <c r="D202" s="410"/>
      <c r="E202" s="410"/>
      <c r="F202" s="410"/>
      <c r="G202" s="410"/>
      <c r="H202" s="410"/>
      <c r="I202" s="410"/>
      <c r="J202" s="410"/>
      <c r="K202" s="410"/>
      <c r="L202" s="410"/>
      <c r="M202" s="410"/>
      <c r="N202" s="410"/>
      <c r="O202" s="410"/>
    </row>
    <row r="203" spans="4:15">
      <c r="D203" s="410"/>
      <c r="E203" s="410"/>
      <c r="F203" s="410"/>
      <c r="G203" s="410"/>
      <c r="H203" s="410"/>
      <c r="I203" s="410"/>
      <c r="J203" s="410"/>
      <c r="K203" s="410"/>
      <c r="L203" s="410"/>
      <c r="M203" s="410"/>
      <c r="N203" s="410"/>
      <c r="O203" s="410"/>
    </row>
    <row r="204" spans="4:15">
      <c r="D204" s="410"/>
      <c r="E204" s="410"/>
      <c r="F204" s="410"/>
      <c r="G204" s="410"/>
      <c r="H204" s="410"/>
      <c r="I204" s="410"/>
      <c r="J204" s="410"/>
      <c r="K204" s="410"/>
      <c r="L204" s="410"/>
      <c r="M204" s="410"/>
      <c r="N204" s="410"/>
      <c r="O204" s="410"/>
    </row>
    <row r="205" spans="4:15">
      <c r="D205" s="410"/>
      <c r="E205" s="410"/>
      <c r="F205" s="410"/>
      <c r="G205" s="410"/>
      <c r="H205" s="410"/>
      <c r="I205" s="410"/>
      <c r="J205" s="410"/>
      <c r="K205" s="410"/>
      <c r="L205" s="410"/>
      <c r="M205" s="410"/>
      <c r="N205" s="410"/>
      <c r="O205" s="410"/>
    </row>
    <row r="206" spans="4:15">
      <c r="D206" s="410"/>
      <c r="E206" s="410"/>
      <c r="F206" s="410"/>
      <c r="G206" s="410"/>
      <c r="H206" s="410"/>
      <c r="I206" s="410"/>
      <c r="J206" s="410"/>
      <c r="K206" s="410"/>
      <c r="L206" s="410"/>
      <c r="M206" s="410"/>
      <c r="N206" s="410"/>
      <c r="O206" s="410"/>
    </row>
    <row r="207" spans="4:15">
      <c r="D207" s="410"/>
      <c r="E207" s="410"/>
      <c r="F207" s="410"/>
      <c r="G207" s="410"/>
      <c r="H207" s="410"/>
      <c r="I207" s="410"/>
      <c r="J207" s="410"/>
      <c r="K207" s="410"/>
      <c r="L207" s="410"/>
      <c r="M207" s="410"/>
      <c r="N207" s="410"/>
      <c r="O207" s="410"/>
    </row>
    <row r="208" spans="4:15">
      <c r="D208" s="410"/>
      <c r="E208" s="410"/>
      <c r="F208" s="410"/>
      <c r="G208" s="410"/>
      <c r="H208" s="410"/>
      <c r="I208" s="410"/>
      <c r="J208" s="410"/>
      <c r="K208" s="410"/>
      <c r="L208" s="410"/>
      <c r="M208" s="410"/>
      <c r="N208" s="410"/>
      <c r="O208" s="410"/>
    </row>
    <row r="209" spans="4:15">
      <c r="D209" s="410"/>
      <c r="E209" s="410"/>
      <c r="F209" s="410"/>
      <c r="G209" s="410"/>
      <c r="H209" s="410"/>
      <c r="I209" s="410"/>
      <c r="J209" s="410"/>
      <c r="K209" s="410"/>
      <c r="L209" s="410"/>
      <c r="M209" s="410"/>
      <c r="N209" s="410"/>
      <c r="O209" s="410"/>
    </row>
    <row r="210" spans="4:15">
      <c r="D210" s="410"/>
      <c r="E210" s="410"/>
      <c r="F210" s="410"/>
      <c r="G210" s="410"/>
      <c r="H210" s="410"/>
      <c r="I210" s="410"/>
      <c r="J210" s="410"/>
      <c r="K210" s="410"/>
      <c r="L210" s="410"/>
      <c r="M210" s="410"/>
      <c r="N210" s="410"/>
      <c r="O210" s="410"/>
    </row>
    <row r="211" spans="4:15">
      <c r="D211" s="410"/>
      <c r="E211" s="410"/>
      <c r="F211" s="410"/>
      <c r="G211" s="410"/>
      <c r="H211" s="410"/>
      <c r="I211" s="410"/>
      <c r="J211" s="410"/>
      <c r="K211" s="410"/>
      <c r="L211" s="410"/>
      <c r="M211" s="410"/>
      <c r="N211" s="410"/>
      <c r="O211" s="410"/>
    </row>
    <row r="212" spans="4:15">
      <c r="D212" s="410"/>
      <c r="E212" s="410"/>
      <c r="F212" s="410"/>
      <c r="G212" s="410"/>
      <c r="H212" s="410"/>
      <c r="I212" s="410"/>
      <c r="J212" s="410"/>
      <c r="K212" s="410"/>
      <c r="L212" s="410"/>
      <c r="M212" s="410"/>
      <c r="N212" s="410"/>
      <c r="O212" s="410"/>
    </row>
    <row r="213" spans="4:15">
      <c r="D213" s="410"/>
      <c r="E213" s="410"/>
      <c r="F213" s="410"/>
      <c r="G213" s="410"/>
      <c r="H213" s="410"/>
      <c r="I213" s="410"/>
      <c r="J213" s="410"/>
      <c r="K213" s="410"/>
      <c r="L213" s="410"/>
      <c r="M213" s="410"/>
      <c r="N213" s="410"/>
      <c r="O213" s="410"/>
    </row>
    <row r="214" spans="4:15">
      <c r="D214" s="410"/>
      <c r="E214" s="410"/>
      <c r="F214" s="410"/>
      <c r="G214" s="410"/>
      <c r="H214" s="410"/>
      <c r="I214" s="410"/>
      <c r="J214" s="410"/>
      <c r="K214" s="410"/>
      <c r="L214" s="410"/>
      <c r="M214" s="410"/>
      <c r="N214" s="410"/>
      <c r="O214" s="410"/>
    </row>
    <row r="215" spans="4:15">
      <c r="D215" s="410"/>
      <c r="E215" s="410"/>
      <c r="F215" s="410"/>
      <c r="G215" s="410"/>
      <c r="H215" s="410"/>
      <c r="I215" s="410"/>
      <c r="J215" s="410"/>
      <c r="K215" s="410"/>
      <c r="L215" s="410"/>
      <c r="M215" s="410"/>
      <c r="N215" s="410"/>
      <c r="O215" s="410"/>
    </row>
    <row r="216" spans="4:15">
      <c r="D216" s="410"/>
      <c r="E216" s="410"/>
      <c r="F216" s="410"/>
      <c r="G216" s="410"/>
      <c r="H216" s="410"/>
      <c r="I216" s="410"/>
      <c r="J216" s="410"/>
      <c r="K216" s="410"/>
      <c r="L216" s="410"/>
      <c r="M216" s="410"/>
      <c r="N216" s="410"/>
      <c r="O216" s="410"/>
    </row>
    <row r="217" spans="4:15">
      <c r="D217" s="410"/>
      <c r="E217" s="410"/>
      <c r="F217" s="410"/>
      <c r="G217" s="410"/>
      <c r="H217" s="410"/>
      <c r="I217" s="410"/>
      <c r="J217" s="410"/>
      <c r="K217" s="410"/>
      <c r="L217" s="410"/>
      <c r="M217" s="410"/>
      <c r="N217" s="410"/>
      <c r="O217" s="410"/>
    </row>
    <row r="218" spans="4:15">
      <c r="D218" s="410"/>
      <c r="E218" s="410"/>
      <c r="F218" s="410"/>
      <c r="G218" s="410"/>
      <c r="H218" s="410"/>
      <c r="I218" s="410"/>
      <c r="J218" s="410"/>
      <c r="K218" s="410"/>
      <c r="L218" s="410"/>
      <c r="M218" s="410"/>
      <c r="N218" s="410"/>
      <c r="O218" s="410"/>
    </row>
    <row r="219" spans="4:15">
      <c r="D219" s="410"/>
      <c r="E219" s="410"/>
      <c r="F219" s="410"/>
      <c r="G219" s="410"/>
      <c r="H219" s="410"/>
      <c r="I219" s="410"/>
      <c r="J219" s="410"/>
      <c r="K219" s="410"/>
      <c r="L219" s="410"/>
      <c r="M219" s="410"/>
      <c r="N219" s="410"/>
      <c r="O219" s="410"/>
    </row>
    <row r="220" spans="4:15">
      <c r="D220" s="410"/>
      <c r="E220" s="410"/>
      <c r="F220" s="410"/>
      <c r="G220" s="410"/>
      <c r="H220" s="410"/>
      <c r="I220" s="410"/>
      <c r="J220" s="410"/>
      <c r="K220" s="410"/>
      <c r="L220" s="410"/>
      <c r="M220" s="410"/>
      <c r="N220" s="410"/>
      <c r="O220" s="410"/>
    </row>
    <row r="221" spans="4:15">
      <c r="D221" s="410"/>
      <c r="E221" s="410"/>
      <c r="F221" s="410"/>
      <c r="G221" s="410"/>
      <c r="H221" s="410"/>
      <c r="I221" s="410"/>
      <c r="J221" s="410"/>
      <c r="K221" s="410"/>
      <c r="L221" s="410"/>
      <c r="M221" s="410"/>
      <c r="N221" s="410"/>
      <c r="O221" s="410"/>
    </row>
    <row r="222" spans="4:15">
      <c r="D222" s="410"/>
      <c r="E222" s="410"/>
      <c r="F222" s="410"/>
      <c r="G222" s="410"/>
      <c r="H222" s="410"/>
      <c r="I222" s="410"/>
      <c r="J222" s="410"/>
      <c r="K222" s="410"/>
      <c r="L222" s="410"/>
      <c r="M222" s="410"/>
      <c r="N222" s="410"/>
      <c r="O222" s="410"/>
    </row>
    <row r="223" spans="4:15">
      <c r="D223" s="410"/>
      <c r="E223" s="410"/>
      <c r="F223" s="410"/>
      <c r="G223" s="410"/>
      <c r="H223" s="410"/>
      <c r="I223" s="410"/>
      <c r="J223" s="410"/>
      <c r="K223" s="410"/>
      <c r="L223" s="410"/>
      <c r="M223" s="410"/>
      <c r="N223" s="410"/>
      <c r="O223" s="410"/>
    </row>
    <row r="224" spans="4:15">
      <c r="D224" s="410"/>
      <c r="E224" s="410"/>
      <c r="F224" s="410"/>
      <c r="G224" s="410"/>
      <c r="H224" s="410"/>
      <c r="I224" s="410"/>
      <c r="J224" s="410"/>
      <c r="K224" s="410"/>
      <c r="L224" s="410"/>
      <c r="M224" s="410"/>
      <c r="N224" s="410"/>
      <c r="O224" s="410"/>
    </row>
    <row r="225" spans="4:15">
      <c r="D225" s="410"/>
      <c r="E225" s="410"/>
      <c r="F225" s="410"/>
      <c r="G225" s="410"/>
      <c r="H225" s="410"/>
      <c r="I225" s="410"/>
      <c r="J225" s="410"/>
      <c r="K225" s="410"/>
      <c r="L225" s="410"/>
      <c r="M225" s="410"/>
      <c r="N225" s="410"/>
      <c r="O225" s="410"/>
    </row>
    <row r="226" spans="4:15">
      <c r="D226" s="410"/>
      <c r="E226" s="410"/>
      <c r="F226" s="410"/>
      <c r="G226" s="410"/>
      <c r="H226" s="410"/>
      <c r="I226" s="410"/>
      <c r="J226" s="410"/>
      <c r="K226" s="410"/>
      <c r="L226" s="410"/>
      <c r="M226" s="410"/>
      <c r="N226" s="410"/>
      <c r="O226" s="410"/>
    </row>
    <row r="227" spans="4:15">
      <c r="D227" s="410"/>
      <c r="E227" s="410"/>
      <c r="F227" s="410"/>
      <c r="G227" s="410"/>
      <c r="H227" s="410"/>
      <c r="I227" s="410"/>
      <c r="J227" s="410"/>
      <c r="K227" s="410"/>
      <c r="L227" s="410"/>
      <c r="M227" s="410"/>
      <c r="N227" s="410"/>
      <c r="O227" s="410"/>
    </row>
    <row r="228" spans="4:15">
      <c r="D228" s="410"/>
      <c r="E228" s="410"/>
      <c r="F228" s="410"/>
      <c r="G228" s="410"/>
      <c r="H228" s="410"/>
      <c r="I228" s="410"/>
      <c r="J228" s="410"/>
      <c r="K228" s="410"/>
      <c r="L228" s="410"/>
      <c r="M228" s="410"/>
      <c r="N228" s="410"/>
      <c r="O228" s="410"/>
    </row>
    <row r="229" spans="4:15">
      <c r="D229" s="410"/>
      <c r="E229" s="410"/>
      <c r="F229" s="410"/>
      <c r="G229" s="410"/>
      <c r="H229" s="410"/>
      <c r="I229" s="410"/>
      <c r="J229" s="410"/>
      <c r="K229" s="410"/>
      <c r="L229" s="410"/>
      <c r="M229" s="410"/>
      <c r="N229" s="410"/>
      <c r="O229" s="410"/>
    </row>
    <row r="230" spans="4:15">
      <c r="D230" s="410"/>
      <c r="E230" s="410"/>
      <c r="F230" s="410"/>
      <c r="G230" s="410"/>
      <c r="H230" s="410"/>
      <c r="I230" s="410"/>
      <c r="J230" s="410"/>
      <c r="K230" s="410"/>
      <c r="L230" s="410"/>
      <c r="M230" s="410"/>
      <c r="N230" s="410"/>
      <c r="O230" s="410"/>
    </row>
    <row r="231" spans="4:15">
      <c r="D231" s="410"/>
      <c r="E231" s="410"/>
      <c r="F231" s="410"/>
      <c r="G231" s="410"/>
      <c r="H231" s="410"/>
      <c r="I231" s="410"/>
      <c r="J231" s="410"/>
      <c r="K231" s="410"/>
      <c r="L231" s="410"/>
      <c r="M231" s="410"/>
      <c r="N231" s="410"/>
      <c r="O231" s="410"/>
    </row>
    <row r="232" spans="4:15">
      <c r="D232" s="410"/>
      <c r="E232" s="410"/>
      <c r="F232" s="410"/>
      <c r="G232" s="410"/>
      <c r="H232" s="410"/>
      <c r="I232" s="410"/>
      <c r="J232" s="410"/>
      <c r="K232" s="410"/>
      <c r="L232" s="410"/>
      <c r="M232" s="410"/>
      <c r="N232" s="410"/>
      <c r="O232" s="410"/>
    </row>
    <row r="233" spans="4:15">
      <c r="D233" s="410"/>
      <c r="E233" s="410"/>
      <c r="F233" s="410"/>
      <c r="G233" s="410"/>
      <c r="H233" s="410"/>
      <c r="I233" s="410"/>
      <c r="J233" s="410"/>
      <c r="K233" s="410"/>
      <c r="L233" s="410"/>
      <c r="M233" s="410"/>
      <c r="N233" s="410"/>
      <c r="O233" s="410"/>
    </row>
    <row r="234" spans="4:15">
      <c r="D234" s="410"/>
      <c r="E234" s="410"/>
      <c r="F234" s="410"/>
      <c r="G234" s="410"/>
      <c r="H234" s="410"/>
      <c r="I234" s="410"/>
      <c r="J234" s="410"/>
      <c r="K234" s="410"/>
      <c r="L234" s="410"/>
      <c r="M234" s="410"/>
      <c r="N234" s="410"/>
      <c r="O234" s="410"/>
    </row>
    <row r="235" spans="4:15">
      <c r="D235" s="410"/>
      <c r="E235" s="410"/>
      <c r="F235" s="410"/>
      <c r="G235" s="410"/>
      <c r="H235" s="410"/>
      <c r="I235" s="410"/>
      <c r="J235" s="410"/>
      <c r="K235" s="410"/>
      <c r="L235" s="410"/>
      <c r="M235" s="410"/>
      <c r="N235" s="410"/>
      <c r="O235" s="410"/>
    </row>
    <row r="236" spans="4:15">
      <c r="D236" s="410"/>
      <c r="E236" s="410"/>
      <c r="F236" s="410"/>
      <c r="G236" s="410"/>
      <c r="H236" s="410"/>
      <c r="I236" s="410"/>
      <c r="J236" s="410"/>
      <c r="K236" s="410"/>
      <c r="L236" s="410"/>
      <c r="M236" s="410"/>
      <c r="N236" s="410"/>
      <c r="O236" s="410"/>
    </row>
    <row r="237" spans="4:15">
      <c r="D237" s="410"/>
      <c r="E237" s="410"/>
      <c r="F237" s="410"/>
      <c r="G237" s="410"/>
      <c r="H237" s="410"/>
      <c r="I237" s="410"/>
      <c r="J237" s="410"/>
      <c r="K237" s="410"/>
      <c r="L237" s="410"/>
      <c r="M237" s="410"/>
      <c r="N237" s="410"/>
      <c r="O237" s="410"/>
    </row>
    <row r="238" spans="4:15">
      <c r="D238" s="410"/>
      <c r="E238" s="410"/>
      <c r="F238" s="410"/>
      <c r="G238" s="410"/>
      <c r="H238" s="410"/>
      <c r="I238" s="410"/>
      <c r="J238" s="410"/>
      <c r="K238" s="410"/>
      <c r="L238" s="410"/>
      <c r="M238" s="410"/>
      <c r="N238" s="410"/>
      <c r="O238" s="410"/>
    </row>
    <row r="239" spans="4:15">
      <c r="D239" s="410"/>
      <c r="E239" s="410"/>
      <c r="F239" s="410"/>
      <c r="G239" s="410"/>
      <c r="H239" s="410"/>
      <c r="I239" s="410"/>
      <c r="J239" s="410"/>
      <c r="K239" s="410"/>
      <c r="L239" s="410"/>
      <c r="M239" s="410"/>
      <c r="N239" s="410"/>
      <c r="O239" s="410"/>
    </row>
    <row r="240" spans="4:15">
      <c r="D240" s="410"/>
      <c r="E240" s="410"/>
      <c r="F240" s="410"/>
      <c r="G240" s="410"/>
      <c r="H240" s="410"/>
      <c r="I240" s="410"/>
      <c r="J240" s="410"/>
      <c r="K240" s="410"/>
      <c r="L240" s="410"/>
      <c r="M240" s="410"/>
      <c r="N240" s="410"/>
      <c r="O240" s="410"/>
    </row>
    <row r="241" spans="4:15">
      <c r="D241" s="410"/>
      <c r="E241" s="410"/>
      <c r="F241" s="410"/>
      <c r="G241" s="410"/>
      <c r="H241" s="410"/>
      <c r="I241" s="410"/>
      <c r="J241" s="410"/>
      <c r="K241" s="410"/>
      <c r="L241" s="410"/>
      <c r="M241" s="410"/>
      <c r="N241" s="410"/>
      <c r="O241" s="410"/>
    </row>
    <row r="242" spans="4:15">
      <c r="D242" s="410"/>
      <c r="E242" s="410"/>
      <c r="F242" s="410"/>
      <c r="G242" s="410"/>
      <c r="H242" s="410"/>
      <c r="I242" s="410"/>
      <c r="J242" s="410"/>
      <c r="K242" s="410"/>
      <c r="L242" s="410"/>
      <c r="M242" s="410"/>
      <c r="N242" s="410"/>
      <c r="O242" s="410"/>
    </row>
    <row r="243" spans="4:15">
      <c r="D243" s="410"/>
      <c r="E243" s="410"/>
      <c r="F243" s="410"/>
      <c r="G243" s="410"/>
      <c r="H243" s="410"/>
      <c r="I243" s="410"/>
      <c r="J243" s="410"/>
      <c r="K243" s="410"/>
      <c r="L243" s="410"/>
      <c r="M243" s="410"/>
      <c r="N243" s="410"/>
      <c r="O243" s="410"/>
    </row>
    <row r="244" spans="4:15">
      <c r="D244" s="410"/>
      <c r="E244" s="410"/>
      <c r="F244" s="410"/>
      <c r="G244" s="410"/>
      <c r="H244" s="410"/>
      <c r="I244" s="410"/>
      <c r="J244" s="410"/>
      <c r="K244" s="410"/>
      <c r="L244" s="410"/>
      <c r="M244" s="410"/>
      <c r="N244" s="410"/>
      <c r="O244" s="410"/>
    </row>
    <row r="245" spans="4:15">
      <c r="D245" s="410"/>
      <c r="E245" s="410"/>
      <c r="F245" s="410"/>
      <c r="G245" s="410"/>
      <c r="H245" s="410"/>
      <c r="I245" s="410"/>
      <c r="J245" s="410"/>
      <c r="K245" s="410"/>
      <c r="L245" s="410"/>
      <c r="M245" s="410"/>
      <c r="N245" s="410"/>
      <c r="O245" s="410"/>
    </row>
    <row r="246" spans="4:15">
      <c r="D246" s="410"/>
      <c r="E246" s="410"/>
      <c r="F246" s="410"/>
      <c r="G246" s="410"/>
      <c r="H246" s="410"/>
      <c r="I246" s="410"/>
      <c r="J246" s="410"/>
      <c r="K246" s="410"/>
      <c r="L246" s="410"/>
      <c r="M246" s="410"/>
      <c r="N246" s="410"/>
      <c r="O246" s="410"/>
    </row>
    <row r="247" spans="4:15">
      <c r="D247" s="410"/>
      <c r="E247" s="410"/>
      <c r="F247" s="410"/>
      <c r="G247" s="410"/>
      <c r="H247" s="410"/>
      <c r="I247" s="410"/>
      <c r="J247" s="410"/>
      <c r="K247" s="410"/>
      <c r="L247" s="410"/>
      <c r="M247" s="410"/>
      <c r="N247" s="410"/>
      <c r="O247" s="410"/>
    </row>
    <row r="248" spans="4:15">
      <c r="D248" s="410"/>
      <c r="E248" s="410"/>
      <c r="F248" s="410"/>
      <c r="G248" s="410"/>
      <c r="H248" s="410"/>
      <c r="I248" s="410"/>
      <c r="J248" s="410"/>
      <c r="K248" s="410"/>
      <c r="L248" s="410"/>
      <c r="M248" s="410"/>
      <c r="N248" s="410"/>
      <c r="O248" s="410"/>
    </row>
  </sheetData>
  <sheetProtection algorithmName="SHA-512" hashValue="MtaIIeBFDwPcVrsi99frPmu2Y3v2DTytqBB+NSGvFW6RPi9SpANtcyuQSWi3dTPyuqyG5bOotjNNwTfguISmqw==" saltValue="+KZTyr7q1kCD94U4feadkg==" spinCount="100000" sheet="1" formatCells="0" formatColumns="0" formatRows="0" insertColumns="0" insertRows="0" insertHyperlinks="0" deleteColumns="0" deleteRows="0" sort="0" autoFilter="0" pivotTables="0"/>
  <mergeCells count="115">
    <mergeCell ref="B2:P2"/>
    <mergeCell ref="M104:N104"/>
    <mergeCell ref="M94:N94"/>
    <mergeCell ref="M95:N95"/>
    <mergeCell ref="M96:N96"/>
    <mergeCell ref="M97:N97"/>
    <mergeCell ref="M101:N101"/>
    <mergeCell ref="M80:N80"/>
    <mergeCell ref="M82:N82"/>
    <mergeCell ref="M83:N87"/>
    <mergeCell ref="M90:N90"/>
    <mergeCell ref="M103:N103"/>
    <mergeCell ref="M93:N93"/>
    <mergeCell ref="M102:N102"/>
    <mergeCell ref="D29:D30"/>
    <mergeCell ref="M37:N41"/>
    <mergeCell ref="M81:N81"/>
    <mergeCell ref="M23:N23"/>
    <mergeCell ref="M42:N42"/>
    <mergeCell ref="E43:G43"/>
    <mergeCell ref="H43:J43"/>
    <mergeCell ref="M43:N47"/>
    <mergeCell ref="K23:L23"/>
    <mergeCell ref="H40:J40"/>
    <mergeCell ref="Z71:AJ71"/>
    <mergeCell ref="D70:L70"/>
    <mergeCell ref="D55:N55"/>
    <mergeCell ref="H38:J38"/>
    <mergeCell ref="H39:J39"/>
    <mergeCell ref="E49:G49"/>
    <mergeCell ref="K5:L6"/>
    <mergeCell ref="D8:N11"/>
    <mergeCell ref="F57:N57"/>
    <mergeCell ref="F59:N59"/>
    <mergeCell ref="K24:L24"/>
    <mergeCell ref="M24:N24"/>
    <mergeCell ref="D15:N15"/>
    <mergeCell ref="D13:E13"/>
    <mergeCell ref="E26:L26"/>
    <mergeCell ref="M26:N26"/>
    <mergeCell ref="E24:G24"/>
    <mergeCell ref="H24:J24"/>
    <mergeCell ref="E29:G29"/>
    <mergeCell ref="E41:G41"/>
    <mergeCell ref="H41:J41"/>
    <mergeCell ref="E33:G33"/>
    <mergeCell ref="H33:J33"/>
    <mergeCell ref="M36:N36"/>
    <mergeCell ref="Z101:AJ101"/>
    <mergeCell ref="Z99:AJ99"/>
    <mergeCell ref="AA90:AA91"/>
    <mergeCell ref="AC90:AC91"/>
    <mergeCell ref="Y90:Y91"/>
    <mergeCell ref="M92:N92"/>
    <mergeCell ref="M91:N91"/>
    <mergeCell ref="E76:G76"/>
    <mergeCell ref="E30:G30"/>
    <mergeCell ref="E34:G34"/>
    <mergeCell ref="E37:G37"/>
    <mergeCell ref="E38:G38"/>
    <mergeCell ref="E39:G39"/>
    <mergeCell ref="Z74:AJ74"/>
    <mergeCell ref="E40:G40"/>
    <mergeCell ref="K76:L76"/>
    <mergeCell ref="H76:J76"/>
    <mergeCell ref="H34:J34"/>
    <mergeCell ref="H37:J37"/>
    <mergeCell ref="M48:N48"/>
    <mergeCell ref="M34:N34"/>
    <mergeCell ref="H52:J52"/>
    <mergeCell ref="E53:G53"/>
    <mergeCell ref="H53:J53"/>
    <mergeCell ref="H30:J30"/>
    <mergeCell ref="M31:N31"/>
    <mergeCell ref="M32:N32"/>
    <mergeCell ref="C4:O4"/>
    <mergeCell ref="D71:N71"/>
    <mergeCell ref="D36:L36"/>
    <mergeCell ref="E44:G44"/>
    <mergeCell ref="H44:J44"/>
    <mergeCell ref="E45:G45"/>
    <mergeCell ref="H45:J45"/>
    <mergeCell ref="E46:G46"/>
    <mergeCell ref="H46:J46"/>
    <mergeCell ref="E47:G47"/>
    <mergeCell ref="H47:J47"/>
    <mergeCell ref="E23:G23"/>
    <mergeCell ref="H23:J23"/>
    <mergeCell ref="M29:N30"/>
    <mergeCell ref="H29:J29"/>
    <mergeCell ref="D103:D104"/>
    <mergeCell ref="E103:E104"/>
    <mergeCell ref="F103:F104"/>
    <mergeCell ref="G103:G104"/>
    <mergeCell ref="H103:H104"/>
    <mergeCell ref="I103:I104"/>
    <mergeCell ref="J103:J104"/>
    <mergeCell ref="K103:K104"/>
    <mergeCell ref="L103:L104"/>
    <mergeCell ref="E73:G73"/>
    <mergeCell ref="H73:J73"/>
    <mergeCell ref="K73:L73"/>
    <mergeCell ref="M76:N76"/>
    <mergeCell ref="M78:N78"/>
    <mergeCell ref="H49:J49"/>
    <mergeCell ref="M49:N53"/>
    <mergeCell ref="E50:G50"/>
    <mergeCell ref="H50:J50"/>
    <mergeCell ref="E51:G51"/>
    <mergeCell ref="H51:J51"/>
    <mergeCell ref="E52:G52"/>
    <mergeCell ref="F60:N60"/>
    <mergeCell ref="F61:N61"/>
    <mergeCell ref="F63:N63"/>
    <mergeCell ref="F64:N69"/>
  </mergeCells>
  <phoneticPr fontId="40" type="noConversion"/>
  <dataValidations count="1">
    <dataValidation type="list" allowBlank="1" showInputMessage="1" showErrorMessage="1" sqref="E57 E18 E20 E22" xr:uid="{306C2B67-D298-432B-8FB9-0484A203413A}">
      <formula1>"Sí, No"</formula1>
    </dataValidation>
  </dataValidations>
  <hyperlinks>
    <hyperlink ref="E72" r:id="rId1" xr:uid="{00000000-0004-0000-0100-000007000000}"/>
    <hyperlink ref="M104" r:id="rId2" xr:uid="{3661346D-9AFC-49D2-9512-088AA3B9C2D0}"/>
    <hyperlink ref="M104:N104" r:id="rId3" display="IDCC" xr:uid="{DF0AFD29-BDC6-4285-A758-946CB47B66C7}"/>
  </hyperlinks>
  <printOptions horizontalCentered="1" verticalCentered="1"/>
  <pageMargins left="0.25" right="0.25" top="0.75" bottom="0.75" header="0.3" footer="0.3"/>
  <pageSetup scale="38" orientation="portrait" r:id="rId4"/>
  <headerFooter>
    <oddHeader>&amp;L&amp;&amp;«Calibri»&amp;10&amp;K000000Clasificado como interno&amp;K000000&amp;1#</oddHeader>
  </headerFooter>
  <rowBreaks count="2" manualBreakCount="2">
    <brk id="54" min="1" max="18" man="1"/>
    <brk id="154" max="16383" man="1"/>
  </rowBreaks>
  <colBreaks count="1" manualBreakCount="1">
    <brk id="19" min="2" max="100" man="1"/>
  </colBreaks>
  <extLst>
    <ext xmlns:x14="http://schemas.microsoft.com/office/spreadsheetml/2009/9/main" uri="{CCE6A557-97BC-4b89-ADB6-D9C93CAAB3DF}">
      <x14:dataValidations xmlns:xm="http://schemas.microsoft.com/office/excel/2006/main" count="6">
        <x14:dataValidation type="list" allowBlank="1" showInputMessage="1" showErrorMessage="1" xr:uid="{68C3E46A-594D-499E-8E5D-7E8CE8428DB0}">
          <x14:formula1>
            <xm:f>Datos!$A$22:$A$25</xm:f>
          </x14:formula1>
          <xm:sqref>E59</xm:sqref>
        </x14:dataValidation>
        <x14:dataValidation type="list" allowBlank="1" showInputMessage="1" showErrorMessage="1" xr:uid="{00000000-0002-0000-0100-000001000000}">
          <x14:formula1>
            <xm:f>Datos!$A$2:$A$9</xm:f>
          </x14:formula1>
          <xm:sqref>U78 S78</xm:sqref>
        </x14:dataValidation>
        <x14:dataValidation type="list" allowBlank="1" showDropDown="1" showInputMessage="1" showErrorMessage="1" xr:uid="{8345D4C2-6C55-44EB-AC07-37A7A41DDACE}">
          <x14:formula1>
            <xm:f>Datos!$A$2:$A$9</xm:f>
          </x14:formula1>
          <xm:sqref>Y78</xm:sqref>
        </x14:dataValidation>
        <x14:dataValidation type="list" allowBlank="1" showInputMessage="1" showErrorMessage="1" xr:uid="{A07294AE-735A-4995-A770-D6FA63CCEB49}">
          <x14:formula1>
            <xm:f>Datos!$A$2:$A$5</xm:f>
          </x14:formula1>
          <xm:sqref>E78:G78 K78</xm:sqref>
        </x14:dataValidation>
        <x14:dataValidation type="list" allowBlank="1" showInputMessage="1" showErrorMessage="1" xr:uid="{3729A67A-3252-494A-8394-AD5581157694}">
          <x14:formula1>
            <xm:f>Datos!$A$6:$A$9</xm:f>
          </x14:formula1>
          <xm:sqref>H78:J78 L78</xm:sqref>
        </x14:dataValidation>
        <x14:dataValidation type="list" allowBlank="1" showInputMessage="1" showErrorMessage="1" xr:uid="{2F556F38-0532-4362-81EC-D95BD9A06084}">
          <x14:formula1>
            <xm:f>Datos!$A$27:$A$28</xm:f>
          </x14:formula1>
          <xm:sqref>E60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71D03-FBF0-423C-8568-74401601FC3D}">
  <sheetPr codeName="Sheet7">
    <tabColor theme="1"/>
  </sheetPr>
  <dimension ref="B1:U34"/>
  <sheetViews>
    <sheetView zoomScaleNormal="100" workbookViewId="0"/>
  </sheetViews>
  <sheetFormatPr defaultColWidth="8.81640625" defaultRowHeight="15.5" outlineLevelCol="1"/>
  <cols>
    <col min="1" max="1" width="1.81640625" style="488" customWidth="1"/>
    <col min="2" max="2" width="5.81640625" style="488" customWidth="1"/>
    <col min="3" max="3" width="22" style="488" customWidth="1"/>
    <col min="4" max="4" width="12.81640625" style="488" customWidth="1"/>
    <col min="5" max="5" width="1.453125" style="488" customWidth="1"/>
    <col min="6" max="6" width="20" style="489" customWidth="1"/>
    <col min="7" max="7" width="2.1796875" style="490" hidden="1" customWidth="1" outlineLevel="1"/>
    <col min="8" max="8" width="20" style="488" hidden="1" customWidth="1" outlineLevel="1"/>
    <col min="9" max="9" width="2.1796875" style="490" hidden="1" customWidth="1" outlineLevel="1"/>
    <col min="10" max="10" width="20" style="488" hidden="1" customWidth="1" outlineLevel="1"/>
    <col min="11" max="11" width="1.81640625" style="490" customWidth="1" collapsed="1"/>
    <col min="12" max="12" width="20" style="488" customWidth="1"/>
    <col min="13" max="13" width="2.1796875" style="490" hidden="1" customWidth="1" outlineLevel="1"/>
    <col min="14" max="14" width="20" style="488" hidden="1" customWidth="1" outlineLevel="1"/>
    <col min="15" max="15" width="2.1796875" style="490" hidden="1" customWidth="1" outlineLevel="1"/>
    <col min="16" max="16" width="20" style="488" hidden="1" customWidth="1" outlineLevel="1"/>
    <col min="17" max="17" width="2.1796875" style="490" customWidth="1" collapsed="1"/>
    <col min="18" max="18" width="20" style="488" customWidth="1"/>
    <col min="19" max="19" width="5.81640625" style="490" customWidth="1"/>
    <col min="20" max="20" width="63.453125" style="488" customWidth="1"/>
    <col min="21" max="16384" width="8.81640625" style="488"/>
  </cols>
  <sheetData>
    <row r="1" spans="2:21" ht="8.25" customHeight="1">
      <c r="B1" s="536"/>
      <c r="C1" s="536"/>
      <c r="D1" s="536"/>
      <c r="E1" s="536"/>
      <c r="F1" s="537"/>
      <c r="G1" s="538"/>
      <c r="H1" s="536"/>
      <c r="I1" s="538"/>
      <c r="J1" s="536"/>
      <c r="K1" s="538"/>
      <c r="L1" s="536"/>
      <c r="M1" s="538"/>
      <c r="N1" s="536"/>
      <c r="O1" s="538"/>
      <c r="P1" s="536"/>
      <c r="Q1" s="538"/>
      <c r="R1" s="536"/>
      <c r="S1" s="538"/>
    </row>
    <row r="2" spans="2:21" ht="20.25" customHeight="1">
      <c r="B2" s="1053" t="s">
        <v>213</v>
      </c>
      <c r="C2" s="1054"/>
      <c r="D2" s="1054"/>
      <c r="E2" s="1054"/>
      <c r="F2" s="1054"/>
      <c r="G2" s="1054"/>
      <c r="H2" s="1054"/>
      <c r="I2" s="1054"/>
      <c r="J2" s="1054"/>
      <c r="K2" s="1054"/>
      <c r="L2" s="1054"/>
      <c r="M2" s="1054"/>
      <c r="N2" s="1054"/>
      <c r="O2" s="1054"/>
      <c r="P2" s="1054"/>
      <c r="Q2" s="1054"/>
      <c r="R2" s="1054"/>
      <c r="S2" s="1054"/>
    </row>
    <row r="3" spans="2:21" ht="8.25" customHeight="1">
      <c r="B3" s="505"/>
      <c r="C3" s="505"/>
      <c r="D3" s="505"/>
      <c r="E3" s="505"/>
      <c r="F3" s="512"/>
      <c r="G3" s="510"/>
      <c r="H3" s="505"/>
      <c r="I3" s="510"/>
      <c r="J3" s="505"/>
      <c r="K3" s="510"/>
      <c r="L3" s="505"/>
      <c r="M3" s="510"/>
      <c r="N3" s="505"/>
      <c r="O3" s="510"/>
      <c r="P3" s="505"/>
      <c r="Q3" s="510"/>
      <c r="R3" s="505"/>
      <c r="S3" s="510"/>
    </row>
    <row r="4" spans="2:21" ht="60" customHeight="1">
      <c r="B4" s="505"/>
      <c r="C4" s="1052" t="s">
        <v>214</v>
      </c>
      <c r="D4" s="1052"/>
      <c r="E4" s="1052"/>
      <c r="F4" s="1052"/>
      <c r="G4" s="1052"/>
      <c r="H4" s="1052"/>
      <c r="I4" s="1052"/>
      <c r="J4" s="1052"/>
      <c r="K4" s="1052"/>
      <c r="L4" s="1052"/>
      <c r="M4" s="1052"/>
      <c r="N4" s="1052"/>
      <c r="O4" s="1052"/>
      <c r="P4" s="1052"/>
      <c r="Q4" s="1052"/>
      <c r="R4" s="1052"/>
      <c r="S4" s="775"/>
    </row>
    <row r="5" spans="2:21" ht="8.25" customHeight="1">
      <c r="B5" s="511"/>
      <c r="C5" s="511"/>
      <c r="D5" s="511"/>
      <c r="E5" s="511"/>
      <c r="F5" s="511"/>
      <c r="G5" s="511"/>
      <c r="H5" s="511"/>
      <c r="I5" s="511"/>
      <c r="J5" s="511"/>
      <c r="K5" s="511"/>
      <c r="L5" s="511"/>
      <c r="M5" s="511"/>
      <c r="N5" s="511"/>
      <c r="O5" s="511"/>
      <c r="P5" s="511"/>
      <c r="Q5" s="511"/>
      <c r="R5" s="511"/>
      <c r="S5" s="775"/>
    </row>
    <row r="6" spans="2:21" ht="48.25" customHeight="1">
      <c r="B6" s="1055"/>
      <c r="C6" s="513"/>
      <c r="D6" s="513"/>
      <c r="E6" s="514"/>
      <c r="F6" s="1063" t="s">
        <v>215</v>
      </c>
      <c r="G6" s="1064"/>
      <c r="H6" s="1064"/>
      <c r="I6" s="1064"/>
      <c r="J6" s="1065"/>
      <c r="K6" s="515"/>
      <c r="L6" s="1063" t="s">
        <v>216</v>
      </c>
      <c r="M6" s="1064"/>
      <c r="N6" s="1064"/>
      <c r="O6" s="1064"/>
      <c r="P6" s="1065"/>
      <c r="Q6" s="515"/>
      <c r="R6" s="521" t="s">
        <v>217</v>
      </c>
      <c r="S6" s="506"/>
      <c r="T6" s="492"/>
    </row>
    <row r="7" spans="2:21" ht="8.25" customHeight="1">
      <c r="B7" s="1055"/>
      <c r="C7" s="513"/>
      <c r="D7" s="513"/>
      <c r="E7" s="514"/>
      <c r="F7" s="520"/>
      <c r="G7" s="520"/>
      <c r="H7" s="520"/>
      <c r="I7" s="520"/>
      <c r="J7" s="520"/>
      <c r="K7" s="515"/>
      <c r="L7" s="520"/>
      <c r="M7" s="520"/>
      <c r="N7" s="520"/>
      <c r="O7" s="520"/>
      <c r="P7" s="520"/>
      <c r="Q7" s="515"/>
      <c r="R7" s="515"/>
      <c r="S7" s="506"/>
      <c r="T7" s="492"/>
    </row>
    <row r="8" spans="2:21" ht="96" customHeight="1">
      <c r="B8" s="1055"/>
      <c r="C8" s="516"/>
      <c r="D8" s="513"/>
      <c r="E8" s="514"/>
      <c r="F8" s="781" t="str">
        <f>Resultados!E9</f>
        <v>Abrysvo, Pfizer</v>
      </c>
      <c r="G8" s="777"/>
      <c r="H8" s="776" t="str">
        <f>Resultados!F9</f>
        <v>Ninguno</v>
      </c>
      <c r="I8" s="777"/>
      <c r="J8" s="776" t="str">
        <f>Resultados!G9</f>
        <v>Ninguno</v>
      </c>
      <c r="K8" s="777"/>
      <c r="L8" s="781" t="str">
        <f>Resultados!I9</f>
        <v>Ninguno</v>
      </c>
      <c r="M8" s="777"/>
      <c r="N8" s="776" t="str">
        <f>Resultados!J9</f>
        <v>Ninguno</v>
      </c>
      <c r="O8" s="777"/>
      <c r="P8" s="776" t="str">
        <f>Resultados!K9</f>
        <v>Ninguno</v>
      </c>
      <c r="Q8" s="777"/>
      <c r="R8" s="781" t="str">
        <f>Resultados!M7</f>
        <v>Intervención contra el VSR, tanto la vacuna materna como el AcM</v>
      </c>
      <c r="S8" s="778"/>
    </row>
    <row r="9" spans="2:21" ht="8.25" customHeight="1">
      <c r="B9" s="505"/>
      <c r="C9" s="517"/>
      <c r="D9" s="517"/>
      <c r="E9" s="517"/>
      <c r="F9" s="518" t="str">
        <f>IF(F8=Datos!$A$13, "! Este producto no está disponible para los países pertenecientes a Gavi !"," ")</f>
        <v xml:space="preserve"> </v>
      </c>
      <c r="G9" s="507"/>
      <c r="H9" s="519" t="str">
        <f>IF(H8=Datos!$A$13, "! Este producto no está disponible para los países pertenecientes a Gavi !"," ")</f>
        <v xml:space="preserve"> </v>
      </c>
      <c r="I9" s="507"/>
      <c r="J9" s="519" t="str">
        <f>IF(J8=Datos!$A$13, "! Este producto no está disponible para los países pertenecientes a Gavi !"," ")</f>
        <v xml:space="preserve"> </v>
      </c>
      <c r="K9" s="507"/>
      <c r="L9" s="519" t="str">
        <f>IF(L8=Datos!$A$13, "! Este producto no está disponible para los países pertenecientes a Gavi !"," ")</f>
        <v xml:space="preserve"> </v>
      </c>
      <c r="M9" s="507"/>
      <c r="N9" s="519" t="str">
        <f>IF(N8=Datos!$A$13, "! Este producto no está disponible para los países pertenecientes a Gavi !"," ")</f>
        <v xml:space="preserve"> </v>
      </c>
      <c r="O9" s="507"/>
      <c r="P9" s="519" t="str">
        <f>IF(P8=Datos!$A$13, "! Este producto no está disponible para los países pertenecientes a Gavi !"," ")</f>
        <v xml:space="preserve"> </v>
      </c>
      <c r="Q9" s="507"/>
      <c r="R9" s="519" t="str">
        <f>IF(R8=Datos!$A$13, "! Este producto no está disponible para los países pertenecientes a Gavi !"," ")</f>
        <v xml:space="preserve"> </v>
      </c>
      <c r="S9" s="507"/>
      <c r="U9" s="493"/>
    </row>
    <row r="10" spans="2:21" s="494" customFormat="1" ht="35.25" customHeight="1">
      <c r="B10" s="505"/>
      <c r="C10" s="1057" t="s">
        <v>218</v>
      </c>
      <c r="D10" s="528" t="s">
        <v>219</v>
      </c>
      <c r="E10" s="522"/>
      <c r="F10" s="529">
        <f>IFERROR(Resultados!E62/1000000,"")</f>
        <v>0.92859668067222245</v>
      </c>
      <c r="G10" s="771"/>
      <c r="H10" s="531" t="str">
        <f>IFERROR(Resultados!F62/1000000,"")</f>
        <v/>
      </c>
      <c r="I10" s="772"/>
      <c r="J10" s="531" t="str">
        <f>IFERROR(Resultados!G62/1000000,"")</f>
        <v/>
      </c>
      <c r="K10" s="771"/>
      <c r="L10" s="531" t="str">
        <f>IFERROR(Resultados!I62/1000000,"")</f>
        <v/>
      </c>
      <c r="M10" s="772"/>
      <c r="N10" s="531" t="str">
        <f>IFERROR(Resultados!J62/1000000,"")</f>
        <v/>
      </c>
      <c r="O10" s="772"/>
      <c r="P10" s="531" t="str">
        <f>IFERROR(Resultados!K62/1000000,"")</f>
        <v/>
      </c>
      <c r="Q10" s="772"/>
      <c r="R10" s="531">
        <f>IFERROR(Resultados!M62/1000000,"")</f>
        <v>1.4046061486666113</v>
      </c>
      <c r="S10" s="772"/>
    </row>
    <row r="11" spans="2:21" s="494" customFormat="1" ht="35.25" customHeight="1">
      <c r="B11" s="505"/>
      <c r="C11" s="1057"/>
      <c r="D11" s="528" t="s">
        <v>220</v>
      </c>
      <c r="E11" s="522"/>
      <c r="F11" s="530">
        <f>IFERROR(AVERAGE(Resultados!E63:E67)/1000000,"")</f>
        <v>0.1857193361344445</v>
      </c>
      <c r="G11" s="508"/>
      <c r="H11" s="531" t="str">
        <f>IFERROR(AVERAGE(Resultados!F63:F67)/1000000,"")</f>
        <v/>
      </c>
      <c r="I11" s="534"/>
      <c r="J11" s="532" t="str">
        <f>IFERROR(AVERAGE(Resultados!G63:G67)/1000000,"")</f>
        <v/>
      </c>
      <c r="K11" s="508"/>
      <c r="L11" s="532" t="str">
        <f>IFERROR(AVERAGE(Resultados!I63:I67)/1000000,"")</f>
        <v/>
      </c>
      <c r="M11" s="534"/>
      <c r="N11" s="532" t="str">
        <f>IFERROR(AVERAGE(Resultados!J63:J67)/1000000,"")</f>
        <v/>
      </c>
      <c r="O11" s="534"/>
      <c r="P11" s="532" t="str">
        <f>IFERROR(AVERAGE(Resultados!K63:K67)/1000000,"")</f>
        <v/>
      </c>
      <c r="Q11" s="534"/>
      <c r="R11" s="532">
        <f>IFERROR(AVERAGE(Resultados!M63:M67)/1000000,"")</f>
        <v>0.28092122973332223</v>
      </c>
      <c r="S11" s="534"/>
    </row>
    <row r="12" spans="2:21" ht="8.25" customHeight="1">
      <c r="B12" s="505"/>
      <c r="C12" s="514"/>
      <c r="D12" s="527"/>
      <c r="E12" s="522"/>
      <c r="F12" s="524"/>
      <c r="G12" s="509"/>
      <c r="H12" s="525"/>
      <c r="I12" s="535"/>
      <c r="J12" s="526"/>
      <c r="K12" s="509"/>
      <c r="L12" s="526"/>
      <c r="M12" s="535"/>
      <c r="N12" s="526"/>
      <c r="O12" s="535"/>
      <c r="P12" s="526"/>
      <c r="Q12" s="535"/>
      <c r="R12" s="526"/>
      <c r="S12" s="509"/>
    </row>
    <row r="13" spans="2:21" ht="35.25" customHeight="1">
      <c r="B13" s="505"/>
      <c r="C13" s="1057" t="s">
        <v>221</v>
      </c>
      <c r="D13" s="528" t="s">
        <v>219</v>
      </c>
      <c r="E13" s="514"/>
      <c r="F13" s="533">
        <f>IFERROR(Resultados!E108/1000000,"")</f>
        <v>0.21061366974788892</v>
      </c>
      <c r="G13" s="509"/>
      <c r="H13" s="531" t="str">
        <f>IFERROR(Resultados!F108/1000000,"")</f>
        <v/>
      </c>
      <c r="I13" s="535"/>
      <c r="J13" s="532" t="str">
        <f>IFERROR(Resultados!G108/1000000,"")</f>
        <v/>
      </c>
      <c r="K13" s="509" t="e">
        <f>(J13-F13)/F13</f>
        <v>#VALUE!</v>
      </c>
      <c r="L13" s="532" t="str">
        <f>IFERROR(Resultados!I108/1000000,"")</f>
        <v/>
      </c>
      <c r="M13" s="535" t="e">
        <f>(L13-F13)/F13</f>
        <v>#VALUE!</v>
      </c>
      <c r="N13" s="532" t="str">
        <f>IFERROR(Resultados!J108/1000000,"")</f>
        <v/>
      </c>
      <c r="O13" s="535" t="e">
        <f>(N13-F13)/F13</f>
        <v>#VALUE!</v>
      </c>
      <c r="P13" s="532" t="str">
        <f>IFERROR(Resultados!K108/1000000,"")</f>
        <v/>
      </c>
      <c r="Q13" s="535" t="e">
        <f>(P13-F13)/F13</f>
        <v>#VALUE!</v>
      </c>
      <c r="R13" s="532">
        <f>IFERROR(Resultados!M108/1000000,"")</f>
        <v>0.31869495270665454</v>
      </c>
      <c r="S13" s="535">
        <f>(R13-F13)/F13</f>
        <v>0.5131731624454493</v>
      </c>
    </row>
    <row r="14" spans="2:21" ht="35.25" customHeight="1">
      <c r="B14" s="505"/>
      <c r="C14" s="1057"/>
      <c r="D14" s="528" t="s">
        <v>220</v>
      </c>
      <c r="E14" s="522"/>
      <c r="F14" s="533">
        <f>IFERROR(AVERAGE(Resultados!E109:E113)/1000000,"")</f>
        <v>4.2122733949577787E-2</v>
      </c>
      <c r="G14" s="773"/>
      <c r="H14" s="531" t="str">
        <f>IFERROR(AVERAGE(Resultados!F109:F113)/1000000,"")</f>
        <v/>
      </c>
      <c r="I14" s="774"/>
      <c r="J14" s="532" t="str">
        <f>IFERROR(AVERAGE(Resultados!G109:G113)/1000000,"")</f>
        <v/>
      </c>
      <c r="K14" s="773"/>
      <c r="L14" s="532" t="str">
        <f>IFERROR(AVERAGE(Resultados!I109:I113)/1000000,"")</f>
        <v/>
      </c>
      <c r="M14" s="774"/>
      <c r="N14" s="532" t="str">
        <f>IFERROR(AVERAGE(Resultados!J109:J113)/1000000,"")</f>
        <v/>
      </c>
      <c r="O14" s="774"/>
      <c r="P14" s="532" t="str">
        <f>IFERROR(AVERAGE(Resultados!K109:K113)/1000000,"")</f>
        <v/>
      </c>
      <c r="Q14" s="774"/>
      <c r="R14" s="532">
        <f>IFERROR(AVERAGE(Resultados!M109:M113)/1000000,"")</f>
        <v>6.3738990541330906E-2</v>
      </c>
      <c r="S14" s="774"/>
    </row>
    <row r="15" spans="2:21" ht="8.25" customHeight="1">
      <c r="B15" s="505"/>
      <c r="C15" s="514"/>
      <c r="D15" s="527"/>
      <c r="E15" s="522"/>
      <c r="F15" s="524"/>
      <c r="G15" s="509"/>
      <c r="H15" s="525"/>
      <c r="I15" s="535"/>
      <c r="J15" s="526"/>
      <c r="K15" s="509"/>
      <c r="L15" s="526"/>
      <c r="M15" s="535"/>
      <c r="N15" s="526"/>
      <c r="O15" s="535"/>
      <c r="P15" s="526"/>
      <c r="Q15" s="535"/>
      <c r="R15" s="526"/>
      <c r="S15" s="535"/>
    </row>
    <row r="16" spans="2:21" ht="35.25" customHeight="1">
      <c r="B16" s="505"/>
      <c r="C16" s="1057" t="s">
        <v>222</v>
      </c>
      <c r="D16" s="528" t="s">
        <v>219</v>
      </c>
      <c r="E16" s="522"/>
      <c r="F16" s="533">
        <f>IFERROR(Resultados!E117/1000000,"")</f>
        <v>1.2536168254038889</v>
      </c>
      <c r="G16" s="509"/>
      <c r="H16" s="531" t="str">
        <f>IFERROR(Resultados!F117/1000000,"")</f>
        <v/>
      </c>
      <c r="I16" s="535"/>
      <c r="J16" s="532" t="str">
        <f>IFERROR(Resultados!G117/1000000,"")</f>
        <v/>
      </c>
      <c r="K16" s="509" t="e">
        <f>(J16-F16)/F16</f>
        <v>#VALUE!</v>
      </c>
      <c r="L16" s="532" t="str">
        <f>IFERROR(Resultados!I117/1000000,"")</f>
        <v/>
      </c>
      <c r="M16" s="535" t="e">
        <f>(L16-F16)/F16</f>
        <v>#VALUE!</v>
      </c>
      <c r="N16" s="532" t="str">
        <f>IFERROR(Resultados!J117/1000000,"")</f>
        <v/>
      </c>
      <c r="O16" s="535" t="e">
        <f>(N16-F16)/F16</f>
        <v>#VALUE!</v>
      </c>
      <c r="P16" s="532" t="str">
        <f>IFERROR(Resultados!K117/1000000,"")</f>
        <v/>
      </c>
      <c r="Q16" s="535" t="e">
        <f>(P16-F16)/F16</f>
        <v>#VALUE!</v>
      </c>
      <c r="R16" s="532">
        <f>IFERROR(Resultados!M117/1000000,"")</f>
        <v>1.8743338173721145</v>
      </c>
      <c r="S16" s="535">
        <f>(R16-F16)/F16</f>
        <v>0.49514092295964812</v>
      </c>
    </row>
    <row r="17" spans="2:20" ht="35.25" customHeight="1">
      <c r="B17" s="505"/>
      <c r="C17" s="1057"/>
      <c r="D17" s="528" t="s">
        <v>220</v>
      </c>
      <c r="E17" s="522"/>
      <c r="F17" s="533">
        <f>IFERROR(AVERAGE(Resultados!E118:E122)/1000000,"")</f>
        <v>0.2507233650807778</v>
      </c>
      <c r="G17" s="773"/>
      <c r="H17" s="531" t="str">
        <f>IFERROR(AVERAGE(Resultados!F118:F122)/1000000,"")</f>
        <v/>
      </c>
      <c r="I17" s="774"/>
      <c r="J17" s="532" t="str">
        <f>IFERROR(AVERAGE(Resultados!G118:G122)/1000000,"")</f>
        <v/>
      </c>
      <c r="K17" s="773"/>
      <c r="L17" s="532" t="str">
        <f>IFERROR(AVERAGE(Resultados!I118:I122)/1000000,"")</f>
        <v/>
      </c>
      <c r="M17" s="774"/>
      <c r="N17" s="532" t="str">
        <f>IFERROR(AVERAGE(Resultados!J118:J122)/1000000,"")</f>
        <v/>
      </c>
      <c r="O17" s="774"/>
      <c r="P17" s="532" t="str">
        <f>IFERROR(AVERAGE(Resultados!K118:K122)/1000000,"")</f>
        <v/>
      </c>
      <c r="Q17" s="774"/>
      <c r="R17" s="532">
        <f>IFERROR(AVERAGE(Resultados!M118:M122)/1000000,"")</f>
        <v>0.37486676347442288</v>
      </c>
      <c r="S17" s="535"/>
    </row>
    <row r="18" spans="2:20" ht="8.25" customHeight="1">
      <c r="B18" s="505"/>
      <c r="C18" s="514"/>
      <c r="D18" s="527"/>
      <c r="E18" s="522"/>
      <c r="F18" s="524"/>
      <c r="G18" s="509"/>
      <c r="H18" s="525"/>
      <c r="I18" s="535"/>
      <c r="J18" s="526"/>
      <c r="K18" s="509"/>
      <c r="L18" s="526"/>
      <c r="M18" s="535"/>
      <c r="N18" s="526"/>
      <c r="O18" s="535"/>
      <c r="P18" s="526"/>
      <c r="Q18" s="535"/>
      <c r="R18" s="526"/>
      <c r="S18" s="535"/>
    </row>
    <row r="19" spans="2:20" ht="45.65" customHeight="1">
      <c r="B19" s="505"/>
      <c r="C19" s="1057" t="s">
        <v>223</v>
      </c>
      <c r="D19" s="528" t="s">
        <v>219</v>
      </c>
      <c r="E19" s="514"/>
      <c r="F19" s="533">
        <f>IFERROR(Resultados!E128/1000000,"")</f>
        <v>3.581419620588056</v>
      </c>
      <c r="G19" s="509"/>
      <c r="H19" s="531" t="str">
        <f>IFERROR(Resultados!F128/1000000,"")</f>
        <v/>
      </c>
      <c r="I19" s="535"/>
      <c r="J19" s="532" t="str">
        <f>IFERROR(Resultados!G128/1000000,"")</f>
        <v/>
      </c>
      <c r="K19" s="509" t="e">
        <f>(J19-F19)/F19</f>
        <v>#VALUE!</v>
      </c>
      <c r="L19" s="532" t="str">
        <f>IFERROR(Resultados!I128/1000000,"")</f>
        <v/>
      </c>
      <c r="M19" s="535" t="e">
        <f>(L19-F19)/F19</f>
        <v>#VALUE!</v>
      </c>
      <c r="N19" s="532" t="str">
        <f>IFERROR(Resultados!J128/1000000,"")</f>
        <v/>
      </c>
      <c r="O19" s="535" t="e">
        <f>(N19-F19)/F19</f>
        <v>#VALUE!</v>
      </c>
      <c r="P19" s="532" t="str">
        <f>IFERROR(Resultados!K128/1000000,"")</f>
        <v/>
      </c>
      <c r="Q19" s="535" t="e">
        <f>(P19-F19)/F19</f>
        <v>#VALUE!</v>
      </c>
      <c r="R19" s="532">
        <f>IFERROR(Resultados!M128/1000000,"")</f>
        <v>14.389836719872665</v>
      </c>
      <c r="S19" s="535">
        <f>(R19-F19)/F19</f>
        <v>3.0179141916662386</v>
      </c>
    </row>
    <row r="20" spans="2:20" ht="45.65" customHeight="1">
      <c r="B20" s="505"/>
      <c r="C20" s="1057"/>
      <c r="D20" s="528" t="s">
        <v>220</v>
      </c>
      <c r="E20" s="522"/>
      <c r="F20" s="533">
        <f>IFERROR(AVERAGE(Resultados!E129:E133)/1000000,"")</f>
        <v>0.7162839241176111</v>
      </c>
      <c r="G20" s="773"/>
      <c r="H20" s="531" t="str">
        <f>IFERROR(AVERAGE(Resultados!F129:F133)/1000000,"")</f>
        <v/>
      </c>
      <c r="I20" s="774"/>
      <c r="J20" s="532" t="str">
        <f>IFERROR(AVERAGE(Resultados!G129:G133)/1000000,"")</f>
        <v/>
      </c>
      <c r="K20" s="773"/>
      <c r="L20" s="532" t="str">
        <f>IFERROR(AVERAGE(Resultados!I129:I133)/1000000,"")</f>
        <v/>
      </c>
      <c r="M20" s="774"/>
      <c r="N20" s="532" t="str">
        <f>IFERROR(AVERAGE(Resultados!J129:J133)/1000000,"")</f>
        <v/>
      </c>
      <c r="O20" s="774"/>
      <c r="P20" s="532" t="str">
        <f>IFERROR(AVERAGE(Resultados!K129:K133)/1000000,"")</f>
        <v/>
      </c>
      <c r="Q20" s="774"/>
      <c r="R20" s="532">
        <f>IFERROR(AVERAGE(Resultados!M129:M133)/1000000,"")</f>
        <v>2.8779673439745332</v>
      </c>
      <c r="S20" s="774"/>
    </row>
    <row r="21" spans="2:20" ht="8.25" customHeight="1">
      <c r="B21" s="505"/>
      <c r="C21" s="514"/>
      <c r="D21" s="527"/>
      <c r="E21" s="522"/>
      <c r="F21" s="524"/>
      <c r="G21" s="509"/>
      <c r="H21" s="525"/>
      <c r="I21" s="535"/>
      <c r="J21" s="526"/>
      <c r="K21" s="509"/>
      <c r="L21" s="526"/>
      <c r="M21" s="535"/>
      <c r="N21" s="526"/>
      <c r="O21" s="535"/>
      <c r="P21" s="526"/>
      <c r="Q21" s="535"/>
      <c r="R21" s="526"/>
      <c r="S21" s="535"/>
    </row>
    <row r="22" spans="2:20" ht="42.65" customHeight="1">
      <c r="B22" s="505"/>
      <c r="C22" s="1057" t="s">
        <v>224</v>
      </c>
      <c r="D22" s="528" t="s">
        <v>219</v>
      </c>
      <c r="E22" s="522"/>
      <c r="F22" s="533">
        <f>IFERROR(Resultados!E137/1000000,"")</f>
        <v>4.7894227762440558</v>
      </c>
      <c r="G22" s="509"/>
      <c r="H22" s="531" t="str">
        <f>IFERROR(Resultados!F137/1000000,"")</f>
        <v/>
      </c>
      <c r="I22" s="535"/>
      <c r="J22" s="532" t="str">
        <f>IFERROR(Resultados!G137/1000000,"")</f>
        <v/>
      </c>
      <c r="K22" s="509" t="e">
        <f>(J22-F22)/F22</f>
        <v>#VALUE!</v>
      </c>
      <c r="L22" s="532" t="str">
        <f>IFERROR(Resultados!I137/1000000,"")</f>
        <v/>
      </c>
      <c r="M22" s="535" t="e">
        <f>(L22-F22)/F22</f>
        <v>#VALUE!</v>
      </c>
      <c r="N22" s="532" t="str">
        <f>IFERROR(Resultados!J137/1000000,"")</f>
        <v/>
      </c>
      <c r="O22" s="535" t="e">
        <f>(N22-F22)/F22</f>
        <v>#VALUE!</v>
      </c>
      <c r="P22" s="532" t="str">
        <f>IFERROR(Resultados!K137/1000000,"")</f>
        <v/>
      </c>
      <c r="Q22" s="535" t="e">
        <f>(P22-F22)/F22</f>
        <v>#VALUE!</v>
      </c>
      <c r="R22" s="532">
        <f>IFERROR(Resultados!M137/1000000,"")</f>
        <v>15.955475584538128</v>
      </c>
      <c r="S22" s="535">
        <f>(R22-F22)/F22</f>
        <v>2.3313984440209881</v>
      </c>
    </row>
    <row r="23" spans="2:20" ht="42.65" customHeight="1">
      <c r="B23" s="505"/>
      <c r="C23" s="1057"/>
      <c r="D23" s="528" t="s">
        <v>220</v>
      </c>
      <c r="E23" s="522"/>
      <c r="F23" s="533">
        <f>IFERROR(AVERAGE(Resultados!E138:E142)/1000000,"")</f>
        <v>0.95788455524881111</v>
      </c>
      <c r="G23" s="773"/>
      <c r="H23" s="531" t="str">
        <f>IFERROR(AVERAGE(Resultados!F138:F142)/1000000,"")</f>
        <v/>
      </c>
      <c r="I23" s="774"/>
      <c r="J23" s="532" t="str">
        <f>IFERROR(AVERAGE(Resultados!G138:G142)/1000000,"")</f>
        <v/>
      </c>
      <c r="K23" s="773"/>
      <c r="L23" s="532" t="str">
        <f>IFERROR(AVERAGE(Resultados!I138:I142)/1000000,"")</f>
        <v/>
      </c>
      <c r="M23" s="774"/>
      <c r="N23" s="532" t="str">
        <f>IFERROR(AVERAGE(Resultados!J138:J142)/1000000,"")</f>
        <v/>
      </c>
      <c r="O23" s="774"/>
      <c r="P23" s="532" t="str">
        <f>IFERROR(AVERAGE(Resultados!K138:K142)/1000000,"")</f>
        <v/>
      </c>
      <c r="Q23" s="774"/>
      <c r="R23" s="532">
        <f>IFERROR(AVERAGE(Resultados!M138:M142)/1000000,"")</f>
        <v>3.1910951169076256</v>
      </c>
      <c r="S23" s="774"/>
    </row>
    <row r="24" spans="2:20" ht="8.25" customHeight="1">
      <c r="B24" s="505"/>
      <c r="C24" s="514"/>
      <c r="D24" s="527"/>
      <c r="E24" s="522"/>
      <c r="F24" s="524"/>
      <c r="G24" s="509"/>
      <c r="H24" s="525"/>
      <c r="I24" s="535"/>
      <c r="J24" s="526"/>
      <c r="K24" s="509"/>
      <c r="L24" s="526"/>
      <c r="M24" s="535"/>
      <c r="N24" s="526"/>
      <c r="O24" s="535"/>
      <c r="P24" s="526"/>
      <c r="Q24" s="535"/>
      <c r="R24" s="526"/>
      <c r="S24" s="535"/>
    </row>
    <row r="25" spans="2:20" ht="70" customHeight="1">
      <c r="B25" s="505"/>
      <c r="C25" s="720" t="s">
        <v>225</v>
      </c>
      <c r="D25" s="528" t="s">
        <v>220</v>
      </c>
      <c r="E25" s="522"/>
      <c r="F25" s="530">
        <f>IFERROR(AVERAGE(Resultados!E98:E102)/1000000,"")</f>
        <v>1.1254591769747333</v>
      </c>
      <c r="G25" s="509"/>
      <c r="H25" s="531" t="str">
        <f>IFERROR(AVERAGE(Resultados!F98:F102)/1000000,"")</f>
        <v/>
      </c>
      <c r="I25" s="535"/>
      <c r="J25" s="532" t="str">
        <f>IFERROR(AVERAGE(Resultados!G98:G102)/1000000,"")</f>
        <v/>
      </c>
      <c r="K25" s="509" t="e">
        <f>(J25-F25)/F25</f>
        <v>#VALUE!</v>
      </c>
      <c r="L25" s="532" t="str">
        <f>IFERROR(AVERAGE(Resultados!I98:I102)/1000000,"")</f>
        <v/>
      </c>
      <c r="M25" s="535" t="e">
        <f>(L25-F25)/F25</f>
        <v>#VALUE!</v>
      </c>
      <c r="N25" s="532" t="str">
        <f>IFERROR(AVERAGE(Resultados!J98:J102)/1000000,"")</f>
        <v/>
      </c>
      <c r="O25" s="535" t="e">
        <f>(N25-F25)/F25</f>
        <v>#VALUE!</v>
      </c>
      <c r="P25" s="532" t="str">
        <f>IFERROR(AVERAGE(Resultados!K98:K102)/1000000,"")</f>
        <v/>
      </c>
      <c r="Q25" s="535" t="e">
        <f>(P25-F25)/F25</f>
        <v>#VALUE!</v>
      </c>
      <c r="R25" s="532">
        <f>IFERROR(AVERAGE(Resultados!M98:M102)/1000000,"")</f>
        <v>2.8551013731652981</v>
      </c>
      <c r="S25" s="535">
        <f>(R25-F25)/F25</f>
        <v>1.5368324605428096</v>
      </c>
    </row>
    <row r="26" spans="2:20" ht="15" customHeight="1">
      <c r="B26" s="505"/>
      <c r="C26" s="514"/>
      <c r="D26" s="523"/>
      <c r="E26" s="522"/>
      <c r="F26" s="524"/>
      <c r="G26" s="509"/>
      <c r="H26" s="525"/>
      <c r="I26" s="509"/>
      <c r="J26" s="526"/>
      <c r="K26" s="509"/>
      <c r="L26" s="526"/>
      <c r="M26" s="509"/>
      <c r="N26" s="526"/>
      <c r="O26" s="509"/>
      <c r="P26" s="526"/>
      <c r="Q26" s="509"/>
      <c r="R26" s="526"/>
      <c r="S26" s="509"/>
    </row>
    <row r="27" spans="2:20" ht="15.75" customHeight="1">
      <c r="B27" s="505"/>
      <c r="C27" s="1058" t="s">
        <v>226</v>
      </c>
      <c r="D27" s="1058"/>
      <c r="E27" s="1058"/>
      <c r="F27" s="1058"/>
      <c r="G27" s="1058"/>
      <c r="H27" s="1058"/>
      <c r="I27" s="1058"/>
      <c r="J27" s="1058"/>
      <c r="K27" s="1058"/>
      <c r="L27" s="1058"/>
      <c r="M27" s="1058"/>
      <c r="N27" s="1058"/>
      <c r="O27" s="1058"/>
      <c r="P27" s="1058"/>
      <c r="Q27" s="1058"/>
      <c r="R27" s="779"/>
      <c r="S27" s="775"/>
    </row>
    <row r="28" spans="2:20" ht="41.25" customHeight="1">
      <c r="B28" s="505"/>
      <c r="C28" s="1059" t="s">
        <v>227</v>
      </c>
      <c r="D28" s="1059"/>
      <c r="E28" s="1059"/>
      <c r="F28" s="1059"/>
      <c r="G28" s="1059"/>
      <c r="H28" s="1059"/>
      <c r="I28" s="1059"/>
      <c r="J28" s="1059"/>
      <c r="K28" s="1059"/>
      <c r="L28" s="1059"/>
      <c r="M28" s="1059"/>
      <c r="N28" s="1059"/>
      <c r="O28" s="1059"/>
      <c r="P28" s="1059"/>
      <c r="Q28" s="1059"/>
      <c r="R28" s="1060"/>
      <c r="S28" s="1060"/>
    </row>
    <row r="29" spans="2:20" ht="53.25" customHeight="1">
      <c r="B29" s="505"/>
      <c r="C29" s="1061" t="s">
        <v>228</v>
      </c>
      <c r="D29" s="1061"/>
      <c r="E29" s="1061"/>
      <c r="F29" s="1061"/>
      <c r="G29" s="1061"/>
      <c r="H29" s="1061"/>
      <c r="I29" s="1061"/>
      <c r="J29" s="1061"/>
      <c r="K29" s="1061"/>
      <c r="L29" s="1061"/>
      <c r="M29" s="1061"/>
      <c r="N29" s="1061"/>
      <c r="O29" s="1061"/>
      <c r="P29" s="1061"/>
      <c r="Q29" s="1061"/>
      <c r="R29" s="1062"/>
      <c r="S29" s="1062"/>
      <c r="T29" s="495"/>
    </row>
    <row r="30" spans="2:20" ht="11.5" customHeight="1">
      <c r="B30" s="505"/>
      <c r="C30" s="1056"/>
      <c r="D30" s="1056"/>
      <c r="E30" s="1056"/>
      <c r="F30" s="1056"/>
      <c r="G30" s="1056"/>
      <c r="H30" s="1056"/>
      <c r="I30" s="1056"/>
      <c r="J30" s="1056"/>
      <c r="K30" s="1056"/>
      <c r="L30" s="1056"/>
      <c r="M30" s="1056"/>
      <c r="N30" s="1056"/>
      <c r="O30" s="1056"/>
      <c r="P30" s="1056"/>
      <c r="Q30" s="506"/>
      <c r="R30" s="505"/>
      <c r="S30" s="506"/>
    </row>
    <row r="31" spans="2:20">
      <c r="C31" s="722"/>
      <c r="D31" s="722"/>
      <c r="E31" s="722"/>
      <c r="F31" s="496"/>
      <c r="G31" s="491"/>
      <c r="H31" s="722"/>
      <c r="I31" s="491"/>
      <c r="J31" s="410"/>
      <c r="K31" s="497"/>
      <c r="L31" s="722"/>
      <c r="M31" s="491"/>
      <c r="N31" s="722"/>
      <c r="O31" s="491"/>
      <c r="P31" s="410"/>
      <c r="Q31" s="491"/>
      <c r="R31" s="410"/>
      <c r="S31" s="497"/>
    </row>
    <row r="32" spans="2:20">
      <c r="C32" s="498"/>
      <c r="D32" s="498"/>
      <c r="E32" s="498"/>
      <c r="F32" s="499"/>
      <c r="G32" s="500"/>
      <c r="H32" s="404"/>
      <c r="I32" s="500"/>
      <c r="J32" s="404"/>
      <c r="K32" s="500"/>
      <c r="L32" s="404"/>
      <c r="M32" s="500"/>
      <c r="N32" s="404"/>
      <c r="O32" s="500"/>
      <c r="P32" s="404"/>
      <c r="Q32" s="500"/>
      <c r="R32" s="404"/>
      <c r="S32" s="500"/>
    </row>
    <row r="33" spans="3:19">
      <c r="C33" s="721"/>
      <c r="D33" s="721"/>
      <c r="E33" s="721"/>
      <c r="F33" s="501"/>
      <c r="G33" s="502"/>
      <c r="H33" s="406"/>
      <c r="I33" s="502"/>
      <c r="J33" s="406"/>
      <c r="K33" s="502"/>
      <c r="L33" s="406"/>
      <c r="M33" s="502"/>
      <c r="N33" s="406"/>
      <c r="O33" s="502"/>
      <c r="P33" s="406"/>
      <c r="Q33" s="502"/>
      <c r="R33" s="406"/>
      <c r="S33" s="502"/>
    </row>
    <row r="34" spans="3:19">
      <c r="C34" s="721"/>
      <c r="D34" s="721"/>
      <c r="E34" s="721"/>
      <c r="F34" s="501"/>
      <c r="G34" s="503"/>
      <c r="H34" s="504"/>
      <c r="I34" s="503"/>
      <c r="J34" s="406"/>
      <c r="K34" s="502"/>
      <c r="L34" s="504"/>
      <c r="M34" s="503"/>
      <c r="N34" s="504"/>
      <c r="O34" s="503"/>
      <c r="P34" s="504"/>
      <c r="Q34" s="503"/>
      <c r="R34" s="504"/>
      <c r="S34" s="503"/>
    </row>
  </sheetData>
  <sheetProtection algorithmName="SHA-512" hashValue="WNXdD/cu9TLDV0fTGRdwY8GEKT4zqdXLAxOlAiqBuFCpjOcfdVdCtFG5Gz11ZtFVUrxbNc1R/AKLlpvViy5WUA==" saltValue="Xhes0p/e7BjPGDM14IzyYg==" spinCount="100000" sheet="1" formatCells="0" formatColumns="0" formatRows="0" autoFilter="0"/>
  <mergeCells count="14">
    <mergeCell ref="C4:R4"/>
    <mergeCell ref="B2:S2"/>
    <mergeCell ref="B6:B8"/>
    <mergeCell ref="C30:P30"/>
    <mergeCell ref="C10:C11"/>
    <mergeCell ref="C27:Q27"/>
    <mergeCell ref="C28:S28"/>
    <mergeCell ref="C29:S29"/>
    <mergeCell ref="C13:C14"/>
    <mergeCell ref="C16:C17"/>
    <mergeCell ref="C19:C20"/>
    <mergeCell ref="C22:C23"/>
    <mergeCell ref="F6:J6"/>
    <mergeCell ref="L6:P6"/>
  </mergeCells>
  <conditionalFormatting sqref="F12 F25 L12 L25 R12 R25">
    <cfRule type="colorScale" priority="149">
      <colorScale>
        <cfvo type="min"/>
        <cfvo type="percentile" val="50"/>
        <cfvo type="max"/>
        <color theme="6"/>
        <color rgb="FFE2E278"/>
        <color theme="3"/>
      </colorScale>
    </cfRule>
  </conditionalFormatting>
  <conditionalFormatting sqref="F22 H22 J22 L22 N22 P22 R22">
    <cfRule type="colorScale" priority="76">
      <colorScale>
        <cfvo type="min"/>
        <cfvo type="percentile" val="50"/>
        <cfvo type="max"/>
        <color theme="6"/>
        <color rgb="FFE2E278"/>
        <color theme="3"/>
      </colorScale>
    </cfRule>
  </conditionalFormatting>
  <conditionalFormatting sqref="F25:J25 F12:L12 L25 R25 R12 N25:P25 N12:P12">
    <cfRule type="colorScale" priority="151">
      <colorScale>
        <cfvo type="min"/>
        <cfvo type="percentile" val="50"/>
        <cfvo type="max"/>
        <color theme="3"/>
        <color rgb="FFE2E278"/>
        <color theme="6"/>
      </colorScale>
    </cfRule>
  </conditionalFormatting>
  <conditionalFormatting sqref="F15:L15 R15 N15:P15">
    <cfRule type="colorScale" priority="139">
      <colorScale>
        <cfvo type="min"/>
        <cfvo type="percentile" val="50"/>
        <cfvo type="max"/>
        <color theme="3"/>
        <color rgb="FFE2E278"/>
        <color theme="6"/>
      </colorScale>
    </cfRule>
  </conditionalFormatting>
  <conditionalFormatting sqref="F18:L18 R18 N18:P18">
    <cfRule type="colorScale" priority="109">
      <colorScale>
        <cfvo type="min"/>
        <cfvo type="percentile" val="50"/>
        <cfvo type="max"/>
        <color theme="3"/>
        <color rgb="FFE2E278"/>
        <color theme="6"/>
      </colorScale>
    </cfRule>
  </conditionalFormatting>
  <conditionalFormatting sqref="F21:L21 R21 N21:P21">
    <cfRule type="colorScale" priority="120">
      <colorScale>
        <cfvo type="min"/>
        <cfvo type="percentile" val="50"/>
        <cfvo type="max"/>
        <color theme="3"/>
        <color rgb="FFE2E278"/>
        <color theme="6"/>
      </colorScale>
    </cfRule>
  </conditionalFormatting>
  <conditionalFormatting sqref="F24:L24 F26:L26 R26 R24 N26:P26 N24:P24">
    <cfRule type="colorScale" priority="226">
      <colorScale>
        <cfvo type="min"/>
        <cfvo type="percentile" val="50"/>
        <cfvo type="max"/>
        <color theme="3"/>
        <color rgb="FFE2E278"/>
        <color theme="6"/>
      </colorScale>
    </cfRule>
  </conditionalFormatting>
  <conditionalFormatting sqref="G12:G13">
    <cfRule type="cellIs" dxfId="49" priority="62" operator="greaterThan">
      <formula>0</formula>
    </cfRule>
    <cfRule type="cellIs" dxfId="48" priority="61" operator="lessThan">
      <formula>0</formula>
    </cfRule>
  </conditionalFormatting>
  <conditionalFormatting sqref="G15:G16">
    <cfRule type="cellIs" dxfId="47" priority="51" operator="lessThan">
      <formula>0</formula>
    </cfRule>
    <cfRule type="cellIs" dxfId="46" priority="52" operator="greaterThan">
      <formula>0</formula>
    </cfRule>
  </conditionalFormatting>
  <conditionalFormatting sqref="G18:G19">
    <cfRule type="cellIs" dxfId="45" priority="56" operator="greaterThan">
      <formula>0</formula>
    </cfRule>
    <cfRule type="cellIs" dxfId="44" priority="55" operator="lessThan">
      <formula>0</formula>
    </cfRule>
  </conditionalFormatting>
  <conditionalFormatting sqref="G21:G22">
    <cfRule type="cellIs" dxfId="43" priority="49" operator="lessThan">
      <formula>0</formula>
    </cfRule>
    <cfRule type="cellIs" dxfId="42" priority="50" operator="greaterThan">
      <formula>0</formula>
    </cfRule>
  </conditionalFormatting>
  <conditionalFormatting sqref="G24:G26">
    <cfRule type="cellIs" dxfId="41" priority="53" operator="lessThan">
      <formula>0</formula>
    </cfRule>
    <cfRule type="cellIs" dxfId="40" priority="54" operator="greaterThan">
      <formula>0</formula>
    </cfRule>
  </conditionalFormatting>
  <conditionalFormatting sqref="H13 F13 J13 L13 N13 P13 R13">
    <cfRule type="colorScale" priority="79">
      <colorScale>
        <cfvo type="min"/>
        <cfvo type="percentile" val="50"/>
        <cfvo type="max"/>
        <color theme="6"/>
        <color rgb="FFE2E278"/>
        <color theme="3"/>
      </colorScale>
    </cfRule>
  </conditionalFormatting>
  <conditionalFormatting sqref="H16 F16 J16 L16 N16 P16 R16">
    <cfRule type="colorScale" priority="78">
      <colorScale>
        <cfvo type="min"/>
        <cfvo type="percentile" val="50"/>
        <cfvo type="max"/>
        <color theme="6"/>
        <color rgb="FFE2E278"/>
        <color theme="3"/>
      </colorScale>
    </cfRule>
  </conditionalFormatting>
  <conditionalFormatting sqref="H19 F19 J19 L19 N19 P19 R19">
    <cfRule type="colorScale" priority="77">
      <colorScale>
        <cfvo type="min"/>
        <cfvo type="percentile" val="50"/>
        <cfvo type="max"/>
        <color theme="6"/>
        <color rgb="FFE2E278"/>
        <color theme="3"/>
      </colorScale>
    </cfRule>
  </conditionalFormatting>
  <conditionalFormatting sqref="I12:I13">
    <cfRule type="cellIs" dxfId="39" priority="177" operator="greaterThan">
      <formula>0</formula>
    </cfRule>
    <cfRule type="cellIs" dxfId="38" priority="176" operator="lessThan">
      <formula>0</formula>
    </cfRule>
  </conditionalFormatting>
  <conditionalFormatting sqref="I15">
    <cfRule type="cellIs" dxfId="37" priority="147" operator="greaterThan">
      <formula>0</formula>
    </cfRule>
    <cfRule type="cellIs" dxfId="36" priority="146" operator="lessThan">
      <formula>0</formula>
    </cfRule>
  </conditionalFormatting>
  <conditionalFormatting sqref="I16">
    <cfRule type="cellIs" dxfId="35" priority="94" operator="lessThan">
      <formula>0</formula>
    </cfRule>
    <cfRule type="cellIs" dxfId="34" priority="95" operator="greaterThan">
      <formula>0</formula>
    </cfRule>
  </conditionalFormatting>
  <conditionalFormatting sqref="I18:I19">
    <cfRule type="cellIs" dxfId="33" priority="117" operator="greaterThan">
      <formula>0</formula>
    </cfRule>
    <cfRule type="cellIs" dxfId="32" priority="116" operator="lessThan">
      <formula>0</formula>
    </cfRule>
  </conditionalFormatting>
  <conditionalFormatting sqref="I21">
    <cfRule type="cellIs" dxfId="31" priority="127" operator="lessThan">
      <formula>0</formula>
    </cfRule>
    <cfRule type="cellIs" dxfId="30" priority="128" operator="greaterThan">
      <formula>0</formula>
    </cfRule>
  </conditionalFormatting>
  <conditionalFormatting sqref="I22">
    <cfRule type="cellIs" dxfId="29" priority="86" operator="lessThan">
      <formula>0</formula>
    </cfRule>
    <cfRule type="cellIs" dxfId="28" priority="87" operator="greaterThan">
      <formula>0</formula>
    </cfRule>
  </conditionalFormatting>
  <conditionalFormatting sqref="I24">
    <cfRule type="cellIs" dxfId="27" priority="105" operator="lessThan">
      <formula>0</formula>
    </cfRule>
    <cfRule type="cellIs" dxfId="26" priority="106" operator="greaterThan">
      <formula>0</formula>
    </cfRule>
  </conditionalFormatting>
  <conditionalFormatting sqref="I25:I26 K26">
    <cfRule type="cellIs" dxfId="25" priority="192" operator="lessThan">
      <formula>0</formula>
    </cfRule>
    <cfRule type="cellIs" dxfId="24" priority="193" operator="greaterThan">
      <formula>0</formula>
    </cfRule>
  </conditionalFormatting>
  <conditionalFormatting sqref="K12:K13">
    <cfRule type="cellIs" dxfId="23" priority="174" operator="lessThan">
      <formula>0</formula>
    </cfRule>
    <cfRule type="cellIs" dxfId="22" priority="175" operator="greaterThan">
      <formula>0</formula>
    </cfRule>
  </conditionalFormatting>
  <conditionalFormatting sqref="K15">
    <cfRule type="cellIs" dxfId="21" priority="140" operator="lessThan">
      <formula>0</formula>
    </cfRule>
    <cfRule type="cellIs" dxfId="20" priority="141" operator="greaterThan">
      <formula>0</formula>
    </cfRule>
  </conditionalFormatting>
  <conditionalFormatting sqref="K16">
    <cfRule type="cellIs" dxfId="19" priority="93" operator="greaterThan">
      <formula>0</formula>
    </cfRule>
    <cfRule type="cellIs" dxfId="18" priority="92" operator="lessThan">
      <formula>0</formula>
    </cfRule>
  </conditionalFormatting>
  <conditionalFormatting sqref="K18:K19">
    <cfRule type="cellIs" dxfId="17" priority="110" operator="lessThan">
      <formula>0</formula>
    </cfRule>
    <cfRule type="cellIs" dxfId="16" priority="111" operator="greaterThan">
      <formula>0</formula>
    </cfRule>
  </conditionalFormatting>
  <conditionalFormatting sqref="K21">
    <cfRule type="cellIs" dxfId="15" priority="121" operator="lessThan">
      <formula>0</formula>
    </cfRule>
    <cfRule type="cellIs" dxfId="14" priority="122" operator="greaterThan">
      <formula>0</formula>
    </cfRule>
  </conditionalFormatting>
  <conditionalFormatting sqref="K22">
    <cfRule type="cellIs" dxfId="13" priority="85" operator="greaterThan">
      <formula>0</formula>
    </cfRule>
    <cfRule type="cellIs" dxfId="12" priority="84" operator="lessThan">
      <formula>0</formula>
    </cfRule>
  </conditionalFormatting>
  <conditionalFormatting sqref="K24">
    <cfRule type="cellIs" dxfId="11" priority="99" operator="lessThan">
      <formula>0</formula>
    </cfRule>
    <cfRule type="cellIs" dxfId="10" priority="100" operator="greaterThan">
      <formula>0</formula>
    </cfRule>
  </conditionalFormatting>
  <conditionalFormatting sqref="L12 L25 F12 F25 R12 R25">
    <cfRule type="colorScale" priority="150">
      <colorScale>
        <cfvo type="min"/>
        <cfvo type="percentile" val="50"/>
        <cfvo type="max"/>
        <color theme="3"/>
        <color rgb="FFE2E278"/>
        <color theme="6"/>
      </colorScale>
    </cfRule>
  </conditionalFormatting>
  <conditionalFormatting sqref="L15 F15 R15">
    <cfRule type="colorScale" priority="137">
      <colorScale>
        <cfvo type="min"/>
        <cfvo type="percentile" val="50"/>
        <cfvo type="max"/>
        <color theme="6"/>
        <color rgb="FFE2E278"/>
        <color theme="3"/>
      </colorScale>
    </cfRule>
    <cfRule type="colorScale" priority="138">
      <colorScale>
        <cfvo type="min"/>
        <cfvo type="percentile" val="50"/>
        <cfvo type="max"/>
        <color theme="3"/>
        <color rgb="FFE2E278"/>
        <color theme="6"/>
      </colorScale>
    </cfRule>
  </conditionalFormatting>
  <conditionalFormatting sqref="L18 F18 R18">
    <cfRule type="colorScale" priority="107">
      <colorScale>
        <cfvo type="min"/>
        <cfvo type="percentile" val="50"/>
        <cfvo type="max"/>
        <color theme="6"/>
        <color rgb="FFE2E278"/>
        <color theme="3"/>
      </colorScale>
    </cfRule>
    <cfRule type="colorScale" priority="108">
      <colorScale>
        <cfvo type="min"/>
        <cfvo type="percentile" val="50"/>
        <cfvo type="max"/>
        <color theme="3"/>
        <color rgb="FFE2E278"/>
        <color theme="6"/>
      </colorScale>
    </cfRule>
  </conditionalFormatting>
  <conditionalFormatting sqref="L21 F21 R21">
    <cfRule type="colorScale" priority="118">
      <colorScale>
        <cfvo type="min"/>
        <cfvo type="percentile" val="50"/>
        <cfvo type="max"/>
        <color theme="6"/>
        <color rgb="FFE2E278"/>
        <color theme="3"/>
      </colorScale>
    </cfRule>
    <cfRule type="colorScale" priority="119">
      <colorScale>
        <cfvo type="min"/>
        <cfvo type="percentile" val="50"/>
        <cfvo type="max"/>
        <color theme="3"/>
        <color rgb="FFE2E278"/>
        <color theme="6"/>
      </colorScale>
    </cfRule>
  </conditionalFormatting>
  <conditionalFormatting sqref="L24 F24 R24 R26 F26 L26">
    <cfRule type="colorScale" priority="230">
      <colorScale>
        <cfvo type="min"/>
        <cfvo type="percentile" val="50"/>
        <cfvo type="max"/>
        <color theme="3"/>
        <color rgb="FFE2E278"/>
        <color theme="6"/>
      </colorScale>
    </cfRule>
  </conditionalFormatting>
  <conditionalFormatting sqref="L24 F24 R24 R26 L26 F26">
    <cfRule type="colorScale" priority="236">
      <colorScale>
        <cfvo type="min"/>
        <cfvo type="percentile" val="50"/>
        <cfvo type="max"/>
        <color theme="6"/>
        <color rgb="FFE2E278"/>
        <color theme="3"/>
      </colorScale>
    </cfRule>
  </conditionalFormatting>
  <conditionalFormatting sqref="O12:O13">
    <cfRule type="cellIs" dxfId="9" priority="30" operator="greaterThan">
      <formula>0</formula>
    </cfRule>
    <cfRule type="cellIs" dxfId="8" priority="29" operator="lessThan">
      <formula>0</formula>
    </cfRule>
  </conditionalFormatting>
  <conditionalFormatting sqref="O15:O16">
    <cfRule type="cellIs" dxfId="7" priority="20" operator="greaterThan">
      <formula>0</formula>
    </cfRule>
    <cfRule type="cellIs" dxfId="6" priority="19" operator="lessThan">
      <formula>0</formula>
    </cfRule>
  </conditionalFormatting>
  <conditionalFormatting sqref="O18:O19">
    <cfRule type="cellIs" dxfId="5" priority="24" operator="greaterThan">
      <formula>0</formula>
    </cfRule>
    <cfRule type="cellIs" dxfId="4" priority="23" operator="lessThan">
      <formula>0</formula>
    </cfRule>
  </conditionalFormatting>
  <conditionalFormatting sqref="O21:O22">
    <cfRule type="cellIs" dxfId="3" priority="17" operator="lessThan">
      <formula>0</formula>
    </cfRule>
    <cfRule type="cellIs" dxfId="2" priority="18" operator="greaterThan">
      <formula>0</formula>
    </cfRule>
  </conditionalFormatting>
  <conditionalFormatting sqref="O24:O26">
    <cfRule type="cellIs" dxfId="1" priority="22" operator="greaterThan">
      <formula>0</formula>
    </cfRule>
    <cfRule type="cellIs" dxfId="0" priority="21" operator="lessThan">
      <formula>0</formula>
    </cfRule>
  </conditionalFormatting>
  <pageMargins left="0.7" right="0.7" top="0.75" bottom="0.75" header="0.3" footer="0.3"/>
  <pageSetup scale="76"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4289E-D5E5-4A82-8CC8-64CA82FC067F}">
  <sheetPr codeName="Sheet3">
    <tabColor theme="9"/>
  </sheetPr>
  <dimension ref="B1:AB150"/>
  <sheetViews>
    <sheetView zoomScaleNormal="100" workbookViewId="0"/>
  </sheetViews>
  <sheetFormatPr defaultColWidth="8.81640625" defaultRowHeight="15.5" outlineLevelRow="1" outlineLevelCol="1"/>
  <cols>
    <col min="1" max="1" width="2.1796875" style="566" customWidth="1"/>
    <col min="2" max="3" width="5.81640625" style="566" customWidth="1"/>
    <col min="4" max="5" width="18.453125" style="566" customWidth="1"/>
    <col min="6" max="7" width="18.453125" style="566" hidden="1" customWidth="1" outlineLevel="1"/>
    <col min="8" max="8" width="2" style="566" hidden="1" customWidth="1" outlineLevel="1"/>
    <col min="9" max="9" width="18.453125" style="566" customWidth="1" collapsed="1"/>
    <col min="10" max="11" width="18.453125" style="566" hidden="1" customWidth="1" outlineLevel="1"/>
    <col min="12" max="12" width="2" style="566" hidden="1" customWidth="1" outlineLevel="1"/>
    <col min="13" max="13" width="18.453125" style="566" customWidth="1" collapsed="1"/>
    <col min="14" max="15" width="18.453125" style="566" hidden="1" customWidth="1" outlineLevel="1"/>
    <col min="16" max="16" width="5.81640625" style="488" customWidth="1" collapsed="1"/>
    <col min="17" max="17" width="5.81640625" style="488" customWidth="1"/>
    <col min="18" max="18" width="36.453125" style="567" customWidth="1"/>
    <col min="19" max="19" width="72.453125" style="567" customWidth="1"/>
    <col min="20" max="20" width="2.1796875" style="567" customWidth="1"/>
    <col min="21" max="21" width="31.453125" style="567" customWidth="1"/>
    <col min="22" max="22" width="34.1796875" style="567" customWidth="1"/>
    <col min="23" max="23" width="3.1796875" style="567" customWidth="1"/>
    <col min="24" max="24" width="32.453125" style="567" customWidth="1"/>
    <col min="25" max="25" width="31.1796875" style="567" customWidth="1"/>
    <col min="26" max="28" width="8.81640625" style="567"/>
    <col min="29" max="16384" width="8.81640625" style="566"/>
  </cols>
  <sheetData>
    <row r="1" spans="2:28" ht="8.25" customHeight="1">
      <c r="B1" s="648"/>
      <c r="C1" s="648"/>
      <c r="D1" s="648"/>
      <c r="E1" s="648"/>
      <c r="F1" s="648"/>
      <c r="G1" s="648"/>
      <c r="H1" s="648"/>
      <c r="I1" s="648"/>
      <c r="J1" s="648"/>
      <c r="K1" s="648"/>
      <c r="L1" s="648"/>
      <c r="M1" s="648"/>
      <c r="N1" s="648"/>
      <c r="O1" s="648"/>
      <c r="P1" s="536"/>
      <c r="Q1" s="536"/>
    </row>
    <row r="2" spans="2:28" s="681" customFormat="1" ht="33.65" customHeight="1">
      <c r="B2" s="1082" t="s">
        <v>498</v>
      </c>
      <c r="C2" s="1083"/>
      <c r="D2" s="1083"/>
      <c r="E2" s="1083"/>
      <c r="F2" s="1083"/>
      <c r="G2" s="1083"/>
      <c r="H2" s="1083"/>
      <c r="I2" s="1083"/>
      <c r="J2" s="1083"/>
      <c r="K2" s="1083"/>
      <c r="L2" s="1083"/>
      <c r="M2" s="1083"/>
      <c r="N2" s="1083"/>
      <c r="O2" s="1083"/>
      <c r="P2" s="1083"/>
      <c r="Q2" s="1083"/>
      <c r="R2" s="680"/>
      <c r="S2" s="680"/>
      <c r="T2" s="680"/>
      <c r="U2" s="680"/>
      <c r="V2" s="680"/>
      <c r="W2" s="680"/>
      <c r="X2" s="680"/>
      <c r="Y2" s="680"/>
      <c r="Z2" s="680"/>
      <c r="AA2" s="680"/>
      <c r="AB2" s="680"/>
    </row>
    <row r="3" spans="2:28">
      <c r="B3" s="570"/>
      <c r="C3" s="570"/>
      <c r="D3" s="570"/>
      <c r="E3" s="570"/>
      <c r="F3" s="570"/>
      <c r="G3" s="570"/>
      <c r="H3" s="570"/>
      <c r="I3" s="570"/>
      <c r="J3" s="570"/>
      <c r="K3" s="570"/>
      <c r="L3" s="570"/>
      <c r="M3" s="570"/>
      <c r="N3" s="570"/>
      <c r="O3" s="570"/>
      <c r="P3" s="571"/>
      <c r="Q3" s="571"/>
    </row>
    <row r="4" spans="2:28" ht="60" customHeight="1">
      <c r="B4" s="574"/>
      <c r="C4" s="590"/>
      <c r="D4" s="1084" t="s">
        <v>229</v>
      </c>
      <c r="E4" s="1084"/>
      <c r="F4" s="1084"/>
      <c r="G4" s="1084"/>
      <c r="H4" s="1084"/>
      <c r="I4" s="1084"/>
      <c r="J4" s="1084"/>
      <c r="K4" s="1084"/>
      <c r="L4" s="1084"/>
      <c r="M4" s="1084"/>
      <c r="N4" s="1084"/>
      <c r="O4" s="1084"/>
      <c r="P4" s="591"/>
      <c r="Q4" s="571"/>
      <c r="R4" s="722"/>
      <c r="S4" s="722"/>
      <c r="T4" s="422"/>
      <c r="U4" s="422"/>
      <c r="V4" s="422"/>
      <c r="W4" s="422"/>
      <c r="X4" s="422"/>
      <c r="Y4" s="722"/>
    </row>
    <row r="5" spans="2:28" ht="8.5" customHeight="1">
      <c r="B5" s="574"/>
      <c r="C5" s="574"/>
      <c r="D5" s="587"/>
      <c r="E5" s="587"/>
      <c r="F5" s="587"/>
      <c r="G5" s="587"/>
      <c r="H5" s="587"/>
      <c r="I5" s="587"/>
      <c r="J5" s="587"/>
      <c r="K5" s="587"/>
      <c r="L5" s="587"/>
      <c r="M5" s="570"/>
      <c r="N5" s="587"/>
      <c r="O5" s="587"/>
      <c r="P5" s="571"/>
      <c r="Q5" s="571"/>
      <c r="R5" s="411"/>
      <c r="S5" s="410"/>
    </row>
    <row r="6" spans="2:28" ht="10.5" customHeight="1">
      <c r="B6" s="574"/>
      <c r="C6" s="574"/>
      <c r="D6" s="587"/>
      <c r="E6" s="587"/>
      <c r="F6" s="587"/>
      <c r="G6" s="587"/>
      <c r="H6" s="587"/>
      <c r="I6" s="587"/>
      <c r="J6" s="587"/>
      <c r="K6" s="587"/>
      <c r="L6" s="587"/>
      <c r="M6" s="570"/>
      <c r="N6" s="587"/>
      <c r="O6" s="587"/>
      <c r="P6" s="571"/>
      <c r="Q6" s="571"/>
      <c r="R6" s="722"/>
      <c r="S6" s="722"/>
    </row>
    <row r="7" spans="2:28" ht="69" customHeight="1">
      <c r="B7" s="574"/>
      <c r="C7" s="574"/>
      <c r="D7" s="587"/>
      <c r="E7" s="1071" t="s">
        <v>230</v>
      </c>
      <c r="F7" s="1071"/>
      <c r="G7" s="1071"/>
      <c r="H7" s="668"/>
      <c r="I7" s="1072" t="s">
        <v>231</v>
      </c>
      <c r="J7" s="1072"/>
      <c r="K7" s="1072"/>
      <c r="L7" s="668"/>
      <c r="M7" s="1073" t="s">
        <v>232</v>
      </c>
      <c r="N7" s="1073"/>
      <c r="O7" s="1073"/>
      <c r="P7" s="571"/>
      <c r="Q7" s="571"/>
      <c r="R7" s="722"/>
      <c r="S7" s="722"/>
    </row>
    <row r="8" spans="2:28" ht="65.25" customHeight="1">
      <c r="B8" s="574"/>
      <c r="C8" s="574"/>
      <c r="D8" s="587"/>
      <c r="E8" s="1068" t="s">
        <v>215</v>
      </c>
      <c r="F8" s="1068"/>
      <c r="G8" s="1068"/>
      <c r="H8" s="628"/>
      <c r="I8" s="1069" t="s">
        <v>216</v>
      </c>
      <c r="J8" s="1069"/>
      <c r="K8" s="1069"/>
      <c r="L8" s="628"/>
      <c r="M8" s="1070" t="s">
        <v>233</v>
      </c>
      <c r="N8" s="1070"/>
      <c r="O8" s="1070"/>
      <c r="P8" s="571"/>
      <c r="Q8" s="571"/>
      <c r="R8" s="722"/>
      <c r="S8" s="722"/>
    </row>
    <row r="9" spans="2:28" s="586" customFormat="1" ht="27" customHeight="1">
      <c r="B9" s="582"/>
      <c r="C9" s="582"/>
      <c r="D9" s="588"/>
      <c r="E9" s="647" t="str">
        <f>'Datos del modelo'!E78</f>
        <v>Abrysvo, Pfizer</v>
      </c>
      <c r="F9" s="647" t="str">
        <f>'Datos del modelo'!F78</f>
        <v>Ninguno</v>
      </c>
      <c r="G9" s="647" t="str">
        <f>'Datos del modelo'!G78</f>
        <v>Ninguno</v>
      </c>
      <c r="H9" s="631"/>
      <c r="I9" s="647" t="str">
        <f>'Datos del modelo'!H78</f>
        <v>Ninguno</v>
      </c>
      <c r="J9" s="647" t="str">
        <f>'Datos del modelo'!I78</f>
        <v>Ninguno</v>
      </c>
      <c r="K9" s="647" t="str">
        <f>'Datos del modelo'!J78</f>
        <v>Ninguno</v>
      </c>
      <c r="L9" s="631"/>
      <c r="M9" s="647" t="s">
        <v>234</v>
      </c>
      <c r="N9" s="647" t="str">
        <f>'Datos del modelo'!K78</f>
        <v>Abrysvo, Pfizer</v>
      </c>
      <c r="O9" s="647" t="str">
        <f>'Datos del modelo'!L78</f>
        <v>Anticuerpo monoclonal contra el VSR_2</v>
      </c>
      <c r="P9" s="583"/>
      <c r="Q9" s="583"/>
      <c r="R9" s="584"/>
      <c r="S9" s="725"/>
      <c r="T9" s="585"/>
      <c r="U9" s="1074"/>
      <c r="V9" s="1074"/>
      <c r="W9" s="585"/>
      <c r="X9" s="1074"/>
      <c r="Y9" s="1074"/>
      <c r="Z9" s="585"/>
      <c r="AA9" s="585"/>
      <c r="AB9" s="585"/>
    </row>
    <row r="10" spans="2:28" ht="35.25" hidden="1" customHeight="1">
      <c r="B10" s="574"/>
      <c r="C10" s="574"/>
      <c r="D10" s="712"/>
      <c r="E10" s="573" t="s">
        <v>235</v>
      </c>
      <c r="F10" s="573" t="s">
        <v>235</v>
      </c>
      <c r="G10" s="573" t="s">
        <v>235</v>
      </c>
      <c r="H10" s="573"/>
      <c r="I10" s="573" t="s">
        <v>236</v>
      </c>
      <c r="J10" s="573" t="s">
        <v>236</v>
      </c>
      <c r="K10" s="573" t="s">
        <v>236</v>
      </c>
      <c r="L10" s="573"/>
      <c r="M10" s="573" t="s">
        <v>237</v>
      </c>
      <c r="N10" s="573" t="s">
        <v>237</v>
      </c>
      <c r="O10" s="573" t="s">
        <v>237</v>
      </c>
      <c r="P10" s="571"/>
      <c r="Q10" s="571"/>
      <c r="R10" s="722"/>
      <c r="S10" s="722"/>
    </row>
    <row r="11" spans="2:28" ht="27" hidden="1" customHeight="1">
      <c r="B11" s="574"/>
      <c r="C11" s="574"/>
      <c r="E11" s="572" t="str">
        <f>E9</f>
        <v>Abrysvo, Pfizer</v>
      </c>
      <c r="F11" s="572" t="str">
        <f t="shared" ref="F11:O11" si="0">F9</f>
        <v>Ninguno</v>
      </c>
      <c r="G11" s="572" t="str">
        <f t="shared" si="0"/>
        <v>Ninguno</v>
      </c>
      <c r="H11" s="572"/>
      <c r="I11" s="572" t="str">
        <f t="shared" si="0"/>
        <v>Ninguno</v>
      </c>
      <c r="J11" s="572" t="str">
        <f t="shared" si="0"/>
        <v>Ninguno</v>
      </c>
      <c r="K11" s="572" t="str">
        <f t="shared" si="0"/>
        <v>Ninguno</v>
      </c>
      <c r="L11" s="572"/>
      <c r="M11" s="572" t="str">
        <f t="shared" si="0"/>
        <v>Los dos, total</v>
      </c>
      <c r="N11" s="572" t="str">
        <f t="shared" si="0"/>
        <v>Abrysvo, Pfizer</v>
      </c>
      <c r="O11" s="572" t="str">
        <f t="shared" si="0"/>
        <v>Anticuerpo monoclonal contra el VSR_2</v>
      </c>
      <c r="P11" s="571"/>
      <c r="Q11" s="571"/>
      <c r="R11" s="568"/>
      <c r="S11" s="722"/>
      <c r="U11" s="1075"/>
      <c r="V11" s="1075"/>
      <c r="X11" s="1075"/>
      <c r="Y11" s="1075"/>
    </row>
    <row r="12" spans="2:28" s="409" customFormat="1" ht="12" customHeight="1">
      <c r="B12" s="574"/>
      <c r="C12" s="574"/>
      <c r="D12" s="574"/>
      <c r="E12" s="574"/>
      <c r="F12" s="574"/>
      <c r="G12" s="574"/>
      <c r="H12" s="574"/>
      <c r="I12" s="574"/>
      <c r="J12" s="574"/>
      <c r="K12" s="574"/>
      <c r="L12" s="574"/>
      <c r="M12" s="574"/>
      <c r="N12" s="574"/>
      <c r="O12" s="574"/>
      <c r="P12" s="574"/>
      <c r="Q12" s="574"/>
      <c r="R12" s="541"/>
      <c r="S12" s="542"/>
      <c r="T12" s="412"/>
      <c r="U12" s="410"/>
      <c r="V12" s="412"/>
      <c r="W12" s="410"/>
      <c r="X12" s="410"/>
      <c r="Y12" s="410"/>
      <c r="Z12" s="410"/>
      <c r="AA12" s="410"/>
      <c r="AB12" s="410"/>
    </row>
    <row r="13" spans="2:28" ht="52" customHeight="1">
      <c r="B13" s="574"/>
      <c r="C13" s="574"/>
      <c r="D13" s="1078" t="s">
        <v>140</v>
      </c>
      <c r="E13" s="1078"/>
      <c r="F13" s="1078"/>
      <c r="G13" s="1078"/>
      <c r="H13" s="1078"/>
      <c r="I13" s="1078"/>
      <c r="J13" s="1078"/>
      <c r="K13" s="1078"/>
      <c r="L13" s="1078"/>
      <c r="M13" s="1078"/>
      <c r="N13" s="1078"/>
      <c r="O13" s="1078"/>
      <c r="P13" s="571"/>
      <c r="Q13" s="571"/>
      <c r="R13" s="543"/>
      <c r="S13" s="542"/>
      <c r="U13" s="1075"/>
      <c r="V13" s="1075"/>
      <c r="X13" s="1075"/>
      <c r="Y13" s="1075"/>
    </row>
    <row r="14" spans="2:28" ht="8.25" customHeight="1">
      <c r="B14" s="574"/>
      <c r="C14" s="574"/>
      <c r="D14" s="592"/>
      <c r="E14" s="592"/>
      <c r="F14" s="592"/>
      <c r="G14" s="592"/>
      <c r="H14" s="592"/>
      <c r="I14" s="592"/>
      <c r="J14" s="592"/>
      <c r="K14" s="592"/>
      <c r="L14" s="592"/>
      <c r="M14" s="592"/>
      <c r="N14" s="592"/>
      <c r="O14" s="592"/>
      <c r="P14" s="571"/>
      <c r="Q14" s="571"/>
      <c r="R14" s="543"/>
      <c r="S14" s="542"/>
      <c r="U14" s="722"/>
      <c r="V14" s="722"/>
      <c r="X14" s="722"/>
      <c r="Y14" s="722"/>
    </row>
    <row r="15" spans="2:28" ht="45" customHeight="1">
      <c r="B15" s="574"/>
      <c r="C15" s="574"/>
      <c r="D15" s="1085" t="s">
        <v>238</v>
      </c>
      <c r="E15" s="1085"/>
      <c r="F15" s="1085"/>
      <c r="G15" s="1085"/>
      <c r="H15" s="1085"/>
      <c r="I15" s="1085"/>
      <c r="J15" s="1085"/>
      <c r="K15" s="1085"/>
      <c r="L15" s="1085"/>
      <c r="M15" s="1085"/>
      <c r="N15" s="1085"/>
      <c r="O15" s="1085"/>
      <c r="P15" s="571"/>
      <c r="Q15" s="571"/>
      <c r="R15" s="543"/>
      <c r="S15" s="542"/>
      <c r="U15" s="722"/>
      <c r="V15" s="722"/>
      <c r="X15" s="722"/>
      <c r="Y15" s="722"/>
    </row>
    <row r="16" spans="2:28" ht="8.25" customHeight="1">
      <c r="B16" s="574"/>
      <c r="C16" s="574"/>
      <c r="D16" s="593"/>
      <c r="E16" s="593"/>
      <c r="F16" s="593"/>
      <c r="G16" s="593"/>
      <c r="H16" s="593"/>
      <c r="I16" s="593"/>
      <c r="J16" s="593"/>
      <c r="K16" s="593"/>
      <c r="L16" s="593"/>
      <c r="M16" s="593"/>
      <c r="N16" s="593"/>
      <c r="O16" s="593"/>
      <c r="P16" s="571"/>
      <c r="Q16" s="571"/>
      <c r="R16" s="543"/>
      <c r="S16" s="542"/>
      <c r="U16" s="722"/>
      <c r="V16" s="722"/>
      <c r="X16" s="722"/>
      <c r="Y16" s="722"/>
    </row>
    <row r="17" spans="2:25" ht="35.25" customHeight="1">
      <c r="B17" s="574"/>
      <c r="C17" s="574"/>
      <c r="D17" s="598" t="s">
        <v>239</v>
      </c>
      <c r="E17" s="544">
        <f>IF(E$9="Ninguno","",SUM(E18:E22))</f>
        <v>1061827.162</v>
      </c>
      <c r="F17" s="544" t="str">
        <f>IF(F18="","N.A.",SUM(F18:F22))</f>
        <v>N.A.</v>
      </c>
      <c r="G17" s="544" t="str">
        <f>IF(G18="","N.A.",SUM(G18:G22))</f>
        <v>N.A.</v>
      </c>
      <c r="H17" s="630"/>
      <c r="I17" s="544" t="str">
        <f>IF(I$9="Ninguno","",SUM(I18:I22))</f>
        <v/>
      </c>
      <c r="J17" s="544" t="str">
        <f>IF(J18="","N.A.",SUM(J18:J22))</f>
        <v>N.A.</v>
      </c>
      <c r="K17" s="545" t="str">
        <f>IF(K18="","N.A.",SUM(K18:K22))</f>
        <v>N.A.</v>
      </c>
      <c r="L17" s="634"/>
      <c r="M17" s="545">
        <f>IF(M18="","N.A.",SUM(M18:M22))</f>
        <v>1374100.4182</v>
      </c>
      <c r="N17" s="545">
        <f>IF(N18="","N.A.",SUM(N18:N22))</f>
        <v>1061827.162</v>
      </c>
      <c r="O17" s="545">
        <f>IF(O18="","N.A.",SUM(O18:O22))</f>
        <v>312273.25619999995</v>
      </c>
      <c r="P17" s="571"/>
      <c r="Q17" s="571"/>
      <c r="R17" s="543"/>
      <c r="S17" s="542"/>
      <c r="U17" s="722"/>
      <c r="V17" s="722"/>
      <c r="X17" s="722"/>
      <c r="Y17" s="722"/>
    </row>
    <row r="18" spans="2:25" ht="15.75" customHeight="1">
      <c r="B18" s="574"/>
      <c r="C18" s="574"/>
      <c r="D18" s="546">
        <f>'Datos del modelo'!$E$26</f>
        <v>2025</v>
      </c>
      <c r="E18" s="547">
        <f>IF(E$9="Ninguno","",'Datos del modelo'!$E$30*(1+'Datos del modelo'!$E$34)^(D18-'Datos del modelo'!$E$26))</f>
        <v>200000</v>
      </c>
      <c r="F18" s="547" t="str">
        <f>IF(F$9="Ninguno","", 'Datos del modelo'!$E$30*(1+'Datos del modelo'!$E$34)^(D18-'Datos del modelo'!$E$26))</f>
        <v/>
      </c>
      <c r="G18" s="547" t="str">
        <f>IF(G$9="Ninguno","", 'Datos del modelo'!$E$30*(1+'Datos del modelo'!$E$34)^(D18-'Datos del modelo'!$E$26))</f>
        <v/>
      </c>
      <c r="H18" s="597"/>
      <c r="I18" s="547" t="str">
        <f>IF(I$9="Ninguno","",'Datos del modelo'!$H$30*(1+'Datos del modelo'!$H$34)^(D18-'Datos del modelo'!$E$26))</f>
        <v/>
      </c>
      <c r="J18" s="547" t="str">
        <f>IF(J$9="Ninguno","",'Datos del modelo'!$H$30*(1+'Datos del modelo'!$H$34)^(D18-'Datos del modelo'!$E$26))</f>
        <v/>
      </c>
      <c r="K18" s="547" t="str">
        <f>IF(K$9="Ninguno","",'Datos del modelo'!$H$30*(1+'Datos del modelo'!$H$34)^(D18-'Datos del modelo'!$E$26))</f>
        <v/>
      </c>
      <c r="L18" s="597"/>
      <c r="M18" s="547">
        <f>IFERROR(O18+N18,"")</f>
        <v>300000</v>
      </c>
      <c r="N18" s="547">
        <f>IF(N$9="Ninguno","",'Datos del modelo'!$K$30*(1+'Datos del modelo'!$K$34)^(D18-'Datos del modelo'!$E$26))</f>
        <v>200000</v>
      </c>
      <c r="O18" s="547">
        <f>IFERROR(N18-(N18*'Datos del modelo'!K37),"")</f>
        <v>100000</v>
      </c>
      <c r="P18" s="571"/>
      <c r="Q18" s="571"/>
      <c r="R18" s="548"/>
      <c r="S18" s="542"/>
      <c r="U18" s="543"/>
      <c r="V18" s="542"/>
      <c r="X18" s="543"/>
      <c r="Y18" s="542"/>
    </row>
    <row r="19" spans="2:25" ht="15.75" customHeight="1">
      <c r="B19" s="574"/>
      <c r="C19" s="574"/>
      <c r="D19" s="546">
        <f>'Datos del modelo'!$E$26+1</f>
        <v>2026</v>
      </c>
      <c r="E19" s="547">
        <f>IF(E$9="Ninguno","",'Datos del modelo'!$E$30*(1+'Datos del modelo'!$E$34)^(D19-'Datos del modelo'!$E$26))</f>
        <v>206000</v>
      </c>
      <c r="F19" s="547" t="str">
        <f>IF(F$9="Ninguno","", 'Datos del modelo'!$E$30*(1+'Datos del modelo'!$E$34)^(D19-'Datos del modelo'!$E$26))</f>
        <v/>
      </c>
      <c r="G19" s="547" t="str">
        <f>IF(G$9="Ninguno","", 'Datos del modelo'!$E$30*(1+'Datos del modelo'!$E$34)^(D19-'Datos del modelo'!$E$26))</f>
        <v/>
      </c>
      <c r="H19" s="597"/>
      <c r="I19" s="547" t="str">
        <f>IF(I$9="Ninguno","",'Datos del modelo'!$H$30*(1+'Datos del modelo'!$H$34)^(D19-'Datos del modelo'!$E$26))</f>
        <v/>
      </c>
      <c r="J19" s="547" t="str">
        <f>IF(J$9="Ninguno","",'Datos del modelo'!$H$30*(1+'Datos del modelo'!$H$34)^(D19-'Datos del modelo'!$E$26))</f>
        <v/>
      </c>
      <c r="K19" s="547" t="str">
        <f>IF(K$9="Ninguno","",'Datos del modelo'!$H$30*(1+'Datos del modelo'!$H$34)^(D19-'Datos del modelo'!$E$26))</f>
        <v/>
      </c>
      <c r="L19" s="597"/>
      <c r="M19" s="547">
        <f t="shared" ref="M19:M22" si="1">IFERROR(O19+N19,"")</f>
        <v>288400</v>
      </c>
      <c r="N19" s="547">
        <f>IF(N$9="Ninguno","",'Datos del modelo'!$K$30*(1+'Datos del modelo'!$K$34)^(D19-'Datos del modelo'!$E$26))</f>
        <v>206000</v>
      </c>
      <c r="O19" s="547">
        <f>IFERROR(N19-(N19*'Datos del modelo'!K38),"")</f>
        <v>82400</v>
      </c>
      <c r="P19" s="571"/>
      <c r="Q19" s="571"/>
      <c r="R19" s="723"/>
      <c r="S19" s="724"/>
      <c r="U19" s="543"/>
      <c r="V19" s="542"/>
      <c r="X19" s="543"/>
      <c r="Y19" s="542"/>
    </row>
    <row r="20" spans="2:25" ht="15.75" customHeight="1">
      <c r="B20" s="574"/>
      <c r="C20" s="574"/>
      <c r="D20" s="546">
        <f>'Datos del modelo'!$E$26+2</f>
        <v>2027</v>
      </c>
      <c r="E20" s="547">
        <f>IF(E$9="Ninguno","",'Datos del modelo'!$E$30*(1+'Datos del modelo'!$E$34)^(D20-'Datos del modelo'!$E$26))</f>
        <v>212180</v>
      </c>
      <c r="F20" s="547" t="str">
        <f>IF(F$9="Ninguno","", 'Datos del modelo'!$E$30*(1+'Datos del modelo'!$E$34)^(D20-'Datos del modelo'!$E$26))</f>
        <v/>
      </c>
      <c r="G20" s="547" t="str">
        <f>IF(G$9="Ninguno","", 'Datos del modelo'!$E$30*(1+'Datos del modelo'!$E$34)^(D20-'Datos del modelo'!$E$26))</f>
        <v/>
      </c>
      <c r="H20" s="597"/>
      <c r="I20" s="547" t="str">
        <f>IF(I$9="Ninguno","",'Datos del modelo'!$H$30*(1+'Datos del modelo'!$H$34)^(D20-'Datos del modelo'!$E$26))</f>
        <v/>
      </c>
      <c r="J20" s="547" t="str">
        <f>IF(J$9="Ninguno","",'Datos del modelo'!$H$30*(1+'Datos del modelo'!$H$34)^(D20-'Datos del modelo'!$E$26))</f>
        <v/>
      </c>
      <c r="K20" s="547" t="str">
        <f>IF(K$9="Ninguno","",'Datos del modelo'!$H$30*(1+'Datos del modelo'!$H$34)^(D20-'Datos del modelo'!$E$26))</f>
        <v/>
      </c>
      <c r="L20" s="597"/>
      <c r="M20" s="547">
        <f t="shared" si="1"/>
        <v>275834</v>
      </c>
      <c r="N20" s="547">
        <f>IF(N$9="Ninguno","",'Datos del modelo'!$K$30*(1+'Datos del modelo'!$K$34)^(D20-'Datos del modelo'!$E$26))</f>
        <v>212180</v>
      </c>
      <c r="O20" s="547">
        <f>IFERROR(N20-(N20*'Datos del modelo'!K39),"")</f>
        <v>63654</v>
      </c>
      <c r="P20" s="571"/>
      <c r="Q20" s="571"/>
      <c r="R20" s="1066"/>
      <c r="S20" s="1067"/>
      <c r="U20" s="543"/>
      <c r="V20" s="542"/>
      <c r="X20" s="543"/>
      <c r="Y20" s="542"/>
    </row>
    <row r="21" spans="2:25" ht="15.75" customHeight="1">
      <c r="B21" s="574"/>
      <c r="C21" s="574"/>
      <c r="D21" s="546">
        <f>'Datos del modelo'!$E$26+3</f>
        <v>2028</v>
      </c>
      <c r="E21" s="547">
        <f>IF(E$9="Ninguno","",'Datos del modelo'!$E$30*(1+'Datos del modelo'!$E$34)^(D21-'Datos del modelo'!$E$26))</f>
        <v>218545.4</v>
      </c>
      <c r="F21" s="547" t="str">
        <f>IF(F$9="Ninguno","", 'Datos del modelo'!$E$30*(1+'Datos del modelo'!$E$34)^(D21-'Datos del modelo'!$E$26))</f>
        <v/>
      </c>
      <c r="G21" s="547" t="str">
        <f>IF(G$9="Ninguno","", 'Datos del modelo'!$E$30*(1+'Datos del modelo'!$E$34)^(D21-'Datos del modelo'!$E$26))</f>
        <v/>
      </c>
      <c r="H21" s="597"/>
      <c r="I21" s="547" t="str">
        <f>IF(I$9="Ninguno","",'Datos del modelo'!$H$30*(1+'Datos del modelo'!$H$34)^(D21-'Datos del modelo'!$E$26))</f>
        <v/>
      </c>
      <c r="J21" s="547" t="str">
        <f>IF(J$9="Ninguno","",'Datos del modelo'!$H$30*(1+'Datos del modelo'!$H$34)^(D21-'Datos del modelo'!$E$26))</f>
        <v/>
      </c>
      <c r="K21" s="547" t="str">
        <f>IF(K$9="Ninguno","",'Datos del modelo'!$H$30*(1+'Datos del modelo'!$H$34)^(D21-'Datos del modelo'!$E$26))</f>
        <v/>
      </c>
      <c r="L21" s="597"/>
      <c r="M21" s="547">
        <f t="shared" si="1"/>
        <v>262254.48</v>
      </c>
      <c r="N21" s="547">
        <f>IF(N$9="Ninguno","",'Datos del modelo'!$K$30*(1+'Datos del modelo'!$K$34)^(D21-'Datos del modelo'!$E$26))</f>
        <v>218545.4</v>
      </c>
      <c r="O21" s="547">
        <f>IFERROR(N21-(N21*'Datos del modelo'!K40),"")</f>
        <v>43709.079999999987</v>
      </c>
      <c r="P21" s="571"/>
      <c r="Q21" s="571"/>
      <c r="R21" s="543"/>
      <c r="S21" s="542"/>
      <c r="U21" s="543"/>
      <c r="V21" s="542"/>
      <c r="X21" s="543"/>
      <c r="Y21" s="542"/>
    </row>
    <row r="22" spans="2:25" ht="16" customHeight="1">
      <c r="B22" s="574"/>
      <c r="C22" s="574"/>
      <c r="D22" s="546">
        <f>'Datos del modelo'!$E$26+4</f>
        <v>2029</v>
      </c>
      <c r="E22" s="547">
        <f>IF(E$9="Ninguno","",'Datos del modelo'!$E$30*(1+'Datos del modelo'!$E$34)^(D22-'Datos del modelo'!$E$26))</f>
        <v>225101.76199999999</v>
      </c>
      <c r="F22" s="547" t="str">
        <f>IF(F$9="Ninguno","", 'Datos del modelo'!$E$30*(1+'Datos del modelo'!$E$34)^(D22-'Datos del modelo'!$E$26))</f>
        <v/>
      </c>
      <c r="G22" s="547" t="str">
        <f>IF(G$9="Ninguno","", 'Datos del modelo'!$E$30*(1+'Datos del modelo'!$E$34)^(D22-'Datos del modelo'!$E$26))</f>
        <v/>
      </c>
      <c r="H22" s="597"/>
      <c r="I22" s="547" t="str">
        <f>IF(I$9="Ninguno","",'Datos del modelo'!$H$30*(1+'Datos del modelo'!$H$34)^(D22-'Datos del modelo'!$E$26))</f>
        <v/>
      </c>
      <c r="J22" s="547" t="str">
        <f>IF(J$9="Ninguno","",'Datos del modelo'!$H$30*(1+'Datos del modelo'!$H$34)^(D22-'Datos del modelo'!$E$26))</f>
        <v/>
      </c>
      <c r="K22" s="547" t="str">
        <f>IF(K$9="Ninguno","",'Datos del modelo'!$H$30*(1+'Datos del modelo'!$H$34)^(D22-'Datos del modelo'!$E$26))</f>
        <v/>
      </c>
      <c r="L22" s="597"/>
      <c r="M22" s="547">
        <f t="shared" si="1"/>
        <v>247611.93819999998</v>
      </c>
      <c r="N22" s="547">
        <f>IF(N$9="Ninguno","",'Datos del modelo'!$K$30*(1+'Datos del modelo'!$K$34)^(D22-'Datos del modelo'!$E$26))</f>
        <v>225101.76199999999</v>
      </c>
      <c r="O22" s="547">
        <f>IFERROR(N22-(N22*'Datos del modelo'!K41),"")</f>
        <v>22510.176199999987</v>
      </c>
      <c r="P22" s="571"/>
      <c r="Q22" s="571"/>
      <c r="R22" s="543"/>
      <c r="S22" s="542"/>
      <c r="U22" s="543"/>
      <c r="V22" s="542"/>
      <c r="X22" s="543"/>
      <c r="Y22" s="542"/>
    </row>
    <row r="23" spans="2:25" ht="8.25" customHeight="1">
      <c r="B23" s="574"/>
      <c r="C23" s="574"/>
      <c r="D23" s="596"/>
      <c r="E23" s="597"/>
      <c r="F23" s="597"/>
      <c r="G23" s="597"/>
      <c r="H23" s="597"/>
      <c r="I23" s="597"/>
      <c r="J23" s="597"/>
      <c r="K23" s="597"/>
      <c r="L23" s="597"/>
      <c r="M23" s="597"/>
      <c r="N23" s="597"/>
      <c r="O23" s="597"/>
      <c r="P23" s="571"/>
      <c r="Q23" s="571"/>
      <c r="R23" s="543"/>
      <c r="S23" s="542"/>
      <c r="U23" s="543"/>
      <c r="V23" s="542"/>
      <c r="X23" s="543"/>
      <c r="Y23" s="542"/>
    </row>
    <row r="24" spans="2:25" ht="45" customHeight="1">
      <c r="B24" s="574"/>
      <c r="C24" s="574"/>
      <c r="D24" s="1085" t="s">
        <v>240</v>
      </c>
      <c r="E24" s="1085"/>
      <c r="F24" s="1085"/>
      <c r="G24" s="1085"/>
      <c r="H24" s="1085"/>
      <c r="I24" s="1085"/>
      <c r="J24" s="1085"/>
      <c r="K24" s="1085"/>
      <c r="L24" s="1085"/>
      <c r="M24" s="1085"/>
      <c r="N24" s="1085"/>
      <c r="O24" s="1085"/>
      <c r="P24" s="571"/>
      <c r="Q24" s="571"/>
      <c r="R24" s="543"/>
      <c r="S24" s="542"/>
      <c r="U24" s="1075"/>
      <c r="V24" s="1075"/>
      <c r="X24" s="1075"/>
      <c r="Y24" s="1075"/>
    </row>
    <row r="25" spans="2:25" ht="8.25" customHeight="1">
      <c r="B25" s="574"/>
      <c r="C25" s="574"/>
      <c r="D25" s="599"/>
      <c r="E25" s="599"/>
      <c r="F25" s="599"/>
      <c r="G25" s="599"/>
      <c r="H25" s="587"/>
      <c r="I25" s="599"/>
      <c r="J25" s="599"/>
      <c r="K25" s="599"/>
      <c r="L25" s="587"/>
      <c r="M25" s="599"/>
      <c r="N25" s="599"/>
      <c r="O25" s="599"/>
      <c r="P25" s="571"/>
      <c r="Q25" s="571"/>
      <c r="R25" s="543"/>
      <c r="S25" s="542"/>
      <c r="U25" s="722"/>
      <c r="V25" s="722"/>
      <c r="X25" s="722"/>
      <c r="Y25" s="722"/>
    </row>
    <row r="26" spans="2:25" ht="35.25" customHeight="1">
      <c r="B26" s="574"/>
      <c r="C26" s="574"/>
      <c r="D26" s="598" t="s">
        <v>239</v>
      </c>
      <c r="E26" s="549">
        <f>IF(E27="","N.A.",SUM(E27:E31))</f>
        <v>790153.90580000007</v>
      </c>
      <c r="F26" s="549" t="str">
        <f>IF(F27="","N.A.",SUM(F27:F31))</f>
        <v>N.A.</v>
      </c>
      <c r="G26" s="549" t="str">
        <f>IF(G27="","N.A.",SUM(G27:G31))</f>
        <v>N.A.</v>
      </c>
      <c r="H26" s="630"/>
      <c r="I26" s="549" t="str">
        <f>IF(I27="","N.A.",SUM(I27:I31))</f>
        <v>N.A.</v>
      </c>
      <c r="J26" s="549" t="str">
        <f>IF(J27="","N.A.",SUM(J27:J31))</f>
        <v>N.A.</v>
      </c>
      <c r="K26" s="549" t="str">
        <f>IF(K27="","N.A.",SUM(K27:K31))</f>
        <v>N.A.</v>
      </c>
      <c r="L26" s="630"/>
      <c r="M26" s="549">
        <f>IF(M27="","N.A.",SUM(M27:M31))</f>
        <v>1209901.6367019999</v>
      </c>
      <c r="N26" s="549">
        <f>IF(N27="","N.A.",SUM(N27:N31))</f>
        <v>749553.90580000007</v>
      </c>
      <c r="O26" s="549">
        <f>IF(O27="","N.A.",SUM(O27:O31))</f>
        <v>460347.73090199998</v>
      </c>
      <c r="P26" s="571"/>
      <c r="Q26" s="571"/>
      <c r="R26" s="1066"/>
      <c r="S26" s="1067"/>
      <c r="U26" s="543"/>
      <c r="V26" s="542"/>
      <c r="X26" s="543"/>
      <c r="Y26" s="542"/>
    </row>
    <row r="27" spans="2:25">
      <c r="B27" s="574"/>
      <c r="C27" s="574"/>
      <c r="D27" s="546">
        <f>'Datos del modelo'!$E$26</f>
        <v>2025</v>
      </c>
      <c r="E27" s="547">
        <f>IFERROR(E36+E45+E54,"")</f>
        <v>120000</v>
      </c>
      <c r="F27" s="547" t="str">
        <f t="shared" ref="F27:G27" si="2">IFERROR(F36+F45+F54,"")</f>
        <v/>
      </c>
      <c r="G27" s="547" t="str">
        <f t="shared" si="2"/>
        <v/>
      </c>
      <c r="H27" s="597"/>
      <c r="I27" s="547" t="str">
        <f t="shared" ref="I27:K27" si="3">IFERROR(I36+I45+I54,"")</f>
        <v/>
      </c>
      <c r="J27" s="547" t="str">
        <f t="shared" si="3"/>
        <v/>
      </c>
      <c r="K27" s="547" t="str">
        <f t="shared" si="3"/>
        <v/>
      </c>
      <c r="L27" s="597"/>
      <c r="M27" s="547">
        <f>IFERROR(O27+N27,"")</f>
        <v>235000</v>
      </c>
      <c r="N27" s="547">
        <f t="shared" ref="N27:O27" si="4">IFERROR(N36+N45+N54,"")</f>
        <v>100000</v>
      </c>
      <c r="O27" s="547">
        <f t="shared" si="4"/>
        <v>135000</v>
      </c>
      <c r="P27" s="571"/>
      <c r="Q27" s="571"/>
      <c r="R27" s="543"/>
      <c r="S27" s="542"/>
      <c r="U27" s="543"/>
      <c r="V27" s="542"/>
      <c r="X27" s="543"/>
      <c r="Y27" s="542"/>
    </row>
    <row r="28" spans="2:25">
      <c r="B28" s="574"/>
      <c r="C28" s="574"/>
      <c r="D28" s="546">
        <f>'Datos del modelo'!$E$26+1</f>
        <v>2026</v>
      </c>
      <c r="E28" s="547">
        <f>IFERROR(E37+E46+E55,"")</f>
        <v>144200</v>
      </c>
      <c r="F28" s="547" t="str">
        <f t="shared" ref="F28:G31" si="5">IFERROR(F37+F46+F55,"")</f>
        <v/>
      </c>
      <c r="G28" s="547" t="str">
        <f t="shared" si="5"/>
        <v/>
      </c>
      <c r="H28" s="597"/>
      <c r="I28" s="547" t="str">
        <f t="shared" ref="I28:K28" si="6">IFERROR(I37+I46+I55,"")</f>
        <v/>
      </c>
      <c r="J28" s="547" t="str">
        <f t="shared" si="6"/>
        <v/>
      </c>
      <c r="K28" s="547" t="str">
        <f t="shared" si="6"/>
        <v/>
      </c>
      <c r="L28" s="597"/>
      <c r="M28" s="547">
        <f t="shared" ref="M28:M31" si="7">IFERROR(O28+N28,"")</f>
        <v>242256</v>
      </c>
      <c r="N28" s="547">
        <f t="shared" ref="N28:O28" si="8">IFERROR(N37+N46+N55,"")</f>
        <v>123600</v>
      </c>
      <c r="O28" s="547">
        <f t="shared" si="8"/>
        <v>118656</v>
      </c>
      <c r="P28" s="571"/>
      <c r="Q28" s="571"/>
      <c r="R28" s="543"/>
      <c r="S28" s="542"/>
      <c r="U28" s="543"/>
      <c r="V28" s="542"/>
      <c r="X28" s="543"/>
      <c r="Y28" s="542"/>
    </row>
    <row r="29" spans="2:25">
      <c r="B29" s="574"/>
      <c r="C29" s="574"/>
      <c r="D29" s="546">
        <f>'Datos del modelo'!$E$26+2</f>
        <v>2027</v>
      </c>
      <c r="E29" s="547">
        <f>IFERROR(E38+E47+E56,"")</f>
        <v>148526</v>
      </c>
      <c r="F29" s="547" t="str">
        <f t="shared" si="5"/>
        <v/>
      </c>
      <c r="G29" s="547" t="str">
        <f t="shared" si="5"/>
        <v/>
      </c>
      <c r="H29" s="597"/>
      <c r="I29" s="547" t="str">
        <f t="shared" ref="I29:K29" si="9">IFERROR(I38+I47+I56,"")</f>
        <v/>
      </c>
      <c r="J29" s="547" t="str">
        <f t="shared" si="9"/>
        <v/>
      </c>
      <c r="K29" s="547" t="str">
        <f t="shared" si="9"/>
        <v/>
      </c>
      <c r="L29" s="597"/>
      <c r="M29" s="547">
        <f t="shared" si="7"/>
        <v>245916.62</v>
      </c>
      <c r="N29" s="547">
        <f t="shared" ref="N29:O29" si="10">IFERROR(N38+N47+N56,"")</f>
        <v>148526</v>
      </c>
      <c r="O29" s="547">
        <f t="shared" si="10"/>
        <v>97390.62</v>
      </c>
      <c r="P29" s="571"/>
      <c r="Q29" s="571"/>
      <c r="R29" s="543"/>
      <c r="S29" s="542"/>
      <c r="U29" s="543"/>
      <c r="V29" s="542"/>
      <c r="X29" s="543"/>
      <c r="Y29" s="542"/>
    </row>
    <row r="30" spans="2:25">
      <c r="B30" s="574"/>
      <c r="C30" s="574"/>
      <c r="D30" s="546">
        <f>'Datos del modelo'!$E$26+3</f>
        <v>2028</v>
      </c>
      <c r="E30" s="547">
        <f>IFERROR(E39+E48+E57,"")</f>
        <v>174836.32</v>
      </c>
      <c r="F30" s="547" t="str">
        <f t="shared" si="5"/>
        <v/>
      </c>
      <c r="G30" s="547" t="str">
        <f t="shared" si="5"/>
        <v/>
      </c>
      <c r="H30" s="597"/>
      <c r="I30" s="547" t="str">
        <f t="shared" ref="I30:K30" si="11">IFERROR(I39+I48+I57,"")</f>
        <v/>
      </c>
      <c r="J30" s="547" t="str">
        <f t="shared" si="11"/>
        <v/>
      </c>
      <c r="K30" s="547" t="str">
        <f t="shared" si="11"/>
        <v/>
      </c>
      <c r="L30" s="597"/>
      <c r="M30" s="547">
        <f t="shared" si="7"/>
        <v>245645.02960000001</v>
      </c>
      <c r="N30" s="547">
        <f t="shared" ref="N30:O30" si="12">IFERROR(N39+N48+N57,"")</f>
        <v>174836.32</v>
      </c>
      <c r="O30" s="547">
        <f t="shared" si="12"/>
        <v>70808.709599999987</v>
      </c>
      <c r="P30" s="571"/>
      <c r="Q30" s="571"/>
      <c r="R30" s="543"/>
      <c r="S30" s="542"/>
      <c r="U30" s="543"/>
      <c r="V30" s="542"/>
      <c r="X30" s="543"/>
      <c r="Y30" s="542"/>
    </row>
    <row r="31" spans="2:25" ht="16" customHeight="1">
      <c r="B31" s="574"/>
      <c r="C31" s="574"/>
      <c r="D31" s="546">
        <f>'Datos del modelo'!$E$26+4</f>
        <v>2029</v>
      </c>
      <c r="E31" s="547">
        <f>IFERROR(E40+E49+E58,"")</f>
        <v>202591.5858</v>
      </c>
      <c r="F31" s="547" t="str">
        <f t="shared" si="5"/>
        <v/>
      </c>
      <c r="G31" s="547" t="str">
        <f t="shared" si="5"/>
        <v/>
      </c>
      <c r="H31" s="597"/>
      <c r="I31" s="547" t="str">
        <f t="shared" ref="I31:K31" si="13">IFERROR(I40+I49+I58,"")</f>
        <v/>
      </c>
      <c r="J31" s="547" t="str">
        <f t="shared" si="13"/>
        <v/>
      </c>
      <c r="K31" s="547" t="str">
        <f t="shared" si="13"/>
        <v/>
      </c>
      <c r="L31" s="597"/>
      <c r="M31" s="547">
        <f t="shared" si="7"/>
        <v>241083.98710199998</v>
      </c>
      <c r="N31" s="547">
        <f t="shared" ref="N31:O31" si="14">IFERROR(N40+N49+N58,"")</f>
        <v>202591.5858</v>
      </c>
      <c r="O31" s="547">
        <f t="shared" si="14"/>
        <v>38492.401301999984</v>
      </c>
      <c r="P31" s="571"/>
      <c r="Q31" s="571"/>
      <c r="R31" s="543"/>
      <c r="S31" s="542"/>
      <c r="U31" s="543"/>
      <c r="V31" s="542"/>
      <c r="X31" s="543"/>
      <c r="Y31" s="542"/>
    </row>
    <row r="32" spans="2:25" ht="8.25" customHeight="1">
      <c r="B32" s="574"/>
      <c r="C32" s="574"/>
      <c r="D32" s="594"/>
      <c r="E32" s="595"/>
      <c r="F32" s="595"/>
      <c r="G32" s="595"/>
      <c r="H32" s="632"/>
      <c r="I32" s="595"/>
      <c r="J32" s="595"/>
      <c r="K32" s="595"/>
      <c r="L32" s="632"/>
      <c r="M32" s="595"/>
      <c r="N32" s="595"/>
      <c r="O32" s="595"/>
      <c r="P32" s="571"/>
      <c r="Q32" s="571"/>
      <c r="R32" s="543"/>
      <c r="S32" s="542"/>
      <c r="U32" s="543"/>
      <c r="V32" s="542"/>
      <c r="X32" s="543"/>
      <c r="Y32" s="542"/>
    </row>
    <row r="33" spans="2:25" ht="24" hidden="1" customHeight="1" outlineLevel="1">
      <c r="B33" s="574"/>
      <c r="C33" s="574"/>
      <c r="D33" s="1087" t="s">
        <v>241</v>
      </c>
      <c r="E33" s="1087"/>
      <c r="F33" s="1087"/>
      <c r="G33" s="1087"/>
      <c r="H33" s="1087"/>
      <c r="I33" s="1087"/>
      <c r="J33" s="1087"/>
      <c r="K33" s="1087"/>
      <c r="L33" s="1087"/>
      <c r="M33" s="1087"/>
      <c r="N33" s="1087"/>
      <c r="O33" s="1087"/>
      <c r="P33" s="571"/>
      <c r="Q33" s="571"/>
      <c r="R33" s="543"/>
      <c r="S33" s="542"/>
      <c r="U33" s="543"/>
      <c r="V33" s="542"/>
      <c r="X33" s="543"/>
      <c r="Y33" s="542"/>
    </row>
    <row r="34" spans="2:25" ht="8.25" hidden="1" customHeight="1" outlineLevel="1">
      <c r="B34" s="574"/>
      <c r="C34" s="574"/>
      <c r="D34" s="600"/>
      <c r="E34" s="600"/>
      <c r="F34" s="600"/>
      <c r="G34" s="600"/>
      <c r="H34" s="633"/>
      <c r="I34" s="600"/>
      <c r="J34" s="600"/>
      <c r="K34" s="600"/>
      <c r="L34" s="633"/>
      <c r="M34" s="600"/>
      <c r="N34" s="600"/>
      <c r="O34" s="600"/>
      <c r="P34" s="571"/>
      <c r="Q34" s="571"/>
      <c r="R34" s="543"/>
      <c r="S34" s="542"/>
      <c r="U34" s="543"/>
      <c r="V34" s="542"/>
      <c r="X34" s="543"/>
      <c r="Y34" s="542"/>
    </row>
    <row r="35" spans="2:25" ht="30" hidden="1" customHeight="1" outlineLevel="1">
      <c r="B35" s="574"/>
      <c r="C35" s="574"/>
      <c r="D35" s="550" t="s">
        <v>239</v>
      </c>
      <c r="E35" s="551">
        <f>SUM(E36:E40)</f>
        <v>790153.90580000007</v>
      </c>
      <c r="F35" s="551">
        <f>SUM(F36:F40)</f>
        <v>0</v>
      </c>
      <c r="G35" s="551">
        <f t="shared" ref="G35:K35" si="15">SUM(G36:G40)</f>
        <v>0</v>
      </c>
      <c r="H35" s="630"/>
      <c r="I35" s="551">
        <f t="shared" si="15"/>
        <v>0</v>
      </c>
      <c r="J35" s="551">
        <f t="shared" si="15"/>
        <v>0</v>
      </c>
      <c r="K35" s="551">
        <f t="shared" si="15"/>
        <v>0</v>
      </c>
      <c r="L35" s="630"/>
      <c r="M35" s="551">
        <f>SUM(M36:M40)</f>
        <v>1030599.83638</v>
      </c>
      <c r="N35" s="551">
        <f t="shared" ref="N35:O35" si="16">SUM(N36:N40)</f>
        <v>749553.90580000007</v>
      </c>
      <c r="O35" s="551">
        <f t="shared" si="16"/>
        <v>281045.93057999999</v>
      </c>
      <c r="P35" s="571"/>
      <c r="Q35" s="571"/>
      <c r="R35" s="552" t="s">
        <v>242</v>
      </c>
      <c r="S35" s="542"/>
      <c r="U35" s="543"/>
      <c r="V35" s="542"/>
      <c r="X35" s="543"/>
      <c r="Y35" s="542"/>
    </row>
    <row r="36" spans="2:25" ht="16" hidden="1" customHeight="1" outlineLevel="1">
      <c r="B36" s="574"/>
      <c r="C36" s="574"/>
      <c r="D36" s="553">
        <f>'Datos del modelo'!$E$26</f>
        <v>2025</v>
      </c>
      <c r="E36" s="554">
        <f>IF(E$9="Ninguno","",E18*'Datos del modelo'!$E37)</f>
        <v>120000</v>
      </c>
      <c r="F36" s="554" t="str">
        <f>IF(F$9="Ninguno","",F18*'Datos del modelo'!$E37)</f>
        <v/>
      </c>
      <c r="G36" s="554" t="str">
        <f>IF(G$9="Ninguno","",G18*'Datos del modelo'!$E37)</f>
        <v/>
      </c>
      <c r="H36" s="597"/>
      <c r="I36" s="554" t="str">
        <f>IF(I$9="Ninguno","",I18*'Datos del modelo'!$E37)</f>
        <v/>
      </c>
      <c r="J36" s="554" t="str">
        <f>IF(J$9="Ninguno","",J18*'Datos del modelo'!$E37)</f>
        <v/>
      </c>
      <c r="K36" s="554" t="str">
        <f>IF(K$9="Ninguno","",K18*'Datos del modelo'!$E37)</f>
        <v/>
      </c>
      <c r="L36" s="597"/>
      <c r="M36" s="554">
        <f>IFERROR(O36+N36,"")</f>
        <v>190000</v>
      </c>
      <c r="N36" s="554">
        <f>IF(N$9="Ninguno","",N18*'Datos del modelo'!$K37)</f>
        <v>100000</v>
      </c>
      <c r="O36" s="554">
        <f>IFERROR(O18*'Datos del modelo'!$L37,"")</f>
        <v>90000</v>
      </c>
      <c r="P36" s="571"/>
      <c r="Q36" s="571"/>
      <c r="R36" s="543"/>
      <c r="S36" s="542"/>
      <c r="U36" s="543"/>
      <c r="V36" s="542"/>
      <c r="X36" s="543"/>
      <c r="Y36" s="542"/>
    </row>
    <row r="37" spans="2:25" ht="16" hidden="1" customHeight="1" outlineLevel="1">
      <c r="B37" s="574"/>
      <c r="C37" s="574"/>
      <c r="D37" s="553">
        <f>'Datos del modelo'!$E$26+1</f>
        <v>2026</v>
      </c>
      <c r="E37" s="554">
        <f>IF(E$9="Ninguno","",E19*'Datos del modelo'!$E38)</f>
        <v>144200</v>
      </c>
      <c r="F37" s="554" t="str">
        <f>IF(F$9="Ninguno","",F19*'Datos del modelo'!$E38)</f>
        <v/>
      </c>
      <c r="G37" s="554" t="str">
        <f>IF(G$9="Ninguno","",G19*'Datos del modelo'!$E38)</f>
        <v/>
      </c>
      <c r="H37" s="597"/>
      <c r="I37" s="554" t="str">
        <f>IF(I$9="Ninguno","",I19*'Datos del modelo'!$E38)</f>
        <v/>
      </c>
      <c r="J37" s="554" t="str">
        <f>IF(J$9="Ninguno","",J19*'Datos del modelo'!$E38)</f>
        <v/>
      </c>
      <c r="K37" s="554" t="str">
        <f>IF(K$9="Ninguno","",K19*'Datos del modelo'!$E38)</f>
        <v/>
      </c>
      <c r="L37" s="597"/>
      <c r="M37" s="554">
        <f t="shared" ref="M37:M40" si="17">IFERROR(O37+N37,"")</f>
        <v>197760</v>
      </c>
      <c r="N37" s="554">
        <f>IF(N$9="Ninguno","",N19*'Datos del modelo'!$K38)</f>
        <v>123600</v>
      </c>
      <c r="O37" s="554">
        <f>IFERROR(O19*'Datos del modelo'!$L38,"")</f>
        <v>74160</v>
      </c>
      <c r="P37" s="571"/>
      <c r="Q37" s="571"/>
      <c r="R37" s="543"/>
      <c r="S37" s="542"/>
      <c r="U37" s="543"/>
      <c r="V37" s="542"/>
      <c r="X37" s="543"/>
      <c r="Y37" s="542"/>
    </row>
    <row r="38" spans="2:25" ht="16" hidden="1" customHeight="1" outlineLevel="1">
      <c r="B38" s="574"/>
      <c r="C38" s="574"/>
      <c r="D38" s="553">
        <f>'Datos del modelo'!$E$26+2</f>
        <v>2027</v>
      </c>
      <c r="E38" s="554">
        <f>IF(E$9="Ninguno","",E20*'Datos del modelo'!$E39)</f>
        <v>148526</v>
      </c>
      <c r="F38" s="554" t="str">
        <f>IF(F$9="Ninguno","",F20*'Datos del modelo'!$E39)</f>
        <v/>
      </c>
      <c r="G38" s="554" t="str">
        <f>IF(G$9="Ninguno","",G20*'Datos del modelo'!$E39)</f>
        <v/>
      </c>
      <c r="H38" s="597"/>
      <c r="I38" s="554" t="str">
        <f>IF(I$9="Ninguno","",I20*'Datos del modelo'!$E39)</f>
        <v/>
      </c>
      <c r="J38" s="554" t="str">
        <f>IF(J$9="Ninguno","",J20*'Datos del modelo'!$E39)</f>
        <v/>
      </c>
      <c r="K38" s="554" t="str">
        <f>IF(K$9="Ninguno","",K20*'Datos del modelo'!$E39)</f>
        <v/>
      </c>
      <c r="L38" s="597"/>
      <c r="M38" s="554">
        <f t="shared" si="17"/>
        <v>205814.6</v>
      </c>
      <c r="N38" s="554">
        <f>IF(N$9="Ninguno","",N20*'Datos del modelo'!$K39)</f>
        <v>148526</v>
      </c>
      <c r="O38" s="554">
        <f>IFERROR(O20*'Datos del modelo'!$L39,"")</f>
        <v>57288.6</v>
      </c>
      <c r="P38" s="571"/>
      <c r="Q38" s="571"/>
      <c r="R38" s="543"/>
      <c r="S38" s="542"/>
      <c r="U38" s="543"/>
      <c r="V38" s="542"/>
      <c r="X38" s="543"/>
      <c r="Y38" s="542"/>
    </row>
    <row r="39" spans="2:25" ht="16" hidden="1" customHeight="1" outlineLevel="1">
      <c r="B39" s="574"/>
      <c r="C39" s="574"/>
      <c r="D39" s="553">
        <f>'Datos del modelo'!$E$26+3</f>
        <v>2028</v>
      </c>
      <c r="E39" s="554">
        <f>IF(E$9="Ninguno","",E21*'Datos del modelo'!$E40)</f>
        <v>174836.32</v>
      </c>
      <c r="F39" s="554" t="str">
        <f>IF(F$9="Ninguno","",F21*'Datos del modelo'!$E40)</f>
        <v/>
      </c>
      <c r="G39" s="554" t="str">
        <f>IF(G$9="Ninguno","",G21*'Datos del modelo'!$E40)</f>
        <v/>
      </c>
      <c r="H39" s="597"/>
      <c r="I39" s="554" t="str">
        <f>IF(I$9="Ninguno","",I21*'Datos del modelo'!$E40)</f>
        <v/>
      </c>
      <c r="J39" s="554" t="str">
        <f>IF(J$9="Ninguno","",J21*'Datos del modelo'!$E40)</f>
        <v/>
      </c>
      <c r="K39" s="554" t="str">
        <f>IF(K$9="Ninguno","",K21*'Datos del modelo'!$E40)</f>
        <v/>
      </c>
      <c r="L39" s="597"/>
      <c r="M39" s="554">
        <f t="shared" si="17"/>
        <v>214174.492</v>
      </c>
      <c r="N39" s="554">
        <f>IF(N$9="Ninguno","",N21*'Datos del modelo'!$K40)</f>
        <v>174836.32</v>
      </c>
      <c r="O39" s="554">
        <f>IFERROR(O21*'Datos del modelo'!$L40,"")</f>
        <v>39338.171999999991</v>
      </c>
      <c r="P39" s="571"/>
      <c r="Q39" s="571"/>
      <c r="R39" s="543"/>
      <c r="S39" s="542"/>
      <c r="U39" s="543"/>
      <c r="V39" s="542"/>
      <c r="X39" s="543"/>
      <c r="Y39" s="542"/>
    </row>
    <row r="40" spans="2:25" ht="16" hidden="1" customHeight="1" outlineLevel="1">
      <c r="B40" s="574"/>
      <c r="C40" s="574"/>
      <c r="D40" s="553">
        <f>'Datos del modelo'!$E$26+4</f>
        <v>2029</v>
      </c>
      <c r="E40" s="554">
        <f>IF(E$9="Ninguno","",E22*'Datos del modelo'!$E41)</f>
        <v>202591.5858</v>
      </c>
      <c r="F40" s="554" t="str">
        <f>IF(F$9="Ninguno","",F22*'Datos del modelo'!$E41)</f>
        <v/>
      </c>
      <c r="G40" s="554" t="str">
        <f>IF(G$9="Ninguno","",G22*'Datos del modelo'!$E41)</f>
        <v/>
      </c>
      <c r="H40" s="597"/>
      <c r="I40" s="554" t="str">
        <f>IF(I$9="Ninguno","",I22*'Datos del modelo'!$E41)</f>
        <v/>
      </c>
      <c r="J40" s="554" t="str">
        <f>IF(J$9="Ninguno","",J22*'Datos del modelo'!$E41)</f>
        <v/>
      </c>
      <c r="K40" s="554" t="str">
        <f>IF(K$9="Ninguno","",K22*'Datos del modelo'!$E41)</f>
        <v/>
      </c>
      <c r="L40" s="597"/>
      <c r="M40" s="554">
        <f t="shared" si="17"/>
        <v>222850.74437999999</v>
      </c>
      <c r="N40" s="554">
        <f>IF(N$9="Ninguno","",N22*'Datos del modelo'!$K41)</f>
        <v>202591.5858</v>
      </c>
      <c r="O40" s="554">
        <f>IFERROR(O22*'Datos del modelo'!$L41,"")</f>
        <v>20259.158579999988</v>
      </c>
      <c r="P40" s="571"/>
      <c r="Q40" s="571"/>
      <c r="R40" s="543"/>
      <c r="S40" s="542"/>
      <c r="U40" s="543"/>
      <c r="V40" s="542"/>
      <c r="X40" s="543"/>
      <c r="Y40" s="542"/>
    </row>
    <row r="41" spans="2:25" ht="8.25" hidden="1" customHeight="1" outlineLevel="1">
      <c r="B41" s="574"/>
      <c r="C41" s="574"/>
      <c r="D41" s="594"/>
      <c r="E41" s="595"/>
      <c r="F41" s="595"/>
      <c r="G41" s="595"/>
      <c r="H41" s="632"/>
      <c r="I41" s="595"/>
      <c r="J41" s="595"/>
      <c r="K41" s="595"/>
      <c r="L41" s="632"/>
      <c r="M41" s="595"/>
      <c r="N41" s="595"/>
      <c r="O41" s="595"/>
      <c r="P41" s="571"/>
      <c r="Q41" s="571"/>
      <c r="R41" s="543"/>
      <c r="S41" s="542"/>
      <c r="U41" s="543"/>
      <c r="V41" s="542"/>
      <c r="X41" s="543"/>
      <c r="Y41" s="542"/>
    </row>
    <row r="42" spans="2:25" ht="24" hidden="1" customHeight="1" outlineLevel="1">
      <c r="B42" s="574"/>
      <c r="C42" s="574"/>
      <c r="D42" s="1087" t="s">
        <v>243</v>
      </c>
      <c r="E42" s="1087"/>
      <c r="F42" s="1087"/>
      <c r="G42" s="1087"/>
      <c r="H42" s="1087"/>
      <c r="I42" s="1087"/>
      <c r="J42" s="1087"/>
      <c r="K42" s="1087"/>
      <c r="L42" s="1087"/>
      <c r="M42" s="1087"/>
      <c r="N42" s="1087"/>
      <c r="O42" s="1087"/>
      <c r="P42" s="571"/>
      <c r="Q42" s="571"/>
      <c r="R42" s="543"/>
      <c r="S42" s="542"/>
      <c r="U42" s="543"/>
      <c r="V42" s="542"/>
      <c r="X42" s="543"/>
      <c r="Y42" s="542"/>
    </row>
    <row r="43" spans="2:25" ht="8.25" hidden="1" customHeight="1" outlineLevel="1">
      <c r="B43" s="574"/>
      <c r="C43" s="574"/>
      <c r="D43" s="600"/>
      <c r="E43" s="600"/>
      <c r="F43" s="600"/>
      <c r="G43" s="600"/>
      <c r="H43" s="633"/>
      <c r="I43" s="600"/>
      <c r="J43" s="600"/>
      <c r="K43" s="600"/>
      <c r="L43" s="633"/>
      <c r="M43" s="600"/>
      <c r="N43" s="600"/>
      <c r="O43" s="600"/>
      <c r="P43" s="571"/>
      <c r="Q43" s="571"/>
      <c r="R43" s="543"/>
      <c r="S43" s="542"/>
      <c r="U43" s="543"/>
      <c r="V43" s="542"/>
      <c r="X43" s="543"/>
      <c r="Y43" s="542"/>
    </row>
    <row r="44" spans="2:25" ht="35.25" hidden="1" customHeight="1" outlineLevel="1">
      <c r="B44" s="574"/>
      <c r="C44" s="574"/>
      <c r="D44" s="550" t="s">
        <v>239</v>
      </c>
      <c r="E44" s="551">
        <f>SUM(E45:E49)</f>
        <v>0</v>
      </c>
      <c r="F44" s="551">
        <f>SUM(F45:F49)</f>
        <v>0</v>
      </c>
      <c r="G44" s="551">
        <f t="shared" ref="G44:K44" si="18">SUM(G45:G49)</f>
        <v>0</v>
      </c>
      <c r="H44" s="630"/>
      <c r="I44" s="551">
        <f t="shared" si="18"/>
        <v>0</v>
      </c>
      <c r="J44" s="551">
        <f t="shared" si="18"/>
        <v>0</v>
      </c>
      <c r="K44" s="551">
        <f t="shared" si="18"/>
        <v>0</v>
      </c>
      <c r="L44" s="630"/>
      <c r="M44" s="551">
        <f>SUM(M45:M49)</f>
        <v>179301.800322</v>
      </c>
      <c r="N44" s="551">
        <f t="shared" ref="N44:O44" si="19">SUM(N45:N49)</f>
        <v>0</v>
      </c>
      <c r="O44" s="551">
        <f t="shared" si="19"/>
        <v>179301.800322</v>
      </c>
      <c r="P44" s="571"/>
      <c r="Q44" s="571"/>
      <c r="R44" s="555" t="s">
        <v>244</v>
      </c>
      <c r="S44" s="542"/>
      <c r="U44" s="543"/>
      <c r="V44" s="542"/>
      <c r="X44" s="543"/>
      <c r="Y44" s="542"/>
    </row>
    <row r="45" spans="2:25" ht="16" hidden="1" customHeight="1" outlineLevel="1">
      <c r="B45" s="574"/>
      <c r="C45" s="574"/>
      <c r="D45" s="553">
        <f>'Datos del modelo'!$E$26</f>
        <v>2025</v>
      </c>
      <c r="E45" s="554">
        <f>IF(E$9="Ninguno","",IF('Datos del modelo'!E$88&gt;1, $E36*'Datos del modelo'!$E43, 0))</f>
        <v>0</v>
      </c>
      <c r="F45" s="554" t="str">
        <f>IF(F$9="Ninguno","",IF('Datos del modelo'!F$88&gt;1, F36*'Datos del modelo'!$E43, 0))</f>
        <v/>
      </c>
      <c r="G45" s="554" t="str">
        <f>IF(G$9="Ninguno","",IF('Datos del modelo'!G$88&gt;1, G36*'Datos del modelo'!$E43, 0))</f>
        <v/>
      </c>
      <c r="H45" s="597"/>
      <c r="I45" s="554" t="str">
        <f>IF(I$9="Ninguno","",IF('Datos del modelo'!H$88&gt;1, I36*'Datos del modelo'!$H43, 0))</f>
        <v/>
      </c>
      <c r="J45" s="554" t="str">
        <f>IF(J$9="Ninguno","",IF('Datos del modelo'!I$88&gt;1, J36*'Datos del modelo'!$H43, 0))</f>
        <v/>
      </c>
      <c r="K45" s="554" t="str">
        <f>IF(K$9="Ninguno","",IF('Datos del modelo'!J$88&gt;1, K36*'Datos del modelo'!$H43, 0))</f>
        <v/>
      </c>
      <c r="L45" s="597"/>
      <c r="M45" s="554">
        <f>IFERROR(O45+N45,"")</f>
        <v>45000</v>
      </c>
      <c r="N45" s="554">
        <f>IF(N$9="Ninguno","",IF('Datos del modelo'!K$88&gt;1, N36*'Datos del modelo'!$K43, 0))</f>
        <v>0</v>
      </c>
      <c r="O45" s="554">
        <f>IFERROR(IF('Datos del modelo'!L$88&gt;1, O36*'Datos del modelo'!$L43, 0),"")</f>
        <v>45000</v>
      </c>
      <c r="P45" s="571"/>
      <c r="Q45" s="571"/>
      <c r="R45" s="543"/>
      <c r="S45" s="542"/>
      <c r="U45" s="543"/>
      <c r="V45" s="542"/>
      <c r="X45" s="543"/>
      <c r="Y45" s="542"/>
    </row>
    <row r="46" spans="2:25" ht="16" hidden="1" customHeight="1" outlineLevel="1">
      <c r="B46" s="574"/>
      <c r="C46" s="574"/>
      <c r="D46" s="553">
        <f>'Datos del modelo'!$E$26+1</f>
        <v>2026</v>
      </c>
      <c r="E46" s="554">
        <f>IF(E$9="Ninguno","",IF('Datos del modelo'!E$88&gt;1, $E37*'Datos del modelo'!$E44, 0))</f>
        <v>0</v>
      </c>
      <c r="F46" s="554" t="str">
        <f>IF(F$9="Ninguno","",IF('Datos del modelo'!F$88&gt;1, F37*'Datos del modelo'!$E44, 0))</f>
        <v/>
      </c>
      <c r="G46" s="554" t="str">
        <f>IF(G$9="Ninguno","",IF('Datos del modelo'!G$88&gt;1, G37*'Datos del modelo'!$E44, 0))</f>
        <v/>
      </c>
      <c r="H46" s="597"/>
      <c r="I46" s="554" t="str">
        <f>IF(I$9="Ninguno","",IF('Datos del modelo'!H$88&gt;1, I37*'Datos del modelo'!$H44, 0))</f>
        <v/>
      </c>
      <c r="J46" s="554" t="str">
        <f>IF(J$9="Ninguno","",IF('Datos del modelo'!I$88&gt;1, J37*'Datos del modelo'!$H44, 0))</f>
        <v/>
      </c>
      <c r="K46" s="554" t="str">
        <f>IF(K$9="Ninguno","",IF('Datos del modelo'!J$88&gt;1, K37*'Datos del modelo'!$H44, 0))</f>
        <v/>
      </c>
      <c r="L46" s="597"/>
      <c r="M46" s="554">
        <f t="shared" ref="M46:M49" si="20">IFERROR(O46+N46,"")</f>
        <v>44496</v>
      </c>
      <c r="N46" s="554">
        <f>IF(N$9="Ninguno","",IF('Datos del modelo'!K$88&gt;1, N37*'Datos del modelo'!$K44, 0))</f>
        <v>0</v>
      </c>
      <c r="O46" s="554">
        <f>IFERROR(IF('Datos del modelo'!L$88&gt;1, O37*'Datos del modelo'!$L44, 0),"")</f>
        <v>44496</v>
      </c>
      <c r="P46" s="571"/>
      <c r="Q46" s="571"/>
      <c r="R46" s="543"/>
      <c r="S46" s="542"/>
      <c r="U46" s="543"/>
      <c r="V46" s="542"/>
      <c r="X46" s="543"/>
      <c r="Y46" s="542"/>
    </row>
    <row r="47" spans="2:25" ht="16" hidden="1" customHeight="1" outlineLevel="1">
      <c r="B47" s="574"/>
      <c r="C47" s="574"/>
      <c r="D47" s="553">
        <f>'Datos del modelo'!$E$26+2</f>
        <v>2027</v>
      </c>
      <c r="E47" s="554">
        <f>IF(E$9="Ninguno","",IF('Datos del modelo'!E$88&gt;1, $E38*'Datos del modelo'!$E45, 0))</f>
        <v>0</v>
      </c>
      <c r="F47" s="554" t="str">
        <f>IF(F$9="Ninguno","",IF('Datos del modelo'!F$88&gt;1, F38*'Datos del modelo'!$E45, 0))</f>
        <v/>
      </c>
      <c r="G47" s="554" t="str">
        <f>IF(G$9="Ninguno","",IF('Datos del modelo'!G$88&gt;1, G38*'Datos del modelo'!$E45, 0))</f>
        <v/>
      </c>
      <c r="H47" s="597"/>
      <c r="I47" s="554" t="str">
        <f>IF(I$9="Ninguno","",IF('Datos del modelo'!H$88&gt;1, I38*'Datos del modelo'!$H45, 0))</f>
        <v/>
      </c>
      <c r="J47" s="554" t="str">
        <f>IF(J$9="Ninguno","",IF('Datos del modelo'!I$88&gt;1, J38*'Datos del modelo'!$H45, 0))</f>
        <v/>
      </c>
      <c r="K47" s="554" t="str">
        <f>IF(K$9="Ninguno","",IF('Datos del modelo'!J$88&gt;1, K38*'Datos del modelo'!$H45, 0))</f>
        <v/>
      </c>
      <c r="L47" s="597"/>
      <c r="M47" s="554">
        <f t="shared" si="20"/>
        <v>40102.019999999997</v>
      </c>
      <c r="N47" s="554">
        <f>IF(N$9="Ninguno","",IF('Datos del modelo'!K$88&gt;1, N38*'Datos del modelo'!$K45, 0))</f>
        <v>0</v>
      </c>
      <c r="O47" s="554">
        <f>IFERROR(IF('Datos del modelo'!L$88&gt;1, O38*'Datos del modelo'!$L45, 0),"")</f>
        <v>40102.019999999997</v>
      </c>
      <c r="P47" s="571"/>
      <c r="Q47" s="571"/>
      <c r="R47" s="543"/>
      <c r="S47" s="542"/>
      <c r="U47" s="543"/>
      <c r="V47" s="542"/>
      <c r="X47" s="543"/>
      <c r="Y47" s="542"/>
    </row>
    <row r="48" spans="2:25" ht="16" hidden="1" customHeight="1" outlineLevel="1">
      <c r="B48" s="574"/>
      <c r="C48" s="574"/>
      <c r="D48" s="553">
        <f>'Datos del modelo'!$E$26+3</f>
        <v>2028</v>
      </c>
      <c r="E48" s="554">
        <f>IF(E$9="Ninguno","",IF('Datos del modelo'!E$88&gt;1, $E39*'Datos del modelo'!$E46, 0))</f>
        <v>0</v>
      </c>
      <c r="F48" s="554" t="str">
        <f>IF(F$9="Ninguno","",IF('Datos del modelo'!F$88&gt;1, F39*'Datos del modelo'!$E46, 0))</f>
        <v/>
      </c>
      <c r="G48" s="554" t="str">
        <f>IF(G$9="Ninguno","",IF('Datos del modelo'!G$88&gt;1, G39*'Datos del modelo'!$E46, 0))</f>
        <v/>
      </c>
      <c r="H48" s="597"/>
      <c r="I48" s="554" t="str">
        <f>IF(I$9="Ninguno","",IF('Datos del modelo'!H$88&gt;1, I39*'Datos del modelo'!$H46, 0))</f>
        <v/>
      </c>
      <c r="J48" s="554" t="str">
        <f>IF(J$9="Ninguno","",IF('Datos del modelo'!I$88&gt;1, J39*'Datos del modelo'!$H46, 0))</f>
        <v/>
      </c>
      <c r="K48" s="554" t="str">
        <f>IF(K$9="Ninguno","",IF('Datos del modelo'!J$88&gt;1, K39*'Datos del modelo'!$H46, 0))</f>
        <v/>
      </c>
      <c r="L48" s="597"/>
      <c r="M48" s="554">
        <f t="shared" si="20"/>
        <v>31470.537599999996</v>
      </c>
      <c r="N48" s="554">
        <f>IF(N$9="Ninguno","",IF('Datos del modelo'!K$88&gt;1, N39*'Datos del modelo'!$K46, 0))</f>
        <v>0</v>
      </c>
      <c r="O48" s="554">
        <f>IFERROR(IF('Datos del modelo'!L$88&gt;1, O39*'Datos del modelo'!$L46, 0),"")</f>
        <v>31470.537599999996</v>
      </c>
      <c r="P48" s="571"/>
      <c r="Q48" s="571"/>
      <c r="R48" s="543"/>
      <c r="S48" s="542"/>
      <c r="U48" s="543"/>
      <c r="V48" s="542"/>
      <c r="X48" s="543"/>
      <c r="Y48" s="542"/>
    </row>
    <row r="49" spans="2:25" ht="16" hidden="1" customHeight="1" outlineLevel="1">
      <c r="B49" s="574"/>
      <c r="C49" s="574"/>
      <c r="D49" s="553">
        <f>'Datos del modelo'!$E$26+4</f>
        <v>2029</v>
      </c>
      <c r="E49" s="554">
        <f>IF(E$9="Ninguno","",IF('Datos del modelo'!E$88&gt;1, $E40*'Datos del modelo'!$E47, 0))</f>
        <v>0</v>
      </c>
      <c r="F49" s="554" t="str">
        <f>IF(F$9="Ninguno","",IF('Datos del modelo'!F$88&gt;1, F40*'Datos del modelo'!$E47, 0))</f>
        <v/>
      </c>
      <c r="G49" s="554" t="str">
        <f>IF(G$9="Ninguno","",IF('Datos del modelo'!G$88&gt;1, G40*'Datos del modelo'!$E47, 0))</f>
        <v/>
      </c>
      <c r="H49" s="597"/>
      <c r="I49" s="554" t="str">
        <f>IF(I$9="Ninguno","",IF('Datos del modelo'!H$88&gt;1, I40*'Datos del modelo'!$H47, 0))</f>
        <v/>
      </c>
      <c r="J49" s="554" t="str">
        <f>IF(J$9="Ninguno","",IF('Datos del modelo'!I$88&gt;1, J40*'Datos del modelo'!$H47, 0))</f>
        <v/>
      </c>
      <c r="K49" s="554" t="str">
        <f>IF(K$9="Ninguno","",IF('Datos del modelo'!J$88&gt;1, K40*'Datos del modelo'!$H47, 0))</f>
        <v/>
      </c>
      <c r="L49" s="597"/>
      <c r="M49" s="554">
        <f t="shared" si="20"/>
        <v>18233.242721999992</v>
      </c>
      <c r="N49" s="554">
        <f>IF(N$9="Ninguno","",IF('Datos del modelo'!K$88&gt;1, N40*'Datos del modelo'!$K47, 0))</f>
        <v>0</v>
      </c>
      <c r="O49" s="554">
        <f>IFERROR(IF('Datos del modelo'!L$88&gt;1, O40*'Datos del modelo'!$L47, 0),"")</f>
        <v>18233.242721999992</v>
      </c>
      <c r="P49" s="571"/>
      <c r="Q49" s="571"/>
      <c r="R49" s="543"/>
      <c r="S49" s="542"/>
      <c r="U49" s="543"/>
      <c r="V49" s="542"/>
      <c r="X49" s="543"/>
      <c r="Y49" s="542"/>
    </row>
    <row r="50" spans="2:25" ht="8.25" hidden="1" customHeight="1" outlineLevel="1">
      <c r="B50" s="574"/>
      <c r="C50" s="574"/>
      <c r="D50" s="594"/>
      <c r="E50" s="595"/>
      <c r="F50" s="595"/>
      <c r="G50" s="595"/>
      <c r="H50" s="632"/>
      <c r="I50" s="595"/>
      <c r="J50" s="595"/>
      <c r="K50" s="595"/>
      <c r="L50" s="632"/>
      <c r="M50" s="595"/>
      <c r="N50" s="595"/>
      <c r="O50" s="595"/>
      <c r="P50" s="571"/>
      <c r="Q50" s="571"/>
      <c r="R50" s="543"/>
      <c r="S50" s="542"/>
      <c r="U50" s="543"/>
      <c r="V50" s="542"/>
      <c r="X50" s="543"/>
      <c r="Y50" s="542"/>
    </row>
    <row r="51" spans="2:25" ht="24" hidden="1" customHeight="1" outlineLevel="1">
      <c r="B51" s="574"/>
      <c r="C51" s="574"/>
      <c r="D51" s="1087" t="s">
        <v>245</v>
      </c>
      <c r="E51" s="1087"/>
      <c r="F51" s="1087"/>
      <c r="G51" s="1087"/>
      <c r="H51" s="1087"/>
      <c r="I51" s="1087"/>
      <c r="J51" s="1087"/>
      <c r="K51" s="1087"/>
      <c r="L51" s="1087"/>
      <c r="M51" s="1087"/>
      <c r="N51" s="1087"/>
      <c r="O51" s="1087"/>
      <c r="P51" s="571"/>
      <c r="Q51" s="571"/>
      <c r="R51" s="543"/>
      <c r="S51" s="542"/>
      <c r="U51" s="543"/>
      <c r="V51" s="542"/>
      <c r="X51" s="543"/>
      <c r="Y51" s="542"/>
    </row>
    <row r="52" spans="2:25" ht="8.25" hidden="1" customHeight="1" outlineLevel="1">
      <c r="B52" s="574"/>
      <c r="C52" s="574"/>
      <c r="D52" s="600"/>
      <c r="E52" s="600"/>
      <c r="F52" s="600"/>
      <c r="G52" s="600"/>
      <c r="H52" s="633"/>
      <c r="I52" s="600"/>
      <c r="J52" s="600"/>
      <c r="K52" s="600"/>
      <c r="L52" s="633"/>
      <c r="M52" s="600"/>
      <c r="N52" s="600"/>
      <c r="O52" s="600"/>
      <c r="P52" s="571"/>
      <c r="Q52" s="571"/>
      <c r="R52" s="543"/>
      <c r="S52" s="542"/>
      <c r="U52" s="543"/>
      <c r="V52" s="542"/>
      <c r="X52" s="543"/>
      <c r="Y52" s="542"/>
    </row>
    <row r="53" spans="2:25" ht="35.25" hidden="1" customHeight="1" outlineLevel="1">
      <c r="B53" s="574"/>
      <c r="C53" s="574"/>
      <c r="D53" s="550" t="s">
        <v>239</v>
      </c>
      <c r="E53" s="551">
        <f>SUM(E54:E58)</f>
        <v>0</v>
      </c>
      <c r="F53" s="551">
        <f>SUM(F54:F58)</f>
        <v>0</v>
      </c>
      <c r="G53" s="551">
        <f t="shared" ref="G53:K53" si="21">SUM(G54:G58)</f>
        <v>0</v>
      </c>
      <c r="H53" s="630"/>
      <c r="I53" s="551">
        <f t="shared" si="21"/>
        <v>0</v>
      </c>
      <c r="J53" s="551">
        <f t="shared" si="21"/>
        <v>0</v>
      </c>
      <c r="K53" s="551">
        <f t="shared" si="21"/>
        <v>0</v>
      </c>
      <c r="L53" s="630"/>
      <c r="M53" s="551">
        <f>SUM(M54:M58)</f>
        <v>0</v>
      </c>
      <c r="N53" s="551">
        <f t="shared" ref="N53:O53" si="22">SUM(N54:N58)</f>
        <v>0</v>
      </c>
      <c r="O53" s="551">
        <f t="shared" si="22"/>
        <v>0</v>
      </c>
      <c r="P53" s="571"/>
      <c r="Q53" s="571"/>
      <c r="R53" s="555" t="s">
        <v>246</v>
      </c>
      <c r="S53" s="542"/>
      <c r="U53" s="543"/>
      <c r="V53" s="542"/>
      <c r="X53" s="543"/>
      <c r="Y53" s="542"/>
    </row>
    <row r="54" spans="2:25" ht="16" hidden="1" customHeight="1" outlineLevel="1">
      <c r="B54" s="574"/>
      <c r="C54" s="574"/>
      <c r="D54" s="553">
        <f>'Datos del modelo'!$E$26</f>
        <v>2025</v>
      </c>
      <c r="E54" s="554">
        <f>IF(E$9="Ninguno","",IF('Datos del modelo'!E$88&gt;2,  $E45*'Datos del modelo'!$E49,0))</f>
        <v>0</v>
      </c>
      <c r="F54" s="554" t="str">
        <f>IF(F$9="Ninguno","",IF('Datos del modelo'!F$88&gt;2,  F45*'Datos del modelo'!$E49,0))</f>
        <v/>
      </c>
      <c r="G54" s="554" t="str">
        <f>IF(G$9="Ninguno","",IF('Datos del modelo'!G$88&gt;2,  G45*'Datos del modelo'!$E49,0))</f>
        <v/>
      </c>
      <c r="H54" s="597"/>
      <c r="I54" s="554" t="str">
        <f>IF(I$9="Ninguno","",IF('Datos del modelo'!H$88&gt;2,  I45*'Datos del modelo'!$H49,0))</f>
        <v/>
      </c>
      <c r="J54" s="554" t="str">
        <f>IF(J$9="Ninguno","",IF('Datos del modelo'!I$88&gt;2,  J45*'Datos del modelo'!$H49,0))</f>
        <v/>
      </c>
      <c r="K54" s="554" t="str">
        <f>IF(K$9="Ninguno","",IF('Datos del modelo'!J$88&gt;2,  K45*'Datos del modelo'!$H49,0))</f>
        <v/>
      </c>
      <c r="L54" s="597"/>
      <c r="M54" s="554">
        <f>IFERROR(O54+N54,"")</f>
        <v>0</v>
      </c>
      <c r="N54" s="554">
        <f>IF(N$9="Ninguno","",IF('Datos del modelo'!K$88&gt;2,N45*'Datos del modelo'!$K49,0))</f>
        <v>0</v>
      </c>
      <c r="O54" s="554">
        <f>IFERROR(IF('Datos del modelo'!L$88&gt;2, O45*'Datos del modelo'!$K49, 0),"")</f>
        <v>0</v>
      </c>
      <c r="P54" s="571"/>
      <c r="Q54" s="571"/>
      <c r="R54" s="543"/>
      <c r="S54" s="542"/>
      <c r="U54" s="543"/>
      <c r="V54" s="542"/>
      <c r="X54" s="543"/>
      <c r="Y54" s="542"/>
    </row>
    <row r="55" spans="2:25" ht="16" hidden="1" customHeight="1" outlineLevel="1">
      <c r="B55" s="574"/>
      <c r="C55" s="574"/>
      <c r="D55" s="553">
        <f>'Datos del modelo'!$E$26+1</f>
        <v>2026</v>
      </c>
      <c r="E55" s="554">
        <f>IF(E$9="Ninguno","",IF('Datos del modelo'!E$88&gt;2,  $E46*'Datos del modelo'!$E50,0))</f>
        <v>0</v>
      </c>
      <c r="F55" s="554" t="str">
        <f>IF(F$9="Ninguno","",IF('Datos del modelo'!F$88&gt;2,  F46*'Datos del modelo'!$E50,0))</f>
        <v/>
      </c>
      <c r="G55" s="554" t="str">
        <f>IF(G$9="Ninguno","",IF('Datos del modelo'!G$88&gt;2,  G46*'Datos del modelo'!$E50,0))</f>
        <v/>
      </c>
      <c r="H55" s="597"/>
      <c r="I55" s="554" t="str">
        <f>IF(I$9="Ninguno","",IF('Datos del modelo'!H$88&gt;2,  I46*'Datos del modelo'!$H50,0))</f>
        <v/>
      </c>
      <c r="J55" s="554" t="str">
        <f>IF(J$9="Ninguno","",IF('Datos del modelo'!I$88&gt;2,  J46*'Datos del modelo'!$H50,0))</f>
        <v/>
      </c>
      <c r="K55" s="554" t="str">
        <f>IF(K$9="Ninguno","",IF('Datos del modelo'!J$88&gt;2,  K46*'Datos del modelo'!$H50,0))</f>
        <v/>
      </c>
      <c r="L55" s="597"/>
      <c r="M55" s="554">
        <f t="shared" ref="M55:M58" si="23">IFERROR(O55+N55,"")</f>
        <v>0</v>
      </c>
      <c r="N55" s="554">
        <f>IF(N$9="Ninguno","",IF('Datos del modelo'!K$88&gt;2,N46*'Datos del modelo'!$K50,0))</f>
        <v>0</v>
      </c>
      <c r="O55" s="554">
        <f>IFERROR(IF('Datos del modelo'!L$88&gt;2, O46*'Datos del modelo'!$K50, 0),"")</f>
        <v>0</v>
      </c>
      <c r="P55" s="571"/>
      <c r="Q55" s="571"/>
      <c r="R55" s="543"/>
      <c r="S55" s="542"/>
      <c r="U55" s="543"/>
      <c r="V55" s="542"/>
      <c r="X55" s="543"/>
      <c r="Y55" s="542"/>
    </row>
    <row r="56" spans="2:25" ht="16" hidden="1" customHeight="1" outlineLevel="1">
      <c r="B56" s="574"/>
      <c r="C56" s="574"/>
      <c r="D56" s="553">
        <f>'Datos del modelo'!$E$26+2</f>
        <v>2027</v>
      </c>
      <c r="E56" s="554">
        <f>IF(E$9="Ninguno","",IF('Datos del modelo'!E$88&gt;2,  $E47*'Datos del modelo'!$E51,0))</f>
        <v>0</v>
      </c>
      <c r="F56" s="554" t="str">
        <f>IF(F$9="Ninguno","",IF('Datos del modelo'!F$88&gt;2,  F47*'Datos del modelo'!$E51,0))</f>
        <v/>
      </c>
      <c r="G56" s="554" t="str">
        <f>IF(G$9="Ninguno","",IF('Datos del modelo'!G$88&gt;2,  G47*'Datos del modelo'!$E51,0))</f>
        <v/>
      </c>
      <c r="H56" s="597"/>
      <c r="I56" s="554" t="str">
        <f>IF(I$9="Ninguno","",IF('Datos del modelo'!H$88&gt;2,  I47*'Datos del modelo'!$H51,0))</f>
        <v/>
      </c>
      <c r="J56" s="554" t="str">
        <f>IF(J$9="Ninguno","",IF('Datos del modelo'!I$88&gt;2,  J47*'Datos del modelo'!$H51,0))</f>
        <v/>
      </c>
      <c r="K56" s="554" t="str">
        <f>IF(K$9="Ninguno","",IF('Datos del modelo'!J$88&gt;2,  K47*'Datos del modelo'!$H51,0))</f>
        <v/>
      </c>
      <c r="L56" s="597"/>
      <c r="M56" s="554">
        <f t="shared" si="23"/>
        <v>0</v>
      </c>
      <c r="N56" s="554">
        <f>IF(N$9="Ninguno","",IF('Datos del modelo'!K$88&gt;2,N47*'Datos del modelo'!$K51,0))</f>
        <v>0</v>
      </c>
      <c r="O56" s="554">
        <f>IFERROR(IF('Datos del modelo'!L$88&gt;2, O47*'Datos del modelo'!$K51, 0),"")</f>
        <v>0</v>
      </c>
      <c r="P56" s="571"/>
      <c r="Q56" s="571"/>
      <c r="R56" s="543"/>
      <c r="S56" s="542"/>
      <c r="U56" s="543"/>
      <c r="V56" s="542"/>
      <c r="X56" s="543"/>
      <c r="Y56" s="542"/>
    </row>
    <row r="57" spans="2:25" ht="16" hidden="1" customHeight="1" outlineLevel="1">
      <c r="B57" s="574"/>
      <c r="C57" s="574"/>
      <c r="D57" s="553">
        <f>'Datos del modelo'!$E$26+3</f>
        <v>2028</v>
      </c>
      <c r="E57" s="554">
        <f>IF(E$9="Ninguno","",IF('Datos del modelo'!E$88&gt;2,  $E48*'Datos del modelo'!$E52,0))</f>
        <v>0</v>
      </c>
      <c r="F57" s="554" t="str">
        <f>IF(F$9="Ninguno","",IF('Datos del modelo'!F$88&gt;2,  F48*'Datos del modelo'!$E52,0))</f>
        <v/>
      </c>
      <c r="G57" s="554" t="str">
        <f>IF(G$9="Ninguno","",IF('Datos del modelo'!G$88&gt;2,  G48*'Datos del modelo'!$E52,0))</f>
        <v/>
      </c>
      <c r="H57" s="597"/>
      <c r="I57" s="554" t="str">
        <f>IF(I$9="Ninguno","",IF('Datos del modelo'!H$88&gt;2,  I48*'Datos del modelo'!$H52,0))</f>
        <v/>
      </c>
      <c r="J57" s="554" t="str">
        <f>IF(J$9="Ninguno","",IF('Datos del modelo'!I$88&gt;2,  J48*'Datos del modelo'!$H52,0))</f>
        <v/>
      </c>
      <c r="K57" s="554" t="str">
        <f>IF(K$9="Ninguno","",IF('Datos del modelo'!J$88&gt;2,  K48*'Datos del modelo'!$H52,0))</f>
        <v/>
      </c>
      <c r="L57" s="597"/>
      <c r="M57" s="554">
        <f t="shared" si="23"/>
        <v>0</v>
      </c>
      <c r="N57" s="554">
        <f>IF(N$9="Ninguno","",IF('Datos del modelo'!K$88&gt;2,N48*'Datos del modelo'!$K52,0))</f>
        <v>0</v>
      </c>
      <c r="O57" s="554">
        <f>IFERROR(IF('Datos del modelo'!L$88&gt;2, O48*'Datos del modelo'!$K52, 0),"")</f>
        <v>0</v>
      </c>
      <c r="P57" s="571"/>
      <c r="Q57" s="571"/>
      <c r="R57" s="543"/>
      <c r="S57" s="542"/>
      <c r="U57" s="543"/>
      <c r="V57" s="542"/>
      <c r="X57" s="543"/>
      <c r="Y57" s="542"/>
    </row>
    <row r="58" spans="2:25" ht="16" hidden="1" customHeight="1" outlineLevel="1">
      <c r="B58" s="574"/>
      <c r="C58" s="574"/>
      <c r="D58" s="553">
        <f>'Datos del modelo'!$E$26+4</f>
        <v>2029</v>
      </c>
      <c r="E58" s="554">
        <f>IF(E$9="Ninguno","",IF('Datos del modelo'!E$88&gt;2,  $E49*'Datos del modelo'!$E53,0))</f>
        <v>0</v>
      </c>
      <c r="F58" s="554" t="str">
        <f>IF(F$9="Ninguno","",IF('Datos del modelo'!F$88&gt;2,  F49*'Datos del modelo'!$E53,0))</f>
        <v/>
      </c>
      <c r="G58" s="554" t="str">
        <f>IF(G$9="Ninguno","",IF('Datos del modelo'!G$88&gt;2,  G49*'Datos del modelo'!$E53,0))</f>
        <v/>
      </c>
      <c r="H58" s="597"/>
      <c r="I58" s="554" t="str">
        <f>IF(I$9="Ninguno","",IF('Datos del modelo'!H$88&gt;2,  I49*'Datos del modelo'!$H53,0))</f>
        <v/>
      </c>
      <c r="J58" s="554" t="str">
        <f>IF(J$9="Ninguno","",IF('Datos del modelo'!I$88&gt;2,  J49*'Datos del modelo'!$H53,0))</f>
        <v/>
      </c>
      <c r="K58" s="554" t="str">
        <f>IF(K$9="Ninguno","",IF('Datos del modelo'!J$88&gt;2,  K49*'Datos del modelo'!$H53,0))</f>
        <v/>
      </c>
      <c r="L58" s="597"/>
      <c r="M58" s="554">
        <f t="shared" si="23"/>
        <v>0</v>
      </c>
      <c r="N58" s="554">
        <f>IF(N$9="Ninguno","",IF('Datos del modelo'!K$88&gt;2,N49*'Datos del modelo'!$K53,0))</f>
        <v>0</v>
      </c>
      <c r="O58" s="554">
        <f>IFERROR(IF('Datos del modelo'!L$88&gt;2, O49*'Datos del modelo'!$K53, 0),"")</f>
        <v>0</v>
      </c>
      <c r="P58" s="571"/>
      <c r="Q58" s="571"/>
      <c r="R58" s="543"/>
      <c r="S58" s="542"/>
      <c r="U58" s="543"/>
      <c r="V58" s="542"/>
      <c r="X58" s="543"/>
      <c r="Y58" s="542"/>
    </row>
    <row r="59" spans="2:25" ht="8.25" hidden="1" customHeight="1" outlineLevel="1">
      <c r="B59" s="574"/>
      <c r="C59" s="574"/>
      <c r="D59" s="622"/>
      <c r="E59" s="623"/>
      <c r="F59" s="623"/>
      <c r="G59" s="623"/>
      <c r="H59" s="597"/>
      <c r="I59" s="623"/>
      <c r="J59" s="623"/>
      <c r="K59" s="623"/>
      <c r="L59" s="597"/>
      <c r="M59" s="623"/>
      <c r="N59" s="623"/>
      <c r="O59" s="623"/>
      <c r="P59" s="571"/>
      <c r="Q59" s="571"/>
      <c r="R59" s="543"/>
      <c r="S59" s="542"/>
      <c r="U59" s="543"/>
      <c r="V59" s="542"/>
      <c r="X59" s="543"/>
      <c r="Y59" s="542"/>
    </row>
    <row r="60" spans="2:25" s="567" customFormat="1" ht="54" customHeight="1" collapsed="1">
      <c r="B60" s="574"/>
      <c r="C60" s="574"/>
      <c r="D60" s="1086" t="s">
        <v>247</v>
      </c>
      <c r="E60" s="1086"/>
      <c r="F60" s="1086"/>
      <c r="G60" s="1086"/>
      <c r="H60" s="1086"/>
      <c r="I60" s="1086"/>
      <c r="J60" s="1086"/>
      <c r="K60" s="1086"/>
      <c r="L60" s="1086"/>
      <c r="M60" s="1086"/>
      <c r="N60" s="1086"/>
      <c r="O60" s="1086"/>
      <c r="P60" s="570"/>
      <c r="Q60" s="570"/>
      <c r="R60" s="1076"/>
      <c r="S60" s="1075"/>
      <c r="U60" s="1076"/>
      <c r="V60" s="1075"/>
      <c r="X60" s="1076"/>
      <c r="Y60" s="1075"/>
    </row>
    <row r="61" spans="2:25" s="567" customFormat="1" ht="8.25" customHeight="1">
      <c r="B61" s="574"/>
      <c r="C61" s="574"/>
      <c r="D61" s="608"/>
      <c r="E61" s="608"/>
      <c r="F61" s="608"/>
      <c r="G61" s="608"/>
      <c r="H61" s="628"/>
      <c r="I61" s="608"/>
      <c r="J61" s="608"/>
      <c r="K61" s="608"/>
      <c r="L61" s="628"/>
      <c r="M61" s="608"/>
      <c r="N61" s="608"/>
      <c r="O61" s="608"/>
      <c r="P61" s="570"/>
      <c r="Q61" s="570"/>
      <c r="R61" s="721"/>
      <c r="S61" s="722"/>
      <c r="U61" s="721"/>
      <c r="V61" s="722"/>
      <c r="X61" s="721"/>
      <c r="Y61" s="722"/>
    </row>
    <row r="62" spans="2:25" s="567" customFormat="1" ht="35.25" customHeight="1">
      <c r="B62" s="574"/>
      <c r="C62" s="574"/>
      <c r="D62" s="624" t="s">
        <v>239</v>
      </c>
      <c r="E62" s="549">
        <f>IF(E63="","N.A.",SUM(E63:E67))</f>
        <v>928596.6806722224</v>
      </c>
      <c r="F62" s="549" t="str">
        <f>IF(F63="","N.A.",SUM(F63:F67))</f>
        <v>N.A.</v>
      </c>
      <c r="G62" s="549" t="str">
        <f>IF(G63="","N.A.",SUM(G63:G67))</f>
        <v>N.A.</v>
      </c>
      <c r="H62" s="630"/>
      <c r="I62" s="549" t="str">
        <f>IF(I63="","N.A.",SUM(I63:I67))</f>
        <v>N.A.</v>
      </c>
      <c r="J62" s="549" t="str">
        <f>IF(J63="","N.A.",SUM(J63:J67))</f>
        <v>N.A.</v>
      </c>
      <c r="K62" s="549" t="str">
        <f>IF(K63="","N.A.",SUM(K63:K67))</f>
        <v>N.A.</v>
      </c>
      <c r="L62" s="630"/>
      <c r="M62" s="549">
        <f>IF(M63="","N.A.",SUM(M63:M67))</f>
        <v>1404606.1486666112</v>
      </c>
      <c r="N62" s="549">
        <f>IF(N63="","N.A.",SUM(N63:N67))</f>
        <v>883485.56956111116</v>
      </c>
      <c r="O62" s="549">
        <f>IF(O63="","N.A.",SUM(O63:O67))</f>
        <v>521120.57910550002</v>
      </c>
      <c r="P62" s="570"/>
      <c r="Q62" s="570"/>
      <c r="R62" s="541"/>
      <c r="S62" s="542"/>
      <c r="U62" s="543"/>
      <c r="V62" s="542"/>
      <c r="X62" s="543"/>
      <c r="Y62" s="542"/>
    </row>
    <row r="63" spans="2:25">
      <c r="B63" s="574"/>
      <c r="C63" s="574"/>
      <c r="D63" s="546">
        <f>'Datos del modelo'!$E$26</f>
        <v>2025</v>
      </c>
      <c r="E63" s="556">
        <f>IF(E$9="Ninguno","",E27*'Datos del modelo'!E$92+E90)</f>
        <v>163333.33333333334</v>
      </c>
      <c r="F63" s="556" t="str">
        <f>IFERROR(F27*'Datos del modelo'!F$92+F90,"")</f>
        <v/>
      </c>
      <c r="G63" s="556" t="str">
        <f>IFERROR(G27*'Datos del modelo'!G$92+G90,"")</f>
        <v/>
      </c>
      <c r="H63" s="597"/>
      <c r="I63" s="556" t="str">
        <f>IFERROR(I27*'Datos del modelo'!H$92+I90,"")</f>
        <v/>
      </c>
      <c r="J63" s="556" t="str">
        <f>IFERROR(J27*'Datos del modelo'!I$92+J90,"")</f>
        <v/>
      </c>
      <c r="K63" s="556" t="str">
        <f>IFERROR(K27*'Datos del modelo'!J$92+K90,"")</f>
        <v/>
      </c>
      <c r="L63" s="597"/>
      <c r="M63" s="556">
        <f>IFERROR(O63+N63,"")</f>
        <v>319861.11111111112</v>
      </c>
      <c r="N63" s="556">
        <f>IFERROR(N27*'Datos del modelo'!K$92+N90,"")</f>
        <v>136111.11111111112</v>
      </c>
      <c r="O63" s="556">
        <f>IFERROR(O27*'Datos del modelo'!L$92+O90,"")</f>
        <v>183750</v>
      </c>
      <c r="P63" s="571"/>
      <c r="Q63" s="571"/>
      <c r="R63" s="557"/>
      <c r="S63" s="542"/>
      <c r="U63" s="543"/>
      <c r="V63" s="542"/>
      <c r="X63" s="543"/>
      <c r="Y63" s="542"/>
    </row>
    <row r="64" spans="2:25">
      <c r="B64" s="574"/>
      <c r="C64" s="574"/>
      <c r="D64" s="546">
        <f>'Datos del modelo'!$E$26+1</f>
        <v>2026</v>
      </c>
      <c r="E64" s="556">
        <f>IF(E$9="Ninguno","",E28*'Datos del modelo'!E$92+E91)</f>
        <v>166272.22222222222</v>
      </c>
      <c r="F64" s="556" t="str">
        <f>IFERROR(F28*'Datos del modelo'!F$92+F91,"")</f>
        <v/>
      </c>
      <c r="G64" s="556" t="str">
        <f>IFERROR(G28*'Datos del modelo'!G$92+G91,"")</f>
        <v/>
      </c>
      <c r="H64" s="597"/>
      <c r="I64" s="556" t="str">
        <f>IFERROR(I28*'Datos del modelo'!H$92+I91,"")</f>
        <v/>
      </c>
      <c r="J64" s="556" t="str">
        <f>IFERROR(J28*'Datos del modelo'!I$92+J91,"")</f>
        <v/>
      </c>
      <c r="K64" s="556" t="str">
        <f>IFERROR(K28*'Datos del modelo'!J$92+K91,"")</f>
        <v/>
      </c>
      <c r="L64" s="597"/>
      <c r="M64" s="556">
        <f t="shared" ref="M64:M67" si="24">IFERROR(O64+N64,"")</f>
        <v>270987.33333333337</v>
      </c>
      <c r="N64" s="556">
        <f>IFERROR(N28*'Datos del modelo'!K$92+N91,"")</f>
        <v>143233.33333333334</v>
      </c>
      <c r="O64" s="556">
        <f>IFERROR(O28*'Datos del modelo'!L$92+O91,"")</f>
        <v>127754</v>
      </c>
      <c r="P64" s="571"/>
      <c r="Q64" s="571"/>
      <c r="R64" s="555"/>
      <c r="S64" s="542"/>
      <c r="U64" s="543"/>
      <c r="V64" s="542"/>
      <c r="X64" s="543"/>
      <c r="Y64" s="542"/>
    </row>
    <row r="65" spans="2:25">
      <c r="B65" s="574"/>
      <c r="C65" s="574"/>
      <c r="D65" s="546">
        <f>'Datos del modelo'!$E$26+2</f>
        <v>2027</v>
      </c>
      <c r="E65" s="556">
        <f>IF(E$9="Ninguno","",E29*'Datos del modelo'!E$92+E92)</f>
        <v>166110.38888888891</v>
      </c>
      <c r="F65" s="556" t="str">
        <f>IFERROR(F29*'Datos del modelo'!F$92+F92,"")</f>
        <v/>
      </c>
      <c r="G65" s="556" t="str">
        <f>IFERROR(G29*'Datos del modelo'!G$92+G92,"")</f>
        <v/>
      </c>
      <c r="H65" s="597"/>
      <c r="I65" s="556" t="str">
        <f>IFERROR(I29*'Datos del modelo'!H$92+I92,"")</f>
        <v/>
      </c>
      <c r="J65" s="556" t="str">
        <f>IFERROR(J29*'Datos del modelo'!I$92+J92,"")</f>
        <v/>
      </c>
      <c r="K65" s="556" t="str">
        <f>IFERROR(K29*'Datos del modelo'!J$92+K92,"")</f>
        <v/>
      </c>
      <c r="L65" s="597"/>
      <c r="M65" s="556">
        <f t="shared" si="24"/>
        <v>274155.84388888889</v>
      </c>
      <c r="N65" s="556">
        <f>IFERROR(N29*'Datos del modelo'!K$92+N92,"")</f>
        <v>171260.38888888891</v>
      </c>
      <c r="O65" s="556">
        <f>IFERROR(O29*'Datos del modelo'!L$92+O92,"")</f>
        <v>102895.455</v>
      </c>
      <c r="P65" s="571"/>
      <c r="Q65" s="571"/>
      <c r="R65" s="543"/>
      <c r="S65" s="542"/>
      <c r="U65" s="543"/>
      <c r="V65" s="542"/>
      <c r="X65" s="543"/>
      <c r="Y65" s="542"/>
    </row>
    <row r="66" spans="2:25">
      <c r="B66" s="574"/>
      <c r="C66" s="574"/>
      <c r="D66" s="546">
        <f>'Datos del modelo'!$E$26+3</f>
        <v>2028</v>
      </c>
      <c r="E66" s="556">
        <f>IF(E$9="Ninguno","",E30*'Datos del modelo'!E$92+E93)</f>
        <v>200840.15777777781</v>
      </c>
      <c r="F66" s="556" t="str">
        <f>IFERROR(F30*'Datos del modelo'!F$92+F93,"")</f>
        <v/>
      </c>
      <c r="G66" s="556" t="str">
        <f>IFERROR(G30*'Datos del modelo'!G$92+G93,"")</f>
        <v/>
      </c>
      <c r="H66" s="597"/>
      <c r="I66" s="556" t="str">
        <f>IFERROR(I30*'Datos del modelo'!H$92+I93,"")</f>
        <v/>
      </c>
      <c r="J66" s="556" t="str">
        <f>IFERROR(J30*'Datos del modelo'!I$92+J93,"")</f>
        <v/>
      </c>
      <c r="K66" s="556" t="str">
        <f>IFERROR(K30*'Datos del modelo'!J$92+K93,"")</f>
        <v/>
      </c>
      <c r="L66" s="597"/>
      <c r="M66" s="556">
        <f t="shared" si="24"/>
        <v>272871.02417777781</v>
      </c>
      <c r="N66" s="556">
        <f>IFERROR(N30*'Datos del modelo'!K$92+N93,"")</f>
        <v>200840.15777777781</v>
      </c>
      <c r="O66" s="556">
        <f>IFERROR(O30*'Datos del modelo'!L$92+O93,"")</f>
        <v>72030.866399999984</v>
      </c>
      <c r="P66" s="571"/>
      <c r="Q66" s="571"/>
      <c r="R66" s="543"/>
      <c r="S66" s="542"/>
      <c r="U66" s="543"/>
      <c r="V66" s="542"/>
      <c r="X66" s="543"/>
      <c r="Y66" s="542"/>
    </row>
    <row r="67" spans="2:25" ht="16" customHeight="1">
      <c r="B67" s="574"/>
      <c r="C67" s="574"/>
      <c r="D67" s="546">
        <f>'Datos del modelo'!$E$26+4</f>
        <v>2029</v>
      </c>
      <c r="E67" s="556">
        <f>IF(E$9="Ninguno","",E31*'Datos del modelo'!E$92+E94)</f>
        <v>232040.57845000003</v>
      </c>
      <c r="F67" s="556" t="str">
        <f>IFERROR(F31*'Datos del modelo'!F$92+F94,"")</f>
        <v/>
      </c>
      <c r="G67" s="556" t="str">
        <f>IFERROR(G31*'Datos del modelo'!G$92+G94,"")</f>
        <v/>
      </c>
      <c r="H67" s="597"/>
      <c r="I67" s="556" t="str">
        <f>IFERROR(I31*'Datos del modelo'!H$92+I94,"")</f>
        <v/>
      </c>
      <c r="J67" s="556" t="str">
        <f>IFERROR(J31*'Datos del modelo'!I$92+J94,"")</f>
        <v/>
      </c>
      <c r="K67" s="556" t="str">
        <f>IFERROR(K31*'Datos del modelo'!J$92+K94,"")</f>
        <v/>
      </c>
      <c r="L67" s="597"/>
      <c r="M67" s="556">
        <f t="shared" si="24"/>
        <v>266730.83615550003</v>
      </c>
      <c r="N67" s="556">
        <f>IFERROR(N31*'Datos del modelo'!K$92+N94,"")</f>
        <v>232040.57845000003</v>
      </c>
      <c r="O67" s="556">
        <f>IFERROR(O31*'Datos del modelo'!L$92+O94,"")</f>
        <v>34690.257705499986</v>
      </c>
      <c r="P67" s="571"/>
      <c r="Q67" s="571"/>
      <c r="R67" s="543"/>
      <c r="S67" s="542"/>
      <c r="U67" s="543"/>
      <c r="V67" s="542"/>
      <c r="X67" s="543"/>
      <c r="Y67" s="542"/>
    </row>
    <row r="68" spans="2:25" ht="8.25" customHeight="1">
      <c r="B68" s="574"/>
      <c r="C68" s="574"/>
      <c r="D68" s="594"/>
      <c r="E68" s="595"/>
      <c r="F68" s="595"/>
      <c r="G68" s="595"/>
      <c r="H68" s="632"/>
      <c r="I68" s="595"/>
      <c r="J68" s="595"/>
      <c r="K68" s="595"/>
      <c r="L68" s="632"/>
      <c r="M68" s="595"/>
      <c r="N68" s="595"/>
      <c r="O68" s="595"/>
      <c r="P68" s="571"/>
      <c r="Q68" s="571"/>
      <c r="R68" s="543"/>
      <c r="S68" s="542"/>
      <c r="U68" s="543"/>
      <c r="V68" s="542"/>
      <c r="X68" s="543"/>
      <c r="Y68" s="542"/>
    </row>
    <row r="69" spans="2:25" ht="24" hidden="1" customHeight="1" outlineLevel="1">
      <c r="B69" s="574"/>
      <c r="C69" s="574"/>
      <c r="D69" s="1079" t="s">
        <v>248</v>
      </c>
      <c r="E69" s="1079"/>
      <c r="F69" s="1079"/>
      <c r="G69" s="1079"/>
      <c r="H69" s="1079"/>
      <c r="I69" s="1079"/>
      <c r="J69" s="1079"/>
      <c r="K69" s="1079"/>
      <c r="L69" s="1079"/>
      <c r="M69" s="1079"/>
      <c r="N69" s="1079"/>
      <c r="O69" s="1079"/>
      <c r="P69" s="571"/>
      <c r="Q69" s="571"/>
      <c r="R69" s="543"/>
      <c r="S69" s="542"/>
      <c r="U69" s="543"/>
      <c r="V69" s="542"/>
      <c r="X69" s="543"/>
      <c r="Y69" s="542"/>
    </row>
    <row r="70" spans="2:25" ht="8.25" hidden="1" customHeight="1" outlineLevel="1">
      <c r="B70" s="574"/>
      <c r="C70" s="574"/>
      <c r="D70" s="601"/>
      <c r="E70" s="601"/>
      <c r="F70" s="601"/>
      <c r="G70" s="601"/>
      <c r="H70" s="635"/>
      <c r="I70" s="601"/>
      <c r="J70" s="601"/>
      <c r="K70" s="601"/>
      <c r="L70" s="635"/>
      <c r="M70" s="601"/>
      <c r="N70" s="601"/>
      <c r="O70" s="601"/>
      <c r="P70" s="571"/>
      <c r="Q70" s="571"/>
      <c r="R70" s="543"/>
      <c r="S70" s="542"/>
      <c r="U70" s="543"/>
      <c r="V70" s="542"/>
      <c r="X70" s="543"/>
      <c r="Y70" s="542"/>
    </row>
    <row r="71" spans="2:25" ht="35.25" hidden="1" customHeight="1" outlineLevel="1">
      <c r="B71" s="574"/>
      <c r="C71" s="574"/>
      <c r="D71" s="612" t="s">
        <v>239</v>
      </c>
      <c r="E71" s="602">
        <f>IF(E72="","NA",SUM(E72:E76))</f>
        <v>197538.47645000002</v>
      </c>
      <c r="F71" s="602" t="str">
        <f>IF(F72="","NA",SUM(F72:F76))</f>
        <v>NA</v>
      </c>
      <c r="G71" s="602" t="str">
        <f>IF(G72="","NA",SUM(G72:G76))</f>
        <v>NA</v>
      </c>
      <c r="H71" s="637"/>
      <c r="I71" s="602" t="str">
        <f>IF(I72="","NA",SUM(I72:I76))</f>
        <v>NA</v>
      </c>
      <c r="J71" s="602" t="str">
        <f>IF(J72="","NA",SUM(J72:J76))</f>
        <v>NA</v>
      </c>
      <c r="K71" s="602" t="str">
        <f>IF(K72="","NA",SUM(K72:K76))</f>
        <v>NA</v>
      </c>
      <c r="L71" s="637"/>
      <c r="M71" s="602">
        <f>IF(M72="","NA",SUM(M72:M76))</f>
        <v>302475.40917549998</v>
      </c>
      <c r="N71" s="602">
        <f>IF(N72="","NA",SUM(N72:N76))</f>
        <v>187388.47645000002</v>
      </c>
      <c r="O71" s="602">
        <f>IF(O72="","NA",SUM(O72:O76))</f>
        <v>115086.9327255</v>
      </c>
      <c r="P71" s="571"/>
      <c r="Q71" s="571"/>
      <c r="R71" s="557" t="s">
        <v>249</v>
      </c>
      <c r="S71" s="542"/>
      <c r="U71" s="543"/>
      <c r="V71" s="542"/>
      <c r="X71" s="543"/>
      <c r="Y71" s="542"/>
    </row>
    <row r="72" spans="2:25" ht="16" hidden="1" customHeight="1" outlineLevel="1">
      <c r="B72" s="574"/>
      <c r="C72" s="574"/>
      <c r="D72" s="613">
        <f>'Datos del modelo'!$E$26</f>
        <v>2025</v>
      </c>
      <c r="E72" s="603">
        <f>IFERROR(E27*'Datos del modelo'!E$93,"")</f>
        <v>30000</v>
      </c>
      <c r="F72" s="603" t="str">
        <f>IFERROR(F27*'Datos del modelo'!F$93,"")</f>
        <v/>
      </c>
      <c r="G72" s="603" t="str">
        <f>IFERROR(G27*'Datos del modelo'!G$93,"")</f>
        <v/>
      </c>
      <c r="H72" s="638"/>
      <c r="I72" s="603" t="str">
        <f>IFERROR(I27*'Datos del modelo'!H$93,"")</f>
        <v/>
      </c>
      <c r="J72" s="603" t="str">
        <f>IFERROR(J27*'Datos del modelo'!I$93,"")</f>
        <v/>
      </c>
      <c r="K72" s="603" t="str">
        <f>IFERROR(K27*'Datos del modelo'!J$93,"")</f>
        <v/>
      </c>
      <c r="L72" s="638"/>
      <c r="M72" s="603">
        <f>IFERROR(O72+N72,"")</f>
        <v>58750</v>
      </c>
      <c r="N72" s="603">
        <f>IFERROR(N27*'Datos del modelo'!K$93,"")</f>
        <v>25000</v>
      </c>
      <c r="O72" s="603">
        <f>IFERROR(O27*'Datos del modelo'!L$93,"")</f>
        <v>33750</v>
      </c>
      <c r="P72" s="571"/>
      <c r="Q72" s="571"/>
      <c r="R72" s="543"/>
      <c r="S72" s="542"/>
      <c r="U72" s="543"/>
      <c r="V72" s="542"/>
      <c r="X72" s="543"/>
      <c r="Y72" s="542"/>
    </row>
    <row r="73" spans="2:25" ht="16" hidden="1" customHeight="1" outlineLevel="1">
      <c r="B73" s="574"/>
      <c r="C73" s="574"/>
      <c r="D73" s="613">
        <f>'Datos del modelo'!$E$26+1</f>
        <v>2026</v>
      </c>
      <c r="E73" s="603">
        <f>IFERROR(E28*'Datos del modelo'!E$93,"")</f>
        <v>36050</v>
      </c>
      <c r="F73" s="603" t="str">
        <f>IFERROR(F28*'Datos del modelo'!F$93,"")</f>
        <v/>
      </c>
      <c r="G73" s="603" t="str">
        <f>IFERROR(G28*'Datos del modelo'!G$93,"")</f>
        <v/>
      </c>
      <c r="H73" s="638"/>
      <c r="I73" s="603" t="str">
        <f>IFERROR(I28*'Datos del modelo'!H$93,"")</f>
        <v/>
      </c>
      <c r="J73" s="603" t="str">
        <f>IFERROR(J28*'Datos del modelo'!I$93,"")</f>
        <v/>
      </c>
      <c r="K73" s="603" t="str">
        <f>IFERROR(K28*'Datos del modelo'!J$93,"")</f>
        <v/>
      </c>
      <c r="L73" s="638"/>
      <c r="M73" s="603">
        <f t="shared" ref="M73:M76" si="25">IFERROR(O73+N73,"")</f>
        <v>60564</v>
      </c>
      <c r="N73" s="603">
        <f>IFERROR(N28*'Datos del modelo'!K$93,"")</f>
        <v>30900</v>
      </c>
      <c r="O73" s="603">
        <f>IFERROR(O28*'Datos del modelo'!L$93,"")</f>
        <v>29664</v>
      </c>
      <c r="P73" s="571"/>
      <c r="Q73" s="571"/>
      <c r="R73" s="543"/>
      <c r="S73" s="542"/>
      <c r="U73" s="543"/>
      <c r="V73" s="542"/>
      <c r="X73" s="543"/>
      <c r="Y73" s="542"/>
    </row>
    <row r="74" spans="2:25" ht="16" hidden="1" customHeight="1" outlineLevel="1">
      <c r="B74" s="574"/>
      <c r="C74" s="574"/>
      <c r="D74" s="613">
        <f>'Datos del modelo'!$E$26+2</f>
        <v>2027</v>
      </c>
      <c r="E74" s="603">
        <f>IFERROR(E29*'Datos del modelo'!E$93,"")</f>
        <v>37131.5</v>
      </c>
      <c r="F74" s="603" t="str">
        <f>IFERROR(F29*'Datos del modelo'!F$93,"")</f>
        <v/>
      </c>
      <c r="G74" s="603" t="str">
        <f>IFERROR(G29*'Datos del modelo'!G$93,"")</f>
        <v/>
      </c>
      <c r="H74" s="638"/>
      <c r="I74" s="603" t="str">
        <f>IFERROR(I29*'Datos del modelo'!H$93,"")</f>
        <v/>
      </c>
      <c r="J74" s="603" t="str">
        <f>IFERROR(J29*'Datos del modelo'!I$93,"")</f>
        <v/>
      </c>
      <c r="K74" s="603" t="str">
        <f>IFERROR(K29*'Datos del modelo'!J$93,"")</f>
        <v/>
      </c>
      <c r="L74" s="638"/>
      <c r="M74" s="603">
        <f t="shared" si="25"/>
        <v>61479.154999999999</v>
      </c>
      <c r="N74" s="603">
        <f>IFERROR(N29*'Datos del modelo'!K$93,"")</f>
        <v>37131.5</v>
      </c>
      <c r="O74" s="603">
        <f>IFERROR(O29*'Datos del modelo'!L$93,"")</f>
        <v>24347.654999999999</v>
      </c>
      <c r="P74" s="571"/>
      <c r="Q74" s="571"/>
      <c r="R74" s="543"/>
      <c r="S74" s="542"/>
      <c r="U74" s="543"/>
      <c r="V74" s="542"/>
      <c r="X74" s="543"/>
      <c r="Y74" s="542"/>
    </row>
    <row r="75" spans="2:25" ht="16" hidden="1" customHeight="1" outlineLevel="1">
      <c r="B75" s="574"/>
      <c r="C75" s="574"/>
      <c r="D75" s="613">
        <f>'Datos del modelo'!$E$26+3</f>
        <v>2028</v>
      </c>
      <c r="E75" s="603">
        <f>IFERROR(E30*'Datos del modelo'!E$93,"")</f>
        <v>43709.08</v>
      </c>
      <c r="F75" s="603" t="str">
        <f>IFERROR(F30*'Datos del modelo'!F$93,"")</f>
        <v/>
      </c>
      <c r="G75" s="603" t="str">
        <f>IFERROR(G30*'Datos del modelo'!G$93,"")</f>
        <v/>
      </c>
      <c r="H75" s="638"/>
      <c r="I75" s="603" t="str">
        <f>IFERROR(I30*'Datos del modelo'!H$93,"")</f>
        <v/>
      </c>
      <c r="J75" s="603" t="str">
        <f>IFERROR(J30*'Datos del modelo'!I$93,"")</f>
        <v/>
      </c>
      <c r="K75" s="603" t="str">
        <f>IFERROR(K30*'Datos del modelo'!J$93,"")</f>
        <v/>
      </c>
      <c r="L75" s="638"/>
      <c r="M75" s="603">
        <f t="shared" si="25"/>
        <v>61411.257400000002</v>
      </c>
      <c r="N75" s="603">
        <f>IFERROR(N30*'Datos del modelo'!K$93,"")</f>
        <v>43709.08</v>
      </c>
      <c r="O75" s="603">
        <f>IFERROR(O30*'Datos del modelo'!L$93,"")</f>
        <v>17702.177399999997</v>
      </c>
      <c r="P75" s="571"/>
      <c r="Q75" s="571"/>
      <c r="R75" s="543"/>
      <c r="S75" s="542"/>
      <c r="U75" s="543"/>
      <c r="V75" s="542"/>
      <c r="X75" s="543"/>
      <c r="Y75" s="542"/>
    </row>
    <row r="76" spans="2:25" ht="16" hidden="1" customHeight="1" outlineLevel="1">
      <c r="B76" s="574"/>
      <c r="C76" s="574"/>
      <c r="D76" s="613">
        <f>'Datos del modelo'!$E$26+4</f>
        <v>2029</v>
      </c>
      <c r="E76" s="603">
        <f>IFERROR(E31*'Datos del modelo'!E$93,"")</f>
        <v>50647.89645</v>
      </c>
      <c r="F76" s="603" t="str">
        <f>IFERROR(F31*'Datos del modelo'!F$93,"")</f>
        <v/>
      </c>
      <c r="G76" s="603" t="str">
        <f>IFERROR(G31*'Datos del modelo'!G$93,"")</f>
        <v/>
      </c>
      <c r="H76" s="638"/>
      <c r="I76" s="603" t="str">
        <f>IFERROR(I31*'Datos del modelo'!H$93,"")</f>
        <v/>
      </c>
      <c r="J76" s="603" t="str">
        <f>IFERROR(J31*'Datos del modelo'!I$93,"")</f>
        <v/>
      </c>
      <c r="K76" s="603" t="str">
        <f>IFERROR(K31*'Datos del modelo'!J$93,"")</f>
        <v/>
      </c>
      <c r="L76" s="638"/>
      <c r="M76" s="603">
        <f t="shared" si="25"/>
        <v>60270.996775499996</v>
      </c>
      <c r="N76" s="603">
        <f>IFERROR(N31*'Datos del modelo'!K$93,"")</f>
        <v>50647.89645</v>
      </c>
      <c r="O76" s="603">
        <f>IFERROR(O31*'Datos del modelo'!L$93,"")</f>
        <v>9623.100325499996</v>
      </c>
      <c r="P76" s="571"/>
      <c r="Q76" s="571"/>
      <c r="R76" s="543"/>
      <c r="S76" s="542"/>
      <c r="U76" s="543"/>
      <c r="V76" s="542"/>
      <c r="X76" s="543"/>
      <c r="Y76" s="542"/>
    </row>
    <row r="77" spans="2:25" ht="8.25" hidden="1" customHeight="1" outlineLevel="1">
      <c r="B77" s="574"/>
      <c r="C77" s="574"/>
      <c r="D77" s="604"/>
      <c r="E77" s="605"/>
      <c r="F77" s="605"/>
      <c r="G77" s="605"/>
      <c r="H77" s="636"/>
      <c r="I77" s="605"/>
      <c r="J77" s="605"/>
      <c r="K77" s="605"/>
      <c r="L77" s="636"/>
      <c r="M77" s="605"/>
      <c r="N77" s="605"/>
      <c r="O77" s="605"/>
      <c r="P77" s="571"/>
      <c r="Q77" s="571"/>
      <c r="R77" s="543"/>
      <c r="S77" s="542"/>
      <c r="U77" s="543"/>
      <c r="V77" s="542"/>
      <c r="X77" s="543"/>
      <c r="Y77" s="542"/>
    </row>
    <row r="78" spans="2:25" ht="24" hidden="1" customHeight="1" outlineLevel="1">
      <c r="B78" s="574"/>
      <c r="C78" s="574"/>
      <c r="D78" s="1080" t="s">
        <v>250</v>
      </c>
      <c r="E78" s="1080"/>
      <c r="F78" s="1080"/>
      <c r="G78" s="1080"/>
      <c r="H78" s="1080"/>
      <c r="I78" s="1080"/>
      <c r="J78" s="1080"/>
      <c r="K78" s="1080"/>
      <c r="L78" s="1080"/>
      <c r="M78" s="1080"/>
      <c r="N78" s="1080"/>
      <c r="O78" s="1080"/>
      <c r="P78" s="571"/>
      <c r="Q78" s="571"/>
      <c r="R78" s="543"/>
      <c r="S78" s="542"/>
      <c r="U78" s="543"/>
      <c r="V78" s="542"/>
      <c r="X78" s="543"/>
      <c r="Y78" s="542"/>
    </row>
    <row r="79" spans="2:25" ht="8.25" hidden="1" customHeight="1" outlineLevel="1">
      <c r="B79" s="574"/>
      <c r="C79" s="574"/>
      <c r="D79" s="646"/>
      <c r="E79" s="646"/>
      <c r="F79" s="646"/>
      <c r="G79" s="646"/>
      <c r="H79" s="645"/>
      <c r="I79" s="645"/>
      <c r="J79" s="645"/>
      <c r="K79" s="645"/>
      <c r="L79" s="645"/>
      <c r="M79" s="646"/>
      <c r="N79" s="646"/>
      <c r="O79" s="646"/>
      <c r="P79" s="571"/>
      <c r="Q79" s="571"/>
      <c r="R79" s="543"/>
      <c r="S79" s="542"/>
      <c r="U79" s="543"/>
      <c r="V79" s="542"/>
      <c r="X79" s="543"/>
      <c r="Y79" s="542"/>
    </row>
    <row r="80" spans="2:25" ht="35.25" hidden="1" customHeight="1" outlineLevel="1">
      <c r="B80" s="574"/>
      <c r="C80" s="574"/>
      <c r="D80" s="614" t="s">
        <v>239</v>
      </c>
      <c r="E80" s="615">
        <f>SUM(E81:E85)</f>
        <v>146890.58000000002</v>
      </c>
      <c r="F80" s="615">
        <f t="shared" ref="F80:G80" si="26">SUM(F81:F85)</f>
        <v>0</v>
      </c>
      <c r="G80" s="615">
        <f t="shared" si="26"/>
        <v>0</v>
      </c>
      <c r="H80" s="640"/>
      <c r="I80" s="615">
        <f>SUM(I81:I85)</f>
        <v>0</v>
      </c>
      <c r="J80" s="615">
        <f t="shared" ref="J80:K80" si="27">SUM(J81:J85)</f>
        <v>0</v>
      </c>
      <c r="K80" s="615">
        <f t="shared" si="27"/>
        <v>0</v>
      </c>
      <c r="L80" s="640"/>
      <c r="M80" s="615">
        <f>SUM(M81:M85)</f>
        <v>242204.4124</v>
      </c>
      <c r="N80" s="615">
        <f t="shared" ref="N80:O80" si="28">SUM(N81:N85)</f>
        <v>136740.58000000002</v>
      </c>
      <c r="O80" s="615">
        <f t="shared" si="28"/>
        <v>105463.8324</v>
      </c>
      <c r="P80" s="571"/>
      <c r="Q80" s="571"/>
      <c r="R80" s="543"/>
      <c r="S80" s="542"/>
      <c r="U80" s="543"/>
      <c r="V80" s="542"/>
      <c r="X80" s="543"/>
      <c r="Y80" s="542"/>
    </row>
    <row r="81" spans="2:25" ht="16" hidden="1" customHeight="1" outlineLevel="1">
      <c r="B81" s="574"/>
      <c r="C81" s="574"/>
      <c r="D81" s="616">
        <f>'Datos del modelo'!$E$26</f>
        <v>2025</v>
      </c>
      <c r="E81" s="617"/>
      <c r="F81" s="617"/>
      <c r="G81" s="617"/>
      <c r="H81" s="639"/>
      <c r="I81" s="617"/>
      <c r="J81" s="617"/>
      <c r="K81" s="617"/>
      <c r="L81" s="639"/>
      <c r="M81" s="617"/>
      <c r="N81" s="617"/>
      <c r="O81" s="617"/>
      <c r="P81" s="571"/>
      <c r="Q81" s="571"/>
      <c r="R81" s="543"/>
      <c r="S81" s="542"/>
      <c r="U81" s="543"/>
      <c r="V81" s="542"/>
      <c r="X81" s="543"/>
      <c r="Y81" s="542"/>
    </row>
    <row r="82" spans="2:25" ht="16" hidden="1" customHeight="1" outlineLevel="1">
      <c r="B82" s="574"/>
      <c r="C82" s="574"/>
      <c r="D82" s="616">
        <f>'Datos del modelo'!$E$26+1</f>
        <v>2026</v>
      </c>
      <c r="E82" s="617">
        <f>E72</f>
        <v>30000</v>
      </c>
      <c r="F82" s="617" t="str">
        <f t="shared" ref="F82:O82" si="29">F72</f>
        <v/>
      </c>
      <c r="G82" s="617" t="str">
        <f t="shared" si="29"/>
        <v/>
      </c>
      <c r="H82" s="639"/>
      <c r="I82" s="617" t="str">
        <f t="shared" si="29"/>
        <v/>
      </c>
      <c r="J82" s="617" t="str">
        <f t="shared" si="29"/>
        <v/>
      </c>
      <c r="K82" s="617" t="str">
        <f t="shared" si="29"/>
        <v/>
      </c>
      <c r="L82" s="639"/>
      <c r="M82" s="617">
        <f t="shared" si="29"/>
        <v>58750</v>
      </c>
      <c r="N82" s="617">
        <f t="shared" si="29"/>
        <v>25000</v>
      </c>
      <c r="O82" s="617">
        <f t="shared" si="29"/>
        <v>33750</v>
      </c>
      <c r="P82" s="571"/>
      <c r="Q82" s="571"/>
      <c r="R82" s="543"/>
      <c r="S82" s="542"/>
      <c r="U82" s="543"/>
      <c r="V82" s="542"/>
      <c r="X82" s="543"/>
      <c r="Y82" s="542"/>
    </row>
    <row r="83" spans="2:25" ht="16" hidden="1" customHeight="1" outlineLevel="1">
      <c r="B83" s="574"/>
      <c r="C83" s="574"/>
      <c r="D83" s="616">
        <f>'Datos del modelo'!$E$26+2</f>
        <v>2027</v>
      </c>
      <c r="E83" s="617">
        <f t="shared" ref="E83:O83" si="30">E73</f>
        <v>36050</v>
      </c>
      <c r="F83" s="617" t="str">
        <f t="shared" si="30"/>
        <v/>
      </c>
      <c r="G83" s="617" t="str">
        <f t="shared" si="30"/>
        <v/>
      </c>
      <c r="H83" s="639"/>
      <c r="I83" s="617" t="str">
        <f t="shared" si="30"/>
        <v/>
      </c>
      <c r="J83" s="617" t="str">
        <f t="shared" si="30"/>
        <v/>
      </c>
      <c r="K83" s="617" t="str">
        <f t="shared" si="30"/>
        <v/>
      </c>
      <c r="L83" s="639"/>
      <c r="M83" s="617">
        <f t="shared" si="30"/>
        <v>60564</v>
      </c>
      <c r="N83" s="617">
        <f t="shared" si="30"/>
        <v>30900</v>
      </c>
      <c r="O83" s="617">
        <f t="shared" si="30"/>
        <v>29664</v>
      </c>
      <c r="P83" s="571"/>
      <c r="Q83" s="571"/>
      <c r="R83" s="543"/>
      <c r="S83" s="542"/>
      <c r="U83" s="543"/>
      <c r="V83" s="542"/>
      <c r="X83" s="543"/>
      <c r="Y83" s="542"/>
    </row>
    <row r="84" spans="2:25" ht="16" hidden="1" customHeight="1" outlineLevel="1">
      <c r="B84" s="574"/>
      <c r="C84" s="574"/>
      <c r="D84" s="616">
        <f>'Datos del modelo'!$E$26+3</f>
        <v>2028</v>
      </c>
      <c r="E84" s="617">
        <f t="shared" ref="E84:O84" si="31">E74</f>
        <v>37131.5</v>
      </c>
      <c r="F84" s="617" t="str">
        <f t="shared" si="31"/>
        <v/>
      </c>
      <c r="G84" s="617" t="str">
        <f t="shared" si="31"/>
        <v/>
      </c>
      <c r="H84" s="639"/>
      <c r="I84" s="617" t="str">
        <f t="shared" si="31"/>
        <v/>
      </c>
      <c r="J84" s="617" t="str">
        <f t="shared" si="31"/>
        <v/>
      </c>
      <c r="K84" s="617" t="str">
        <f t="shared" si="31"/>
        <v/>
      </c>
      <c r="L84" s="639"/>
      <c r="M84" s="617">
        <f t="shared" si="31"/>
        <v>61479.154999999999</v>
      </c>
      <c r="N84" s="617">
        <f t="shared" si="31"/>
        <v>37131.5</v>
      </c>
      <c r="O84" s="617">
        <f t="shared" si="31"/>
        <v>24347.654999999999</v>
      </c>
      <c r="P84" s="571"/>
      <c r="Q84" s="571"/>
      <c r="R84" s="543"/>
      <c r="S84" s="542"/>
      <c r="U84" s="543"/>
      <c r="V84" s="542"/>
      <c r="X84" s="543"/>
      <c r="Y84" s="542"/>
    </row>
    <row r="85" spans="2:25" ht="16" hidden="1" customHeight="1" outlineLevel="1">
      <c r="B85" s="574"/>
      <c r="C85" s="574"/>
      <c r="D85" s="616">
        <f>'Datos del modelo'!$E$26+4</f>
        <v>2029</v>
      </c>
      <c r="E85" s="617">
        <f t="shared" ref="E85:O85" si="32">E75</f>
        <v>43709.08</v>
      </c>
      <c r="F85" s="617" t="str">
        <f t="shared" si="32"/>
        <v/>
      </c>
      <c r="G85" s="617" t="str">
        <f t="shared" si="32"/>
        <v/>
      </c>
      <c r="H85" s="639"/>
      <c r="I85" s="617" t="str">
        <f t="shared" si="32"/>
        <v/>
      </c>
      <c r="J85" s="617" t="str">
        <f t="shared" si="32"/>
        <v/>
      </c>
      <c r="K85" s="617" t="str">
        <f t="shared" si="32"/>
        <v/>
      </c>
      <c r="L85" s="639"/>
      <c r="M85" s="617">
        <f t="shared" si="32"/>
        <v>61411.257400000002</v>
      </c>
      <c r="N85" s="617">
        <f t="shared" si="32"/>
        <v>43709.08</v>
      </c>
      <c r="O85" s="617">
        <f t="shared" si="32"/>
        <v>17702.177399999997</v>
      </c>
      <c r="P85" s="571"/>
      <c r="Q85" s="571"/>
      <c r="R85" s="543"/>
      <c r="S85" s="542"/>
      <c r="U85" s="543"/>
      <c r="V85" s="542"/>
      <c r="X85" s="543"/>
      <c r="Y85" s="542"/>
    </row>
    <row r="86" spans="2:25" ht="8.25" hidden="1" customHeight="1" outlineLevel="1">
      <c r="B86" s="574"/>
      <c r="C86" s="574"/>
      <c r="D86" s="609"/>
      <c r="E86" s="610"/>
      <c r="F86" s="610"/>
      <c r="G86" s="610"/>
      <c r="H86" s="639"/>
      <c r="I86" s="610"/>
      <c r="J86" s="610"/>
      <c r="K86" s="610"/>
      <c r="L86" s="639"/>
      <c r="M86" s="610"/>
      <c r="N86" s="610"/>
      <c r="O86" s="610"/>
      <c r="P86" s="571"/>
      <c r="Q86" s="571"/>
      <c r="R86" s="543"/>
      <c r="S86" s="542"/>
      <c r="U86" s="543"/>
      <c r="V86" s="542"/>
      <c r="X86" s="543"/>
      <c r="Y86" s="542"/>
    </row>
    <row r="87" spans="2:25" ht="24" hidden="1" customHeight="1" outlineLevel="1">
      <c r="B87" s="574"/>
      <c r="C87" s="574"/>
      <c r="D87" s="1081" t="s">
        <v>251</v>
      </c>
      <c r="E87" s="1081"/>
      <c r="F87" s="1081"/>
      <c r="G87" s="1081"/>
      <c r="H87" s="1081"/>
      <c r="I87" s="1081"/>
      <c r="J87" s="1081"/>
      <c r="K87" s="1081"/>
      <c r="L87" s="1081"/>
      <c r="M87" s="1081"/>
      <c r="N87" s="1081"/>
      <c r="O87" s="1081"/>
      <c r="P87" s="571"/>
      <c r="Q87" s="571"/>
      <c r="R87" s="543"/>
      <c r="S87" s="542"/>
      <c r="U87" s="543"/>
      <c r="V87" s="542"/>
      <c r="X87" s="543"/>
      <c r="Y87" s="542"/>
    </row>
    <row r="88" spans="2:25" ht="8.25" hidden="1" customHeight="1" outlineLevel="1">
      <c r="B88" s="574"/>
      <c r="C88" s="574"/>
      <c r="D88" s="611"/>
      <c r="E88" s="611"/>
      <c r="F88" s="611"/>
      <c r="G88" s="611"/>
      <c r="H88" s="641"/>
      <c r="I88" s="611"/>
      <c r="J88" s="611"/>
      <c r="K88" s="611"/>
      <c r="L88" s="641"/>
      <c r="M88" s="611"/>
      <c r="N88" s="611"/>
      <c r="O88" s="611"/>
      <c r="P88" s="571"/>
      <c r="Q88" s="571"/>
      <c r="R88" s="543"/>
      <c r="S88" s="542"/>
      <c r="U88" s="543"/>
      <c r="V88" s="542"/>
      <c r="X88" s="543"/>
      <c r="Y88" s="542"/>
    </row>
    <row r="89" spans="2:25" ht="35.25" hidden="1" customHeight="1" outlineLevel="1">
      <c r="B89" s="574"/>
      <c r="C89" s="574"/>
      <c r="D89" s="618" t="s">
        <v>239</v>
      </c>
      <c r="E89" s="619">
        <f>SUM(E90:E94)</f>
        <v>50647.89645</v>
      </c>
      <c r="F89" s="619">
        <f t="shared" ref="F89:K89" si="33">SUM(F90:F94)</f>
        <v>0</v>
      </c>
      <c r="G89" s="619">
        <f t="shared" si="33"/>
        <v>0</v>
      </c>
      <c r="H89" s="643"/>
      <c r="I89" s="619">
        <f t="shared" si="33"/>
        <v>0</v>
      </c>
      <c r="J89" s="619">
        <f t="shared" si="33"/>
        <v>0</v>
      </c>
      <c r="K89" s="619">
        <f t="shared" si="33"/>
        <v>0</v>
      </c>
      <c r="L89" s="643"/>
      <c r="M89" s="619">
        <f>SUM(M90:M94)</f>
        <v>60270.996775499996</v>
      </c>
      <c r="N89" s="619">
        <f t="shared" ref="N89:O89" si="34">SUM(N90:N94)</f>
        <v>50647.89645</v>
      </c>
      <c r="O89" s="619">
        <f t="shared" si="34"/>
        <v>9623.100325499996</v>
      </c>
      <c r="P89" s="571"/>
      <c r="Q89" s="571"/>
      <c r="R89" s="543"/>
      <c r="S89" s="542"/>
      <c r="U89" s="543"/>
      <c r="V89" s="542"/>
      <c r="X89" s="543"/>
      <c r="Y89" s="542"/>
    </row>
    <row r="90" spans="2:25" ht="16" hidden="1" customHeight="1" outlineLevel="1">
      <c r="B90" s="574"/>
      <c r="C90" s="574"/>
      <c r="D90" s="620">
        <f>'Datos del modelo'!$E$26</f>
        <v>2025</v>
      </c>
      <c r="E90" s="621">
        <f>E72</f>
        <v>30000</v>
      </c>
      <c r="F90" s="621" t="str">
        <f t="shared" ref="F90:O90" si="35">F72</f>
        <v/>
      </c>
      <c r="G90" s="621" t="str">
        <f t="shared" si="35"/>
        <v/>
      </c>
      <c r="H90" s="642"/>
      <c r="I90" s="621" t="str">
        <f t="shared" si="35"/>
        <v/>
      </c>
      <c r="J90" s="621" t="str">
        <f t="shared" si="35"/>
        <v/>
      </c>
      <c r="K90" s="621" t="str">
        <f t="shared" si="35"/>
        <v/>
      </c>
      <c r="L90" s="642"/>
      <c r="M90" s="621">
        <f t="shared" si="35"/>
        <v>58750</v>
      </c>
      <c r="N90" s="621">
        <f t="shared" si="35"/>
        <v>25000</v>
      </c>
      <c r="O90" s="621">
        <f t="shared" si="35"/>
        <v>33750</v>
      </c>
      <c r="P90" s="571"/>
      <c r="Q90" s="571"/>
      <c r="R90" s="543"/>
      <c r="S90" s="542"/>
      <c r="U90" s="543"/>
      <c r="V90" s="542"/>
      <c r="X90" s="543"/>
      <c r="Y90" s="542"/>
    </row>
    <row r="91" spans="2:25" ht="16" hidden="1" customHeight="1" outlineLevel="1">
      <c r="B91" s="574"/>
      <c r="C91" s="574"/>
      <c r="D91" s="620">
        <f>'Datos del modelo'!$E$26+1</f>
        <v>2026</v>
      </c>
      <c r="E91" s="621">
        <f t="shared" ref="E91:G94" si="36">IFERROR(E73-E82,"")</f>
        <v>6050</v>
      </c>
      <c r="F91" s="621" t="str">
        <f t="shared" si="36"/>
        <v/>
      </c>
      <c r="G91" s="621" t="str">
        <f t="shared" si="36"/>
        <v/>
      </c>
      <c r="H91" s="642"/>
      <c r="I91" s="621" t="str">
        <f>IFERROR(I73-I82,"")</f>
        <v/>
      </c>
      <c r="J91" s="621" t="str">
        <f>IFERROR(J73-J82,"")</f>
        <v/>
      </c>
      <c r="K91" s="621" t="str">
        <f>IFERROR(K73-K82,"")</f>
        <v/>
      </c>
      <c r="L91" s="642"/>
      <c r="M91" s="621">
        <f>IFERROR(M73-M82,"")</f>
        <v>1814</v>
      </c>
      <c r="N91" s="621">
        <f>IFERROR(N73-N82,"")</f>
        <v>5900</v>
      </c>
      <c r="O91" s="621">
        <f>IFERROR(O73-O82,"")</f>
        <v>-4086</v>
      </c>
      <c r="P91" s="571"/>
      <c r="Q91" s="571"/>
      <c r="R91" s="543"/>
      <c r="S91" s="542"/>
      <c r="U91" s="543"/>
      <c r="V91" s="542"/>
      <c r="X91" s="543"/>
      <c r="Y91" s="542"/>
    </row>
    <row r="92" spans="2:25" ht="16" hidden="1" customHeight="1" outlineLevel="1">
      <c r="B92" s="574"/>
      <c r="C92" s="574"/>
      <c r="D92" s="620">
        <f>'Datos del modelo'!$E$26+2</f>
        <v>2027</v>
      </c>
      <c r="E92" s="621">
        <f t="shared" si="36"/>
        <v>1081.5</v>
      </c>
      <c r="F92" s="621" t="str">
        <f t="shared" si="36"/>
        <v/>
      </c>
      <c r="G92" s="621" t="str">
        <f t="shared" si="36"/>
        <v/>
      </c>
      <c r="H92" s="642"/>
      <c r="I92" s="621" t="str">
        <f t="shared" ref="I92:J94" si="37">IFERROR(I74-I83,"")</f>
        <v/>
      </c>
      <c r="J92" s="621" t="str">
        <f>IFERROR(J74-J83,"")</f>
        <v/>
      </c>
      <c r="K92" s="621" t="str">
        <f>IFERROR(K74-K83,"")</f>
        <v/>
      </c>
      <c r="L92" s="642"/>
      <c r="M92" s="621">
        <f t="shared" ref="M92:O94" si="38">IFERROR(M74-M83,"")</f>
        <v>915.15499999999884</v>
      </c>
      <c r="N92" s="621">
        <f t="shared" si="38"/>
        <v>6231.5</v>
      </c>
      <c r="O92" s="621">
        <f t="shared" si="38"/>
        <v>-5316.3450000000012</v>
      </c>
      <c r="P92" s="571"/>
      <c r="Q92" s="571"/>
      <c r="R92" s="543"/>
      <c r="S92" s="542"/>
      <c r="U92" s="543"/>
      <c r="V92" s="542"/>
      <c r="X92" s="543"/>
      <c r="Y92" s="542"/>
    </row>
    <row r="93" spans="2:25" ht="16" hidden="1" customHeight="1" outlineLevel="1">
      <c r="B93" s="574"/>
      <c r="C93" s="574"/>
      <c r="D93" s="620">
        <f>'Datos del modelo'!$E$26+3</f>
        <v>2028</v>
      </c>
      <c r="E93" s="621">
        <f t="shared" si="36"/>
        <v>6577.5800000000017</v>
      </c>
      <c r="F93" s="621" t="str">
        <f t="shared" si="36"/>
        <v/>
      </c>
      <c r="G93" s="621" t="str">
        <f t="shared" si="36"/>
        <v/>
      </c>
      <c r="H93" s="642"/>
      <c r="I93" s="621" t="str">
        <f t="shared" si="37"/>
        <v/>
      </c>
      <c r="J93" s="621" t="str">
        <f t="shared" si="37"/>
        <v/>
      </c>
      <c r="K93" s="621" t="str">
        <f>IFERROR(K75-K84,"")</f>
        <v/>
      </c>
      <c r="L93" s="642"/>
      <c r="M93" s="621">
        <f t="shared" si="38"/>
        <v>-67.897599999996601</v>
      </c>
      <c r="N93" s="621">
        <f t="shared" si="38"/>
        <v>6577.5800000000017</v>
      </c>
      <c r="O93" s="621">
        <f t="shared" si="38"/>
        <v>-6645.477600000002</v>
      </c>
      <c r="P93" s="571"/>
      <c r="Q93" s="571"/>
      <c r="R93" s="543"/>
      <c r="S93" s="542"/>
      <c r="U93" s="543"/>
      <c r="V93" s="542"/>
      <c r="X93" s="543"/>
      <c r="Y93" s="542"/>
    </row>
    <row r="94" spans="2:25" ht="16" hidden="1" customHeight="1" outlineLevel="1">
      <c r="B94" s="574"/>
      <c r="C94" s="574"/>
      <c r="D94" s="620">
        <f>'Datos del modelo'!$E$26+4</f>
        <v>2029</v>
      </c>
      <c r="E94" s="621">
        <f t="shared" si="36"/>
        <v>6938.8164499999984</v>
      </c>
      <c r="F94" s="621" t="str">
        <f t="shared" si="36"/>
        <v/>
      </c>
      <c r="G94" s="621" t="str">
        <f t="shared" si="36"/>
        <v/>
      </c>
      <c r="H94" s="642"/>
      <c r="I94" s="621" t="str">
        <f t="shared" si="37"/>
        <v/>
      </c>
      <c r="J94" s="621" t="str">
        <f t="shared" si="37"/>
        <v/>
      </c>
      <c r="K94" s="621" t="str">
        <f>IFERROR(K76-K85,"")</f>
        <v/>
      </c>
      <c r="L94" s="642"/>
      <c r="M94" s="621">
        <f t="shared" si="38"/>
        <v>-1140.2606245000061</v>
      </c>
      <c r="N94" s="621">
        <f t="shared" si="38"/>
        <v>6938.8164499999984</v>
      </c>
      <c r="O94" s="621">
        <f t="shared" si="38"/>
        <v>-8079.0770745000009</v>
      </c>
      <c r="P94" s="571"/>
      <c r="Q94" s="571"/>
      <c r="R94" s="543"/>
      <c r="S94" s="542"/>
      <c r="U94" s="543"/>
      <c r="V94" s="542"/>
      <c r="X94" s="543"/>
      <c r="Y94" s="542"/>
    </row>
    <row r="95" spans="2:25" ht="8.25" hidden="1" customHeight="1" outlineLevel="1">
      <c r="B95" s="574"/>
      <c r="C95" s="574"/>
      <c r="D95" s="606"/>
      <c r="E95" s="607"/>
      <c r="F95" s="607"/>
      <c r="G95" s="607"/>
      <c r="H95" s="642"/>
      <c r="I95" s="607"/>
      <c r="J95" s="607"/>
      <c r="K95" s="607"/>
      <c r="L95" s="642"/>
      <c r="M95" s="607"/>
      <c r="N95" s="607"/>
      <c r="O95" s="607"/>
      <c r="P95" s="571"/>
      <c r="Q95" s="571"/>
      <c r="R95" s="543"/>
      <c r="S95" s="542"/>
      <c r="U95" s="543"/>
      <c r="V95" s="542"/>
      <c r="X95" s="543"/>
      <c r="Y95" s="542"/>
    </row>
    <row r="96" spans="2:25" s="567" customFormat="1" ht="45" customHeight="1" collapsed="1">
      <c r="B96" s="574"/>
      <c r="C96" s="574"/>
      <c r="D96" s="1077" t="s">
        <v>252</v>
      </c>
      <c r="E96" s="1077"/>
      <c r="F96" s="1077"/>
      <c r="G96" s="1077"/>
      <c r="H96" s="1077"/>
      <c r="I96" s="1077"/>
      <c r="J96" s="1077"/>
      <c r="K96" s="1077"/>
      <c r="L96" s="1077"/>
      <c r="M96" s="1077"/>
      <c r="N96" s="1077"/>
      <c r="O96" s="1077"/>
      <c r="P96" s="570"/>
      <c r="Q96" s="570"/>
      <c r="R96" s="541"/>
      <c r="S96" s="541"/>
      <c r="U96" s="1076"/>
      <c r="V96" s="1075"/>
      <c r="X96" s="1076"/>
      <c r="Y96" s="1075"/>
    </row>
    <row r="97" spans="2:25" s="567" customFormat="1" ht="8.25" customHeight="1">
      <c r="B97" s="574"/>
      <c r="C97" s="574"/>
      <c r="D97" s="608"/>
      <c r="E97" s="608"/>
      <c r="F97" s="608"/>
      <c r="G97" s="608"/>
      <c r="H97" s="628"/>
      <c r="I97" s="608"/>
      <c r="J97" s="608"/>
      <c r="K97" s="608"/>
      <c r="L97" s="628"/>
      <c r="M97" s="608"/>
      <c r="N97" s="608"/>
      <c r="O97" s="608"/>
      <c r="P97" s="570"/>
      <c r="Q97" s="570"/>
      <c r="R97" s="541"/>
      <c r="S97" s="541"/>
      <c r="U97" s="721"/>
      <c r="V97" s="722"/>
      <c r="X97" s="721"/>
      <c r="Y97" s="722"/>
    </row>
    <row r="98" spans="2:25">
      <c r="B98" s="574"/>
      <c r="C98" s="574"/>
      <c r="D98" s="546">
        <f>'Datos del modelo'!$E$26</f>
        <v>2025</v>
      </c>
      <c r="E98" s="556">
        <f>IF(E$9="Ninguno","",E63*'Datos del modelo'!E$89)</f>
        <v>989800</v>
      </c>
      <c r="F98" s="556" t="str">
        <f>IFERROR(F63*'Datos del modelo'!F$89,"")</f>
        <v/>
      </c>
      <c r="G98" s="556" t="str">
        <f>IFERROR(G63*'Datos del modelo'!G$89,"")</f>
        <v/>
      </c>
      <c r="H98" s="597"/>
      <c r="I98" s="556" t="str">
        <f>IFERROR(I63*'Datos del modelo'!H$89,"")</f>
        <v/>
      </c>
      <c r="J98" s="556" t="str">
        <f>IFERROR(J63*'Datos del modelo'!I$89,"")</f>
        <v/>
      </c>
      <c r="K98" s="556" t="str">
        <f>IFERROR(K63*'Datos del modelo'!J$89,"")</f>
        <v/>
      </c>
      <c r="L98" s="597"/>
      <c r="M98" s="556">
        <f>IFERROR(O98+N98,"")</f>
        <v>3970633.3333333335</v>
      </c>
      <c r="N98" s="556">
        <f>IFERROR(N63*'Datos del modelo'!K$89,"")</f>
        <v>824833.33333333337</v>
      </c>
      <c r="O98" s="556">
        <f>IFERROR(O63*'Datos del modelo'!L$89,"")</f>
        <v>3145800</v>
      </c>
      <c r="P98" s="571"/>
      <c r="Q98" s="571"/>
      <c r="R98" s="557"/>
      <c r="S98" s="542"/>
      <c r="U98" s="543"/>
      <c r="V98" s="542"/>
      <c r="X98" s="543"/>
      <c r="Y98" s="542"/>
    </row>
    <row r="99" spans="2:25">
      <c r="B99" s="574"/>
      <c r="C99" s="574"/>
      <c r="D99" s="546">
        <f>'Datos del modelo'!$E$26+1</f>
        <v>2026</v>
      </c>
      <c r="E99" s="556">
        <f>IF(E$9="Ninguno","",E64*'Datos del modelo'!E$89)</f>
        <v>1007609.6666666666</v>
      </c>
      <c r="F99" s="556" t="str">
        <f>IFERROR(F64*'Datos del modelo'!F$89,"")</f>
        <v/>
      </c>
      <c r="G99" s="556" t="str">
        <f>IFERROR(G64*'Datos del modelo'!G$89,"")</f>
        <v/>
      </c>
      <c r="H99" s="597"/>
      <c r="I99" s="556" t="str">
        <f>IFERROR(I64*'Datos del modelo'!H$89,"")</f>
        <v/>
      </c>
      <c r="J99" s="556" t="str">
        <f>IFERROR(J64*'Datos del modelo'!I$89,"")</f>
        <v/>
      </c>
      <c r="K99" s="556" t="str">
        <f>IFERROR(K64*'Datos del modelo'!J$89,"")</f>
        <v/>
      </c>
      <c r="L99" s="597"/>
      <c r="M99" s="556">
        <f t="shared" ref="M99:M102" si="39">IFERROR(O99+N99,"")</f>
        <v>3055142.48</v>
      </c>
      <c r="N99" s="556">
        <f>IFERROR(N64*'Datos del modelo'!K$89,"")</f>
        <v>867994</v>
      </c>
      <c r="O99" s="556">
        <f>IFERROR(O64*'Datos del modelo'!L$89,"")</f>
        <v>2187148.48</v>
      </c>
      <c r="P99" s="571"/>
      <c r="Q99" s="571"/>
      <c r="R99" s="543"/>
      <c r="S99" s="542"/>
      <c r="U99" s="543"/>
      <c r="V99" s="542"/>
      <c r="X99" s="543"/>
      <c r="Y99" s="542"/>
    </row>
    <row r="100" spans="2:25">
      <c r="B100" s="574"/>
      <c r="C100" s="574"/>
      <c r="D100" s="546">
        <f>'Datos del modelo'!$E$26+2</f>
        <v>2027</v>
      </c>
      <c r="E100" s="556">
        <f>IF(E$9="Ninguno","",E65*'Datos del modelo'!E$89)</f>
        <v>1006628.9566666667</v>
      </c>
      <c r="F100" s="556" t="str">
        <f>IFERROR(F65*'Datos del modelo'!F$89,"")</f>
        <v/>
      </c>
      <c r="G100" s="556" t="str">
        <f>IFERROR(G65*'Datos del modelo'!G$89,"")</f>
        <v/>
      </c>
      <c r="H100" s="597"/>
      <c r="I100" s="556" t="str">
        <f>IFERROR(I65*'Datos del modelo'!H$89,"")</f>
        <v/>
      </c>
      <c r="J100" s="556" t="str">
        <f>IFERROR(J65*'Datos del modelo'!I$89,"")</f>
        <v/>
      </c>
      <c r="K100" s="556" t="str">
        <f>IFERROR(K65*'Datos del modelo'!J$89,"")</f>
        <v/>
      </c>
      <c r="L100" s="597"/>
      <c r="M100" s="556">
        <f t="shared" si="39"/>
        <v>2799408.1462666667</v>
      </c>
      <c r="N100" s="556">
        <f>IFERROR(N65*'Datos del modelo'!K$89,"")</f>
        <v>1037837.9566666667</v>
      </c>
      <c r="O100" s="556">
        <f>IFERROR(O65*'Datos del modelo'!L$89,"")</f>
        <v>1761570.1896000002</v>
      </c>
      <c r="P100" s="571"/>
      <c r="Q100" s="571"/>
      <c r="R100" s="543"/>
      <c r="S100" s="542"/>
      <c r="U100" s="543"/>
      <c r="V100" s="542"/>
      <c r="X100" s="543"/>
      <c r="Y100" s="542"/>
    </row>
    <row r="101" spans="2:25">
      <c r="B101" s="574"/>
      <c r="C101" s="574"/>
      <c r="D101" s="546">
        <f>'Datos del modelo'!$E$26+3</f>
        <v>2028</v>
      </c>
      <c r="E101" s="556">
        <f>IF(E$9="Ninguno","",E66*'Datos del modelo'!E$89)</f>
        <v>1217091.3561333334</v>
      </c>
      <c r="F101" s="556" t="str">
        <f>IFERROR(F66*'Datos del modelo'!F$89,"")</f>
        <v/>
      </c>
      <c r="G101" s="556" t="str">
        <f>IFERROR(G66*'Datos del modelo'!G$89,"")</f>
        <v/>
      </c>
      <c r="H101" s="597"/>
      <c r="I101" s="556" t="str">
        <f>IFERROR(I66*'Datos del modelo'!H$89,"")</f>
        <v/>
      </c>
      <c r="J101" s="556" t="str">
        <f>IFERROR(J66*'Datos del modelo'!I$89,"")</f>
        <v/>
      </c>
      <c r="K101" s="556" t="str">
        <f>IFERROR(K66*'Datos del modelo'!J$89,"")</f>
        <v/>
      </c>
      <c r="L101" s="597"/>
      <c r="M101" s="556">
        <f t="shared" si="39"/>
        <v>2450259.7889013332</v>
      </c>
      <c r="N101" s="556">
        <f>IFERROR(N66*'Datos del modelo'!K$89,"")</f>
        <v>1217091.3561333334</v>
      </c>
      <c r="O101" s="556">
        <f>IFERROR(O66*'Datos del modelo'!L$89,"")</f>
        <v>1233168.4327679998</v>
      </c>
      <c r="P101" s="571"/>
      <c r="Q101" s="571"/>
      <c r="R101" s="543"/>
      <c r="S101" s="542"/>
      <c r="U101" s="543"/>
      <c r="V101" s="542"/>
      <c r="X101" s="543"/>
      <c r="Y101" s="542"/>
    </row>
    <row r="102" spans="2:25">
      <c r="B102" s="574"/>
      <c r="C102" s="574"/>
      <c r="D102" s="546">
        <f>'Datos del modelo'!$E$26+4</f>
        <v>2029</v>
      </c>
      <c r="E102" s="556">
        <f>IF(E$9="Ninguno","",E67*'Datos del modelo'!E$89)</f>
        <v>1406165.9054070001</v>
      </c>
      <c r="F102" s="556" t="str">
        <f>IFERROR(F67*'Datos del modelo'!F$89,"")</f>
        <v/>
      </c>
      <c r="G102" s="556" t="str">
        <f>IFERROR(G67*'Datos del modelo'!G$89,"")</f>
        <v/>
      </c>
      <c r="H102" s="597"/>
      <c r="I102" s="556" t="str">
        <f>IFERROR(I67*'Datos del modelo'!H$89,"")</f>
        <v/>
      </c>
      <c r="J102" s="556" t="str">
        <f>IFERROR(J67*'Datos del modelo'!I$89,"")</f>
        <v/>
      </c>
      <c r="K102" s="556" t="str">
        <f>IFERROR(K67*'Datos del modelo'!J$89,"")</f>
        <v/>
      </c>
      <c r="L102" s="597"/>
      <c r="M102" s="556">
        <f t="shared" si="39"/>
        <v>2000063.1173251597</v>
      </c>
      <c r="N102" s="556">
        <f>IFERROR(N67*'Datos del modelo'!K$89,"")</f>
        <v>1406165.9054070001</v>
      </c>
      <c r="O102" s="556">
        <f>IFERROR(O67*'Datos del modelo'!L$89,"")</f>
        <v>593897.21191815974</v>
      </c>
      <c r="P102" s="571"/>
      <c r="Q102" s="571"/>
      <c r="R102" s="543"/>
      <c r="S102" s="542"/>
      <c r="U102" s="543"/>
      <c r="V102" s="542"/>
      <c r="X102" s="543"/>
      <c r="Y102" s="542"/>
    </row>
    <row r="103" spans="2:25" ht="12" customHeight="1">
      <c r="B103" s="574"/>
      <c r="C103" s="574"/>
      <c r="D103" s="622"/>
      <c r="E103" s="623"/>
      <c r="F103" s="623"/>
      <c r="G103" s="623"/>
      <c r="H103" s="597"/>
      <c r="I103" s="623"/>
      <c r="J103" s="623"/>
      <c r="K103" s="623"/>
      <c r="L103" s="597"/>
      <c r="M103" s="623"/>
      <c r="N103" s="623"/>
      <c r="O103" s="623"/>
      <c r="P103" s="571"/>
      <c r="Q103" s="571"/>
      <c r="R103" s="543"/>
      <c r="S103" s="542"/>
      <c r="U103" s="543"/>
      <c r="V103" s="542"/>
      <c r="X103" s="543"/>
      <c r="Y103" s="542"/>
    </row>
    <row r="104" spans="2:25" ht="55" customHeight="1">
      <c r="B104" s="574"/>
      <c r="C104" s="574"/>
      <c r="D104" s="1078" t="s">
        <v>253</v>
      </c>
      <c r="E104" s="1078"/>
      <c r="F104" s="1078"/>
      <c r="G104" s="1078"/>
      <c r="H104" s="1078"/>
      <c r="I104" s="1078"/>
      <c r="J104" s="1078"/>
      <c r="K104" s="1078"/>
      <c r="L104" s="1078"/>
      <c r="M104" s="1078"/>
      <c r="N104" s="1078"/>
      <c r="O104" s="1078"/>
      <c r="P104" s="571"/>
      <c r="Q104" s="571"/>
      <c r="R104" s="1075"/>
      <c r="S104" s="1075"/>
      <c r="U104" s="1075"/>
      <c r="V104" s="1075"/>
      <c r="X104" s="1075"/>
      <c r="Y104" s="1075"/>
    </row>
    <row r="105" spans="2:25" ht="8.25" customHeight="1">
      <c r="B105" s="574"/>
      <c r="C105" s="574"/>
      <c r="D105" s="587"/>
      <c r="E105" s="587"/>
      <c r="F105" s="587"/>
      <c r="G105" s="587"/>
      <c r="H105" s="587"/>
      <c r="I105" s="587"/>
      <c r="J105" s="587"/>
      <c r="K105" s="587"/>
      <c r="L105" s="587"/>
      <c r="M105" s="587"/>
      <c r="N105" s="587"/>
      <c r="O105" s="587"/>
      <c r="P105" s="571"/>
      <c r="Q105" s="571"/>
      <c r="R105" s="722"/>
      <c r="S105" s="722"/>
      <c r="U105" s="722"/>
      <c r="V105" s="722"/>
      <c r="X105" s="722"/>
      <c r="Y105" s="722"/>
    </row>
    <row r="106" spans="2:25" s="567" customFormat="1" ht="45" customHeight="1">
      <c r="B106" s="574"/>
      <c r="C106" s="574"/>
      <c r="D106" s="1077" t="s">
        <v>254</v>
      </c>
      <c r="E106" s="1077"/>
      <c r="F106" s="1077"/>
      <c r="G106" s="1077"/>
      <c r="H106" s="1077"/>
      <c r="I106" s="1077"/>
      <c r="J106" s="1077"/>
      <c r="K106" s="1077"/>
      <c r="L106" s="1077"/>
      <c r="M106" s="1077"/>
      <c r="N106" s="1077"/>
      <c r="O106" s="1077"/>
      <c r="P106" s="570"/>
      <c r="Q106" s="570"/>
      <c r="R106" s="1076"/>
      <c r="S106" s="1075"/>
      <c r="U106" s="1076"/>
      <c r="V106" s="1075"/>
      <c r="X106" s="1076"/>
      <c r="Y106" s="1075"/>
    </row>
    <row r="107" spans="2:25" s="567" customFormat="1" ht="8.25" customHeight="1">
      <c r="B107" s="574"/>
      <c r="C107" s="574"/>
      <c r="D107" s="608"/>
      <c r="E107" s="608"/>
      <c r="F107" s="608"/>
      <c r="G107" s="608"/>
      <c r="H107" s="628"/>
      <c r="I107" s="608"/>
      <c r="J107" s="608"/>
      <c r="K107" s="608"/>
      <c r="L107" s="628"/>
      <c r="M107" s="608"/>
      <c r="N107" s="608"/>
      <c r="O107" s="608"/>
      <c r="P107" s="570"/>
      <c r="Q107" s="570"/>
      <c r="R107" s="721"/>
      <c r="S107" s="722"/>
      <c r="U107" s="721"/>
      <c r="V107" s="722"/>
      <c r="X107" s="721"/>
      <c r="Y107" s="722"/>
    </row>
    <row r="108" spans="2:25" ht="35.25" customHeight="1">
      <c r="B108" s="574"/>
      <c r="C108" s="574"/>
      <c r="D108" s="598" t="s">
        <v>239</v>
      </c>
      <c r="E108" s="682">
        <f>IF(E109="","N.A.",SUM(E109:E113))</f>
        <v>210613.66974788893</v>
      </c>
      <c r="F108" s="682" t="str">
        <f>IF(F109="","N.A.",SUM(F109:F113))</f>
        <v>N.A.</v>
      </c>
      <c r="G108" s="682" t="str">
        <f>IF(G109="","N.A.",SUM(G109:G113))</f>
        <v>N.A.</v>
      </c>
      <c r="H108" s="683"/>
      <c r="I108" s="682" t="str">
        <f>IF(I109="","N.A.",SUM(I109:I113))</f>
        <v>N.A.</v>
      </c>
      <c r="J108" s="682" t="str">
        <f>IF(J109="","N.A.",SUM(J109:J113))</f>
        <v>N.A.</v>
      </c>
      <c r="K108" s="682" t="str">
        <f>IF(K109="","N.A.",SUM(K109:K113))</f>
        <v>N.A.</v>
      </c>
      <c r="L108" s="683"/>
      <c r="M108" s="682">
        <f>IF(M109="","N.A.",SUM(M109:M113))</f>
        <v>318694.95270665456</v>
      </c>
      <c r="N108" s="545">
        <f>IF(N109="","N.A.",SUM(N109:N113))</f>
        <v>200364.4253034445</v>
      </c>
      <c r="O108" s="545">
        <f>IF(O109="","N.A.",SUM(O109:O113))</f>
        <v>118330.52740321001</v>
      </c>
      <c r="P108" s="571"/>
      <c r="Q108" s="571"/>
      <c r="R108" s="558"/>
      <c r="S108" s="558"/>
      <c r="U108" s="543"/>
      <c r="V108" s="558"/>
      <c r="X108" s="543"/>
      <c r="Y108" s="558"/>
    </row>
    <row r="109" spans="2:25">
      <c r="B109" s="574"/>
      <c r="C109" s="574"/>
      <c r="D109" s="546">
        <f>'Datos del modelo'!$E$26</f>
        <v>2025</v>
      </c>
      <c r="E109" s="684">
        <f>IFERROR(
E63*('Datos del modelo'!$E83+'Datos del modelo'!$E83*'Datos del modelo'!$E$94+'Datos del modelo'!$E83*'Datos del modelo'!$E$95)
+(ROUNDUP(E27/'Datos del modelo'!$E$97,0)*'Datos del modelo'!$E$96),"")</f>
        <v>36893.333333333343</v>
      </c>
      <c r="F109" s="684" t="str">
        <f>IFERROR(
F63*('Datos del modelo'!$F83+'Datos del modelo'!$F83*'Datos del modelo'!$F$94+'Datos del modelo'!$F83*'Datos del modelo'!$F$95)
+(ROUNDUP(F27/'Datos del modelo'!$F$97,0)*'Datos del modelo'!$F$96),"")</f>
        <v/>
      </c>
      <c r="G109" s="684" t="str">
        <f>IFERROR(
G63*('Datos del modelo'!$G83+'Datos del modelo'!$G83*'Datos del modelo'!$G$94+'Datos del modelo'!$G83*'Datos del modelo'!$G$95)
+(ROUNDUP(G27/'Datos del modelo'!$G$97,0)*'Datos del modelo'!$G$96),"")</f>
        <v/>
      </c>
      <c r="H109" s="685"/>
      <c r="I109" s="684" t="str">
        <f>IFERROR(
I63*('Datos del modelo'!$H83+'Datos del modelo'!$H83*'Datos del modelo'!$H$94+'Datos del modelo'!$H83*'Datos del modelo'!$H$95)
+(ROUNDUP(I27/'Datos del modelo'!$H$97,0)*'Datos del modelo'!$H$96),"")</f>
        <v/>
      </c>
      <c r="J109" s="684" t="str">
        <f>IFERROR(
J63*('Datos del modelo'!$I83+'Datos del modelo'!$I83*'Datos del modelo'!$I$94+'Datos del modelo'!$I83*'Datos del modelo'!$I$95)
+(ROUNDUP(J27/'Datos del modelo'!$I$97,0)*'Datos del modelo'!$I$96),"")</f>
        <v/>
      </c>
      <c r="K109" s="684" t="str">
        <f>IFERROR(
K63*('Datos del modelo'!$J83+'Datos del modelo'!$J83*'Datos del modelo'!$J$94+'Datos del modelo'!$J83*'Datos del modelo'!$J$95)
+(ROUNDUP(K27/'Datos del modelo'!$J$97,0)*'Datos del modelo'!$J$96),"")</f>
        <v/>
      </c>
      <c r="L109" s="685"/>
      <c r="M109" s="684">
        <f>IFERROR(N109+O109,"")</f>
        <v>72249.444444444467</v>
      </c>
      <c r="N109" s="562">
        <f>IFERROR(
N63*('Datos del modelo'!$K83+'Datos del modelo'!$K83*'Datos del modelo'!$K$94+'Datos del modelo'!$K83*'Datos del modelo'!$K$95)
+(ROUNDUP(N27/'Datos del modelo'!$L$97,0)*'Datos del modelo'!$K$96),"")</f>
        <v>30744.444444444453</v>
      </c>
      <c r="O109" s="562">
        <f>IFERROR(
O63*('Datos del modelo'!$L83+'Datos del modelo'!$L83*'Datos del modelo'!$L$94+'Datos del modelo'!$L83*'Datos del modelo'!$L$95)
+(ROUNDUP(O27/'Datos del modelo'!$L$97,0)*'Datos del modelo'!$L$96),"")</f>
        <v>41505.000000000007</v>
      </c>
      <c r="P109" s="571"/>
      <c r="Q109" s="571"/>
      <c r="R109" s="559"/>
      <c r="S109" s="566"/>
      <c r="U109" s="543"/>
      <c r="V109" s="560"/>
      <c r="X109" s="543"/>
      <c r="Y109" s="560"/>
    </row>
    <row r="110" spans="2:25">
      <c r="B110" s="574"/>
      <c r="C110" s="574"/>
      <c r="D110" s="546">
        <f>'Datos del modelo'!$E$26+1</f>
        <v>2026</v>
      </c>
      <c r="E110" s="684">
        <f>IFERROR(
E64*('Datos del modelo'!$E84+'Datos del modelo'!$E84*'Datos del modelo'!$E$94+'Datos del modelo'!$E84*'Datos del modelo'!$E$95)
+(ROUNDUP(E28/'Datos del modelo'!$E$97,0)*'Datos del modelo'!$E$96),"")</f>
        <v>37733.488888888889</v>
      </c>
      <c r="F110" s="684" t="str">
        <f>IFERROR(
F64*('Datos del modelo'!$F84+'Datos del modelo'!$F84*'Datos del modelo'!$F$94+'Datos del modelo'!$F84*'Datos del modelo'!$F$95)
+(ROUNDUP(F28/'Datos del modelo'!$F$97,0)*'Datos del modelo'!$F$96),"")</f>
        <v/>
      </c>
      <c r="G110" s="684" t="str">
        <f>IFERROR(
G64*('Datos del modelo'!$G84+'Datos del modelo'!$G84*'Datos del modelo'!$G$94+'Datos del modelo'!$G84*'Datos del modelo'!$G$95)
+(ROUNDUP(G28/'Datos del modelo'!$G$97,0)*'Datos del modelo'!$G$96),"")</f>
        <v/>
      </c>
      <c r="H110" s="685"/>
      <c r="I110" s="684" t="str">
        <f>IFERROR(
I64*('Datos del modelo'!$H84+'Datos del modelo'!$H84*'Datos del modelo'!$H$94+'Datos del modelo'!$H84*'Datos del modelo'!$H$95)
+(ROUNDUP(I28/'Datos del modelo'!$H$97,0)*'Datos del modelo'!$H$96),"")</f>
        <v/>
      </c>
      <c r="J110" s="684" t="str">
        <f>IFERROR(
J64*('Datos del modelo'!$I84+'Datos del modelo'!$I84*'Datos del modelo'!$I$94+'Datos del modelo'!$I84*'Datos del modelo'!$I$95)
+(ROUNDUP(J28/'Datos del modelo'!$I$97,0)*'Datos del modelo'!$I$96),"")</f>
        <v/>
      </c>
      <c r="K110" s="684" t="str">
        <f>IFERROR(
K64*('Datos del modelo'!$J84+'Datos del modelo'!$J84*'Datos del modelo'!$J$94+'Datos del modelo'!$J84*'Datos del modelo'!$J$95)
+(ROUNDUP(K28/'Datos del modelo'!$J$97,0)*'Datos del modelo'!$J$96),"")</f>
        <v/>
      </c>
      <c r="L110" s="685"/>
      <c r="M110" s="684">
        <f t="shared" ref="M110:M113" si="40">IFERROR(N110+O110,"")</f>
        <v>61555.613333333342</v>
      </c>
      <c r="N110" s="562">
        <f>IFERROR(N64*('Datos del modelo'!$K84+'Datos del modelo'!$K84*'Datos del modelo'!$K$94+'Datos del modelo'!$K84*'Datos del modelo'!$K$95)+((ROUNDUP(N28/'Datos del modelo'!$K$97,0)*'Datos del modelo'!$K$96)),"")</f>
        <v>32500.133333333339</v>
      </c>
      <c r="O110" s="562">
        <f>IFERROR(
O64*('Datos del modelo'!$L84+'Datos del modelo'!$L84*'Datos del modelo'!$L$94+'Datos del modelo'!$L84*'Datos del modelo'!$L$95)
+(ROUNDUP(O28/'Datos del modelo'!$L$97,0)*'Datos del modelo'!$L$96),"")</f>
        <v>29055.480000000003</v>
      </c>
      <c r="P110" s="571"/>
      <c r="Q110" s="571"/>
      <c r="R110" s="543"/>
      <c r="S110" s="560"/>
      <c r="U110" s="543"/>
      <c r="V110" s="560"/>
      <c r="X110" s="543"/>
      <c r="Y110" s="560"/>
    </row>
    <row r="111" spans="2:25">
      <c r="B111" s="574"/>
      <c r="C111" s="574"/>
      <c r="D111" s="546">
        <f>'Datos del modelo'!$E$26+2</f>
        <v>2027</v>
      </c>
      <c r="E111" s="684">
        <f>IFERROR(
E65*('Datos del modelo'!$E85+'Datos del modelo'!$E85*'Datos del modelo'!$E$94+'Datos del modelo'!$E85*'Datos del modelo'!$E$95)
+(ROUNDUP(E29/'Datos del modelo'!$E$97,0)*'Datos del modelo'!$E$96),"")</f>
        <v>37733.085555555568</v>
      </c>
      <c r="F111" s="684" t="str">
        <f>IFERROR(
F65*('Datos del modelo'!$F85+'Datos del modelo'!$F85*'Datos del modelo'!$F$94+'Datos del modelo'!$F85*'Datos del modelo'!$F$95)
+(ROUNDUP(F29/'Datos del modelo'!$F$97,0)*'Datos del modelo'!$F$96),"")</f>
        <v/>
      </c>
      <c r="G111" s="684" t="str">
        <f>IFERROR(
G65*('Datos del modelo'!$G85+'Datos del modelo'!$G85*'Datos del modelo'!$G$94+'Datos del modelo'!$G85*'Datos del modelo'!$G$95)
+(ROUNDUP(G29/'Datos del modelo'!$G$97,0)*'Datos del modelo'!$G$96),"")</f>
        <v/>
      </c>
      <c r="H111" s="685"/>
      <c r="I111" s="684" t="str">
        <f>IFERROR(
I65*('Datos del modelo'!$H85+'Datos del modelo'!$H85*'Datos del modelo'!$H$94+'Datos del modelo'!$H85*'Datos del modelo'!$H$95)
+(ROUNDUP(I29/'Datos del modelo'!$H$97,0)*'Datos del modelo'!$H$96),"")</f>
        <v/>
      </c>
      <c r="J111" s="684" t="str">
        <f>IFERROR(
J65*('Datos del modelo'!$I85+'Datos del modelo'!$I85*'Datos del modelo'!$I$94+'Datos del modelo'!$I85*'Datos del modelo'!$I$95)
+(ROUNDUP(J29/'Datos del modelo'!$I$97,0)*'Datos del modelo'!$I$96),"")</f>
        <v/>
      </c>
      <c r="K111" s="684" t="str">
        <f>IFERROR(
K65*('Datos del modelo'!$J85+'Datos del modelo'!$J85*'Datos del modelo'!$J$94+'Datos del modelo'!$J85*'Datos del modelo'!$J$95)
+(ROUNDUP(K29/'Datos del modelo'!$J$97,0)*'Datos del modelo'!$J$96),"")</f>
        <v/>
      </c>
      <c r="L111" s="685"/>
      <c r="M111" s="684">
        <f t="shared" si="40"/>
        <v>62282.285655555577</v>
      </c>
      <c r="N111" s="562">
        <f>IFERROR(N65*('Datos del modelo'!$K85+'Datos del modelo'!$K85*'Datos del modelo'!$K$94+'Datos del modelo'!$K85*'Datos del modelo'!$K$95)+((ROUNDUP(N29/'Datos del modelo'!$K$97,0)*'Datos del modelo'!$K$96)),"")</f>
        <v>38866.085555555568</v>
      </c>
      <c r="O111" s="562">
        <f>IFERROR(
O65*('Datos del modelo'!$L85+'Datos del modelo'!$L85*'Datos del modelo'!$L$94+'Datos del modelo'!$L85*'Datos del modelo'!$L$95)
+(ROUNDUP(O29/'Datos del modelo'!$L$97,0)*'Datos del modelo'!$L$96),"")</f>
        <v>23416.200100000005</v>
      </c>
      <c r="P111" s="571"/>
      <c r="Q111" s="571"/>
      <c r="R111" s="543"/>
      <c r="S111" s="560"/>
      <c r="U111" s="543"/>
      <c r="V111" s="560"/>
      <c r="X111" s="543"/>
      <c r="Y111" s="560"/>
    </row>
    <row r="112" spans="2:25">
      <c r="B112" s="574"/>
      <c r="C112" s="574"/>
      <c r="D112" s="546">
        <f>'Datos del modelo'!$E$26+3</f>
        <v>2028</v>
      </c>
      <c r="E112" s="684">
        <f>IFERROR(
E66*('Datos del modelo'!$E86+'Datos del modelo'!$E86*'Datos del modelo'!$E$94+'Datos del modelo'!$E86*'Datos del modelo'!$E$95)
+(ROUNDUP(E30/'Datos del modelo'!$E$97,0)*'Datos del modelo'!$E$96),"")</f>
        <v>45584.034711111119</v>
      </c>
      <c r="F112" s="684" t="str">
        <f>IFERROR(
F66*('Datos del modelo'!$F86+'Datos del modelo'!$F86*'Datos del modelo'!$F$94+'Datos del modelo'!$F86*'Datos del modelo'!$F$95)
+(ROUNDUP(F30/'Datos del modelo'!$F$97,0)*'Datos del modelo'!$F$96),"")</f>
        <v/>
      </c>
      <c r="G112" s="684" t="str">
        <f>IFERROR(
G66*('Datos del modelo'!$G86+'Datos del modelo'!$G86*'Datos del modelo'!$G$94+'Datos del modelo'!$G86*'Datos del modelo'!$G$95)
+(ROUNDUP(G30/'Datos del modelo'!$G$97,0)*'Datos del modelo'!$G$96),"")</f>
        <v/>
      </c>
      <c r="H112" s="685"/>
      <c r="I112" s="684" t="str">
        <f>IFERROR(
I66*('Datos del modelo'!$H86+'Datos del modelo'!$H86*'Datos del modelo'!$H$94+'Datos del modelo'!$H86*'Datos del modelo'!$H$95)
+(ROUNDUP(I30/'Datos del modelo'!$H$97,0)*'Datos del modelo'!$H$96),"")</f>
        <v/>
      </c>
      <c r="J112" s="684" t="str">
        <f>IFERROR(
J66*('Datos del modelo'!$I86+'Datos del modelo'!$I86*'Datos del modelo'!$I$94+'Datos del modelo'!$I86*'Datos del modelo'!$I$95)
+(ROUNDUP(J30/'Datos del modelo'!$I$97,0)*'Datos del modelo'!$I$96),"")</f>
        <v/>
      </c>
      <c r="K112" s="684" t="str">
        <f>IFERROR(
K66*('Datos del modelo'!$J86+'Datos del modelo'!$J86*'Datos del modelo'!$J$94+'Datos del modelo'!$J86*'Datos del modelo'!$J$95)
+(ROUNDUP(K30/'Datos del modelo'!$J$97,0)*'Datos del modelo'!$J$96),"")</f>
        <v/>
      </c>
      <c r="L112" s="685"/>
      <c r="M112" s="684">
        <f t="shared" si="40"/>
        <v>61998.025319111119</v>
      </c>
      <c r="N112" s="562">
        <f>IFERROR(N66*('Datos del modelo'!$K86+'Datos del modelo'!$K86*'Datos del modelo'!$K$94+'Datos del modelo'!$K86*'Datos del modelo'!$K$95)+((ROUNDUP(N30/'Datos del modelo'!$K$97,0)*'Datos del modelo'!$K$96)),"")</f>
        <v>45584.034711111119</v>
      </c>
      <c r="O112" s="562">
        <f>IFERROR(
O66*('Datos del modelo'!$L86+'Datos del modelo'!$L86*'Datos del modelo'!$L$94+'Datos del modelo'!$L86*'Datos del modelo'!$L$95)
+(ROUNDUP(O30/'Datos del modelo'!$L$97,0)*'Datos del modelo'!$L$96),"")</f>
        <v>16413.990608</v>
      </c>
      <c r="P112" s="571"/>
      <c r="Q112" s="571"/>
      <c r="R112" s="543"/>
      <c r="S112" s="560"/>
      <c r="U112" s="543"/>
      <c r="V112" s="560"/>
      <c r="X112" s="543"/>
      <c r="Y112" s="560"/>
    </row>
    <row r="113" spans="2:25" s="567" customFormat="1" ht="16" customHeight="1">
      <c r="B113" s="574"/>
      <c r="C113" s="574"/>
      <c r="D113" s="561">
        <f>'Datos del modelo'!$E$26+4</f>
        <v>2029</v>
      </c>
      <c r="E113" s="684">
        <f>IFERROR(
E67*('Datos del modelo'!$E87+'Datos del modelo'!$E87*'Datos del modelo'!$E$94+'Datos del modelo'!$E87*'Datos del modelo'!$E$95)
+(ROUNDUP(E31/'Datos del modelo'!$E$97,0)*'Datos del modelo'!$E$96),"")</f>
        <v>52669.727259000014</v>
      </c>
      <c r="F113" s="684" t="str">
        <f>IFERROR(
F67*('Datos del modelo'!$F87+'Datos del modelo'!$F87*'Datos del modelo'!$F$94+'Datos del modelo'!$F87*'Datos del modelo'!$F$95)
+(ROUNDUP(F31/'Datos del modelo'!$F$97,0)*'Datos del modelo'!$F$96),"")</f>
        <v/>
      </c>
      <c r="G113" s="684" t="str">
        <f>IFERROR(
G67*('Datos del modelo'!$G87+'Datos del modelo'!$G87*'Datos del modelo'!$G$94+'Datos del modelo'!$G87*'Datos del modelo'!$G$95)
+(ROUNDUP(G31/'Datos del modelo'!$G$97,0)*'Datos del modelo'!$G$96),"")</f>
        <v/>
      </c>
      <c r="H113" s="685"/>
      <c r="I113" s="684" t="str">
        <f>IFERROR(
I67*('Datos del modelo'!$H87+'Datos del modelo'!$H87*'Datos del modelo'!$H$94+'Datos del modelo'!$H87*'Datos del modelo'!$H$95)
+(ROUNDUP(I31/'Datos del modelo'!$H$97,0)*'Datos del modelo'!$H$96),"")</f>
        <v/>
      </c>
      <c r="J113" s="684" t="str">
        <f>IFERROR(
J67*('Datos del modelo'!$I87+'Datos del modelo'!$I87*'Datos del modelo'!$I$94+'Datos del modelo'!$I87*'Datos del modelo'!$I$95)
+(ROUNDUP(J31/'Datos del modelo'!$I$97,0)*'Datos del modelo'!$I$96),"")</f>
        <v/>
      </c>
      <c r="K113" s="684" t="str">
        <f>IFERROR(
K67*('Datos del modelo'!$J87+'Datos del modelo'!$J87*'Datos del modelo'!$J$94+'Datos del modelo'!$J87*'Datos del modelo'!$J$95)
+(ROUNDUP(K31/'Datos del modelo'!$J$97,0)*'Datos del modelo'!$J$96),"")</f>
        <v/>
      </c>
      <c r="L113" s="685"/>
      <c r="M113" s="684">
        <f t="shared" si="40"/>
        <v>60609.583954210015</v>
      </c>
      <c r="N113" s="562">
        <f>IFERROR(N67*('Datos del modelo'!$K87+'Datos del modelo'!$K87*'Datos del modelo'!$K$94+'Datos del modelo'!$K87*'Datos del modelo'!$K$95)+((ROUNDUP(N31/'Datos del modelo'!$K$97,0)*'Datos del modelo'!$K$96)),"")</f>
        <v>52669.727259000014</v>
      </c>
      <c r="O113" s="562">
        <f>IFERROR(
O67*('Datos del modelo'!$L87+'Datos del modelo'!$L87*'Datos del modelo'!$L$94+'Datos del modelo'!$L87*'Datos del modelo'!$L$95)
+(ROUNDUP(O31/'Datos del modelo'!$L$97,0)*'Datos del modelo'!$L$96),"")</f>
        <v>7939.8566952099982</v>
      </c>
      <c r="P113" s="570"/>
      <c r="Q113" s="570"/>
      <c r="R113" s="543"/>
      <c r="S113" s="560"/>
      <c r="U113" s="543"/>
      <c r="V113" s="560"/>
      <c r="X113" s="543"/>
      <c r="Y113" s="560"/>
    </row>
    <row r="114" spans="2:25" s="567" customFormat="1" ht="8.25" customHeight="1">
      <c r="B114" s="574"/>
      <c r="C114" s="574"/>
      <c r="D114" s="622"/>
      <c r="E114" s="625"/>
      <c r="F114" s="625"/>
      <c r="G114" s="625"/>
      <c r="H114" s="644"/>
      <c r="I114" s="625"/>
      <c r="J114" s="625"/>
      <c r="K114" s="625"/>
      <c r="L114" s="644"/>
      <c r="M114" s="625"/>
      <c r="N114" s="625"/>
      <c r="O114" s="625"/>
      <c r="P114" s="570"/>
      <c r="Q114" s="570"/>
      <c r="R114" s="543"/>
      <c r="S114" s="560"/>
      <c r="U114" s="543"/>
      <c r="V114" s="560"/>
      <c r="X114" s="543"/>
      <c r="Y114" s="560"/>
    </row>
    <row r="115" spans="2:25" ht="45" customHeight="1">
      <c r="B115" s="574"/>
      <c r="C115" s="574"/>
      <c r="D115" s="1077" t="s">
        <v>255</v>
      </c>
      <c r="E115" s="1077"/>
      <c r="F115" s="1077"/>
      <c r="G115" s="1077"/>
      <c r="H115" s="1077"/>
      <c r="I115" s="1077"/>
      <c r="J115" s="1077"/>
      <c r="K115" s="1077"/>
      <c r="L115" s="1077"/>
      <c r="M115" s="1077"/>
      <c r="N115" s="1077"/>
      <c r="O115" s="1077"/>
      <c r="P115" s="571"/>
      <c r="Q115" s="571"/>
      <c r="R115" s="1076"/>
      <c r="S115" s="1075"/>
      <c r="U115" s="1076"/>
      <c r="V115" s="1075"/>
      <c r="X115" s="1076"/>
      <c r="Y115" s="1075"/>
    </row>
    <row r="116" spans="2:25" ht="8.25" customHeight="1">
      <c r="B116" s="574"/>
      <c r="C116" s="574"/>
      <c r="D116" s="608"/>
      <c r="E116" s="608"/>
      <c r="F116" s="608"/>
      <c r="G116" s="608"/>
      <c r="H116" s="628"/>
      <c r="I116" s="608"/>
      <c r="J116" s="608"/>
      <c r="K116" s="608"/>
      <c r="L116" s="628"/>
      <c r="M116" s="608"/>
      <c r="N116" s="608"/>
      <c r="O116" s="608"/>
      <c r="P116" s="571"/>
      <c r="Q116" s="571"/>
      <c r="R116" s="721"/>
      <c r="S116" s="722"/>
      <c r="U116" s="721"/>
      <c r="V116" s="722"/>
      <c r="X116" s="721"/>
      <c r="Y116" s="722"/>
    </row>
    <row r="117" spans="2:25" ht="35.25" customHeight="1">
      <c r="B117" s="574"/>
      <c r="C117" s="574"/>
      <c r="D117" s="598" t="s">
        <v>239</v>
      </c>
      <c r="E117" s="682">
        <f>IF(E118="","N.A.",SUM(E118:E122))</f>
        <v>1253616.8254038889</v>
      </c>
      <c r="F117" s="682" t="str">
        <f>IF(F118="","N.A.",SUM(F118:F122))</f>
        <v>N.A.</v>
      </c>
      <c r="G117" s="682" t="str">
        <f>IF(G118="","N.A.",SUM(G118:G122))</f>
        <v>N.A.</v>
      </c>
      <c r="H117" s="683"/>
      <c r="I117" s="682" t="str">
        <f>IF(I118="","N.A.",SUM(I118:I122))</f>
        <v>N.A.</v>
      </c>
      <c r="J117" s="682" t="str">
        <f>IF(J118="","N.A.",SUM(J118:J122))</f>
        <v>N.A.</v>
      </c>
      <c r="K117" s="682" t="str">
        <f>IF(K118="","N.A.",SUM(K118:K122))</f>
        <v>N.A.</v>
      </c>
      <c r="L117" s="683"/>
      <c r="M117" s="682">
        <f>IF(M118="","N.A.",SUM(M118:M122))</f>
        <v>1874333.8173721144</v>
      </c>
      <c r="N117" s="545">
        <f>IF(N118="","N.A.",SUM(N118:N122))</f>
        <v>1189775.5809594446</v>
      </c>
      <c r="O117" s="545">
        <f>IF(O118="","N.A.",SUM(O118:O122))</f>
        <v>684558.23641267</v>
      </c>
      <c r="P117" s="571"/>
      <c r="Q117" s="571"/>
      <c r="R117" s="543"/>
      <c r="S117" s="558"/>
      <c r="U117" s="543"/>
      <c r="V117" s="558"/>
      <c r="X117" s="543"/>
      <c r="Y117" s="558"/>
    </row>
    <row r="118" spans="2:25">
      <c r="B118" s="574"/>
      <c r="C118" s="574"/>
      <c r="D118" s="546">
        <f>'Datos del modelo'!$E$26</f>
        <v>2025</v>
      </c>
      <c r="E118" s="684">
        <f>IFERROR(E109+(E27*'Datos del modelo'!E$103),"")</f>
        <v>195293.33333333334</v>
      </c>
      <c r="F118" s="684" t="str">
        <f>IFERROR(F109+(F27*'Datos del modelo'!F$103),"")</f>
        <v/>
      </c>
      <c r="G118" s="684" t="str">
        <f>IFERROR(G109+(G27*'Datos del modelo'!G$103),"")</f>
        <v/>
      </c>
      <c r="H118" s="685"/>
      <c r="I118" s="684" t="str">
        <f>IFERROR(I109+(I27*'Datos del modelo'!H$103),"")</f>
        <v/>
      </c>
      <c r="J118" s="684" t="str">
        <f>IFERROR(J109+(J27*'Datos del modelo'!I$103),"")</f>
        <v/>
      </c>
      <c r="K118" s="684" t="str">
        <f>IFERROR(K109+(K27*'Datos del modelo'!J$103),"")</f>
        <v/>
      </c>
      <c r="L118" s="685"/>
      <c r="M118" s="684">
        <f>IFERROR(N118+O118,"")</f>
        <v>370299.44444444444</v>
      </c>
      <c r="N118" s="562">
        <f>IFERROR(N109+(N27*'Datos del modelo'!K$103),"")</f>
        <v>162744.44444444444</v>
      </c>
      <c r="O118" s="562">
        <f>IFERROR(O109+(O27*'Datos del modelo'!L$103),"")</f>
        <v>207555</v>
      </c>
      <c r="P118" s="571"/>
      <c r="Q118" s="571"/>
      <c r="R118" s="559"/>
      <c r="U118" s="543"/>
      <c r="V118" s="558"/>
      <c r="X118" s="543"/>
      <c r="Y118" s="558"/>
    </row>
    <row r="119" spans="2:25">
      <c r="B119" s="574"/>
      <c r="C119" s="574"/>
      <c r="D119" s="546">
        <f>'Datos del modelo'!$E$26+1</f>
        <v>2026</v>
      </c>
      <c r="E119" s="684">
        <f>IFERROR(E110+(E28*'Datos del modelo'!E$103),"")</f>
        <v>228077.48888888888</v>
      </c>
      <c r="F119" s="684" t="str">
        <f>IFERROR(F110+(F28*'Datos del modelo'!F$103),"")</f>
        <v/>
      </c>
      <c r="G119" s="684" t="str">
        <f>IFERROR(G110+(G28*'Datos del modelo'!G$103),"")</f>
        <v/>
      </c>
      <c r="H119" s="685"/>
      <c r="I119" s="684" t="str">
        <f>IFERROR(I110+(I28*'Datos del modelo'!H$103),"")</f>
        <v/>
      </c>
      <c r="J119" s="684" t="str">
        <f>IFERROR(J110+(J28*'Datos del modelo'!I$103),"")</f>
        <v/>
      </c>
      <c r="K119" s="684" t="str">
        <f>IFERROR(K110+(K28*'Datos del modelo'!J$103),"")</f>
        <v/>
      </c>
      <c r="L119" s="685"/>
      <c r="M119" s="684">
        <f t="shared" ref="M119:M121" si="41">IFERROR(N119+O119,"")</f>
        <v>370654.49333333335</v>
      </c>
      <c r="N119" s="562">
        <f>IFERROR(N110+(N28*'Datos del modelo'!K$103),"")</f>
        <v>195652.13333333333</v>
      </c>
      <c r="O119" s="562">
        <f>IFERROR(O110+(O28*'Datos del modelo'!L$103),"")</f>
        <v>175002.36000000002</v>
      </c>
      <c r="P119" s="571"/>
      <c r="Q119" s="571"/>
      <c r="R119" s="543"/>
      <c r="S119" s="558"/>
      <c r="U119" s="543"/>
      <c r="V119" s="558"/>
      <c r="X119" s="543"/>
      <c r="Y119" s="558"/>
    </row>
    <row r="120" spans="2:25">
      <c r="B120" s="574"/>
      <c r="C120" s="574"/>
      <c r="D120" s="546">
        <f>'Datos del modelo'!$E$26+2</f>
        <v>2027</v>
      </c>
      <c r="E120" s="684">
        <f>IFERROR(E111+(E29*'Datos del modelo'!E$103),"")</f>
        <v>233787.40555555557</v>
      </c>
      <c r="F120" s="684" t="str">
        <f>IFERROR(F111+(F29*'Datos del modelo'!F$103),"")</f>
        <v/>
      </c>
      <c r="G120" s="684" t="str">
        <f>IFERROR(G111+(G29*'Datos del modelo'!G$103),"")</f>
        <v/>
      </c>
      <c r="H120" s="685"/>
      <c r="I120" s="684" t="str">
        <f>IFERROR(I111+(I29*'Datos del modelo'!H$103),"")</f>
        <v/>
      </c>
      <c r="J120" s="684" t="str">
        <f>IFERROR(J111+(J29*'Datos del modelo'!I$103),"")</f>
        <v/>
      </c>
      <c r="K120" s="684" t="str">
        <f>IFERROR(K111+(K29*'Datos del modelo'!J$103),"")</f>
        <v/>
      </c>
      <c r="L120" s="685"/>
      <c r="M120" s="684">
        <f t="shared" si="41"/>
        <v>378127.06825555558</v>
      </c>
      <c r="N120" s="562">
        <f>IFERROR(N111+(N29*'Datos del modelo'!K$103),"")</f>
        <v>234920.40555555557</v>
      </c>
      <c r="O120" s="562">
        <f>IFERROR(O111+(O29*'Datos del modelo'!L$103),"")</f>
        <v>143206.66270000002</v>
      </c>
      <c r="P120" s="571"/>
      <c r="Q120" s="571"/>
      <c r="R120" s="543"/>
      <c r="S120" s="558"/>
      <c r="U120" s="543"/>
      <c r="V120" s="558"/>
      <c r="X120" s="543"/>
      <c r="Y120" s="558"/>
    </row>
    <row r="121" spans="2:25">
      <c r="B121" s="574"/>
      <c r="C121" s="574"/>
      <c r="D121" s="546">
        <f>'Datos del modelo'!$E$26+3</f>
        <v>2028</v>
      </c>
      <c r="E121" s="684">
        <f>IFERROR(E112+(E30*'Datos del modelo'!E$103),"")</f>
        <v>276367.97711111116</v>
      </c>
      <c r="F121" s="684" t="str">
        <f>IFERROR(F112+(F30*'Datos del modelo'!F$103),"")</f>
        <v/>
      </c>
      <c r="G121" s="684" t="str">
        <f>IFERROR(G112+(G30*'Datos del modelo'!G$103),"")</f>
        <v/>
      </c>
      <c r="H121" s="685"/>
      <c r="I121" s="684" t="str">
        <f>IFERROR(I112+(I30*'Datos del modelo'!H$103),"")</f>
        <v/>
      </c>
      <c r="J121" s="684" t="str">
        <f>IFERROR(J112+(J30*'Datos del modelo'!I$103),"")</f>
        <v/>
      </c>
      <c r="K121" s="684" t="str">
        <f>IFERROR(K112+(K30*'Datos del modelo'!J$103),"")</f>
        <v/>
      </c>
      <c r="L121" s="685"/>
      <c r="M121" s="684">
        <f t="shared" si="41"/>
        <v>379876.68052711117</v>
      </c>
      <c r="N121" s="562">
        <f>IFERROR(N112+(N30*'Datos del modelo'!K$103),"")</f>
        <v>276367.97711111116</v>
      </c>
      <c r="O121" s="562">
        <f>IFERROR(O112+(O30*'Datos del modelo'!L$103),"")</f>
        <v>103508.70341599997</v>
      </c>
      <c r="P121" s="571"/>
      <c r="Q121" s="571"/>
      <c r="R121" s="543"/>
      <c r="S121" s="558"/>
      <c r="U121" s="543"/>
      <c r="V121" s="558"/>
      <c r="X121" s="543"/>
      <c r="Y121" s="558"/>
    </row>
    <row r="122" spans="2:25" s="567" customFormat="1">
      <c r="B122" s="574"/>
      <c r="C122" s="574"/>
      <c r="D122" s="561">
        <f>'Datos del modelo'!$E$26+4</f>
        <v>2029</v>
      </c>
      <c r="E122" s="684">
        <f>IFERROR(E113+(E31*'Datos del modelo'!E$103),"")</f>
        <v>320090.62051500002</v>
      </c>
      <c r="F122" s="684" t="str">
        <f>IFERROR(F113+(F31*'Datos del modelo'!F$103),"")</f>
        <v/>
      </c>
      <c r="G122" s="684" t="str">
        <f>IFERROR(G113+(G31*'Datos del modelo'!G$103),"")</f>
        <v/>
      </c>
      <c r="H122" s="685"/>
      <c r="I122" s="684" t="str">
        <f>IFERROR(I113+(I31*'Datos del modelo'!H$103),"")</f>
        <v/>
      </c>
      <c r="J122" s="684" t="str">
        <f>IFERROR(J113+(J31*'Datos del modelo'!I$103),"")</f>
        <v/>
      </c>
      <c r="K122" s="684" t="str">
        <f>IFERROR(K113+(K31*'Datos del modelo'!J$103),"")</f>
        <v/>
      </c>
      <c r="L122" s="685"/>
      <c r="M122" s="684">
        <f>IFERROR(N122+O122,"")</f>
        <v>375376.13081166998</v>
      </c>
      <c r="N122" s="562">
        <f>IFERROR(N113+(N31*'Datos del modelo'!K$103),"")</f>
        <v>320090.62051500002</v>
      </c>
      <c r="O122" s="562">
        <f>IFERROR(O113+(O31*'Datos del modelo'!L$103),"")</f>
        <v>55285.510296669978</v>
      </c>
      <c r="P122" s="570"/>
      <c r="Q122" s="570"/>
      <c r="R122" s="543"/>
      <c r="S122" s="558"/>
      <c r="U122" s="543"/>
      <c r="V122" s="558"/>
      <c r="X122" s="543"/>
      <c r="Y122" s="558"/>
    </row>
    <row r="123" spans="2:25" s="567" customFormat="1" ht="12" customHeight="1">
      <c r="B123" s="574"/>
      <c r="C123" s="574"/>
      <c r="D123" s="622"/>
      <c r="E123" s="626"/>
      <c r="F123" s="626"/>
      <c r="G123" s="626"/>
      <c r="H123" s="629"/>
      <c r="I123" s="626"/>
      <c r="J123" s="626"/>
      <c r="K123" s="626"/>
      <c r="L123" s="629"/>
      <c r="M123" s="625"/>
      <c r="N123" s="626"/>
      <c r="O123" s="626"/>
      <c r="P123" s="570"/>
      <c r="Q123" s="570"/>
      <c r="R123" s="543"/>
      <c r="S123" s="558"/>
      <c r="U123" s="543"/>
      <c r="V123" s="558"/>
      <c r="X123" s="543"/>
      <c r="Y123" s="558"/>
    </row>
    <row r="124" spans="2:25" ht="55" customHeight="1">
      <c r="B124" s="574"/>
      <c r="C124" s="574"/>
      <c r="D124" s="1078" t="s">
        <v>256</v>
      </c>
      <c r="E124" s="1078"/>
      <c r="F124" s="1078"/>
      <c r="G124" s="1078"/>
      <c r="H124" s="1078"/>
      <c r="I124" s="1078"/>
      <c r="J124" s="1078"/>
      <c r="K124" s="1078"/>
      <c r="L124" s="1078"/>
      <c r="M124" s="1078"/>
      <c r="N124" s="1078"/>
      <c r="O124" s="1078"/>
      <c r="P124" s="571"/>
      <c r="Q124" s="571"/>
      <c r="R124" s="1075"/>
      <c r="S124" s="1075"/>
      <c r="U124" s="1075"/>
      <c r="V124" s="1075"/>
      <c r="X124" s="1075"/>
      <c r="Y124" s="1075"/>
    </row>
    <row r="125" spans="2:25" ht="8.25" customHeight="1">
      <c r="B125" s="574"/>
      <c r="C125" s="574"/>
      <c r="D125" s="589"/>
      <c r="E125" s="589"/>
      <c r="F125" s="589"/>
      <c r="G125" s="589"/>
      <c r="H125" s="589"/>
      <c r="I125" s="589"/>
      <c r="J125" s="589"/>
      <c r="K125" s="589"/>
      <c r="L125" s="589"/>
      <c r="M125" s="589"/>
      <c r="N125" s="589"/>
      <c r="O125" s="589"/>
      <c r="P125" s="571"/>
      <c r="Q125" s="571"/>
      <c r="R125" s="722"/>
      <c r="S125" s="722"/>
      <c r="U125" s="722"/>
      <c r="V125" s="722"/>
      <c r="X125" s="722"/>
      <c r="Y125" s="722"/>
    </row>
    <row r="126" spans="2:25" ht="45" customHeight="1">
      <c r="B126" s="574"/>
      <c r="C126" s="574"/>
      <c r="D126" s="1077" t="s">
        <v>254</v>
      </c>
      <c r="E126" s="1077"/>
      <c r="F126" s="1077"/>
      <c r="G126" s="1077"/>
      <c r="H126" s="1077"/>
      <c r="I126" s="1077"/>
      <c r="J126" s="1077"/>
      <c r="K126" s="1077"/>
      <c r="L126" s="1077"/>
      <c r="M126" s="1077"/>
      <c r="N126" s="1077"/>
      <c r="O126" s="1077"/>
      <c r="P126" s="571"/>
      <c r="Q126" s="571"/>
      <c r="R126" s="1076"/>
      <c r="S126" s="1075"/>
      <c r="U126" s="1076"/>
      <c r="V126" s="1076"/>
      <c r="X126" s="1076"/>
      <c r="Y126" s="1076"/>
    </row>
    <row r="127" spans="2:25" ht="8.25" customHeight="1">
      <c r="B127" s="574"/>
      <c r="C127" s="574"/>
      <c r="D127" s="627"/>
      <c r="E127" s="627"/>
      <c r="F127" s="627"/>
      <c r="G127" s="627"/>
      <c r="H127" s="627"/>
      <c r="I127" s="627"/>
      <c r="J127" s="627"/>
      <c r="K127" s="627"/>
      <c r="L127" s="627"/>
      <c r="M127" s="627"/>
      <c r="N127" s="627"/>
      <c r="O127" s="627"/>
      <c r="P127" s="571"/>
      <c r="Q127" s="571"/>
      <c r="R127" s="721"/>
      <c r="S127" s="722"/>
      <c r="U127" s="721"/>
      <c r="V127" s="721"/>
      <c r="X127" s="721"/>
      <c r="Y127" s="721"/>
    </row>
    <row r="128" spans="2:25" ht="35.25" customHeight="1">
      <c r="B128" s="574"/>
      <c r="C128" s="574"/>
      <c r="D128" s="598" t="s">
        <v>239</v>
      </c>
      <c r="E128" s="682">
        <f>IF(E129="","N.A.",SUM(E129:E133))</f>
        <v>3581419.6205880558</v>
      </c>
      <c r="F128" s="682" t="str">
        <f>IF(F129="","N.A.",SUM(F129:F133))</f>
        <v>N.A.</v>
      </c>
      <c r="G128" s="682" t="str">
        <f>IF(G129="","N.A.",SUM(G129:G133))</f>
        <v>N.A.</v>
      </c>
      <c r="H128" s="683"/>
      <c r="I128" s="682" t="str">
        <f>IF(I129="","N.A.",SUM(I129:I133))</f>
        <v>N.A.</v>
      </c>
      <c r="J128" s="682" t="str">
        <f>IF(J129="","N.A.",SUM(J129:J133))</f>
        <v>N.A.</v>
      </c>
      <c r="K128" s="682" t="str">
        <f>IF(K129="","N.A.",SUM(K129:K133))</f>
        <v>N.A.</v>
      </c>
      <c r="L128" s="683"/>
      <c r="M128" s="682">
        <f>IF(M129="","N.A.",SUM(M129:M133))</f>
        <v>14389836.719872665</v>
      </c>
      <c r="N128" s="545">
        <f>IF(N129="","N.A.",SUM(N129:N133))</f>
        <v>2921499.9795516669</v>
      </c>
      <c r="O128" s="545">
        <f>IF(O129="","N.A.",SUM(O129:O133))</f>
        <v>11468336.740321001</v>
      </c>
      <c r="P128" s="571"/>
      <c r="Q128" s="571"/>
      <c r="R128" s="563"/>
      <c r="S128" s="558"/>
      <c r="U128" s="543"/>
      <c r="V128" s="558"/>
      <c r="X128" s="543"/>
      <c r="Y128" s="558"/>
    </row>
    <row r="129" spans="2:25">
      <c r="B129" s="574"/>
      <c r="C129" s="574"/>
      <c r="D129" s="546">
        <f>'Datos del modelo'!$E$26</f>
        <v>2025</v>
      </c>
      <c r="E129" s="684">
        <f>IFERROR(E63*('Datos del modelo'!E$80+'Datos del modelo'!E$80*'Datos del modelo'!E$94+'Datos del modelo'!E$80*'Datos del modelo'!E$95)+((ROUNDUP(E27/'Datos del modelo'!$E$97,0)*'Datos del modelo'!$E$96)),"")</f>
        <v>629793.33333333337</v>
      </c>
      <c r="F129" s="684" t="str">
        <f>IFERROR(F63*('Datos del modelo'!F$80+'Datos del modelo'!F$80*'Datos del modelo'!F$94+'Datos del modelo'!F$80*'Datos del modelo'!F$95)+((ROUNDUP(F27/'Datos del modelo'!$E$97,0)*'Datos del modelo'!$E$96)),"")</f>
        <v/>
      </c>
      <c r="G129" s="684" t="str">
        <f>IFERROR(G63*('Datos del modelo'!G$80+'Datos del modelo'!G$80*'Datos del modelo'!G$94+'Datos del modelo'!G$80*'Datos del modelo'!G$95)+((ROUNDUP(G27/'Datos del modelo'!$E$97,0)*'Datos del modelo'!$E$96)),"")</f>
        <v/>
      </c>
      <c r="H129" s="685"/>
      <c r="I129" s="684" t="str">
        <f>IFERROR(I63*('Datos del modelo'!H$80+'Datos del modelo'!H$80*'Datos del modelo'!H$94+'Datos del modelo'!H$80*'Datos del modelo'!H$95)+((ROUNDUP(I27/'Datos del modelo'!$H$97,0)*'Datos del modelo'!$H$96)),"")</f>
        <v/>
      </c>
      <c r="J129" s="684" t="str">
        <f>IFERROR(J63*('Datos del modelo'!I$80+'Datos del modelo'!I$80*'Datos del modelo'!I$94+'Datos del modelo'!I$80*'Datos del modelo'!I$95)+((ROUNDUP(J27/'Datos del modelo'!$H$97,0)*'Datos del modelo'!$H$96)),"")</f>
        <v/>
      </c>
      <c r="K129" s="684" t="str">
        <f>IFERROR(K63*('Datos del modelo'!J$80+'Datos del modelo'!J$80*'Datos del modelo'!J$94+'Datos del modelo'!J$80*'Datos del modelo'!J$95)+((ROUNDUP(K27/'Datos del modelo'!$H$97,0)*'Datos del modelo'!$H$96)),"")</f>
        <v/>
      </c>
      <c r="L129" s="685"/>
      <c r="M129" s="684">
        <f>IFERROR(N129+O129,"")</f>
        <v>4493546.666666667</v>
      </c>
      <c r="N129" s="562">
        <f>IFERROR(N63*('Datos del modelo'!K$80+'Datos del modelo'!K$80*'Datos del modelo'!K$94+'Datos del modelo'!K$80*'Datos del modelo'!K$95)+((ROUNDUP(N27/'Datos del modelo'!$K$97,0)*'Datos del modelo'!$K$96)),"")</f>
        <v>449966.66666666669</v>
      </c>
      <c r="O129" s="562">
        <f>IFERROR(O63*('Datos del modelo'!L$80+'Datos del modelo'!L$80*'Datos del modelo'!L$94+'Datos del modelo'!L$80*'Datos del modelo'!L$95)+((ROUNDUP(O27/'Datos del modelo'!$K$97,0)*'Datos del modelo'!$K$96)),"")</f>
        <v>4043580</v>
      </c>
      <c r="P129" s="571"/>
      <c r="Q129" s="571"/>
      <c r="R129" s="559"/>
      <c r="S129" s="566"/>
      <c r="U129" s="543"/>
      <c r="V129" s="558"/>
      <c r="X129" s="543"/>
      <c r="Y129" s="558"/>
    </row>
    <row r="130" spans="2:25">
      <c r="B130" s="574"/>
      <c r="C130" s="574"/>
      <c r="D130" s="546">
        <f>'Datos del modelo'!$E$26+1</f>
        <v>2026</v>
      </c>
      <c r="E130" s="684">
        <f>IFERROR(E64*('Datos del modelo'!E$80+'Datos del modelo'!E$80*'Datos del modelo'!E$94+'Datos del modelo'!E$80*'Datos del modelo'!E$95)+((ROUNDUP(E28/'Datos del modelo'!$E$97,0)*'Datos del modelo'!$E$96)),"")</f>
        <v>641301.65555555548</v>
      </c>
      <c r="F130" s="684" t="str">
        <f>IFERROR(F64*('Datos del modelo'!F$80+'Datos del modelo'!F$80*'Datos del modelo'!F$94+'Datos del modelo'!F$80*'Datos del modelo'!F$95)+((ROUNDUP(F28/'Datos del modelo'!$E$97,0)*'Datos del modelo'!$E$96)),"")</f>
        <v/>
      </c>
      <c r="G130" s="684" t="str">
        <f>IFERROR(G64*('Datos del modelo'!G$80+'Datos del modelo'!G$80*'Datos del modelo'!G$94+'Datos del modelo'!G$80*'Datos del modelo'!G$95)+((ROUNDUP(G28/'Datos del modelo'!$E$97,0)*'Datos del modelo'!$E$96)),"")</f>
        <v/>
      </c>
      <c r="H130" s="685"/>
      <c r="I130" s="684" t="str">
        <f>IFERROR(I64*('Datos del modelo'!H$80+'Datos del modelo'!H$80*'Datos del modelo'!H$94+'Datos del modelo'!H$80*'Datos del modelo'!H$95)+((ROUNDUP(I28/'Datos del modelo'!$H$97,0)*'Datos del modelo'!$H$96)),"")</f>
        <v/>
      </c>
      <c r="J130" s="684" t="str">
        <f>IFERROR(J64*('Datos del modelo'!I$80+'Datos del modelo'!I$80*'Datos del modelo'!I$94+'Datos del modelo'!I$80*'Datos del modelo'!I$95)+((ROUNDUP(J28/'Datos del modelo'!$H$97,0)*'Datos del modelo'!$H$96)),"")</f>
        <v/>
      </c>
      <c r="K130" s="684" t="str">
        <f>IFERROR(K64*('Datos del modelo'!J$80+'Datos del modelo'!J$80*'Datos del modelo'!J$94+'Datos del modelo'!J$80*'Datos del modelo'!J$95)+((ROUNDUP(K28/'Datos del modelo'!$H$97,0)*'Datos del modelo'!$H$96)),"")</f>
        <v/>
      </c>
      <c r="L130" s="685"/>
      <c r="M130" s="684">
        <f t="shared" ref="M130:M133" si="42">IFERROR(N130+O130,"")</f>
        <v>3285196.4</v>
      </c>
      <c r="N130" s="562">
        <f>IFERROR(N64*('Datos del modelo'!K$80+'Datos del modelo'!K$80*'Datos del modelo'!K$94+'Datos del modelo'!K$80*'Datos del modelo'!K$95)+((ROUNDUP(N28/'Datos del modelo'!$K$97,0)*'Datos del modelo'!$K$96)),"")</f>
        <v>473658.8</v>
      </c>
      <c r="O130" s="562">
        <f>IFERROR(O64*('Datos del modelo'!L$80+'Datos del modelo'!L$80*'Datos del modelo'!L$94+'Datos del modelo'!L$80*'Datos del modelo'!L$95)+((ROUNDUP(O28/'Datos del modelo'!$K$97,0)*'Datos del modelo'!$K$96)),"")</f>
        <v>2811537.6</v>
      </c>
      <c r="P130" s="571"/>
      <c r="Q130" s="571"/>
      <c r="R130" s="543"/>
      <c r="S130" s="558"/>
      <c r="U130" s="543"/>
      <c r="V130" s="558"/>
      <c r="X130" s="543"/>
      <c r="Y130" s="558"/>
    </row>
    <row r="131" spans="2:25">
      <c r="B131" s="574"/>
      <c r="C131" s="574"/>
      <c r="D131" s="546">
        <f>'Datos del modelo'!$E$26+2</f>
        <v>2027</v>
      </c>
      <c r="E131" s="684">
        <f>IFERROR(E65*('Datos del modelo'!E$80+'Datos del modelo'!E$80*'Datos del modelo'!E$94+'Datos del modelo'!E$80*'Datos del modelo'!E$95)+((ROUNDUP(E29/'Datos del modelo'!$E$97,0)*'Datos del modelo'!$E$96)),"")</f>
        <v>640713.79722222232</v>
      </c>
      <c r="F131" s="684" t="str">
        <f>IFERROR(F65*('Datos del modelo'!F$80+'Datos del modelo'!F$80*'Datos del modelo'!F$94+'Datos del modelo'!F$80*'Datos del modelo'!F$95)+((ROUNDUP(F29/'Datos del modelo'!$E$97,0)*'Datos del modelo'!$E$96)),"")</f>
        <v/>
      </c>
      <c r="G131" s="684" t="str">
        <f>IFERROR(G65*('Datos del modelo'!G$80+'Datos del modelo'!G$80*'Datos del modelo'!G$94+'Datos del modelo'!G$80*'Datos del modelo'!G$95)+((ROUNDUP(G29/'Datos del modelo'!$E$97,0)*'Datos del modelo'!$E$96)),"")</f>
        <v/>
      </c>
      <c r="H131" s="685"/>
      <c r="I131" s="684" t="str">
        <f>IFERROR(I65*('Datos del modelo'!H$80+'Datos del modelo'!H$80*'Datos del modelo'!H$94+'Datos del modelo'!H$80*'Datos del modelo'!H$95)+((ROUNDUP(I29/'Datos del modelo'!$H$97,0)*'Datos del modelo'!$H$96)),"")</f>
        <v/>
      </c>
      <c r="J131" s="684" t="str">
        <f>IFERROR(J65*('Datos del modelo'!I$80+'Datos del modelo'!I$80*'Datos del modelo'!I$94+'Datos del modelo'!I$80*'Datos del modelo'!I$95)+((ROUNDUP(J29/'Datos del modelo'!$H$97,0)*'Datos del modelo'!$H$96)),"")</f>
        <v/>
      </c>
      <c r="K131" s="684" t="str">
        <f>IFERROR(K65*('Datos del modelo'!J$80+'Datos del modelo'!J$80*'Datos del modelo'!J$94+'Datos del modelo'!J$80*'Datos del modelo'!J$95)+((ROUNDUP(K29/'Datos del modelo'!$H$97,0)*'Datos del modelo'!$H$96)),"")</f>
        <v/>
      </c>
      <c r="L131" s="685"/>
      <c r="M131" s="684">
        <f t="shared" si="42"/>
        <v>2830827.2933333339</v>
      </c>
      <c r="N131" s="562">
        <f>IFERROR(N65*('Datos del modelo'!K$80+'Datos del modelo'!K$80*'Datos del modelo'!K$94+'Datos del modelo'!K$80*'Datos del modelo'!K$95)+((ROUNDUP(N29/'Datos del modelo'!$K$97,0)*'Datos del modelo'!$K$96)),"")</f>
        <v>566348.08333333337</v>
      </c>
      <c r="O131" s="562">
        <f>IFERROR(O65*('Datos del modelo'!L$80+'Datos del modelo'!L$80*'Datos del modelo'!L$94+'Datos del modelo'!L$80*'Datos del modelo'!L$95)+((ROUNDUP(O29/'Datos del modelo'!$K$97,0)*'Datos del modelo'!$K$96)),"")</f>
        <v>2264479.2100000004</v>
      </c>
      <c r="P131" s="571"/>
      <c r="Q131" s="571"/>
      <c r="R131" s="543"/>
      <c r="S131" s="558"/>
      <c r="U131" s="543"/>
      <c r="V131" s="558"/>
      <c r="X131" s="543"/>
      <c r="Y131" s="558"/>
    </row>
    <row r="132" spans="2:25">
      <c r="B132" s="574"/>
      <c r="C132" s="574"/>
      <c r="D132" s="546">
        <f>'Datos del modelo'!$E$26+3</f>
        <v>2028</v>
      </c>
      <c r="E132" s="684">
        <f>IFERROR(E66*('Datos del modelo'!E$80+'Datos del modelo'!E$80*'Datos del modelo'!E$94+'Datos del modelo'!E$80*'Datos del modelo'!E$95)+((ROUNDUP(E30/'Datos del modelo'!$E$97,0)*'Datos del modelo'!$E$96)),"")</f>
        <v>774633.80744444451</v>
      </c>
      <c r="F132" s="684" t="str">
        <f>IFERROR(F66*('Datos del modelo'!F$80+'Datos del modelo'!F$80*'Datos del modelo'!F$94+'Datos del modelo'!F$80*'Datos del modelo'!F$95)+((ROUNDUP(F30/'Datos del modelo'!$E$97,0)*'Datos del modelo'!$E$96)),"")</f>
        <v/>
      </c>
      <c r="G132" s="684" t="str">
        <f>IFERROR(G66*('Datos del modelo'!G$80+'Datos del modelo'!G$80*'Datos del modelo'!G$94+'Datos del modelo'!G$80*'Datos del modelo'!G$95)+((ROUNDUP(G30/'Datos del modelo'!$E$97,0)*'Datos del modelo'!$E$96)),"")</f>
        <v/>
      </c>
      <c r="H132" s="685"/>
      <c r="I132" s="684" t="str">
        <f>IFERROR(I66*('Datos del modelo'!H$80+'Datos del modelo'!H$80*'Datos del modelo'!H$94+'Datos del modelo'!H$80*'Datos del modelo'!H$95)+((ROUNDUP(I30/'Datos del modelo'!$H$97,0)*'Datos del modelo'!$H$96)),"")</f>
        <v/>
      </c>
      <c r="J132" s="684" t="str">
        <f>IFERROR(J66*('Datos del modelo'!I$80+'Datos del modelo'!I$80*'Datos del modelo'!I$94+'Datos del modelo'!I$80*'Datos del modelo'!I$95)+((ROUNDUP(J30/'Datos del modelo'!$H$97,0)*'Datos del modelo'!$H$96)),"")</f>
        <v/>
      </c>
      <c r="K132" s="684" t="str">
        <f>IFERROR(K66*('Datos del modelo'!J$80+'Datos del modelo'!J$80*'Datos del modelo'!J$94+'Datos del modelo'!J$80*'Datos del modelo'!J$95)+((ROUNDUP(K30/'Datos del modelo'!$H$97,0)*'Datos del modelo'!$H$96)),"")</f>
        <v/>
      </c>
      <c r="L132" s="685"/>
      <c r="M132" s="684">
        <f t="shared" si="42"/>
        <v>2249417.9814666663</v>
      </c>
      <c r="N132" s="562">
        <f>IFERROR(N66*('Datos del modelo'!K$80+'Datos del modelo'!K$80*'Datos del modelo'!K$94+'Datos del modelo'!K$80*'Datos del modelo'!K$95)+((ROUNDUP(N30/'Datos del modelo'!$K$97,0)*'Datos del modelo'!$K$96)),"")</f>
        <v>664171.72066666675</v>
      </c>
      <c r="O132" s="562">
        <f>IFERROR(O66*('Datos del modelo'!L$80+'Datos del modelo'!L$80*'Datos del modelo'!L$94+'Datos del modelo'!L$80*'Datos del modelo'!L$95)+((ROUNDUP(O30/'Datos del modelo'!$K$97,0)*'Datos del modelo'!$K$96)),"")</f>
        <v>1585246.2607999996</v>
      </c>
      <c r="P132" s="571"/>
      <c r="Q132" s="571"/>
      <c r="R132" s="543"/>
      <c r="S132" s="558"/>
      <c r="U132" s="543"/>
      <c r="V132" s="558"/>
      <c r="X132" s="543"/>
      <c r="Y132" s="558"/>
    </row>
    <row r="133" spans="2:25" ht="16" customHeight="1">
      <c r="B133" s="574"/>
      <c r="C133" s="574"/>
      <c r="D133" s="546">
        <f>'Datos del modelo'!$E$26+4</f>
        <v>2029</v>
      </c>
      <c r="E133" s="684">
        <f>IFERROR(E67*('Datos del modelo'!E$80+'Datos del modelo'!E$80*'Datos del modelo'!E$94+'Datos del modelo'!E$80*'Datos del modelo'!E$95)+((ROUNDUP(E31/'Datos del modelo'!$E$97,0)*'Datos del modelo'!$E$96)),"")</f>
        <v>894977.02703250013</v>
      </c>
      <c r="F133" s="684" t="str">
        <f>IFERROR(F67*('Datos del modelo'!F$80+'Datos del modelo'!F$80*'Datos del modelo'!F$94+'Datos del modelo'!F$80*'Datos del modelo'!F$95)+((ROUNDUP(F31/'Datos del modelo'!$E$97,0)*'Datos del modelo'!$E$96)),"")</f>
        <v/>
      </c>
      <c r="G133" s="684" t="str">
        <f>IFERROR(G67*('Datos del modelo'!G$80+'Datos del modelo'!G$80*'Datos del modelo'!G$94+'Datos del modelo'!G$80*'Datos del modelo'!G$95)+((ROUNDUP(G31/'Datos del modelo'!$E$97,0)*'Datos del modelo'!$E$96)),"")</f>
        <v/>
      </c>
      <c r="H133" s="685"/>
      <c r="I133" s="684" t="str">
        <f>IFERROR(I67*('Datos del modelo'!H$80+'Datos del modelo'!H$80*'Datos del modelo'!H$94+'Datos del modelo'!H$80*'Datos del modelo'!H$95)+((ROUNDUP(I31/'Datos del modelo'!$H$97,0)*'Datos del modelo'!$H$96)),"")</f>
        <v/>
      </c>
      <c r="J133" s="684" t="str">
        <f>IFERROR(J67*('Datos del modelo'!I$80+'Datos del modelo'!I$80*'Datos del modelo'!I$94+'Datos del modelo'!I$80*'Datos del modelo'!I$95)+((ROUNDUP(J31/'Datos del modelo'!$H$97,0)*'Datos del modelo'!$H$96)),"")</f>
        <v/>
      </c>
      <c r="K133" s="684" t="str">
        <f>IFERROR(K67*('Datos del modelo'!J$80+'Datos del modelo'!J$80*'Datos del modelo'!J$94+'Datos del modelo'!J$80*'Datos del modelo'!J$95)+((ROUNDUP(K31/'Datos del modelo'!$H$97,0)*'Datos del modelo'!$H$96)),"")</f>
        <v/>
      </c>
      <c r="L133" s="685"/>
      <c r="M133" s="684">
        <f t="shared" si="42"/>
        <v>1530848.3784059999</v>
      </c>
      <c r="N133" s="562">
        <f>IFERROR(N67*('Datos del modelo'!K$80+'Datos del modelo'!K$80*'Datos del modelo'!K$94+'Datos del modelo'!K$80*'Datos del modelo'!K$95)+((ROUNDUP(N31/'Datos del modelo'!$K$97,0)*'Datos del modelo'!$K$96)),"")</f>
        <v>767354.70888500009</v>
      </c>
      <c r="O133" s="562">
        <f>IFERROR(O67*('Datos del modelo'!L$80+'Datos del modelo'!L$80*'Datos del modelo'!L$94+'Datos del modelo'!L$80*'Datos del modelo'!L$95)+((ROUNDUP(O31/'Datos del modelo'!$K$97,0)*'Datos del modelo'!$K$96)),"")</f>
        <v>763493.66952099965</v>
      </c>
      <c r="P133" s="571"/>
      <c r="Q133" s="571"/>
      <c r="R133" s="543"/>
      <c r="S133" s="558"/>
      <c r="U133" s="543"/>
      <c r="V133" s="558"/>
      <c r="X133" s="543"/>
      <c r="Y133" s="558"/>
    </row>
    <row r="134" spans="2:25" ht="8.25" customHeight="1">
      <c r="B134" s="574"/>
      <c r="C134" s="574"/>
      <c r="D134" s="596"/>
      <c r="E134" s="629"/>
      <c r="F134" s="629"/>
      <c r="G134" s="629"/>
      <c r="H134" s="629"/>
      <c r="I134" s="629"/>
      <c r="J134" s="629"/>
      <c r="K134" s="629"/>
      <c r="L134" s="629"/>
      <c r="M134" s="629"/>
      <c r="N134" s="629"/>
      <c r="O134" s="629"/>
      <c r="P134" s="571"/>
      <c r="Q134" s="571"/>
      <c r="R134" s="543"/>
      <c r="S134" s="558"/>
      <c r="U134" s="543"/>
      <c r="V134" s="558"/>
      <c r="X134" s="543"/>
      <c r="Y134" s="558"/>
    </row>
    <row r="135" spans="2:25" ht="45" customHeight="1">
      <c r="B135" s="574"/>
      <c r="C135" s="574"/>
      <c r="D135" s="1077" t="s">
        <v>255</v>
      </c>
      <c r="E135" s="1077"/>
      <c r="F135" s="1077"/>
      <c r="G135" s="1077"/>
      <c r="H135" s="1077"/>
      <c r="I135" s="1077"/>
      <c r="J135" s="1077"/>
      <c r="K135" s="1077"/>
      <c r="L135" s="1077"/>
      <c r="M135" s="1077"/>
      <c r="N135" s="1077"/>
      <c r="O135" s="1077"/>
      <c r="P135" s="571"/>
      <c r="Q135" s="571"/>
      <c r="R135" s="1076"/>
      <c r="S135" s="1075"/>
      <c r="U135" s="1076"/>
      <c r="V135" s="1076"/>
      <c r="X135" s="1076"/>
      <c r="Y135" s="1076"/>
    </row>
    <row r="136" spans="2:25" ht="8.25" customHeight="1">
      <c r="B136" s="574"/>
      <c r="C136" s="574"/>
      <c r="D136" s="628"/>
      <c r="E136" s="628"/>
      <c r="F136" s="628"/>
      <c r="G136" s="628"/>
      <c r="H136" s="628"/>
      <c r="I136" s="628"/>
      <c r="J136" s="628"/>
      <c r="K136" s="628"/>
      <c r="L136" s="628"/>
      <c r="M136" s="628"/>
      <c r="N136" s="628"/>
      <c r="O136" s="628"/>
      <c r="P136" s="571"/>
      <c r="Q136" s="571"/>
      <c r="R136" s="721"/>
      <c r="S136" s="722"/>
      <c r="U136" s="721"/>
      <c r="V136" s="721"/>
      <c r="X136" s="721"/>
      <c r="Y136" s="721"/>
    </row>
    <row r="137" spans="2:25" ht="35.25" customHeight="1">
      <c r="B137" s="574"/>
      <c r="C137" s="574"/>
      <c r="D137" s="598" t="s">
        <v>239</v>
      </c>
      <c r="E137" s="682">
        <f>IF(E138="","N.A.",SUM(E138:E142))</f>
        <v>4789422.7762440555</v>
      </c>
      <c r="F137" s="682" t="str">
        <f>IF(F138="","N.A.",SUM(F138:F142))</f>
        <v>N.A.</v>
      </c>
      <c r="G137" s="682" t="str">
        <f>IF(G138="","N.A.",SUM(G138:G142))</f>
        <v>N.A.</v>
      </c>
      <c r="H137" s="683"/>
      <c r="I137" s="682" t="str">
        <f>IF(I138="","N.A.",SUM(I138:I142))</f>
        <v>N.A.</v>
      </c>
      <c r="J137" s="682" t="str">
        <f>IF(J138="","N.A.",SUM(J138:J142))</f>
        <v>N.A.</v>
      </c>
      <c r="K137" s="682" t="str">
        <f>IF(K138="","N.A.",SUM(K138:K142))</f>
        <v>N.A.</v>
      </c>
      <c r="L137" s="683"/>
      <c r="M137" s="682">
        <f>IF(M138="","N.A.",SUM(M138:M142))</f>
        <v>15955475.584538128</v>
      </c>
      <c r="N137" s="545">
        <f>IF(N138="","N.A.",SUM(N138:N142))</f>
        <v>3915911.135207667</v>
      </c>
      <c r="O137" s="545">
        <f>IF(O138="","N.A.",SUM(O138:O142))</f>
        <v>12039564.449330462</v>
      </c>
      <c r="P137" s="571"/>
      <c r="Q137" s="571"/>
      <c r="R137" s="541"/>
      <c r="S137" s="558"/>
      <c r="U137" s="543"/>
      <c r="V137" s="558"/>
      <c r="X137" s="543"/>
      <c r="Y137" s="558"/>
    </row>
    <row r="138" spans="2:25">
      <c r="B138" s="574"/>
      <c r="C138" s="574"/>
      <c r="D138" s="546">
        <f>'Datos del modelo'!$E$26</f>
        <v>2025</v>
      </c>
      <c r="E138" s="686">
        <f>IFERROR(E129+(E27*'Datos del modelo'!E$103)+'Datos del modelo'!E$101+(E18*'Datos del modelo'!E$102),"")</f>
        <v>953193.33333333337</v>
      </c>
      <c r="F138" s="686" t="str">
        <f>IFERROR(F129+(F27*'Datos del modelo'!F$103)+'Datos del modelo'!F$101+(F18*'Datos del modelo'!F$102),"")</f>
        <v/>
      </c>
      <c r="G138" s="686" t="str">
        <f>IFERROR(G129+(G27*'Datos del modelo'!G$103)+'Datos del modelo'!G$101+(G18*'Datos del modelo'!G$102),"")</f>
        <v/>
      </c>
      <c r="H138" s="685"/>
      <c r="I138" s="686" t="str">
        <f>IFERROR(I129+(I27*'Datos del modelo'!H$103)+'Datos del modelo'!H$101+(I18*'Datos del modelo'!H$102),"")</f>
        <v/>
      </c>
      <c r="J138" s="686" t="str">
        <f>IFERROR(J129+(J27*'Datos del modelo'!I$103)+'Datos del modelo'!I$101+(J18*'Datos del modelo'!I$102),"")</f>
        <v/>
      </c>
      <c r="K138" s="686" t="str">
        <f>IFERROR(K129+(K27*'Datos del modelo'!J$103)+'Datos del modelo'!J$101+(K18*'Datos del modelo'!J$102),"")</f>
        <v/>
      </c>
      <c r="L138" s="685"/>
      <c r="M138" s="684">
        <f>IFERROR(N138+O138,"")</f>
        <v>4801596.666666667</v>
      </c>
      <c r="N138" s="564">
        <f>IFERROR(N129+(N27*'Datos del modelo'!K$103)+'Datos del modelo'!K$101+(N18*'Datos del modelo'!K$102),"")</f>
        <v>586966.66666666674</v>
      </c>
      <c r="O138" s="564">
        <f>IFERROR(O129+(O27*'Datos del modelo'!L$103)+'Datos del modelo'!L$101+(O18*'Datos del modelo'!L$102),"")</f>
        <v>4214630</v>
      </c>
      <c r="P138" s="571"/>
      <c r="Q138" s="571"/>
      <c r="R138" s="565"/>
      <c r="S138" s="566"/>
      <c r="U138" s="543"/>
      <c r="V138" s="558"/>
      <c r="X138" s="543"/>
      <c r="Y138" s="558"/>
    </row>
    <row r="139" spans="2:25">
      <c r="B139" s="574"/>
      <c r="C139" s="574"/>
      <c r="D139" s="546">
        <f>'Datos del modelo'!$E$26+1</f>
        <v>2026</v>
      </c>
      <c r="E139" s="686">
        <f>IFERROR(E130+(E28*'Datos del modelo'!E$103),"")</f>
        <v>831645.65555555548</v>
      </c>
      <c r="F139" s="686" t="str">
        <f>IFERROR(F130+(F28*'Datos del modelo'!F$103),"")</f>
        <v/>
      </c>
      <c r="G139" s="686" t="str">
        <f>IFERROR(G130+(G28*'Datos del modelo'!G$103),"")</f>
        <v/>
      </c>
      <c r="H139" s="685"/>
      <c r="I139" s="686" t="str">
        <f>IFERROR(I130+(I28*'Datos del modelo'!H$103),"")</f>
        <v/>
      </c>
      <c r="J139" s="686" t="str">
        <f>IFERROR(J130+(J28*'Datos del modelo'!I$103),"")</f>
        <v/>
      </c>
      <c r="K139" s="686" t="str">
        <f>IFERROR(K130+(K28*'Datos del modelo'!J$103),"")</f>
        <v/>
      </c>
      <c r="L139" s="685"/>
      <c r="M139" s="684">
        <f t="shared" ref="M139:M142" si="43">IFERROR(N139+O139,"")</f>
        <v>3594295.2800000003</v>
      </c>
      <c r="N139" s="564">
        <f>IFERROR(N130+(N28*'Datos del modelo'!K$103),"")</f>
        <v>636810.80000000005</v>
      </c>
      <c r="O139" s="564">
        <f>IFERROR(O130+(O28*'Datos del modelo'!L$103),"")</f>
        <v>2957484.48</v>
      </c>
      <c r="P139" s="571"/>
      <c r="Q139" s="571"/>
      <c r="R139" s="541"/>
      <c r="S139" s="541"/>
      <c r="U139" s="543"/>
      <c r="V139" s="558"/>
      <c r="X139" s="543"/>
      <c r="Y139" s="558"/>
    </row>
    <row r="140" spans="2:25">
      <c r="B140" s="574"/>
      <c r="C140" s="574"/>
      <c r="D140" s="546">
        <f>'Datos del modelo'!$E$26+2</f>
        <v>2027</v>
      </c>
      <c r="E140" s="686">
        <f>IFERROR(E131+(E29*'Datos del modelo'!E$103),"")</f>
        <v>836768.11722222227</v>
      </c>
      <c r="F140" s="686" t="str">
        <f>IFERROR(F131+(F29*'Datos del modelo'!F$103),"")</f>
        <v/>
      </c>
      <c r="G140" s="686" t="str">
        <f>IFERROR(G131+(G29*'Datos del modelo'!G$103),"")</f>
        <v/>
      </c>
      <c r="H140" s="685"/>
      <c r="I140" s="686" t="str">
        <f>IFERROR(I131+(I29*'Datos del modelo'!H$103),"")</f>
        <v/>
      </c>
      <c r="J140" s="686" t="str">
        <f>IFERROR(J131+(J29*'Datos del modelo'!I$103),"")</f>
        <v/>
      </c>
      <c r="K140" s="686" t="str">
        <f>IFERROR(K131+(K29*'Datos del modelo'!J$103),"")</f>
        <v/>
      </c>
      <c r="L140" s="685"/>
      <c r="M140" s="684">
        <f t="shared" si="43"/>
        <v>3146672.075933334</v>
      </c>
      <c r="N140" s="564">
        <f>IFERROR(N131+(N29*'Datos del modelo'!K$103),"")</f>
        <v>762402.40333333332</v>
      </c>
      <c r="O140" s="564">
        <f>IFERROR(O131+(O29*'Datos del modelo'!L$103),"")</f>
        <v>2384269.6726000006</v>
      </c>
      <c r="P140" s="571"/>
      <c r="Q140" s="571"/>
      <c r="R140" s="543"/>
      <c r="S140" s="558"/>
      <c r="U140" s="543"/>
      <c r="V140" s="558"/>
      <c r="X140" s="543"/>
      <c r="Y140" s="558"/>
    </row>
    <row r="141" spans="2:25">
      <c r="B141" s="574"/>
      <c r="C141" s="574"/>
      <c r="D141" s="546">
        <f>'Datos del modelo'!$E$26+3</f>
        <v>2028</v>
      </c>
      <c r="E141" s="686">
        <f>IFERROR(E132+(E30*'Datos del modelo'!E$103),"")</f>
        <v>1005417.7498444446</v>
      </c>
      <c r="F141" s="686" t="str">
        <f>IFERROR(F132+(F30*'Datos del modelo'!F$103),"")</f>
        <v/>
      </c>
      <c r="G141" s="686" t="str">
        <f>IFERROR(G132+(G30*'Datos del modelo'!G$103),"")</f>
        <v/>
      </c>
      <c r="H141" s="685"/>
      <c r="I141" s="686" t="str">
        <f>IFERROR(I132+(I30*'Datos del modelo'!H$103),"")</f>
        <v/>
      </c>
      <c r="J141" s="686" t="str">
        <f>IFERROR(J132+(J30*'Datos del modelo'!I$103),"")</f>
        <v/>
      </c>
      <c r="K141" s="686" t="str">
        <f>IFERROR(K132+(K30*'Datos del modelo'!J$103),"")</f>
        <v/>
      </c>
      <c r="L141" s="685"/>
      <c r="M141" s="684">
        <f t="shared" si="43"/>
        <v>2567296.6366746663</v>
      </c>
      <c r="N141" s="564">
        <f>IFERROR(N132+(N30*'Datos del modelo'!K$103),"")</f>
        <v>894955.66306666681</v>
      </c>
      <c r="O141" s="564">
        <f>IFERROR(O132+(O30*'Datos del modelo'!L$103),"")</f>
        <v>1672340.9736079995</v>
      </c>
      <c r="P141" s="571"/>
      <c r="Q141" s="571"/>
      <c r="R141" s="543"/>
      <c r="S141" s="558"/>
      <c r="U141" s="543"/>
      <c r="V141" s="558"/>
      <c r="X141" s="543"/>
      <c r="Y141" s="558"/>
    </row>
    <row r="142" spans="2:25">
      <c r="B142" s="574"/>
      <c r="C142" s="574"/>
      <c r="D142" s="546">
        <f>'Datos del modelo'!$E$26+4</f>
        <v>2029</v>
      </c>
      <c r="E142" s="686">
        <f>IFERROR(E133+(E31*'Datos del modelo'!E$103),"")</f>
        <v>1162397.9202885001</v>
      </c>
      <c r="F142" s="686" t="str">
        <f>IFERROR(F133+(F31*'Datos del modelo'!F$103),"")</f>
        <v/>
      </c>
      <c r="G142" s="686" t="str">
        <f>IFERROR(G133+(G31*'Datos del modelo'!G$103),"")</f>
        <v/>
      </c>
      <c r="H142" s="685"/>
      <c r="I142" s="686" t="str">
        <f>IFERROR(I133+(I31*'Datos del modelo'!H$103),"")</f>
        <v/>
      </c>
      <c r="J142" s="686" t="str">
        <f>IFERROR(J133+(J31*'Datos del modelo'!I$103),"")</f>
        <v/>
      </c>
      <c r="K142" s="686" t="str">
        <f>IFERROR(K133+(K31*'Datos del modelo'!J$103),"")</f>
        <v/>
      </c>
      <c r="L142" s="685"/>
      <c r="M142" s="684">
        <f t="shared" si="43"/>
        <v>1845614.9252634598</v>
      </c>
      <c r="N142" s="564">
        <f>IFERROR(N133+(N31*'Datos del modelo'!K$103),"")</f>
        <v>1034775.6021410001</v>
      </c>
      <c r="O142" s="564">
        <f>IFERROR(O133+(O31*'Datos del modelo'!L$103),"")</f>
        <v>810839.32312245958</v>
      </c>
      <c r="P142" s="571"/>
      <c r="Q142" s="571"/>
      <c r="R142" s="543"/>
      <c r="S142" s="558"/>
      <c r="U142" s="543"/>
      <c r="V142" s="558"/>
      <c r="X142" s="543"/>
      <c r="Y142" s="558"/>
    </row>
    <row r="143" spans="2:25" ht="10.5" customHeight="1">
      <c r="B143" s="574"/>
      <c r="C143" s="574"/>
      <c r="D143" s="574"/>
      <c r="E143" s="574"/>
      <c r="F143" s="574"/>
      <c r="G143" s="574"/>
      <c r="H143" s="574"/>
      <c r="I143" s="574"/>
      <c r="J143" s="574"/>
      <c r="K143" s="574"/>
      <c r="L143" s="574"/>
      <c r="M143" s="570"/>
      <c r="N143" s="574"/>
      <c r="O143" s="574"/>
      <c r="P143" s="571"/>
      <c r="Q143" s="571"/>
    </row>
    <row r="150" spans="4:4">
      <c r="D150" s="569"/>
    </row>
  </sheetData>
  <sheetProtection algorithmName="SHA-512" hashValue="PqOEHrb+EqXm4Po1MRTsLpoqTaxQqKpfnyMnhLPh0NKGxSlS64VoUXxyqt97CWZJa1riEnjJoWNmmTaKQCmEeA==" saltValue="RKL0NdyNUnH7WG9rwclysQ==" spinCount="100000" sheet="1" formatCells="0" formatColumns="0" formatRows="0" insertColumns="0" insertRows="0" insertHyperlinks="0" deleteColumns="0" deleteRows="0" sort="0" autoFilter="0" pivotTables="0"/>
  <mergeCells count="58">
    <mergeCell ref="B2:Q2"/>
    <mergeCell ref="D4:O4"/>
    <mergeCell ref="D13:O13"/>
    <mergeCell ref="D24:O24"/>
    <mergeCell ref="D60:O60"/>
    <mergeCell ref="D15:O15"/>
    <mergeCell ref="D33:O33"/>
    <mergeCell ref="D42:O42"/>
    <mergeCell ref="D51:O51"/>
    <mergeCell ref="D106:O106"/>
    <mergeCell ref="D115:O115"/>
    <mergeCell ref="D69:O69"/>
    <mergeCell ref="D78:O78"/>
    <mergeCell ref="D87:O87"/>
    <mergeCell ref="D96:O96"/>
    <mergeCell ref="D104:O104"/>
    <mergeCell ref="U135:V135"/>
    <mergeCell ref="X135:Y135"/>
    <mergeCell ref="D126:O126"/>
    <mergeCell ref="D135:O135"/>
    <mergeCell ref="R124:S124"/>
    <mergeCell ref="U124:V124"/>
    <mergeCell ref="X124:Y124"/>
    <mergeCell ref="R126:S126"/>
    <mergeCell ref="U126:V126"/>
    <mergeCell ref="X126:Y126"/>
    <mergeCell ref="D124:O124"/>
    <mergeCell ref="R135:S135"/>
    <mergeCell ref="U106:V106"/>
    <mergeCell ref="X106:Y106"/>
    <mergeCell ref="R115:S115"/>
    <mergeCell ref="U115:V115"/>
    <mergeCell ref="X115:Y115"/>
    <mergeCell ref="R106:S106"/>
    <mergeCell ref="U96:V96"/>
    <mergeCell ref="X96:Y96"/>
    <mergeCell ref="R104:S104"/>
    <mergeCell ref="U104:V104"/>
    <mergeCell ref="X104:Y104"/>
    <mergeCell ref="U24:V24"/>
    <mergeCell ref="X24:Y24"/>
    <mergeCell ref="R60:S60"/>
    <mergeCell ref="U60:V60"/>
    <mergeCell ref="X60:Y60"/>
    <mergeCell ref="R26:S26"/>
    <mergeCell ref="X9:Y9"/>
    <mergeCell ref="U9:V9"/>
    <mergeCell ref="U13:V13"/>
    <mergeCell ref="X13:Y13"/>
    <mergeCell ref="U11:V11"/>
    <mergeCell ref="X11:Y11"/>
    <mergeCell ref="R20:S20"/>
    <mergeCell ref="E8:G8"/>
    <mergeCell ref="I8:K8"/>
    <mergeCell ref="M8:O8"/>
    <mergeCell ref="E7:G7"/>
    <mergeCell ref="I7:K7"/>
    <mergeCell ref="M7:O7"/>
  </mergeCells>
  <conditionalFormatting sqref="E26:M26">
    <cfRule type="colorScale" priority="10">
      <colorScale>
        <cfvo type="min"/>
        <cfvo type="percentile" val="50"/>
        <cfvo type="max"/>
        <color theme="6"/>
        <color rgb="FFE2E278"/>
        <color theme="3"/>
      </colorScale>
    </cfRule>
  </conditionalFormatting>
  <conditionalFormatting sqref="E108:M108">
    <cfRule type="colorScale" priority="6">
      <colorScale>
        <cfvo type="min"/>
        <cfvo type="percentile" val="50"/>
        <cfvo type="max"/>
        <color theme="6"/>
        <color rgb="FFE2E278"/>
        <color theme="3"/>
      </colorScale>
    </cfRule>
  </conditionalFormatting>
  <conditionalFormatting sqref="E117:M117">
    <cfRule type="colorScale" priority="3">
      <colorScale>
        <cfvo type="min"/>
        <cfvo type="percentile" val="50"/>
        <cfvo type="max"/>
        <color theme="6"/>
        <color rgb="FFE2E278"/>
        <color theme="3"/>
      </colorScale>
    </cfRule>
  </conditionalFormatting>
  <conditionalFormatting sqref="E128:M128">
    <cfRule type="colorScale" priority="2">
      <colorScale>
        <cfvo type="min"/>
        <cfvo type="percentile" val="50"/>
        <cfvo type="max"/>
        <color theme="6"/>
        <color rgb="FFE2E278"/>
        <color theme="3"/>
      </colorScale>
    </cfRule>
  </conditionalFormatting>
  <conditionalFormatting sqref="E137:M137">
    <cfRule type="colorScale" priority="1">
      <colorScale>
        <cfvo type="min"/>
        <cfvo type="percentile" val="50"/>
        <cfvo type="max"/>
        <color theme="6"/>
        <color rgb="FFE2E278"/>
        <color theme="3"/>
      </colorScale>
    </cfRule>
  </conditionalFormatting>
  <conditionalFormatting sqref="E17:O17">
    <cfRule type="colorScale" priority="11">
      <colorScale>
        <cfvo type="min"/>
        <cfvo type="percentile" val="50"/>
        <cfvo type="max"/>
        <color theme="6"/>
        <color rgb="FFE2E278"/>
        <color theme="3"/>
      </colorScale>
    </cfRule>
  </conditionalFormatting>
  <conditionalFormatting sqref="E62:O62">
    <cfRule type="colorScale" priority="4">
      <colorScale>
        <cfvo type="min"/>
        <cfvo type="percentile" val="50"/>
        <cfvo type="max"/>
        <color theme="6"/>
        <color rgb="FFE2E278"/>
        <color theme="3"/>
      </colorScale>
    </cfRule>
  </conditionalFormatting>
  <conditionalFormatting sqref="G62:H62">
    <cfRule type="colorScale" priority="5">
      <colorScale>
        <cfvo type="min"/>
        <cfvo type="percentile" val="50"/>
        <cfvo type="max"/>
        <color theme="6"/>
        <color rgb="FFE2E278"/>
        <color theme="3"/>
      </colorScale>
    </cfRule>
    <cfRule type="colorScale" priority="9">
      <colorScale>
        <cfvo type="min"/>
        <cfvo type="percentile" val="50"/>
        <cfvo type="max"/>
        <color theme="6"/>
        <color rgb="FFE2E278"/>
        <color theme="3"/>
      </colorScale>
    </cfRule>
  </conditionalFormatting>
  <conditionalFormatting sqref="J62">
    <cfRule type="colorScale" priority="8">
      <colorScale>
        <cfvo type="min"/>
        <cfvo type="percentile" val="50"/>
        <cfvo type="max"/>
        <color theme="6"/>
        <color rgb="FFE2E278"/>
        <color theme="3"/>
      </colorScale>
    </cfRule>
  </conditionalFormatting>
  <conditionalFormatting sqref="S117">
    <cfRule type="colorScale" priority="40">
      <colorScale>
        <cfvo type="min"/>
        <cfvo type="max"/>
        <color theme="6"/>
        <color rgb="FFE2E278"/>
      </colorScale>
    </cfRule>
    <cfRule type="colorScale" priority="41">
      <colorScale>
        <cfvo type="min"/>
        <cfvo type="max"/>
        <color theme="6"/>
        <color rgb="FFE2E278"/>
      </colorScale>
    </cfRule>
    <cfRule type="colorScale" priority="42">
      <colorScale>
        <cfvo type="min"/>
        <cfvo type="max"/>
        <color rgb="FFE2E278"/>
        <color rgb="FFFFC000"/>
      </colorScale>
    </cfRule>
    <cfRule type="colorScale" priority="43">
      <colorScale>
        <cfvo type="min"/>
        <cfvo type="percentile" val="50"/>
        <cfvo type="max"/>
        <color theme="6"/>
        <color theme="3"/>
        <color theme="3"/>
      </colorScale>
    </cfRule>
  </conditionalFormatting>
  <conditionalFormatting sqref="S137">
    <cfRule type="colorScale" priority="36">
      <colorScale>
        <cfvo type="min"/>
        <cfvo type="max"/>
        <color theme="6"/>
        <color rgb="FFE2E278"/>
      </colorScale>
    </cfRule>
    <cfRule type="colorScale" priority="37">
      <colorScale>
        <cfvo type="min"/>
        <cfvo type="percentile" val="50"/>
        <cfvo type="max"/>
        <color theme="6"/>
        <color theme="3"/>
        <color theme="3"/>
      </colorScale>
    </cfRule>
    <cfRule type="colorScale" priority="38">
      <colorScale>
        <cfvo type="min"/>
        <cfvo type="percentile" val="50"/>
        <cfvo type="max"/>
        <color theme="3"/>
        <color theme="3"/>
        <color theme="6"/>
      </colorScale>
    </cfRule>
    <cfRule type="colorScale" priority="39">
      <colorScale>
        <cfvo type="min"/>
        <cfvo type="percentile" val="50"/>
        <cfvo type="max"/>
        <color theme="6"/>
        <color rgb="FFE2E278"/>
        <color theme="3"/>
      </colorScale>
    </cfRule>
  </conditionalFormatting>
  <conditionalFormatting sqref="V117">
    <cfRule type="colorScale" priority="32">
      <colorScale>
        <cfvo type="min"/>
        <cfvo type="max"/>
        <color theme="6"/>
        <color rgb="FFE2E278"/>
      </colorScale>
    </cfRule>
    <cfRule type="colorScale" priority="33">
      <colorScale>
        <cfvo type="min"/>
        <cfvo type="max"/>
        <color theme="6"/>
        <color rgb="FFE2E278"/>
      </colorScale>
    </cfRule>
    <cfRule type="colorScale" priority="34">
      <colorScale>
        <cfvo type="min"/>
        <cfvo type="max"/>
        <color rgb="FFE2E278"/>
        <color rgb="FFFFC000"/>
      </colorScale>
    </cfRule>
    <cfRule type="colorScale" priority="35">
      <colorScale>
        <cfvo type="min"/>
        <cfvo type="percentile" val="50"/>
        <cfvo type="max"/>
        <color theme="6"/>
        <color theme="3"/>
        <color theme="3"/>
      </colorScale>
    </cfRule>
  </conditionalFormatting>
  <conditionalFormatting sqref="V137">
    <cfRule type="colorScale" priority="31">
      <colorScale>
        <cfvo type="min"/>
        <cfvo type="percentile" val="50"/>
        <cfvo type="max"/>
        <color theme="6"/>
        <color rgb="FFE2E278"/>
        <color theme="3"/>
      </colorScale>
    </cfRule>
    <cfRule type="colorScale" priority="28">
      <colorScale>
        <cfvo type="min"/>
        <cfvo type="max"/>
        <color theme="6"/>
        <color rgb="FFE2E278"/>
      </colorScale>
    </cfRule>
    <cfRule type="colorScale" priority="29">
      <colorScale>
        <cfvo type="min"/>
        <cfvo type="percentile" val="50"/>
        <cfvo type="max"/>
        <color theme="6"/>
        <color theme="3"/>
        <color theme="3"/>
      </colorScale>
    </cfRule>
    <cfRule type="colorScale" priority="30">
      <colorScale>
        <cfvo type="min"/>
        <cfvo type="percentile" val="50"/>
        <cfvo type="max"/>
        <color theme="3"/>
        <color theme="3"/>
        <color theme="6"/>
      </colorScale>
    </cfRule>
  </conditionalFormatting>
  <conditionalFormatting sqref="Y117">
    <cfRule type="colorScale" priority="24">
      <colorScale>
        <cfvo type="min"/>
        <cfvo type="max"/>
        <color theme="6"/>
        <color rgb="FFE2E278"/>
      </colorScale>
    </cfRule>
    <cfRule type="colorScale" priority="25">
      <colorScale>
        <cfvo type="min"/>
        <cfvo type="max"/>
        <color theme="6"/>
        <color rgb="FFE2E278"/>
      </colorScale>
    </cfRule>
    <cfRule type="colorScale" priority="26">
      <colorScale>
        <cfvo type="min"/>
        <cfvo type="max"/>
        <color rgb="FFE2E278"/>
        <color rgb="FFFFC000"/>
      </colorScale>
    </cfRule>
    <cfRule type="colorScale" priority="27">
      <colorScale>
        <cfvo type="min"/>
        <cfvo type="percentile" val="50"/>
        <cfvo type="max"/>
        <color theme="6"/>
        <color theme="3"/>
        <color theme="3"/>
      </colorScale>
    </cfRule>
  </conditionalFormatting>
  <conditionalFormatting sqref="Y137">
    <cfRule type="colorScale" priority="20">
      <colorScale>
        <cfvo type="min"/>
        <cfvo type="max"/>
        <color theme="6"/>
        <color rgb="FFE2E278"/>
      </colorScale>
    </cfRule>
    <cfRule type="colorScale" priority="21">
      <colorScale>
        <cfvo type="min"/>
        <cfvo type="percentile" val="50"/>
        <cfvo type="max"/>
        <color theme="6"/>
        <color theme="3"/>
        <color theme="3"/>
      </colorScale>
    </cfRule>
    <cfRule type="colorScale" priority="22">
      <colorScale>
        <cfvo type="min"/>
        <cfvo type="percentile" val="50"/>
        <cfvo type="max"/>
        <color theme="3"/>
        <color theme="3"/>
        <color theme="6"/>
      </colorScale>
    </cfRule>
    <cfRule type="colorScale" priority="23">
      <colorScale>
        <cfvo type="min"/>
        <cfvo type="percentile" val="50"/>
        <cfvo type="max"/>
        <color theme="6"/>
        <color rgb="FFE2E278"/>
        <color theme="3"/>
      </colorScale>
    </cfRule>
  </conditionalFormatting>
  <printOptions horizontalCentered="1" verticalCentered="1"/>
  <pageMargins left="0.25" right="0.25" top="0.5" bottom="0.5" header="0" footer="0"/>
  <pageSetup paperSize="9" scale="47" orientation="portrait" r:id="rId1"/>
  <headerFooter>
    <oddHeader>&amp;L&amp;&amp;«Calibri»&amp;10&amp;K000000Clasificado como interno&amp;K000000&amp;1#</oddHeader>
  </headerFooter>
  <rowBreaks count="1" manualBreakCount="1">
    <brk id="103" min="1" max="14"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C1EAC-B712-4313-B33A-9C7F1E235BCC}">
  <sheetPr codeName="Sheet4">
    <tabColor theme="9"/>
  </sheetPr>
  <dimension ref="B1:Z99"/>
  <sheetViews>
    <sheetView showGridLines="0" zoomScaleNormal="100" workbookViewId="0"/>
  </sheetViews>
  <sheetFormatPr defaultColWidth="8.81640625" defaultRowHeight="14"/>
  <cols>
    <col min="1" max="1" width="4.453125" style="577" customWidth="1"/>
    <col min="2" max="2" width="4.1796875" style="577" customWidth="1"/>
    <col min="3" max="16384" width="8.81640625" style="577"/>
  </cols>
  <sheetData>
    <row r="1" spans="2:26" ht="8.25" customHeight="1">
      <c r="B1" s="649"/>
      <c r="C1" s="649"/>
      <c r="D1" s="649"/>
      <c r="E1" s="649"/>
      <c r="F1" s="649"/>
      <c r="G1" s="649"/>
      <c r="H1" s="649"/>
      <c r="I1" s="649"/>
      <c r="J1" s="649"/>
      <c r="K1" s="649"/>
      <c r="L1" s="649"/>
      <c r="M1" s="649"/>
      <c r="N1" s="649"/>
      <c r="O1" s="649"/>
      <c r="P1" s="649"/>
      <c r="Q1" s="649"/>
      <c r="R1" s="649"/>
      <c r="S1" s="649"/>
      <c r="T1" s="649"/>
      <c r="U1" s="649"/>
      <c r="V1" s="649"/>
      <c r="W1" s="649"/>
      <c r="X1" s="649"/>
      <c r="Y1" s="649"/>
      <c r="Z1" s="649"/>
    </row>
    <row r="2" spans="2:26" ht="20.25" customHeight="1">
      <c r="B2" s="1089" t="s">
        <v>257</v>
      </c>
      <c r="C2" s="1054"/>
      <c r="D2" s="1054"/>
      <c r="E2" s="1054"/>
      <c r="F2" s="1054"/>
      <c r="G2" s="1054"/>
      <c r="H2" s="1054"/>
      <c r="I2" s="1054"/>
      <c r="J2" s="1054"/>
      <c r="K2" s="1054"/>
      <c r="L2" s="1054"/>
      <c r="M2" s="1054"/>
      <c r="N2" s="1054"/>
      <c r="O2" s="1054"/>
      <c r="P2" s="1054"/>
      <c r="Q2" s="1054"/>
      <c r="R2" s="1054"/>
      <c r="S2" s="1054"/>
      <c r="T2" s="1054"/>
      <c r="U2" s="1054"/>
      <c r="V2" s="1054"/>
      <c r="W2" s="1054"/>
      <c r="X2" s="1054"/>
      <c r="Y2" s="1054"/>
      <c r="Z2" s="1054"/>
    </row>
    <row r="3" spans="2:26">
      <c r="B3" s="578"/>
      <c r="C3" s="578"/>
      <c r="D3" s="578"/>
      <c r="E3" s="578"/>
      <c r="F3" s="578"/>
      <c r="G3" s="578"/>
      <c r="H3" s="578"/>
      <c r="I3" s="578"/>
      <c r="J3" s="578"/>
      <c r="K3" s="578"/>
      <c r="L3" s="578"/>
      <c r="M3" s="578"/>
      <c r="N3" s="578"/>
      <c r="O3" s="578"/>
      <c r="P3" s="578"/>
      <c r="Q3" s="578"/>
      <c r="R3" s="578"/>
      <c r="S3" s="578"/>
      <c r="T3" s="578"/>
      <c r="U3" s="578"/>
      <c r="V3" s="578"/>
      <c r="W3" s="578"/>
      <c r="X3" s="578"/>
      <c r="Y3" s="578"/>
      <c r="Z3" s="578"/>
    </row>
    <row r="4" spans="2:26" ht="45" customHeight="1">
      <c r="B4" s="578"/>
      <c r="C4" s="576"/>
      <c r="D4" s="575"/>
      <c r="E4" s="1088" t="s">
        <v>253</v>
      </c>
      <c r="F4" s="1088"/>
      <c r="G4" s="1088"/>
      <c r="H4" s="1088"/>
      <c r="I4" s="1088"/>
      <c r="J4" s="1088"/>
      <c r="K4" s="1088"/>
      <c r="L4" s="1088"/>
      <c r="M4" s="1088"/>
      <c r="N4" s="1088"/>
      <c r="O4" s="1088"/>
      <c r="P4" s="1088"/>
      <c r="Q4" s="1088"/>
      <c r="R4" s="1088"/>
      <c r="S4" s="1088"/>
      <c r="T4" s="1088"/>
      <c r="U4" s="1088"/>
      <c r="V4" s="1088"/>
      <c r="W4" s="575"/>
      <c r="X4" s="575"/>
      <c r="Y4" s="575"/>
      <c r="Z4" s="578"/>
    </row>
    <row r="5" spans="2:26" ht="35.25" customHeight="1">
      <c r="B5" s="578"/>
      <c r="C5" s="580" t="s">
        <v>258</v>
      </c>
      <c r="D5" s="578"/>
      <c r="E5" s="578"/>
      <c r="F5" s="578"/>
      <c r="G5" s="578"/>
      <c r="H5" s="578"/>
      <c r="I5" s="578"/>
      <c r="J5" s="578"/>
      <c r="K5" s="578"/>
      <c r="L5" s="578"/>
      <c r="M5" s="578"/>
      <c r="N5" s="578"/>
      <c r="O5" s="578"/>
      <c r="P5" s="578"/>
      <c r="Q5" s="578"/>
      <c r="R5" s="578"/>
      <c r="S5" s="578"/>
      <c r="T5" s="578"/>
      <c r="U5" s="578"/>
      <c r="V5" s="578"/>
      <c r="W5" s="578"/>
      <c r="X5" s="578"/>
      <c r="Y5" s="578"/>
      <c r="Z5" s="578"/>
    </row>
    <row r="6" spans="2:26" ht="14.5">
      <c r="B6" s="578"/>
      <c r="C6" s="581" t="s">
        <v>259</v>
      </c>
      <c r="D6" s="578"/>
      <c r="E6" s="578"/>
      <c r="F6" s="578"/>
      <c r="G6" s="578"/>
      <c r="H6" s="578"/>
      <c r="I6" s="578"/>
      <c r="J6" s="578"/>
      <c r="K6" s="578"/>
      <c r="L6" s="578"/>
      <c r="M6" s="578"/>
      <c r="N6" s="578"/>
      <c r="O6" s="578"/>
      <c r="P6" s="578"/>
      <c r="Q6" s="578"/>
      <c r="R6" s="578"/>
      <c r="S6" s="578"/>
      <c r="T6" s="578"/>
      <c r="U6" s="578"/>
      <c r="V6" s="578"/>
      <c r="W6" s="578"/>
      <c r="X6" s="578"/>
      <c r="Y6" s="578"/>
      <c r="Z6" s="578"/>
    </row>
    <row r="7" spans="2:26">
      <c r="B7" s="578"/>
      <c r="C7" s="578"/>
      <c r="D7" s="578"/>
      <c r="E7" s="578"/>
      <c r="F7" s="578"/>
      <c r="G7" s="578"/>
      <c r="H7" s="578"/>
      <c r="I7" s="578"/>
      <c r="J7" s="578"/>
      <c r="K7" s="578"/>
      <c r="L7" s="578"/>
      <c r="M7" s="578"/>
      <c r="N7" s="578"/>
      <c r="O7" s="578"/>
      <c r="P7" s="578"/>
      <c r="Q7" s="578"/>
      <c r="R7" s="578"/>
      <c r="S7" s="578"/>
      <c r="T7" s="578"/>
      <c r="U7" s="578"/>
      <c r="V7" s="578"/>
      <c r="W7" s="578"/>
      <c r="X7" s="578"/>
      <c r="Y7" s="578"/>
      <c r="Z7" s="578"/>
    </row>
    <row r="8" spans="2:26">
      <c r="B8" s="578"/>
      <c r="C8" s="578"/>
      <c r="D8" s="578"/>
      <c r="E8" s="578"/>
      <c r="F8" s="578"/>
      <c r="G8" s="578"/>
      <c r="H8" s="578"/>
      <c r="I8" s="578"/>
      <c r="J8" s="578"/>
      <c r="K8" s="578"/>
      <c r="L8" s="578"/>
      <c r="M8" s="578"/>
      <c r="N8" s="578"/>
      <c r="O8" s="578"/>
      <c r="P8" s="578"/>
      <c r="Q8" s="578"/>
      <c r="R8" s="578"/>
      <c r="S8" s="578"/>
      <c r="T8" s="578"/>
      <c r="U8" s="578"/>
      <c r="V8" s="578"/>
      <c r="W8" s="578"/>
      <c r="X8" s="578"/>
      <c r="Y8" s="578"/>
      <c r="Z8" s="578"/>
    </row>
    <row r="9" spans="2:26">
      <c r="B9" s="578"/>
      <c r="C9" s="578"/>
      <c r="D9" s="578"/>
      <c r="E9" s="578"/>
      <c r="F9" s="578"/>
      <c r="G9" s="578"/>
      <c r="H9" s="578"/>
      <c r="I9" s="578"/>
      <c r="J9" s="578"/>
      <c r="K9" s="578"/>
      <c r="L9" s="578"/>
      <c r="M9" s="578"/>
      <c r="N9" s="578"/>
      <c r="O9" s="578"/>
      <c r="P9" s="578"/>
      <c r="Q9" s="578"/>
      <c r="R9" s="578"/>
      <c r="S9" s="578"/>
      <c r="T9" s="578"/>
      <c r="U9" s="578"/>
      <c r="V9" s="578"/>
      <c r="W9" s="578"/>
      <c r="X9" s="578"/>
      <c r="Y9" s="578"/>
      <c r="Z9" s="578"/>
    </row>
    <row r="10" spans="2:26">
      <c r="B10" s="578"/>
      <c r="C10" s="578"/>
      <c r="D10" s="578"/>
      <c r="E10" s="578"/>
      <c r="F10" s="578"/>
      <c r="G10" s="578"/>
      <c r="H10" s="578"/>
      <c r="I10" s="578"/>
      <c r="J10" s="578"/>
      <c r="K10" s="578"/>
      <c r="L10" s="578"/>
      <c r="M10" s="578"/>
      <c r="N10" s="578"/>
      <c r="O10" s="578"/>
      <c r="P10" s="578"/>
      <c r="Q10" s="578"/>
      <c r="R10" s="578"/>
      <c r="S10" s="578"/>
      <c r="T10" s="578"/>
      <c r="U10" s="578"/>
      <c r="V10" s="578"/>
      <c r="W10" s="578"/>
      <c r="X10" s="578"/>
      <c r="Y10" s="578"/>
      <c r="Z10" s="578"/>
    </row>
    <row r="11" spans="2:26">
      <c r="B11" s="578"/>
      <c r="C11" s="578"/>
      <c r="D11" s="578"/>
      <c r="E11" s="578"/>
      <c r="F11" s="578"/>
      <c r="G11" s="578"/>
      <c r="H11" s="578"/>
      <c r="I11" s="578"/>
      <c r="J11" s="578"/>
      <c r="K11" s="578"/>
      <c r="L11" s="578"/>
      <c r="M11" s="578"/>
      <c r="N11" s="578"/>
      <c r="O11" s="578"/>
      <c r="P11" s="578"/>
      <c r="Q11" s="578"/>
      <c r="R11" s="578"/>
      <c r="S11" s="578"/>
      <c r="T11" s="578"/>
      <c r="U11" s="578"/>
      <c r="V11" s="578"/>
      <c r="W11" s="578"/>
      <c r="X11" s="578"/>
      <c r="Y11" s="578"/>
      <c r="Z11" s="578"/>
    </row>
    <row r="12" spans="2:26">
      <c r="B12" s="578"/>
      <c r="C12" s="578"/>
      <c r="D12" s="578"/>
      <c r="E12" s="578"/>
      <c r="F12" s="578"/>
      <c r="G12" s="578"/>
      <c r="H12" s="578"/>
      <c r="I12" s="578"/>
      <c r="J12" s="578"/>
      <c r="K12" s="578"/>
      <c r="L12" s="578"/>
      <c r="M12" s="578"/>
      <c r="N12" s="578"/>
      <c r="O12" s="578"/>
      <c r="P12" s="578"/>
      <c r="Q12" s="578"/>
      <c r="R12" s="578"/>
      <c r="S12" s="578"/>
      <c r="T12" s="578"/>
      <c r="U12" s="578"/>
      <c r="V12" s="578"/>
      <c r="W12" s="578"/>
      <c r="X12" s="578"/>
      <c r="Y12" s="578"/>
      <c r="Z12" s="578"/>
    </row>
    <row r="13" spans="2:26">
      <c r="B13" s="578"/>
      <c r="C13" s="578"/>
      <c r="D13" s="578"/>
      <c r="E13" s="578"/>
      <c r="F13" s="578"/>
      <c r="G13" s="578"/>
      <c r="H13" s="578"/>
      <c r="I13" s="578"/>
      <c r="J13" s="578"/>
      <c r="K13" s="578"/>
      <c r="L13" s="578"/>
      <c r="M13" s="578"/>
      <c r="N13" s="578"/>
      <c r="O13" s="578"/>
      <c r="P13" s="578"/>
      <c r="Q13" s="578"/>
      <c r="R13" s="578"/>
      <c r="S13" s="578"/>
      <c r="T13" s="578"/>
      <c r="U13" s="578"/>
      <c r="V13" s="578"/>
      <c r="W13" s="578"/>
      <c r="X13" s="578"/>
      <c r="Y13" s="578"/>
      <c r="Z13" s="578"/>
    </row>
    <row r="14" spans="2:26">
      <c r="B14" s="578"/>
      <c r="C14" s="578"/>
      <c r="D14" s="578"/>
      <c r="E14" s="578"/>
      <c r="F14" s="578"/>
      <c r="G14" s="578"/>
      <c r="H14" s="578"/>
      <c r="I14" s="578"/>
      <c r="J14" s="578"/>
      <c r="K14" s="578"/>
      <c r="L14" s="578"/>
      <c r="M14" s="578"/>
      <c r="N14" s="578"/>
      <c r="O14" s="578"/>
      <c r="P14" s="578"/>
      <c r="Q14" s="578"/>
      <c r="R14" s="578"/>
      <c r="S14" s="578"/>
      <c r="T14" s="578"/>
      <c r="U14" s="578"/>
      <c r="V14" s="578"/>
      <c r="W14" s="578"/>
      <c r="X14" s="578"/>
      <c r="Y14" s="578"/>
      <c r="Z14" s="578"/>
    </row>
    <row r="15" spans="2:26">
      <c r="B15" s="578"/>
      <c r="C15" s="578"/>
      <c r="D15" s="578"/>
      <c r="E15" s="578"/>
      <c r="F15" s="578"/>
      <c r="G15" s="578"/>
      <c r="H15" s="578"/>
      <c r="I15" s="578"/>
      <c r="J15" s="578"/>
      <c r="K15" s="578"/>
      <c r="L15" s="578"/>
      <c r="M15" s="578"/>
      <c r="N15" s="578"/>
      <c r="O15" s="578"/>
      <c r="P15" s="578"/>
      <c r="Q15" s="578"/>
      <c r="R15" s="578"/>
      <c r="S15" s="578"/>
      <c r="T15" s="578"/>
      <c r="U15" s="578"/>
      <c r="V15" s="578"/>
      <c r="W15" s="578"/>
      <c r="X15" s="578"/>
      <c r="Y15" s="578"/>
      <c r="Z15" s="578"/>
    </row>
    <row r="16" spans="2:26">
      <c r="B16" s="578"/>
      <c r="C16" s="578"/>
      <c r="D16" s="578"/>
      <c r="E16" s="578"/>
      <c r="F16" s="578"/>
      <c r="G16" s="578"/>
      <c r="H16" s="578"/>
      <c r="I16" s="578"/>
      <c r="J16" s="578"/>
      <c r="K16" s="578"/>
      <c r="L16" s="578"/>
      <c r="M16" s="578"/>
      <c r="N16" s="578"/>
      <c r="O16" s="578"/>
      <c r="P16" s="578"/>
      <c r="Q16" s="578"/>
      <c r="R16" s="578"/>
      <c r="S16" s="578"/>
      <c r="T16" s="578"/>
      <c r="U16" s="578"/>
      <c r="V16" s="578"/>
      <c r="W16" s="578"/>
      <c r="X16" s="578"/>
      <c r="Y16" s="578"/>
      <c r="Z16" s="578"/>
    </row>
    <row r="17" spans="2:26">
      <c r="B17" s="578"/>
      <c r="C17" s="578"/>
      <c r="D17" s="578"/>
      <c r="E17" s="578"/>
      <c r="F17" s="578"/>
      <c r="G17" s="578"/>
      <c r="H17" s="578"/>
      <c r="I17" s="578"/>
      <c r="J17" s="578"/>
      <c r="K17" s="578"/>
      <c r="L17" s="578"/>
      <c r="M17" s="578"/>
      <c r="N17" s="578"/>
      <c r="O17" s="578"/>
      <c r="P17" s="578"/>
      <c r="Q17" s="578"/>
      <c r="R17" s="578"/>
      <c r="S17" s="578"/>
      <c r="T17" s="578"/>
      <c r="U17" s="578"/>
      <c r="V17" s="578"/>
      <c r="W17" s="578"/>
      <c r="X17" s="578"/>
      <c r="Y17" s="578"/>
      <c r="Z17" s="578"/>
    </row>
    <row r="18" spans="2:26">
      <c r="B18" s="578"/>
      <c r="C18" s="578"/>
      <c r="D18" s="578"/>
      <c r="E18" s="578"/>
      <c r="F18" s="578"/>
      <c r="G18" s="578"/>
      <c r="H18" s="578"/>
      <c r="I18" s="578"/>
      <c r="J18" s="578"/>
      <c r="K18" s="578"/>
      <c r="L18" s="578"/>
      <c r="M18" s="578"/>
      <c r="N18" s="578"/>
      <c r="O18" s="578"/>
      <c r="P18" s="578"/>
      <c r="Q18" s="578"/>
      <c r="R18" s="578"/>
      <c r="S18" s="578"/>
      <c r="T18" s="578"/>
      <c r="U18" s="578"/>
      <c r="V18" s="578"/>
      <c r="W18" s="578"/>
      <c r="X18" s="578"/>
      <c r="Y18" s="578"/>
      <c r="Z18" s="578"/>
    </row>
    <row r="19" spans="2:26">
      <c r="B19" s="578"/>
      <c r="C19" s="578"/>
      <c r="D19" s="578"/>
      <c r="E19" s="578"/>
      <c r="F19" s="578"/>
      <c r="G19" s="578"/>
      <c r="H19" s="578"/>
      <c r="I19" s="578"/>
      <c r="J19" s="578"/>
      <c r="K19" s="578"/>
      <c r="L19" s="578"/>
      <c r="M19" s="578"/>
      <c r="N19" s="578"/>
      <c r="O19" s="578"/>
      <c r="P19" s="578"/>
      <c r="Q19" s="578"/>
      <c r="R19" s="578"/>
      <c r="S19" s="578"/>
      <c r="T19" s="578"/>
      <c r="U19" s="578"/>
      <c r="V19" s="578"/>
      <c r="W19" s="578"/>
      <c r="X19" s="578"/>
      <c r="Y19" s="578"/>
      <c r="Z19" s="578"/>
    </row>
    <row r="20" spans="2:26">
      <c r="B20" s="578"/>
      <c r="C20" s="578"/>
      <c r="D20" s="578"/>
      <c r="E20" s="578"/>
      <c r="F20" s="578"/>
      <c r="G20" s="578"/>
      <c r="H20" s="578"/>
      <c r="I20" s="578"/>
      <c r="J20" s="578"/>
      <c r="K20" s="578"/>
      <c r="L20" s="578"/>
      <c r="M20" s="578"/>
      <c r="N20" s="578"/>
      <c r="O20" s="578"/>
      <c r="P20" s="578"/>
      <c r="Q20" s="578"/>
      <c r="R20" s="578"/>
      <c r="S20" s="578"/>
      <c r="T20" s="578"/>
      <c r="U20" s="578"/>
      <c r="V20" s="578"/>
      <c r="W20" s="578"/>
      <c r="X20" s="578"/>
      <c r="Y20" s="578"/>
      <c r="Z20" s="578"/>
    </row>
    <row r="21" spans="2:26">
      <c r="B21" s="578"/>
      <c r="C21" s="578"/>
      <c r="D21" s="578"/>
      <c r="E21" s="578"/>
      <c r="F21" s="578"/>
      <c r="G21" s="578"/>
      <c r="H21" s="578"/>
      <c r="I21" s="578"/>
      <c r="J21" s="578"/>
      <c r="K21" s="578"/>
      <c r="L21" s="578"/>
      <c r="M21" s="578"/>
      <c r="N21" s="578"/>
      <c r="O21" s="578"/>
      <c r="P21" s="578"/>
      <c r="Q21" s="578"/>
      <c r="R21" s="578"/>
      <c r="S21" s="578"/>
      <c r="T21" s="578"/>
      <c r="U21" s="578"/>
      <c r="V21" s="578"/>
      <c r="W21" s="578"/>
      <c r="X21" s="578"/>
      <c r="Y21" s="578"/>
      <c r="Z21" s="578"/>
    </row>
    <row r="22" spans="2:26">
      <c r="B22" s="578"/>
      <c r="C22" s="578"/>
      <c r="D22" s="578"/>
      <c r="E22" s="578"/>
      <c r="F22" s="578"/>
      <c r="G22" s="578"/>
      <c r="H22" s="578"/>
      <c r="I22" s="578"/>
      <c r="J22" s="578"/>
      <c r="K22" s="578"/>
      <c r="L22" s="578"/>
      <c r="M22" s="578"/>
      <c r="N22" s="578"/>
      <c r="O22" s="578"/>
      <c r="P22" s="578"/>
      <c r="Q22" s="578"/>
      <c r="R22" s="578"/>
      <c r="S22" s="578"/>
      <c r="T22" s="578"/>
      <c r="U22" s="578"/>
      <c r="V22" s="578"/>
      <c r="W22" s="578"/>
      <c r="X22" s="578"/>
      <c r="Y22" s="578"/>
      <c r="Z22" s="578"/>
    </row>
    <row r="23" spans="2:26">
      <c r="B23" s="578"/>
      <c r="C23" s="578"/>
      <c r="D23" s="578"/>
      <c r="E23" s="578"/>
      <c r="F23" s="578"/>
      <c r="G23" s="578"/>
      <c r="H23" s="578"/>
      <c r="I23" s="578"/>
      <c r="J23" s="578"/>
      <c r="K23" s="578"/>
      <c r="L23" s="578"/>
      <c r="M23" s="578"/>
      <c r="N23" s="578"/>
      <c r="O23" s="578"/>
      <c r="P23" s="578"/>
      <c r="Q23" s="578"/>
      <c r="R23" s="578"/>
      <c r="S23" s="578"/>
      <c r="T23" s="578"/>
      <c r="U23" s="578"/>
      <c r="V23" s="578"/>
      <c r="W23" s="578"/>
      <c r="X23" s="578"/>
      <c r="Y23" s="578"/>
      <c r="Z23" s="578"/>
    </row>
    <row r="24" spans="2:26">
      <c r="B24" s="578"/>
      <c r="C24" s="578"/>
      <c r="D24" s="578"/>
      <c r="E24" s="578"/>
      <c r="F24" s="578"/>
      <c r="G24" s="578"/>
      <c r="H24" s="578"/>
      <c r="I24" s="578"/>
      <c r="J24" s="578"/>
      <c r="K24" s="578"/>
      <c r="L24" s="578"/>
      <c r="M24" s="578"/>
      <c r="N24" s="578"/>
      <c r="O24" s="578"/>
      <c r="P24" s="578"/>
      <c r="Q24" s="578"/>
      <c r="R24" s="578"/>
      <c r="S24" s="578"/>
      <c r="T24" s="578"/>
      <c r="U24" s="578"/>
      <c r="V24" s="578"/>
      <c r="W24" s="578"/>
      <c r="X24" s="578"/>
      <c r="Y24" s="578"/>
      <c r="Z24" s="578"/>
    </row>
    <row r="25" spans="2:26" ht="35.25" customHeight="1">
      <c r="B25" s="578"/>
      <c r="C25" s="580" t="s">
        <v>260</v>
      </c>
      <c r="D25" s="578"/>
      <c r="E25" s="578"/>
      <c r="F25" s="578"/>
      <c r="G25" s="578"/>
      <c r="H25" s="578"/>
      <c r="I25" s="578"/>
      <c r="J25" s="578"/>
      <c r="K25" s="578"/>
      <c r="L25" s="578"/>
      <c r="M25" s="578"/>
      <c r="N25" s="578"/>
      <c r="O25" s="578"/>
      <c r="P25" s="578"/>
      <c r="Q25" s="578"/>
      <c r="R25" s="578"/>
      <c r="S25" s="578"/>
      <c r="T25" s="578"/>
      <c r="U25" s="578"/>
      <c r="V25" s="578"/>
      <c r="W25" s="578"/>
      <c r="X25" s="578"/>
      <c r="Y25" s="578"/>
      <c r="Z25" s="578"/>
    </row>
    <row r="26" spans="2:26" ht="14.5">
      <c r="B26" s="578"/>
      <c r="C26" s="581" t="s">
        <v>259</v>
      </c>
      <c r="D26" s="578"/>
      <c r="E26" s="578"/>
      <c r="F26" s="578"/>
      <c r="G26" s="578"/>
      <c r="H26" s="578"/>
      <c r="I26" s="578"/>
      <c r="J26" s="578"/>
      <c r="K26" s="578"/>
      <c r="L26" s="578"/>
      <c r="M26" s="578"/>
      <c r="N26" s="578"/>
      <c r="O26" s="578"/>
      <c r="P26" s="578"/>
      <c r="Q26" s="578"/>
      <c r="R26" s="578"/>
      <c r="S26" s="578"/>
      <c r="T26" s="578"/>
      <c r="U26" s="578"/>
      <c r="V26" s="578"/>
      <c r="W26" s="578"/>
      <c r="X26" s="578"/>
      <c r="Y26" s="578"/>
      <c r="Z26" s="578"/>
    </row>
    <row r="27" spans="2:26">
      <c r="B27" s="578"/>
      <c r="C27" s="578"/>
      <c r="D27" s="578"/>
      <c r="E27" s="578"/>
      <c r="F27" s="578"/>
      <c r="G27" s="578"/>
      <c r="H27" s="578"/>
      <c r="I27" s="578"/>
      <c r="J27" s="578"/>
      <c r="K27" s="578"/>
      <c r="L27" s="578"/>
      <c r="M27" s="578"/>
      <c r="N27" s="578"/>
      <c r="O27" s="578"/>
      <c r="P27" s="578"/>
      <c r="Q27" s="578"/>
      <c r="R27" s="578"/>
      <c r="S27" s="578"/>
      <c r="T27" s="578"/>
      <c r="U27" s="578"/>
      <c r="V27" s="578"/>
      <c r="W27" s="578"/>
      <c r="X27" s="578"/>
      <c r="Y27" s="578"/>
      <c r="Z27" s="578"/>
    </row>
    <row r="28" spans="2:26">
      <c r="B28" s="578"/>
      <c r="C28" s="578"/>
      <c r="D28" s="578"/>
      <c r="E28" s="578"/>
      <c r="F28" s="578"/>
      <c r="G28" s="578"/>
      <c r="H28" s="578"/>
      <c r="I28" s="578"/>
      <c r="J28" s="578"/>
      <c r="K28" s="578"/>
      <c r="L28" s="578"/>
      <c r="M28" s="578"/>
      <c r="N28" s="578"/>
      <c r="O28" s="578"/>
      <c r="P28" s="578"/>
      <c r="Q28" s="578"/>
      <c r="R28" s="578"/>
      <c r="S28" s="578"/>
      <c r="T28" s="578"/>
      <c r="U28" s="578"/>
      <c r="V28" s="578"/>
      <c r="W28" s="578"/>
      <c r="X28" s="578"/>
      <c r="Y28" s="578"/>
      <c r="Z28" s="578"/>
    </row>
    <row r="29" spans="2:26">
      <c r="B29" s="578"/>
      <c r="C29" s="578"/>
      <c r="D29" s="578"/>
      <c r="E29" s="578"/>
      <c r="F29" s="578"/>
      <c r="G29" s="578"/>
      <c r="H29" s="578"/>
      <c r="I29" s="578"/>
      <c r="J29" s="578"/>
      <c r="K29" s="578"/>
      <c r="L29" s="578"/>
      <c r="M29" s="578"/>
      <c r="N29" s="578"/>
      <c r="O29" s="578"/>
      <c r="P29" s="578"/>
      <c r="Q29" s="578"/>
      <c r="R29" s="578"/>
      <c r="S29" s="578"/>
      <c r="T29" s="578"/>
      <c r="U29" s="578"/>
      <c r="V29" s="578"/>
      <c r="W29" s="578"/>
      <c r="X29" s="578"/>
      <c r="Y29" s="578"/>
      <c r="Z29" s="578"/>
    </row>
    <row r="30" spans="2:26">
      <c r="B30" s="578"/>
      <c r="C30" s="578"/>
      <c r="D30" s="578"/>
      <c r="E30" s="578"/>
      <c r="F30" s="578"/>
      <c r="G30" s="578"/>
      <c r="H30" s="578"/>
      <c r="I30" s="578"/>
      <c r="J30" s="578"/>
      <c r="K30" s="578"/>
      <c r="L30" s="578"/>
      <c r="M30" s="578"/>
      <c r="N30" s="578"/>
      <c r="O30" s="578"/>
      <c r="P30" s="578"/>
      <c r="Q30" s="578"/>
      <c r="R30" s="578"/>
      <c r="S30" s="578"/>
      <c r="T30" s="578"/>
      <c r="U30" s="578"/>
      <c r="V30" s="578"/>
      <c r="W30" s="578"/>
      <c r="X30" s="578"/>
      <c r="Y30" s="578"/>
      <c r="Z30" s="578"/>
    </row>
    <row r="31" spans="2:26">
      <c r="B31" s="578"/>
      <c r="C31" s="578"/>
      <c r="D31" s="578"/>
      <c r="E31" s="578"/>
      <c r="F31" s="578"/>
      <c r="G31" s="578"/>
      <c r="H31" s="578"/>
      <c r="I31" s="578"/>
      <c r="J31" s="578"/>
      <c r="K31" s="578"/>
      <c r="L31" s="578"/>
      <c r="M31" s="578"/>
      <c r="N31" s="578"/>
      <c r="O31" s="578"/>
      <c r="P31" s="578"/>
      <c r="Q31" s="578"/>
      <c r="R31" s="578"/>
      <c r="S31" s="578"/>
      <c r="T31" s="578"/>
      <c r="U31" s="578"/>
      <c r="V31" s="578"/>
      <c r="W31" s="578"/>
      <c r="X31" s="578"/>
      <c r="Y31" s="578"/>
      <c r="Z31" s="578"/>
    </row>
    <row r="32" spans="2:26">
      <c r="B32" s="578"/>
      <c r="C32" s="578"/>
      <c r="D32" s="578"/>
      <c r="E32" s="578"/>
      <c r="F32" s="578"/>
      <c r="G32" s="578"/>
      <c r="H32" s="578"/>
      <c r="I32" s="578"/>
      <c r="J32" s="578"/>
      <c r="K32" s="578"/>
      <c r="L32" s="578"/>
      <c r="M32" s="578"/>
      <c r="N32" s="578"/>
      <c r="O32" s="578"/>
      <c r="P32" s="578"/>
      <c r="Q32" s="578"/>
      <c r="R32" s="578"/>
      <c r="S32" s="578"/>
      <c r="T32" s="578"/>
      <c r="U32" s="578"/>
      <c r="V32" s="578"/>
      <c r="W32" s="578"/>
      <c r="X32" s="578"/>
      <c r="Y32" s="578"/>
      <c r="Z32" s="578"/>
    </row>
    <row r="33" spans="2:26">
      <c r="B33" s="578"/>
      <c r="C33" s="578"/>
      <c r="D33" s="578"/>
      <c r="E33" s="578"/>
      <c r="F33" s="578"/>
      <c r="G33" s="578"/>
      <c r="H33" s="578"/>
      <c r="I33" s="578"/>
      <c r="J33" s="578"/>
      <c r="K33" s="578"/>
      <c r="L33" s="578"/>
      <c r="M33" s="578"/>
      <c r="N33" s="578"/>
      <c r="O33" s="578"/>
      <c r="P33" s="578"/>
      <c r="Q33" s="578"/>
      <c r="R33" s="578"/>
      <c r="S33" s="578"/>
      <c r="T33" s="578"/>
      <c r="U33" s="578"/>
      <c r="V33" s="578"/>
      <c r="W33" s="578"/>
      <c r="X33" s="578"/>
      <c r="Y33" s="578"/>
      <c r="Z33" s="578"/>
    </row>
    <row r="34" spans="2:26">
      <c r="B34" s="578"/>
      <c r="C34" s="578"/>
      <c r="D34" s="578"/>
      <c r="E34" s="578"/>
      <c r="F34" s="578"/>
      <c r="G34" s="578"/>
      <c r="H34" s="578"/>
      <c r="I34" s="578"/>
      <c r="J34" s="578"/>
      <c r="K34" s="578"/>
      <c r="L34" s="578"/>
      <c r="M34" s="578"/>
      <c r="N34" s="578"/>
      <c r="O34" s="578"/>
      <c r="P34" s="578"/>
      <c r="Q34" s="578"/>
      <c r="R34" s="578"/>
      <c r="S34" s="578"/>
      <c r="T34" s="578"/>
      <c r="U34" s="578"/>
      <c r="V34" s="578"/>
      <c r="W34" s="578"/>
      <c r="X34" s="578"/>
      <c r="Y34" s="578"/>
      <c r="Z34" s="578"/>
    </row>
    <row r="35" spans="2:26">
      <c r="B35" s="578"/>
      <c r="C35" s="578"/>
      <c r="D35" s="578"/>
      <c r="E35" s="578"/>
      <c r="F35" s="578"/>
      <c r="G35" s="578"/>
      <c r="H35" s="578"/>
      <c r="I35" s="578"/>
      <c r="J35" s="578"/>
      <c r="K35" s="578"/>
      <c r="L35" s="578"/>
      <c r="M35" s="578"/>
      <c r="N35" s="578"/>
      <c r="O35" s="578"/>
      <c r="P35" s="578"/>
      <c r="Q35" s="578"/>
      <c r="R35" s="578"/>
      <c r="S35" s="578"/>
      <c r="T35" s="578"/>
      <c r="U35" s="578"/>
      <c r="V35" s="578"/>
      <c r="W35" s="578"/>
      <c r="X35" s="578"/>
      <c r="Y35" s="578"/>
      <c r="Z35" s="578"/>
    </row>
    <row r="36" spans="2:26">
      <c r="B36" s="578"/>
      <c r="C36" s="578"/>
      <c r="D36" s="578"/>
      <c r="E36" s="578"/>
      <c r="F36" s="578"/>
      <c r="G36" s="578"/>
      <c r="H36" s="578"/>
      <c r="I36" s="578"/>
      <c r="J36" s="578"/>
      <c r="K36" s="578"/>
      <c r="L36" s="578"/>
      <c r="M36" s="578"/>
      <c r="N36" s="578"/>
      <c r="O36" s="578"/>
      <c r="P36" s="578"/>
      <c r="Q36" s="578"/>
      <c r="R36" s="578"/>
      <c r="S36" s="578"/>
      <c r="T36" s="578"/>
      <c r="U36" s="578"/>
      <c r="V36" s="578"/>
      <c r="W36" s="578"/>
      <c r="X36" s="578"/>
      <c r="Y36" s="578"/>
      <c r="Z36" s="578"/>
    </row>
    <row r="37" spans="2:26">
      <c r="B37" s="578"/>
      <c r="C37" s="578"/>
      <c r="D37" s="578"/>
      <c r="E37" s="578"/>
      <c r="F37" s="578"/>
      <c r="G37" s="578"/>
      <c r="H37" s="578"/>
      <c r="I37" s="578"/>
      <c r="J37" s="578"/>
      <c r="K37" s="578"/>
      <c r="L37" s="578"/>
      <c r="M37" s="578"/>
      <c r="N37" s="578"/>
      <c r="O37" s="578"/>
      <c r="P37" s="578"/>
      <c r="Q37" s="578"/>
      <c r="R37" s="578"/>
      <c r="S37" s="578"/>
      <c r="T37" s="578"/>
      <c r="U37" s="578"/>
      <c r="V37" s="578"/>
      <c r="W37" s="578"/>
      <c r="X37" s="578"/>
      <c r="Y37" s="578"/>
      <c r="Z37" s="578"/>
    </row>
    <row r="38" spans="2:26">
      <c r="B38" s="578"/>
      <c r="C38" s="578"/>
      <c r="D38" s="578"/>
      <c r="E38" s="578"/>
      <c r="F38" s="578"/>
      <c r="G38" s="578"/>
      <c r="H38" s="578"/>
      <c r="I38" s="578"/>
      <c r="J38" s="578"/>
      <c r="K38" s="578"/>
      <c r="L38" s="578"/>
      <c r="M38" s="578"/>
      <c r="N38" s="578"/>
      <c r="O38" s="578"/>
      <c r="P38" s="578"/>
      <c r="Q38" s="578"/>
      <c r="R38" s="578"/>
      <c r="S38" s="578"/>
      <c r="T38" s="578"/>
      <c r="U38" s="578"/>
      <c r="V38" s="578"/>
      <c r="W38" s="578"/>
      <c r="X38" s="578"/>
      <c r="Y38" s="578"/>
      <c r="Z38" s="578"/>
    </row>
    <row r="39" spans="2:26">
      <c r="B39" s="578"/>
      <c r="C39" s="578"/>
      <c r="D39" s="578"/>
      <c r="E39" s="578"/>
      <c r="F39" s="578"/>
      <c r="G39" s="578"/>
      <c r="H39" s="578"/>
      <c r="I39" s="578"/>
      <c r="J39" s="578"/>
      <c r="K39" s="578"/>
      <c r="L39" s="578"/>
      <c r="M39" s="578"/>
      <c r="N39" s="578"/>
      <c r="O39" s="578"/>
      <c r="P39" s="578"/>
      <c r="Q39" s="578"/>
      <c r="R39" s="578"/>
      <c r="S39" s="578"/>
      <c r="T39" s="578"/>
      <c r="U39" s="578"/>
      <c r="V39" s="578"/>
      <c r="W39" s="578"/>
      <c r="X39" s="578"/>
      <c r="Y39" s="578"/>
      <c r="Z39" s="578"/>
    </row>
    <row r="40" spans="2:26">
      <c r="B40" s="578"/>
      <c r="C40" s="578"/>
      <c r="D40" s="578"/>
      <c r="E40" s="578"/>
      <c r="F40" s="578"/>
      <c r="G40" s="578"/>
      <c r="H40" s="578"/>
      <c r="I40" s="578"/>
      <c r="J40" s="578"/>
      <c r="K40" s="578"/>
      <c r="L40" s="578"/>
      <c r="M40" s="578"/>
      <c r="N40" s="578"/>
      <c r="O40" s="578"/>
      <c r="P40" s="578"/>
      <c r="Q40" s="578"/>
      <c r="R40" s="578"/>
      <c r="S40" s="578"/>
      <c r="T40" s="578"/>
      <c r="U40" s="578"/>
      <c r="V40" s="578"/>
      <c r="W40" s="578"/>
      <c r="X40" s="578"/>
      <c r="Y40" s="578"/>
      <c r="Z40" s="578"/>
    </row>
    <row r="41" spans="2:26">
      <c r="B41" s="578"/>
      <c r="C41" s="578"/>
      <c r="D41" s="578"/>
      <c r="E41" s="578"/>
      <c r="F41" s="578"/>
      <c r="G41" s="578"/>
      <c r="H41" s="578"/>
      <c r="I41" s="578"/>
      <c r="J41" s="578"/>
      <c r="K41" s="578"/>
      <c r="L41" s="578"/>
      <c r="M41" s="578"/>
      <c r="N41" s="578"/>
      <c r="O41" s="578"/>
      <c r="P41" s="578"/>
      <c r="Q41" s="578"/>
      <c r="R41" s="578"/>
      <c r="S41" s="578"/>
      <c r="T41" s="578"/>
      <c r="U41" s="578"/>
      <c r="V41" s="578"/>
      <c r="W41" s="578"/>
      <c r="X41" s="578"/>
      <c r="Y41" s="578"/>
      <c r="Z41" s="578"/>
    </row>
    <row r="42" spans="2:26">
      <c r="B42" s="578"/>
      <c r="C42" s="578"/>
      <c r="D42" s="578"/>
      <c r="E42" s="578"/>
      <c r="F42" s="578"/>
      <c r="G42" s="578"/>
      <c r="H42" s="578"/>
      <c r="I42" s="578"/>
      <c r="J42" s="578"/>
      <c r="K42" s="578"/>
      <c r="L42" s="578"/>
      <c r="M42" s="578"/>
      <c r="N42" s="578"/>
      <c r="O42" s="578"/>
      <c r="P42" s="578"/>
      <c r="Q42" s="578"/>
      <c r="R42" s="578"/>
      <c r="S42" s="578"/>
      <c r="T42" s="578"/>
      <c r="U42" s="578"/>
      <c r="V42" s="578"/>
      <c r="W42" s="578"/>
      <c r="X42" s="578"/>
      <c r="Y42" s="578"/>
      <c r="Z42" s="578"/>
    </row>
    <row r="43" spans="2:26">
      <c r="B43" s="578"/>
      <c r="C43" s="578"/>
      <c r="D43" s="578"/>
      <c r="E43" s="578"/>
      <c r="F43" s="578"/>
      <c r="G43" s="578"/>
      <c r="H43" s="578"/>
      <c r="I43" s="578"/>
      <c r="J43" s="578"/>
      <c r="K43" s="578"/>
      <c r="L43" s="578"/>
      <c r="M43" s="578"/>
      <c r="N43" s="578"/>
      <c r="O43" s="578"/>
      <c r="P43" s="578"/>
      <c r="Q43" s="578"/>
      <c r="R43" s="578"/>
      <c r="S43" s="578"/>
      <c r="T43" s="578"/>
      <c r="U43" s="578"/>
      <c r="V43" s="578"/>
      <c r="W43" s="578"/>
      <c r="X43" s="578"/>
      <c r="Y43" s="578"/>
      <c r="Z43" s="578"/>
    </row>
    <row r="44" spans="2:26">
      <c r="B44" s="578"/>
      <c r="C44" s="578"/>
      <c r="D44" s="578"/>
      <c r="E44" s="578"/>
      <c r="F44" s="578"/>
      <c r="G44" s="578"/>
      <c r="H44" s="578"/>
      <c r="I44" s="578"/>
      <c r="J44" s="578"/>
      <c r="K44" s="578"/>
      <c r="L44" s="578"/>
      <c r="M44" s="578"/>
      <c r="N44" s="578"/>
      <c r="O44" s="578"/>
      <c r="P44" s="578"/>
      <c r="Q44" s="578"/>
      <c r="R44" s="578"/>
      <c r="S44" s="578"/>
      <c r="T44" s="578"/>
      <c r="U44" s="578"/>
      <c r="V44" s="578"/>
      <c r="W44" s="578"/>
      <c r="X44" s="578"/>
      <c r="Y44" s="578"/>
      <c r="Z44" s="578"/>
    </row>
    <row r="45" spans="2:26">
      <c r="B45" s="578"/>
      <c r="C45" s="578"/>
      <c r="D45" s="578"/>
      <c r="E45" s="578"/>
      <c r="F45" s="578"/>
      <c r="G45" s="578"/>
      <c r="H45" s="578"/>
      <c r="I45" s="578"/>
      <c r="J45" s="578"/>
      <c r="K45" s="578"/>
      <c r="L45" s="578"/>
      <c r="M45" s="578"/>
      <c r="N45" s="578"/>
      <c r="O45" s="578"/>
      <c r="P45" s="578"/>
      <c r="Q45" s="578"/>
      <c r="R45" s="578"/>
      <c r="S45" s="578"/>
      <c r="T45" s="578"/>
      <c r="U45" s="578"/>
      <c r="V45" s="578"/>
      <c r="W45" s="578"/>
      <c r="X45" s="578"/>
      <c r="Y45" s="578"/>
      <c r="Z45" s="578"/>
    </row>
    <row r="46" spans="2:26">
      <c r="B46" s="578"/>
      <c r="C46" s="578"/>
      <c r="D46" s="578"/>
      <c r="E46" s="578"/>
      <c r="F46" s="578"/>
      <c r="G46" s="578"/>
      <c r="H46" s="578"/>
      <c r="I46" s="578"/>
      <c r="J46" s="578"/>
      <c r="K46" s="578"/>
      <c r="L46" s="578"/>
      <c r="M46" s="578"/>
      <c r="N46" s="578"/>
      <c r="O46" s="578"/>
      <c r="P46" s="578"/>
      <c r="Q46" s="578"/>
      <c r="R46" s="578"/>
      <c r="S46" s="578"/>
      <c r="T46" s="578"/>
      <c r="U46" s="578"/>
      <c r="V46" s="578"/>
      <c r="W46" s="578"/>
      <c r="X46" s="578"/>
      <c r="Y46" s="578"/>
      <c r="Z46" s="578"/>
    </row>
    <row r="47" spans="2:26">
      <c r="B47" s="578"/>
      <c r="C47" s="578"/>
      <c r="D47" s="578"/>
      <c r="E47" s="578"/>
      <c r="F47" s="578"/>
      <c r="G47" s="578"/>
      <c r="H47" s="578"/>
      <c r="I47" s="578"/>
      <c r="J47" s="578"/>
      <c r="K47" s="578"/>
      <c r="L47" s="578"/>
      <c r="M47" s="578"/>
      <c r="N47" s="578"/>
      <c r="O47" s="578"/>
      <c r="P47" s="578"/>
      <c r="Q47" s="578"/>
      <c r="R47" s="578"/>
      <c r="S47" s="578"/>
      <c r="T47" s="578"/>
      <c r="U47" s="578"/>
      <c r="V47" s="578"/>
      <c r="W47" s="578"/>
      <c r="X47" s="578"/>
      <c r="Y47" s="578"/>
      <c r="Z47" s="578"/>
    </row>
    <row r="48" spans="2:26">
      <c r="B48" s="578"/>
      <c r="C48" s="578"/>
      <c r="D48" s="578"/>
      <c r="E48" s="578"/>
      <c r="F48" s="578"/>
      <c r="G48" s="578"/>
      <c r="H48" s="578"/>
      <c r="I48" s="578"/>
      <c r="J48" s="578"/>
      <c r="K48" s="578"/>
      <c r="L48" s="578"/>
      <c r="M48" s="578"/>
      <c r="N48" s="578"/>
      <c r="O48" s="578"/>
      <c r="P48" s="578"/>
      <c r="Q48" s="578"/>
      <c r="R48" s="578"/>
      <c r="S48" s="578"/>
      <c r="T48" s="578"/>
      <c r="U48" s="578"/>
      <c r="V48" s="578"/>
      <c r="W48" s="578"/>
      <c r="X48" s="578"/>
      <c r="Y48" s="578"/>
      <c r="Z48" s="578"/>
    </row>
    <row r="49" spans="2:26" ht="41.25" customHeight="1">
      <c r="B49" s="578"/>
      <c r="C49" s="578"/>
      <c r="D49" s="578"/>
      <c r="E49" s="578"/>
      <c r="F49" s="578"/>
      <c r="G49" s="578"/>
      <c r="H49" s="578"/>
      <c r="I49" s="578"/>
      <c r="J49" s="578"/>
      <c r="K49" s="578"/>
      <c r="L49" s="578"/>
      <c r="M49" s="578"/>
      <c r="N49" s="578"/>
      <c r="O49" s="578"/>
      <c r="P49" s="578"/>
      <c r="Q49" s="578"/>
      <c r="R49" s="578"/>
      <c r="S49" s="578"/>
      <c r="T49" s="578"/>
      <c r="U49" s="578"/>
      <c r="V49" s="578"/>
      <c r="W49" s="578"/>
      <c r="X49" s="578"/>
      <c r="Y49" s="578"/>
      <c r="Z49" s="578"/>
    </row>
    <row r="50" spans="2:26" ht="45" customHeight="1">
      <c r="B50" s="578"/>
      <c r="C50" s="575"/>
      <c r="D50" s="575"/>
      <c r="E50" s="1088" t="s">
        <v>256</v>
      </c>
      <c r="F50" s="1088"/>
      <c r="G50" s="1088"/>
      <c r="H50" s="1088"/>
      <c r="I50" s="1088"/>
      <c r="J50" s="1088"/>
      <c r="K50" s="1088"/>
      <c r="L50" s="1088"/>
      <c r="M50" s="1088"/>
      <c r="N50" s="1088"/>
      <c r="O50" s="1088"/>
      <c r="P50" s="1088"/>
      <c r="Q50" s="1088"/>
      <c r="R50" s="1088"/>
      <c r="S50" s="1088"/>
      <c r="T50" s="1088"/>
      <c r="U50" s="1088"/>
      <c r="V50" s="1088"/>
      <c r="W50" s="575"/>
      <c r="X50" s="575"/>
      <c r="Y50" s="575"/>
      <c r="Z50" s="578"/>
    </row>
    <row r="51" spans="2:26" ht="35.25" customHeight="1">
      <c r="B51" s="578"/>
      <c r="C51" s="580" t="s">
        <v>258</v>
      </c>
      <c r="D51" s="578"/>
      <c r="E51" s="578"/>
      <c r="F51" s="578"/>
      <c r="G51" s="578"/>
      <c r="H51" s="578"/>
      <c r="I51" s="578"/>
      <c r="J51" s="578"/>
      <c r="K51" s="578"/>
      <c r="L51" s="578"/>
      <c r="M51" s="578"/>
      <c r="N51" s="578"/>
      <c r="O51" s="578"/>
      <c r="P51" s="578"/>
      <c r="Q51" s="578"/>
      <c r="R51" s="578"/>
      <c r="S51" s="578"/>
      <c r="T51" s="578"/>
      <c r="U51" s="578"/>
      <c r="V51" s="578"/>
      <c r="W51" s="578"/>
      <c r="X51" s="578"/>
      <c r="Y51" s="578"/>
      <c r="Z51" s="578"/>
    </row>
    <row r="52" spans="2:26" ht="14.5">
      <c r="B52" s="578"/>
      <c r="C52" s="579" t="s">
        <v>259</v>
      </c>
      <c r="D52" s="578"/>
      <c r="E52" s="578"/>
      <c r="F52" s="578"/>
      <c r="G52" s="578"/>
      <c r="H52" s="578"/>
      <c r="I52" s="578"/>
      <c r="J52" s="578"/>
      <c r="K52" s="578"/>
      <c r="L52" s="578"/>
      <c r="M52" s="578"/>
      <c r="N52" s="578"/>
      <c r="O52" s="578"/>
      <c r="P52" s="578"/>
      <c r="Q52" s="578"/>
      <c r="R52" s="578"/>
      <c r="S52" s="578"/>
      <c r="T52" s="578"/>
      <c r="U52" s="578"/>
      <c r="V52" s="578"/>
      <c r="W52" s="578"/>
      <c r="X52" s="578"/>
      <c r="Y52" s="578"/>
      <c r="Z52" s="578"/>
    </row>
    <row r="53" spans="2:26" ht="9" customHeight="1">
      <c r="B53" s="578"/>
      <c r="C53" s="578"/>
      <c r="D53" s="578"/>
      <c r="E53" s="578"/>
      <c r="F53" s="578"/>
      <c r="G53" s="578"/>
      <c r="H53" s="578"/>
      <c r="I53" s="578"/>
      <c r="J53" s="578"/>
      <c r="K53" s="578"/>
      <c r="L53" s="578"/>
      <c r="M53" s="578"/>
      <c r="N53" s="578"/>
      <c r="O53" s="578"/>
      <c r="P53" s="578"/>
      <c r="Q53" s="578"/>
      <c r="R53" s="578"/>
      <c r="S53" s="578"/>
      <c r="T53" s="578"/>
      <c r="U53" s="578"/>
      <c r="V53" s="578"/>
      <c r="W53" s="578"/>
      <c r="X53" s="578"/>
      <c r="Y53" s="578"/>
      <c r="Z53" s="578"/>
    </row>
    <row r="54" spans="2:26">
      <c r="B54" s="578"/>
      <c r="C54" s="578"/>
      <c r="D54" s="578"/>
      <c r="E54" s="578"/>
      <c r="F54" s="578"/>
      <c r="G54" s="578"/>
      <c r="H54" s="578"/>
      <c r="I54" s="578"/>
      <c r="J54" s="578"/>
      <c r="K54" s="578"/>
      <c r="L54" s="578"/>
      <c r="M54" s="578"/>
      <c r="N54" s="578"/>
      <c r="O54" s="578"/>
      <c r="P54" s="578"/>
      <c r="Q54" s="578"/>
      <c r="R54" s="578"/>
      <c r="S54" s="578"/>
      <c r="T54" s="578"/>
      <c r="U54" s="578"/>
      <c r="V54" s="578"/>
      <c r="W54" s="578"/>
      <c r="X54" s="578"/>
      <c r="Y54" s="578"/>
      <c r="Z54" s="578"/>
    </row>
    <row r="55" spans="2:26">
      <c r="B55" s="578"/>
      <c r="C55" s="578"/>
      <c r="D55" s="578"/>
      <c r="E55" s="578"/>
      <c r="F55" s="578"/>
      <c r="G55" s="578"/>
      <c r="H55" s="578"/>
      <c r="I55" s="578"/>
      <c r="J55" s="578"/>
      <c r="K55" s="578"/>
      <c r="L55" s="578"/>
      <c r="M55" s="578"/>
      <c r="N55" s="578"/>
      <c r="O55" s="578"/>
      <c r="P55" s="578"/>
      <c r="Q55" s="578"/>
      <c r="R55" s="578"/>
      <c r="S55" s="578"/>
      <c r="T55" s="578"/>
      <c r="U55" s="578"/>
      <c r="V55" s="578"/>
      <c r="W55" s="578"/>
      <c r="X55" s="578"/>
      <c r="Y55" s="578"/>
      <c r="Z55" s="578"/>
    </row>
    <row r="56" spans="2:26">
      <c r="B56" s="578"/>
      <c r="C56" s="578"/>
      <c r="D56" s="578"/>
      <c r="E56" s="578"/>
      <c r="F56" s="578"/>
      <c r="G56" s="578"/>
      <c r="H56" s="578"/>
      <c r="I56" s="578"/>
      <c r="J56" s="578"/>
      <c r="K56" s="578"/>
      <c r="L56" s="578"/>
      <c r="M56" s="578"/>
      <c r="N56" s="578"/>
      <c r="O56" s="578"/>
      <c r="P56" s="578"/>
      <c r="Q56" s="578"/>
      <c r="R56" s="578"/>
      <c r="S56" s="578"/>
      <c r="T56" s="578"/>
      <c r="U56" s="578"/>
      <c r="V56" s="578"/>
      <c r="W56" s="578"/>
      <c r="X56" s="578"/>
      <c r="Y56" s="578"/>
      <c r="Z56" s="578"/>
    </row>
    <row r="57" spans="2:26">
      <c r="B57" s="578"/>
      <c r="C57" s="578"/>
      <c r="D57" s="578"/>
      <c r="E57" s="578"/>
      <c r="F57" s="578"/>
      <c r="G57" s="578"/>
      <c r="H57" s="578"/>
      <c r="I57" s="578"/>
      <c r="J57" s="578"/>
      <c r="K57" s="578"/>
      <c r="L57" s="578"/>
      <c r="M57" s="578"/>
      <c r="N57" s="578"/>
      <c r="O57" s="578"/>
      <c r="P57" s="578"/>
      <c r="Q57" s="578"/>
      <c r="R57" s="578"/>
      <c r="S57" s="578"/>
      <c r="T57" s="578"/>
      <c r="U57" s="578"/>
      <c r="V57" s="578"/>
      <c r="W57" s="578"/>
      <c r="X57" s="578"/>
      <c r="Y57" s="578"/>
      <c r="Z57" s="578"/>
    </row>
    <row r="58" spans="2:26">
      <c r="B58" s="578"/>
      <c r="C58" s="578"/>
      <c r="D58" s="578"/>
      <c r="E58" s="578"/>
      <c r="F58" s="578"/>
      <c r="G58" s="578"/>
      <c r="H58" s="578"/>
      <c r="I58" s="578"/>
      <c r="J58" s="578"/>
      <c r="K58" s="578"/>
      <c r="L58" s="578"/>
      <c r="M58" s="578"/>
      <c r="N58" s="578"/>
      <c r="O58" s="578"/>
      <c r="P58" s="578"/>
      <c r="Q58" s="578"/>
      <c r="R58" s="578"/>
      <c r="S58" s="578"/>
      <c r="T58" s="578"/>
      <c r="U58" s="578"/>
      <c r="V58" s="578"/>
      <c r="W58" s="578"/>
      <c r="X58" s="578"/>
      <c r="Y58" s="578"/>
      <c r="Z58" s="578"/>
    </row>
    <row r="59" spans="2:26">
      <c r="B59" s="578"/>
      <c r="C59" s="578"/>
      <c r="D59" s="578"/>
      <c r="E59" s="578"/>
      <c r="F59" s="578"/>
      <c r="G59" s="578"/>
      <c r="H59" s="578"/>
      <c r="I59" s="578"/>
      <c r="J59" s="578"/>
      <c r="K59" s="578"/>
      <c r="L59" s="578"/>
      <c r="M59" s="578"/>
      <c r="N59" s="578"/>
      <c r="O59" s="578"/>
      <c r="P59" s="578"/>
      <c r="Q59" s="578"/>
      <c r="R59" s="578"/>
      <c r="S59" s="578"/>
      <c r="T59" s="578"/>
      <c r="U59" s="578"/>
      <c r="V59" s="578"/>
      <c r="W59" s="578"/>
      <c r="X59" s="578"/>
      <c r="Y59" s="578"/>
      <c r="Z59" s="578"/>
    </row>
    <row r="60" spans="2:26">
      <c r="B60" s="578"/>
      <c r="C60" s="578"/>
      <c r="D60" s="578"/>
      <c r="E60" s="578"/>
      <c r="F60" s="578"/>
      <c r="G60" s="578"/>
      <c r="H60" s="578"/>
      <c r="I60" s="578"/>
      <c r="J60" s="578"/>
      <c r="K60" s="578"/>
      <c r="L60" s="578"/>
      <c r="M60" s="578"/>
      <c r="N60" s="578"/>
      <c r="O60" s="578"/>
      <c r="P60" s="578"/>
      <c r="Q60" s="578"/>
      <c r="R60" s="578"/>
      <c r="S60" s="578"/>
      <c r="T60" s="578"/>
      <c r="U60" s="578"/>
      <c r="V60" s="578"/>
      <c r="W60" s="578"/>
      <c r="X60" s="578"/>
      <c r="Y60" s="578"/>
      <c r="Z60" s="578"/>
    </row>
    <row r="61" spans="2:26">
      <c r="B61" s="578"/>
      <c r="C61" s="578"/>
      <c r="D61" s="578"/>
      <c r="E61" s="578"/>
      <c r="F61" s="578"/>
      <c r="G61" s="578"/>
      <c r="H61" s="578"/>
      <c r="I61" s="578"/>
      <c r="J61" s="578"/>
      <c r="K61" s="578"/>
      <c r="L61" s="578"/>
      <c r="M61" s="578"/>
      <c r="N61" s="578"/>
      <c r="O61" s="578"/>
      <c r="P61" s="578"/>
      <c r="Q61" s="578"/>
      <c r="R61" s="578"/>
      <c r="S61" s="578"/>
      <c r="T61" s="578"/>
      <c r="U61" s="578"/>
      <c r="V61" s="578"/>
      <c r="W61" s="578"/>
      <c r="X61" s="578"/>
      <c r="Y61" s="578"/>
      <c r="Z61" s="578"/>
    </row>
    <row r="62" spans="2:26">
      <c r="B62" s="578"/>
      <c r="C62" s="578"/>
      <c r="D62" s="578"/>
      <c r="E62" s="578"/>
      <c r="F62" s="578"/>
      <c r="G62" s="578"/>
      <c r="H62" s="578"/>
      <c r="I62" s="578"/>
      <c r="J62" s="578"/>
      <c r="K62" s="578"/>
      <c r="L62" s="578"/>
      <c r="M62" s="578"/>
      <c r="N62" s="578"/>
      <c r="O62" s="578"/>
      <c r="P62" s="578"/>
      <c r="Q62" s="578"/>
      <c r="R62" s="578"/>
      <c r="S62" s="578"/>
      <c r="T62" s="578"/>
      <c r="U62" s="578"/>
      <c r="V62" s="578"/>
      <c r="W62" s="578"/>
      <c r="X62" s="578"/>
      <c r="Y62" s="578"/>
      <c r="Z62" s="578"/>
    </row>
    <row r="63" spans="2:26">
      <c r="B63" s="578"/>
      <c r="C63" s="578"/>
      <c r="D63" s="578"/>
      <c r="E63" s="578"/>
      <c r="F63" s="578"/>
      <c r="G63" s="578"/>
      <c r="H63" s="578"/>
      <c r="I63" s="578"/>
      <c r="J63" s="578"/>
      <c r="K63" s="578"/>
      <c r="L63" s="578"/>
      <c r="M63" s="578"/>
      <c r="N63" s="578"/>
      <c r="O63" s="578"/>
      <c r="P63" s="578"/>
      <c r="Q63" s="578"/>
      <c r="R63" s="578"/>
      <c r="S63" s="578"/>
      <c r="T63" s="578"/>
      <c r="U63" s="578"/>
      <c r="V63" s="578"/>
      <c r="W63" s="578"/>
      <c r="X63" s="578"/>
      <c r="Y63" s="578"/>
      <c r="Z63" s="578"/>
    </row>
    <row r="64" spans="2:26">
      <c r="B64" s="578"/>
      <c r="C64" s="578"/>
      <c r="D64" s="578"/>
      <c r="E64" s="578"/>
      <c r="F64" s="578"/>
      <c r="G64" s="578"/>
      <c r="H64" s="578"/>
      <c r="I64" s="578"/>
      <c r="J64" s="578"/>
      <c r="K64" s="578"/>
      <c r="L64" s="578"/>
      <c r="M64" s="578"/>
      <c r="N64" s="578"/>
      <c r="O64" s="578"/>
      <c r="P64" s="578"/>
      <c r="Q64" s="578"/>
      <c r="R64" s="578"/>
      <c r="S64" s="578"/>
      <c r="T64" s="578"/>
      <c r="U64" s="578"/>
      <c r="V64" s="578"/>
      <c r="W64" s="578"/>
      <c r="X64" s="578"/>
      <c r="Y64" s="578"/>
      <c r="Z64" s="578"/>
    </row>
    <row r="65" spans="2:26">
      <c r="B65" s="578"/>
      <c r="C65" s="578"/>
      <c r="D65" s="578"/>
      <c r="E65" s="578"/>
      <c r="F65" s="578"/>
      <c r="G65" s="578"/>
      <c r="H65" s="578"/>
      <c r="I65" s="578"/>
      <c r="J65" s="578"/>
      <c r="K65" s="578"/>
      <c r="L65" s="578"/>
      <c r="M65" s="578"/>
      <c r="N65" s="578"/>
      <c r="O65" s="578"/>
      <c r="P65" s="578"/>
      <c r="Q65" s="578"/>
      <c r="R65" s="578"/>
      <c r="S65" s="578"/>
      <c r="T65" s="578"/>
      <c r="U65" s="578"/>
      <c r="V65" s="578"/>
      <c r="W65" s="578"/>
      <c r="X65" s="578"/>
      <c r="Y65" s="578"/>
      <c r="Z65" s="578"/>
    </row>
    <row r="66" spans="2:26">
      <c r="B66" s="578"/>
      <c r="C66" s="578"/>
      <c r="D66" s="578"/>
      <c r="E66" s="578"/>
      <c r="F66" s="578"/>
      <c r="G66" s="578"/>
      <c r="H66" s="578"/>
      <c r="I66" s="578"/>
      <c r="J66" s="578"/>
      <c r="K66" s="578"/>
      <c r="L66" s="578"/>
      <c r="M66" s="578"/>
      <c r="N66" s="578"/>
      <c r="O66" s="578"/>
      <c r="P66" s="578"/>
      <c r="Q66" s="578"/>
      <c r="R66" s="578"/>
      <c r="S66" s="578"/>
      <c r="T66" s="578"/>
      <c r="U66" s="578"/>
      <c r="V66" s="578"/>
      <c r="W66" s="578"/>
      <c r="X66" s="578"/>
      <c r="Y66" s="578"/>
      <c r="Z66" s="578"/>
    </row>
    <row r="67" spans="2:26">
      <c r="B67" s="578"/>
      <c r="C67" s="578"/>
      <c r="D67" s="578"/>
      <c r="E67" s="578"/>
      <c r="F67" s="578"/>
      <c r="G67" s="578"/>
      <c r="H67" s="578"/>
      <c r="I67" s="578"/>
      <c r="J67" s="578"/>
      <c r="K67" s="578"/>
      <c r="L67" s="578"/>
      <c r="M67" s="578"/>
      <c r="N67" s="578"/>
      <c r="O67" s="578"/>
      <c r="P67" s="578"/>
      <c r="Q67" s="578"/>
      <c r="R67" s="578"/>
      <c r="S67" s="578"/>
      <c r="T67" s="578"/>
      <c r="U67" s="578"/>
      <c r="V67" s="578"/>
      <c r="W67" s="578"/>
      <c r="X67" s="578"/>
      <c r="Y67" s="578"/>
      <c r="Z67" s="578"/>
    </row>
    <row r="68" spans="2:26">
      <c r="B68" s="578"/>
      <c r="C68" s="578"/>
      <c r="D68" s="578"/>
      <c r="E68" s="578"/>
      <c r="F68" s="578"/>
      <c r="G68" s="578"/>
      <c r="H68" s="578"/>
      <c r="I68" s="578"/>
      <c r="J68" s="578"/>
      <c r="K68" s="578"/>
      <c r="L68" s="578"/>
      <c r="M68" s="578"/>
      <c r="N68" s="578"/>
      <c r="O68" s="578"/>
      <c r="P68" s="578"/>
      <c r="Q68" s="578"/>
      <c r="R68" s="578"/>
      <c r="S68" s="578"/>
      <c r="T68" s="578"/>
      <c r="U68" s="578"/>
      <c r="V68" s="578"/>
      <c r="W68" s="578"/>
      <c r="X68" s="578"/>
      <c r="Y68" s="578"/>
      <c r="Z68" s="578"/>
    </row>
    <row r="69" spans="2:26">
      <c r="B69" s="578"/>
      <c r="C69" s="578"/>
      <c r="D69" s="578"/>
      <c r="E69" s="578"/>
      <c r="F69" s="578"/>
      <c r="G69" s="578"/>
      <c r="H69" s="578"/>
      <c r="I69" s="578"/>
      <c r="J69" s="578"/>
      <c r="K69" s="578"/>
      <c r="L69" s="578"/>
      <c r="M69" s="578"/>
      <c r="N69" s="578"/>
      <c r="O69" s="578"/>
      <c r="P69" s="578"/>
      <c r="Q69" s="578"/>
      <c r="R69" s="578"/>
      <c r="S69" s="578"/>
      <c r="T69" s="578"/>
      <c r="U69" s="578"/>
      <c r="V69" s="578"/>
      <c r="W69" s="578"/>
      <c r="X69" s="578"/>
      <c r="Y69" s="578"/>
      <c r="Z69" s="578"/>
    </row>
    <row r="70" spans="2:26">
      <c r="B70" s="578"/>
      <c r="C70" s="578"/>
      <c r="D70" s="578"/>
      <c r="E70" s="578"/>
      <c r="F70" s="578"/>
      <c r="G70" s="578"/>
      <c r="H70" s="578"/>
      <c r="I70" s="578"/>
      <c r="J70" s="578"/>
      <c r="K70" s="578"/>
      <c r="L70" s="578"/>
      <c r="M70" s="578"/>
      <c r="N70" s="578"/>
      <c r="O70" s="578"/>
      <c r="P70" s="578"/>
      <c r="Q70" s="578"/>
      <c r="R70" s="578"/>
      <c r="S70" s="578"/>
      <c r="T70" s="578"/>
      <c r="U70" s="578"/>
      <c r="V70" s="578"/>
      <c r="W70" s="578"/>
      <c r="X70" s="578"/>
      <c r="Y70" s="578"/>
      <c r="Z70" s="578"/>
    </row>
    <row r="71" spans="2:26">
      <c r="B71" s="578"/>
      <c r="C71" s="578"/>
      <c r="D71" s="578"/>
      <c r="E71" s="578"/>
      <c r="F71" s="578"/>
      <c r="G71" s="578"/>
      <c r="H71" s="578"/>
      <c r="I71" s="578"/>
      <c r="J71" s="578"/>
      <c r="K71" s="578"/>
      <c r="L71" s="578"/>
      <c r="M71" s="578"/>
      <c r="N71" s="578"/>
      <c r="O71" s="578"/>
      <c r="P71" s="578"/>
      <c r="Q71" s="578"/>
      <c r="R71" s="578"/>
      <c r="S71" s="578"/>
      <c r="T71" s="578"/>
      <c r="U71" s="578"/>
      <c r="V71" s="578"/>
      <c r="W71" s="578"/>
      <c r="X71" s="578"/>
      <c r="Y71" s="578"/>
      <c r="Z71" s="578"/>
    </row>
    <row r="72" spans="2:26" ht="35.25" customHeight="1">
      <c r="B72" s="578"/>
      <c r="C72" s="580" t="s">
        <v>260</v>
      </c>
      <c r="D72" s="578"/>
      <c r="E72" s="578"/>
      <c r="F72" s="578"/>
      <c r="G72" s="578"/>
      <c r="H72" s="578"/>
      <c r="I72" s="578"/>
      <c r="J72" s="578"/>
      <c r="K72" s="578"/>
      <c r="L72" s="578"/>
      <c r="M72" s="578"/>
      <c r="N72" s="578"/>
      <c r="O72" s="578"/>
      <c r="P72" s="578"/>
      <c r="Q72" s="578"/>
      <c r="R72" s="578"/>
      <c r="S72" s="578"/>
      <c r="T72" s="578"/>
      <c r="U72" s="578"/>
      <c r="V72" s="578"/>
      <c r="W72" s="578"/>
      <c r="X72" s="578"/>
      <c r="Y72" s="578"/>
      <c r="Z72" s="578"/>
    </row>
    <row r="73" spans="2:26" ht="14.5">
      <c r="B73" s="578"/>
      <c r="C73" s="581" t="s">
        <v>259</v>
      </c>
      <c r="D73" s="578"/>
      <c r="E73" s="578"/>
      <c r="F73" s="578"/>
      <c r="G73" s="578"/>
      <c r="H73" s="578"/>
      <c r="I73" s="578"/>
      <c r="J73" s="578"/>
      <c r="K73" s="578"/>
      <c r="L73" s="578"/>
      <c r="M73" s="578"/>
      <c r="N73" s="578"/>
      <c r="O73" s="578"/>
      <c r="P73" s="578"/>
      <c r="Q73" s="578"/>
      <c r="R73" s="578"/>
      <c r="S73" s="578"/>
      <c r="T73" s="578"/>
      <c r="U73" s="578"/>
      <c r="V73" s="578"/>
      <c r="W73" s="578"/>
      <c r="X73" s="578"/>
      <c r="Y73" s="578"/>
      <c r="Z73" s="578"/>
    </row>
    <row r="74" spans="2:26">
      <c r="B74" s="578"/>
      <c r="C74" s="578"/>
      <c r="D74" s="578"/>
      <c r="E74" s="578"/>
      <c r="F74" s="578"/>
      <c r="G74" s="578"/>
      <c r="H74" s="578"/>
      <c r="I74" s="578"/>
      <c r="J74" s="578"/>
      <c r="K74" s="578"/>
      <c r="L74" s="578"/>
      <c r="M74" s="578"/>
      <c r="N74" s="578"/>
      <c r="O74" s="578"/>
      <c r="P74" s="578"/>
      <c r="Q74" s="578"/>
      <c r="R74" s="578"/>
      <c r="S74" s="578"/>
      <c r="T74" s="578"/>
      <c r="U74" s="578"/>
      <c r="V74" s="578"/>
      <c r="W74" s="578"/>
      <c r="X74" s="578"/>
      <c r="Y74" s="578"/>
      <c r="Z74" s="578"/>
    </row>
    <row r="75" spans="2:26">
      <c r="B75" s="578"/>
      <c r="C75" s="578"/>
      <c r="D75" s="578"/>
      <c r="E75" s="578"/>
      <c r="F75" s="578"/>
      <c r="G75" s="578"/>
      <c r="H75" s="578"/>
      <c r="I75" s="578"/>
      <c r="J75" s="578"/>
      <c r="K75" s="578"/>
      <c r="L75" s="578"/>
      <c r="M75" s="578"/>
      <c r="N75" s="578"/>
      <c r="O75" s="578"/>
      <c r="P75" s="578"/>
      <c r="Q75" s="578"/>
      <c r="R75" s="578"/>
      <c r="S75" s="578"/>
      <c r="T75" s="578"/>
      <c r="U75" s="578"/>
      <c r="V75" s="578"/>
      <c r="W75" s="578"/>
      <c r="X75" s="578"/>
      <c r="Y75" s="578"/>
      <c r="Z75" s="578"/>
    </row>
    <row r="76" spans="2:26">
      <c r="B76" s="578"/>
      <c r="C76" s="578"/>
      <c r="D76" s="578"/>
      <c r="E76" s="578"/>
      <c r="F76" s="578"/>
      <c r="G76" s="578"/>
      <c r="H76" s="578"/>
      <c r="I76" s="578"/>
      <c r="J76" s="578"/>
      <c r="K76" s="578"/>
      <c r="L76" s="578"/>
      <c r="M76" s="578"/>
      <c r="N76" s="578"/>
      <c r="O76" s="578"/>
      <c r="P76" s="578"/>
      <c r="Q76" s="578"/>
      <c r="R76" s="578"/>
      <c r="S76" s="578"/>
      <c r="T76" s="578"/>
      <c r="U76" s="578"/>
      <c r="V76" s="578"/>
      <c r="W76" s="578"/>
      <c r="X76" s="578"/>
      <c r="Y76" s="578"/>
      <c r="Z76" s="578"/>
    </row>
    <row r="77" spans="2:26">
      <c r="B77" s="578"/>
      <c r="C77" s="578"/>
      <c r="D77" s="578"/>
      <c r="E77" s="578"/>
      <c r="F77" s="578"/>
      <c r="G77" s="578"/>
      <c r="H77" s="578"/>
      <c r="I77" s="578"/>
      <c r="J77" s="578"/>
      <c r="K77" s="578"/>
      <c r="L77" s="578"/>
      <c r="M77" s="578"/>
      <c r="N77" s="578"/>
      <c r="O77" s="578"/>
      <c r="P77" s="578"/>
      <c r="Q77" s="578"/>
      <c r="R77" s="578"/>
      <c r="S77" s="578"/>
      <c r="T77" s="578"/>
      <c r="U77" s="578"/>
      <c r="V77" s="578"/>
      <c r="W77" s="578"/>
      <c r="X77" s="578"/>
      <c r="Y77" s="578"/>
      <c r="Z77" s="578"/>
    </row>
    <row r="78" spans="2:26">
      <c r="B78" s="578"/>
      <c r="C78" s="578"/>
      <c r="D78" s="578"/>
      <c r="E78" s="578"/>
      <c r="F78" s="578"/>
      <c r="G78" s="578"/>
      <c r="H78" s="578"/>
      <c r="I78" s="578"/>
      <c r="J78" s="578"/>
      <c r="K78" s="578"/>
      <c r="L78" s="578"/>
      <c r="M78" s="578"/>
      <c r="N78" s="578"/>
      <c r="O78" s="578"/>
      <c r="P78" s="578"/>
      <c r="Q78" s="578"/>
      <c r="R78" s="578"/>
      <c r="S78" s="578"/>
      <c r="T78" s="578"/>
      <c r="U78" s="578"/>
      <c r="V78" s="578"/>
      <c r="W78" s="578"/>
      <c r="X78" s="578"/>
      <c r="Y78" s="578"/>
      <c r="Z78" s="578"/>
    </row>
    <row r="79" spans="2:26">
      <c r="B79" s="578"/>
      <c r="C79" s="578"/>
      <c r="D79" s="578"/>
      <c r="E79" s="578"/>
      <c r="F79" s="578"/>
      <c r="G79" s="578"/>
      <c r="H79" s="578"/>
      <c r="I79" s="578"/>
      <c r="J79" s="578"/>
      <c r="K79" s="578"/>
      <c r="L79" s="578"/>
      <c r="M79" s="578"/>
      <c r="N79" s="578"/>
      <c r="O79" s="578"/>
      <c r="P79" s="578"/>
      <c r="Q79" s="578"/>
      <c r="R79" s="578"/>
      <c r="S79" s="578"/>
      <c r="T79" s="578"/>
      <c r="U79" s="578"/>
      <c r="V79" s="578"/>
      <c r="W79" s="578"/>
      <c r="X79" s="578"/>
      <c r="Y79" s="578"/>
      <c r="Z79" s="578"/>
    </row>
    <row r="80" spans="2:26">
      <c r="B80" s="578"/>
      <c r="C80" s="578"/>
      <c r="D80" s="578"/>
      <c r="E80" s="578"/>
      <c r="F80" s="578"/>
      <c r="G80" s="578"/>
      <c r="H80" s="578"/>
      <c r="I80" s="578"/>
      <c r="J80" s="578"/>
      <c r="K80" s="578"/>
      <c r="L80" s="578"/>
      <c r="M80" s="578"/>
      <c r="N80" s="578"/>
      <c r="O80" s="578"/>
      <c r="P80" s="578"/>
      <c r="Q80" s="578"/>
      <c r="R80" s="578"/>
      <c r="S80" s="578"/>
      <c r="T80" s="578"/>
      <c r="U80" s="578"/>
      <c r="V80" s="578"/>
      <c r="W80" s="578"/>
      <c r="X80" s="578"/>
      <c r="Y80" s="578"/>
      <c r="Z80" s="578"/>
    </row>
    <row r="81" spans="2:26">
      <c r="B81" s="578"/>
      <c r="C81" s="578"/>
      <c r="D81" s="578"/>
      <c r="E81" s="578"/>
      <c r="F81" s="578"/>
      <c r="G81" s="578"/>
      <c r="H81" s="578"/>
      <c r="I81" s="578"/>
      <c r="J81" s="578"/>
      <c r="K81" s="578"/>
      <c r="L81" s="578"/>
      <c r="M81" s="578"/>
      <c r="N81" s="578"/>
      <c r="O81" s="578"/>
      <c r="P81" s="578"/>
      <c r="Q81" s="578"/>
      <c r="R81" s="578"/>
      <c r="S81" s="578"/>
      <c r="T81" s="578"/>
      <c r="U81" s="578"/>
      <c r="V81" s="578"/>
      <c r="W81" s="578"/>
      <c r="X81" s="578"/>
      <c r="Y81" s="578"/>
      <c r="Z81" s="578"/>
    </row>
    <row r="82" spans="2:26">
      <c r="B82" s="578"/>
      <c r="C82" s="578"/>
      <c r="D82" s="578"/>
      <c r="E82" s="578"/>
      <c r="F82" s="578"/>
      <c r="G82" s="578"/>
      <c r="H82" s="578"/>
      <c r="I82" s="578"/>
      <c r="J82" s="578"/>
      <c r="K82" s="578"/>
      <c r="L82" s="578"/>
      <c r="M82" s="578"/>
      <c r="N82" s="578"/>
      <c r="O82" s="578"/>
      <c r="P82" s="578"/>
      <c r="Q82" s="578"/>
      <c r="R82" s="578"/>
      <c r="S82" s="578"/>
      <c r="T82" s="578"/>
      <c r="U82" s="578"/>
      <c r="V82" s="578"/>
      <c r="W82" s="578"/>
      <c r="X82" s="578"/>
      <c r="Y82" s="578"/>
      <c r="Z82" s="578"/>
    </row>
    <row r="83" spans="2:26">
      <c r="B83" s="578"/>
      <c r="C83" s="578"/>
      <c r="D83" s="578"/>
      <c r="E83" s="578"/>
      <c r="F83" s="578"/>
      <c r="G83" s="578"/>
      <c r="H83" s="578"/>
      <c r="I83" s="578"/>
      <c r="J83" s="578"/>
      <c r="K83" s="578"/>
      <c r="L83" s="578"/>
      <c r="M83" s="578"/>
      <c r="N83" s="578"/>
      <c r="O83" s="578"/>
      <c r="P83" s="578"/>
      <c r="Q83" s="578"/>
      <c r="R83" s="578"/>
      <c r="S83" s="578"/>
      <c r="T83" s="578"/>
      <c r="U83" s="578"/>
      <c r="V83" s="578"/>
      <c r="W83" s="578"/>
      <c r="X83" s="578"/>
      <c r="Y83" s="578"/>
      <c r="Z83" s="578"/>
    </row>
    <row r="84" spans="2:26">
      <c r="B84" s="578"/>
      <c r="C84" s="578"/>
      <c r="D84" s="578"/>
      <c r="E84" s="578"/>
      <c r="F84" s="578"/>
      <c r="G84" s="578"/>
      <c r="H84" s="578"/>
      <c r="I84" s="578"/>
      <c r="J84" s="578"/>
      <c r="K84" s="578"/>
      <c r="L84" s="578"/>
      <c r="M84" s="578"/>
      <c r="N84" s="578"/>
      <c r="O84" s="578"/>
      <c r="P84" s="578"/>
      <c r="Q84" s="578"/>
      <c r="R84" s="578"/>
      <c r="S84" s="578"/>
      <c r="T84" s="578"/>
      <c r="U84" s="578"/>
      <c r="V84" s="578"/>
      <c r="W84" s="578"/>
      <c r="X84" s="578"/>
      <c r="Y84" s="578"/>
      <c r="Z84" s="578"/>
    </row>
    <row r="85" spans="2:26">
      <c r="B85" s="578"/>
      <c r="C85" s="578"/>
      <c r="D85" s="578"/>
      <c r="E85" s="578"/>
      <c r="F85" s="578"/>
      <c r="G85" s="578"/>
      <c r="H85" s="578"/>
      <c r="I85" s="578"/>
      <c r="J85" s="578"/>
      <c r="K85" s="578"/>
      <c r="L85" s="578"/>
      <c r="M85" s="578"/>
      <c r="N85" s="578"/>
      <c r="O85" s="578"/>
      <c r="P85" s="578"/>
      <c r="Q85" s="578"/>
      <c r="R85" s="578"/>
      <c r="S85" s="578"/>
      <c r="T85" s="578"/>
      <c r="U85" s="578"/>
      <c r="V85" s="578"/>
      <c r="W85" s="578"/>
      <c r="X85" s="578"/>
      <c r="Y85" s="578"/>
      <c r="Z85" s="578"/>
    </row>
    <row r="86" spans="2:26">
      <c r="B86" s="578"/>
      <c r="C86" s="578"/>
      <c r="D86" s="578"/>
      <c r="E86" s="578"/>
      <c r="F86" s="578"/>
      <c r="G86" s="578"/>
      <c r="H86" s="578"/>
      <c r="I86" s="578"/>
      <c r="J86" s="578"/>
      <c r="K86" s="578"/>
      <c r="L86" s="578"/>
      <c r="M86" s="578"/>
      <c r="N86" s="578"/>
      <c r="O86" s="578"/>
      <c r="P86" s="578"/>
      <c r="Q86" s="578"/>
      <c r="R86" s="578"/>
      <c r="S86" s="578"/>
      <c r="T86" s="578"/>
      <c r="U86" s="578"/>
      <c r="V86" s="578"/>
      <c r="W86" s="578"/>
      <c r="X86" s="578"/>
      <c r="Y86" s="578"/>
      <c r="Z86" s="578"/>
    </row>
    <row r="87" spans="2:26">
      <c r="B87" s="578"/>
      <c r="C87" s="578"/>
      <c r="D87" s="578"/>
      <c r="E87" s="578"/>
      <c r="F87" s="578"/>
      <c r="G87" s="578"/>
      <c r="H87" s="578"/>
      <c r="I87" s="578"/>
      <c r="J87" s="578"/>
      <c r="K87" s="578"/>
      <c r="L87" s="578"/>
      <c r="M87" s="578"/>
      <c r="N87" s="578"/>
      <c r="O87" s="578"/>
      <c r="P87" s="578"/>
      <c r="Q87" s="578"/>
      <c r="R87" s="578"/>
      <c r="S87" s="578"/>
      <c r="T87" s="578"/>
      <c r="U87" s="578"/>
      <c r="V87" s="578"/>
      <c r="W87" s="578"/>
      <c r="X87" s="578"/>
      <c r="Y87" s="578"/>
      <c r="Z87" s="578"/>
    </row>
    <row r="88" spans="2:26">
      <c r="B88" s="578"/>
      <c r="C88" s="578"/>
      <c r="D88" s="578"/>
      <c r="E88" s="578"/>
      <c r="F88" s="578"/>
      <c r="G88" s="578"/>
      <c r="H88" s="578"/>
      <c r="I88" s="578"/>
      <c r="J88" s="578"/>
      <c r="K88" s="578"/>
      <c r="L88" s="578"/>
      <c r="M88" s="578"/>
      <c r="N88" s="578"/>
      <c r="O88" s="578"/>
      <c r="P88" s="578"/>
      <c r="Q88" s="578"/>
      <c r="R88" s="578"/>
      <c r="S88" s="578"/>
      <c r="T88" s="578"/>
      <c r="U88" s="578"/>
      <c r="V88" s="578"/>
      <c r="W88" s="578"/>
      <c r="X88" s="578"/>
      <c r="Y88" s="578"/>
      <c r="Z88" s="578"/>
    </row>
    <row r="89" spans="2:26">
      <c r="B89" s="578"/>
      <c r="C89" s="578"/>
      <c r="D89" s="578"/>
      <c r="E89" s="578"/>
      <c r="F89" s="578"/>
      <c r="G89" s="578"/>
      <c r="H89" s="578"/>
      <c r="I89" s="578"/>
      <c r="J89" s="578"/>
      <c r="K89" s="578"/>
      <c r="L89" s="578"/>
      <c r="M89" s="578"/>
      <c r="N89" s="578"/>
      <c r="O89" s="578"/>
      <c r="P89" s="578"/>
      <c r="Q89" s="578"/>
      <c r="R89" s="578"/>
      <c r="S89" s="578"/>
      <c r="T89" s="578"/>
      <c r="U89" s="578"/>
      <c r="V89" s="578"/>
      <c r="W89" s="578"/>
      <c r="X89" s="578"/>
      <c r="Y89" s="578"/>
      <c r="Z89" s="578"/>
    </row>
    <row r="90" spans="2:26">
      <c r="B90" s="578"/>
      <c r="C90" s="578"/>
      <c r="D90" s="578"/>
      <c r="E90" s="578"/>
      <c r="F90" s="578"/>
      <c r="G90" s="578"/>
      <c r="H90" s="578"/>
      <c r="I90" s="578"/>
      <c r="J90" s="578"/>
      <c r="K90" s="578"/>
      <c r="L90" s="578"/>
      <c r="M90" s="578"/>
      <c r="N90" s="578"/>
      <c r="O90" s="578"/>
      <c r="P90" s="578"/>
      <c r="Q90" s="578"/>
      <c r="R90" s="578"/>
      <c r="S90" s="578"/>
      <c r="T90" s="578"/>
      <c r="U90" s="578"/>
      <c r="V90" s="578"/>
      <c r="W90" s="578"/>
      <c r="X90" s="578"/>
      <c r="Y90" s="578"/>
      <c r="Z90" s="578"/>
    </row>
    <row r="91" spans="2:26">
      <c r="B91" s="578"/>
      <c r="C91" s="578"/>
      <c r="D91" s="578"/>
      <c r="E91" s="578"/>
      <c r="F91" s="578"/>
      <c r="G91" s="578"/>
      <c r="H91" s="578"/>
      <c r="I91" s="578"/>
      <c r="J91" s="578"/>
      <c r="K91" s="578"/>
      <c r="L91" s="578"/>
      <c r="M91" s="578"/>
      <c r="N91" s="578"/>
      <c r="O91" s="578"/>
      <c r="P91" s="578"/>
      <c r="Q91" s="578"/>
      <c r="R91" s="578"/>
      <c r="S91" s="578"/>
      <c r="T91" s="578"/>
      <c r="U91" s="578"/>
      <c r="V91" s="578"/>
      <c r="W91" s="578"/>
      <c r="X91" s="578"/>
      <c r="Y91" s="578"/>
      <c r="Z91" s="578"/>
    </row>
    <row r="92" spans="2:26">
      <c r="B92" s="578"/>
      <c r="C92" s="578"/>
      <c r="D92" s="578"/>
      <c r="E92" s="578"/>
      <c r="F92" s="578"/>
      <c r="G92" s="578"/>
      <c r="H92" s="578"/>
      <c r="I92" s="578"/>
      <c r="J92" s="578"/>
      <c r="K92" s="578"/>
      <c r="L92" s="578"/>
      <c r="M92" s="578"/>
      <c r="N92" s="578"/>
      <c r="O92" s="578"/>
      <c r="P92" s="578"/>
      <c r="Q92" s="578"/>
      <c r="R92" s="578"/>
      <c r="S92" s="578"/>
      <c r="T92" s="578"/>
      <c r="U92" s="578"/>
      <c r="V92" s="578"/>
      <c r="W92" s="578"/>
      <c r="X92" s="578"/>
      <c r="Y92" s="578"/>
      <c r="Z92" s="578"/>
    </row>
    <row r="93" spans="2:26">
      <c r="B93" s="578"/>
      <c r="C93" s="578"/>
      <c r="D93" s="578"/>
      <c r="E93" s="578"/>
      <c r="F93" s="578"/>
      <c r="G93" s="578"/>
      <c r="H93" s="578"/>
      <c r="I93" s="578"/>
      <c r="J93" s="578"/>
      <c r="K93" s="578"/>
      <c r="L93" s="578"/>
      <c r="M93" s="578"/>
      <c r="N93" s="578"/>
      <c r="O93" s="578"/>
      <c r="P93" s="578"/>
      <c r="Q93" s="578"/>
      <c r="R93" s="578"/>
      <c r="S93" s="578"/>
      <c r="T93" s="578"/>
      <c r="U93" s="578"/>
      <c r="V93" s="578"/>
      <c r="W93" s="578"/>
      <c r="X93" s="578"/>
      <c r="Y93" s="578"/>
      <c r="Z93" s="578"/>
    </row>
    <row r="94" spans="2:26">
      <c r="B94" s="578"/>
      <c r="C94" s="578"/>
      <c r="D94" s="578"/>
      <c r="E94" s="578"/>
      <c r="F94" s="578"/>
      <c r="G94" s="578"/>
      <c r="H94" s="578"/>
      <c r="I94" s="578"/>
      <c r="J94" s="578"/>
      <c r="K94" s="578"/>
      <c r="L94" s="578"/>
      <c r="M94" s="578"/>
      <c r="N94" s="578"/>
      <c r="O94" s="578"/>
      <c r="P94" s="578"/>
      <c r="Q94" s="578"/>
      <c r="R94" s="578"/>
      <c r="S94" s="578"/>
      <c r="T94" s="578"/>
      <c r="U94" s="578"/>
      <c r="V94" s="578"/>
      <c r="W94" s="578"/>
      <c r="X94" s="578"/>
      <c r="Y94" s="578"/>
      <c r="Z94" s="578"/>
    </row>
    <row r="95" spans="2:26">
      <c r="B95" s="578"/>
      <c r="C95" s="578"/>
      <c r="D95" s="578"/>
      <c r="E95" s="578"/>
      <c r="F95" s="578"/>
      <c r="G95" s="578"/>
      <c r="H95" s="578"/>
      <c r="I95" s="578"/>
      <c r="J95" s="578"/>
      <c r="K95" s="578"/>
      <c r="L95" s="578"/>
      <c r="M95" s="578"/>
      <c r="N95" s="578"/>
      <c r="O95" s="578"/>
      <c r="P95" s="578"/>
      <c r="Q95" s="578"/>
      <c r="R95" s="578"/>
      <c r="S95" s="578"/>
      <c r="T95" s="578"/>
      <c r="U95" s="578"/>
      <c r="V95" s="578"/>
      <c r="W95" s="578"/>
      <c r="X95" s="578"/>
      <c r="Y95" s="578"/>
      <c r="Z95" s="578"/>
    </row>
    <row r="96" spans="2:26">
      <c r="B96" s="578"/>
      <c r="C96" s="578"/>
      <c r="D96" s="578"/>
      <c r="E96" s="578"/>
      <c r="F96" s="578"/>
      <c r="G96" s="578"/>
      <c r="H96" s="578"/>
      <c r="I96" s="578"/>
      <c r="J96" s="578"/>
      <c r="K96" s="578"/>
      <c r="L96" s="578"/>
      <c r="M96" s="578"/>
      <c r="N96" s="578"/>
      <c r="O96" s="578"/>
      <c r="P96" s="578"/>
      <c r="Q96" s="578"/>
      <c r="R96" s="578"/>
      <c r="S96" s="578"/>
      <c r="T96" s="578"/>
      <c r="U96" s="578"/>
      <c r="V96" s="578"/>
      <c r="W96" s="578"/>
      <c r="X96" s="578"/>
      <c r="Y96" s="578"/>
      <c r="Z96" s="578"/>
    </row>
    <row r="97" spans="2:26">
      <c r="B97" s="578"/>
      <c r="C97" s="578"/>
      <c r="D97" s="578"/>
      <c r="E97" s="578"/>
      <c r="F97" s="578"/>
      <c r="G97" s="578"/>
      <c r="H97" s="578"/>
      <c r="I97" s="578"/>
      <c r="J97" s="578"/>
      <c r="K97" s="578"/>
      <c r="L97" s="578"/>
      <c r="M97" s="578"/>
      <c r="N97" s="578"/>
      <c r="O97" s="578"/>
      <c r="P97" s="578"/>
      <c r="Q97" s="578"/>
      <c r="R97" s="578"/>
      <c r="S97" s="578"/>
      <c r="T97" s="578"/>
      <c r="U97" s="578"/>
      <c r="V97" s="578"/>
      <c r="W97" s="578"/>
      <c r="X97" s="578"/>
      <c r="Y97" s="578"/>
      <c r="Z97" s="578"/>
    </row>
    <row r="98" spans="2:26">
      <c r="B98" s="578"/>
      <c r="C98" s="578"/>
      <c r="D98" s="578"/>
      <c r="E98" s="578"/>
      <c r="F98" s="578"/>
      <c r="G98" s="578"/>
      <c r="H98" s="578"/>
      <c r="I98" s="578"/>
      <c r="J98" s="578"/>
      <c r="K98" s="578"/>
      <c r="L98" s="578"/>
      <c r="M98" s="578"/>
      <c r="N98" s="578"/>
      <c r="O98" s="578"/>
      <c r="P98" s="578"/>
      <c r="Q98" s="578"/>
      <c r="R98" s="578"/>
      <c r="S98" s="578"/>
      <c r="T98" s="578"/>
      <c r="U98" s="578"/>
      <c r="V98" s="578"/>
      <c r="W98" s="578"/>
      <c r="X98" s="578"/>
      <c r="Y98" s="578"/>
      <c r="Z98" s="578"/>
    </row>
    <row r="99" spans="2:26">
      <c r="B99" s="578"/>
      <c r="C99" s="578"/>
      <c r="D99" s="578"/>
      <c r="E99" s="578"/>
      <c r="F99" s="578"/>
      <c r="G99" s="578"/>
      <c r="H99" s="578"/>
      <c r="I99" s="578"/>
      <c r="J99" s="578"/>
      <c r="K99" s="578"/>
      <c r="L99" s="578"/>
      <c r="M99" s="578"/>
      <c r="N99" s="578"/>
      <c r="O99" s="578"/>
      <c r="P99" s="578"/>
      <c r="Q99" s="578"/>
      <c r="R99" s="578"/>
      <c r="S99" s="578"/>
      <c r="T99" s="578"/>
      <c r="U99" s="578"/>
      <c r="V99" s="578"/>
      <c r="W99" s="578"/>
      <c r="X99" s="578"/>
      <c r="Y99" s="578"/>
      <c r="Z99" s="578"/>
    </row>
  </sheetData>
  <sheetProtection algorithmName="SHA-512" hashValue="Up1Okl+eyWZ/TdckcTxVIvWNFVFP0dRwCR89XzpWB5FGCFAy/MwaUiL5Fd0J4pBTx9z4dq5XSZYhIDKYlv9nSw==" saltValue="zkeXuZjk6BgaR3inOVKang==" spinCount="100000" sheet="1" formatCells="0" formatColumns="0" formatRows="0" insertColumns="0" insertRows="0" insertHyperlinks="0" deleteColumns="0" deleteRows="0" sort="0" autoFilter="0" pivotTables="0"/>
  <mergeCells count="3">
    <mergeCell ref="E4:V4"/>
    <mergeCell ref="E50:V50"/>
    <mergeCell ref="B2:Z2"/>
  </mergeCells>
  <pageMargins left="0.7" right="0.7" top="0.75" bottom="0.75" header="0.3" footer="0.3"/>
  <pageSetup paperSize="9" scale="66" orientation="portrait" r:id="rId1"/>
  <headerFooter>
    <oddHeader>&amp;L&amp;&amp;«Calibri»&amp;10&amp;K000000Clasificado como interno&amp;K000000&amp;1#</oddHeader>
  </headerFooter>
  <rowBreaks count="1" manualBreakCount="1">
    <brk id="49" max="16383" man="1"/>
  </rowBreaks>
  <colBreaks count="1" manualBreakCount="1">
    <brk id="13"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E2C16-4797-4DBC-9DDF-21E3230C6226}">
  <sheetPr codeName="Sheet6"/>
  <dimension ref="B1:U69"/>
  <sheetViews>
    <sheetView workbookViewId="0"/>
  </sheetViews>
  <sheetFormatPr defaultColWidth="8.81640625" defaultRowHeight="14.5"/>
  <cols>
    <col min="1" max="1" width="4.1796875" style="77" customWidth="1"/>
    <col min="2" max="16384" width="8.81640625" style="77"/>
  </cols>
  <sheetData>
    <row r="1" spans="2:21" ht="15" thickBot="1"/>
    <row r="2" spans="2:21" ht="24" thickBot="1">
      <c r="B2" s="76"/>
      <c r="D2" s="1090" t="s">
        <v>261</v>
      </c>
      <c r="E2" s="1091"/>
      <c r="F2" s="1091"/>
      <c r="G2" s="1091"/>
      <c r="H2" s="1091"/>
      <c r="I2" s="1091"/>
      <c r="J2" s="1091"/>
      <c r="K2" s="1091"/>
      <c r="L2" s="1091"/>
      <c r="M2" s="1091"/>
      <c r="N2" s="1091"/>
      <c r="O2" s="1091"/>
      <c r="P2" s="1091"/>
      <c r="Q2" s="1091"/>
      <c r="R2" s="1091"/>
      <c r="S2" s="1091"/>
      <c r="T2" s="1091"/>
      <c r="U2" s="1092"/>
    </row>
    <row r="3" spans="2:21" ht="18.5">
      <c r="B3" s="79" t="s">
        <v>262</v>
      </c>
    </row>
    <row r="22" spans="2:2" ht="18.5">
      <c r="B22" s="79" t="s">
        <v>263</v>
      </c>
    </row>
    <row r="23" spans="2:2">
      <c r="B23" s="78" t="s">
        <v>264</v>
      </c>
    </row>
    <row r="46" spans="2:21" ht="15" thickBot="1"/>
    <row r="47" spans="2:21" ht="19" thickBot="1">
      <c r="D47" s="1090" t="s">
        <v>265</v>
      </c>
      <c r="E47" s="1091"/>
      <c r="F47" s="1091"/>
      <c r="G47" s="1091"/>
      <c r="H47" s="1091"/>
      <c r="I47" s="1091"/>
      <c r="J47" s="1091"/>
      <c r="K47" s="1091"/>
      <c r="L47" s="1091"/>
      <c r="M47" s="1091"/>
      <c r="N47" s="1091"/>
      <c r="O47" s="1091"/>
      <c r="P47" s="1091"/>
      <c r="Q47" s="1091"/>
      <c r="R47" s="1091"/>
      <c r="S47" s="1091"/>
      <c r="T47" s="1091"/>
      <c r="U47" s="1092"/>
    </row>
    <row r="48" spans="2:21" ht="18.5">
      <c r="B48" s="79" t="s">
        <v>262</v>
      </c>
    </row>
    <row r="68" spans="2:2" ht="18.5">
      <c r="B68" s="79" t="s">
        <v>263</v>
      </c>
    </row>
    <row r="69" spans="2:2">
      <c r="B69" s="78" t="s">
        <v>266</v>
      </c>
    </row>
  </sheetData>
  <sheetProtection formatCells="0" formatColumns="0" formatRows="0" insertColumns="0" insertRows="0" insertHyperlinks="0" deleteColumns="0" deleteRows="0" sort="0" autoFilter="0" pivotTables="0"/>
  <mergeCells count="2">
    <mergeCell ref="D2:U2"/>
    <mergeCell ref="D47:U47"/>
  </mergeCells>
  <pageMargins left="0.7" right="0.7" top="0.75" bottom="0.75" header="0.3" footer="0.3"/>
  <pageSetup paperSize="9" orientation="portrait" r:id="rId1"/>
  <headerFooter>
    <oddHeader>&amp;L&amp;"Calibri"&amp;10&amp;K000000Classified as Internal&amp;1#</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6672A-89CE-4CBA-A3B2-AED7D981ACA5}">
  <sheetPr codeName="Sheet11">
    <tabColor theme="4" tint="-0.249977111117893"/>
  </sheetPr>
  <dimension ref="B1:J22"/>
  <sheetViews>
    <sheetView zoomScaleNormal="100" workbookViewId="0"/>
  </sheetViews>
  <sheetFormatPr defaultColWidth="8.81640625" defaultRowHeight="15.5"/>
  <cols>
    <col min="1" max="1" width="2.453125" style="488" customWidth="1"/>
    <col min="2" max="2" width="5" style="488" customWidth="1"/>
    <col min="3" max="3" width="9" style="488" bestFit="1" customWidth="1"/>
    <col min="4" max="4" width="1.453125" style="488" customWidth="1"/>
    <col min="5" max="5" width="11.453125" style="488" customWidth="1"/>
    <col min="6" max="6" width="8.81640625" style="488"/>
    <col min="7" max="7" width="57.81640625" style="488" customWidth="1"/>
    <col min="8" max="8" width="12.1796875" style="488" bestFit="1" customWidth="1"/>
    <col min="9" max="9" width="11.453125" style="488" bestFit="1" customWidth="1"/>
    <col min="10" max="10" width="5.81640625" style="488" customWidth="1"/>
    <col min="11" max="16384" width="8.81640625" style="488"/>
  </cols>
  <sheetData>
    <row r="1" spans="2:10" ht="8.25" customHeight="1">
      <c r="B1" s="536"/>
      <c r="C1" s="536"/>
      <c r="D1" s="536"/>
      <c r="E1" s="536"/>
      <c r="F1" s="536"/>
      <c r="G1" s="536"/>
      <c r="H1" s="536"/>
      <c r="I1" s="536"/>
      <c r="J1" s="536"/>
    </row>
    <row r="2" spans="2:10" ht="20.25" customHeight="1">
      <c r="B2" s="1053" t="s">
        <v>213</v>
      </c>
      <c r="C2" s="1096"/>
      <c r="D2" s="1096"/>
      <c r="E2" s="1096"/>
      <c r="F2" s="1096"/>
      <c r="G2" s="1096"/>
      <c r="H2" s="1096"/>
      <c r="I2" s="1096"/>
      <c r="J2" s="1096"/>
    </row>
    <row r="3" spans="2:10">
      <c r="B3" s="650"/>
      <c r="C3" s="650"/>
      <c r="D3" s="650"/>
      <c r="E3" s="650"/>
      <c r="F3" s="650"/>
      <c r="G3" s="650"/>
      <c r="H3" s="650"/>
      <c r="I3" s="650"/>
      <c r="J3" s="650"/>
    </row>
    <row r="4" spans="2:10" ht="45" customHeight="1">
      <c r="B4" s="650"/>
      <c r="C4" s="1098" t="s">
        <v>267</v>
      </c>
      <c r="D4" s="1098"/>
      <c r="E4" s="1098"/>
      <c r="F4" s="1098"/>
      <c r="G4" s="1098"/>
      <c r="H4" s="1098"/>
      <c r="I4" s="1098"/>
      <c r="J4" s="650"/>
    </row>
    <row r="5" spans="2:10" ht="8.25" customHeight="1">
      <c r="B5" s="650"/>
      <c r="C5" s="650"/>
      <c r="D5" s="650"/>
      <c r="E5" s="651"/>
      <c r="F5" s="650"/>
      <c r="G5" s="650"/>
      <c r="H5" s="650"/>
      <c r="I5" s="650"/>
      <c r="J5" s="650"/>
    </row>
    <row r="6" spans="2:10" ht="43" customHeight="1">
      <c r="B6" s="650"/>
      <c r="C6" s="800" t="s">
        <v>268</v>
      </c>
      <c r="D6" s="800"/>
      <c r="E6" s="800"/>
      <c r="F6" s="800"/>
      <c r="G6" s="800"/>
      <c r="H6" s="800"/>
      <c r="I6" s="800"/>
      <c r="J6" s="650"/>
    </row>
    <row r="7" spans="2:10">
      <c r="B7" s="650"/>
      <c r="C7" s="650"/>
      <c r="D7" s="650"/>
      <c r="E7" s="650"/>
      <c r="F7" s="650"/>
      <c r="G7" s="650"/>
      <c r="H7" s="650"/>
      <c r="I7" s="650"/>
      <c r="J7" s="650"/>
    </row>
    <row r="8" spans="2:10" ht="35.5" customHeight="1">
      <c r="B8" s="650"/>
      <c r="C8" s="655">
        <v>1</v>
      </c>
      <c r="D8" s="655"/>
      <c r="E8" s="1097" t="s">
        <v>269</v>
      </c>
      <c r="F8" s="1097"/>
      <c r="G8" s="1097"/>
      <c r="H8" s="1097"/>
      <c r="I8" s="1097"/>
      <c r="J8" s="650"/>
    </row>
    <row r="9" spans="2:10" ht="54" customHeight="1">
      <c r="B9" s="650"/>
      <c r="C9" s="650"/>
      <c r="D9" s="650"/>
      <c r="E9" s="800" t="s">
        <v>270</v>
      </c>
      <c r="F9" s="800"/>
      <c r="G9" s="800"/>
      <c r="H9" s="800"/>
      <c r="I9" s="650"/>
      <c r="J9" s="650"/>
    </row>
    <row r="10" spans="2:10" ht="10" customHeight="1">
      <c r="B10" s="650"/>
      <c r="C10" s="650"/>
      <c r="D10" s="650"/>
      <c r="E10" s="650"/>
      <c r="F10" s="650"/>
      <c r="G10" s="650"/>
      <c r="H10" s="650"/>
      <c r="I10" s="650"/>
      <c r="J10" s="650"/>
    </row>
    <row r="11" spans="2:10" ht="40" customHeight="1">
      <c r="B11" s="650"/>
      <c r="C11" s="650"/>
      <c r="D11" s="650"/>
      <c r="E11" s="650"/>
      <c r="F11" s="656" t="s">
        <v>271</v>
      </c>
      <c r="G11" s="657" t="s">
        <v>272</v>
      </c>
      <c r="H11" s="656" t="s">
        <v>273</v>
      </c>
      <c r="I11" s="1143">
        <v>100000</v>
      </c>
      <c r="J11" s="650"/>
    </row>
    <row r="12" spans="2:10" ht="40" customHeight="1">
      <c r="B12" s="650"/>
      <c r="C12" s="650"/>
      <c r="D12" s="650"/>
      <c r="E12" s="650"/>
      <c r="F12" s="656" t="s">
        <v>274</v>
      </c>
      <c r="G12" s="657" t="s">
        <v>275</v>
      </c>
      <c r="H12" s="656" t="s">
        <v>273</v>
      </c>
      <c r="I12" s="1144">
        <v>6</v>
      </c>
      <c r="J12" s="650"/>
    </row>
    <row r="13" spans="2:10" ht="40" customHeight="1" thickBot="1">
      <c r="B13" s="650"/>
      <c r="C13" s="650"/>
      <c r="D13" s="650"/>
      <c r="E13" s="650"/>
      <c r="F13" s="656" t="s">
        <v>276</v>
      </c>
      <c r="G13" s="657" t="s">
        <v>277</v>
      </c>
      <c r="H13" s="663" t="s">
        <v>273</v>
      </c>
      <c r="I13" s="780">
        <f>$I$11*($I$12/12)</f>
        <v>50000</v>
      </c>
      <c r="J13" s="650"/>
    </row>
    <row r="14" spans="2:10" ht="27.75" customHeight="1">
      <c r="B14" s="650"/>
      <c r="C14" s="650"/>
      <c r="D14" s="650"/>
      <c r="E14" s="650"/>
      <c r="F14" s="652"/>
      <c r="G14" s="654"/>
      <c r="H14" s="652"/>
      <c r="I14" s="653"/>
      <c r="J14" s="650"/>
    </row>
    <row r="15" spans="2:10" s="659" customFormat="1" ht="51" customHeight="1">
      <c r="B15" s="660"/>
      <c r="C15" s="655">
        <v>2</v>
      </c>
      <c r="D15" s="655"/>
      <c r="E15" s="1097" t="s">
        <v>278</v>
      </c>
      <c r="F15" s="1097"/>
      <c r="G15" s="1097"/>
      <c r="H15" s="655"/>
      <c r="I15" s="655"/>
      <c r="J15" s="660"/>
    </row>
    <row r="16" spans="2:10" ht="53.25" customHeight="1">
      <c r="B16" s="650"/>
      <c r="C16" s="658"/>
      <c r="D16" s="658"/>
      <c r="E16" s="800" t="s">
        <v>279</v>
      </c>
      <c r="F16" s="800"/>
      <c r="G16" s="800"/>
      <c r="H16" s="800"/>
      <c r="I16" s="658"/>
      <c r="J16" s="650"/>
    </row>
    <row r="17" spans="2:10" s="659" customFormat="1" ht="40" customHeight="1" thickBot="1">
      <c r="B17" s="660"/>
      <c r="C17" s="660"/>
      <c r="D17" s="660"/>
      <c r="E17" s="660"/>
      <c r="F17" s="656" t="s">
        <v>271</v>
      </c>
      <c r="G17" s="657" t="s">
        <v>280</v>
      </c>
      <c r="H17" s="656" t="s">
        <v>273</v>
      </c>
      <c r="I17" s="1145">
        <v>0.75</v>
      </c>
      <c r="J17" s="660"/>
    </row>
    <row r="18" spans="2:10" s="659" customFormat="1" ht="40" customHeight="1" thickBot="1">
      <c r="B18" s="660"/>
      <c r="C18" s="660"/>
      <c r="D18" s="660"/>
      <c r="E18" s="660"/>
      <c r="F18" s="656" t="s">
        <v>276</v>
      </c>
      <c r="G18" s="657" t="s">
        <v>281</v>
      </c>
      <c r="H18" s="663" t="s">
        <v>273</v>
      </c>
      <c r="I18" s="780">
        <f>$I$13*$I$17</f>
        <v>37500</v>
      </c>
      <c r="J18" s="660"/>
    </row>
    <row r="19" spans="2:10" s="659" customFormat="1" ht="40" customHeight="1" thickBot="1">
      <c r="B19" s="660"/>
      <c r="C19" s="660"/>
      <c r="D19" s="660"/>
      <c r="E19" s="660"/>
      <c r="F19" s="652"/>
      <c r="G19" s="661"/>
      <c r="H19" s="652"/>
      <c r="I19" s="662"/>
      <c r="J19" s="660"/>
    </row>
    <row r="20" spans="2:10" ht="50.5" customHeight="1">
      <c r="B20" s="650"/>
      <c r="C20" s="1093" t="s">
        <v>282</v>
      </c>
      <c r="D20" s="1094"/>
      <c r="E20" s="1094"/>
      <c r="F20" s="1094"/>
      <c r="G20" s="1094"/>
      <c r="H20" s="1094"/>
      <c r="I20" s="1095"/>
      <c r="J20" s="650"/>
    </row>
    <row r="21" spans="2:10">
      <c r="B21" s="650"/>
      <c r="C21" s="650"/>
      <c r="D21" s="650"/>
      <c r="E21" s="650"/>
      <c r="F21" s="650"/>
      <c r="G21" s="650"/>
      <c r="H21" s="650"/>
      <c r="I21" s="650"/>
      <c r="J21" s="650"/>
    </row>
    <row r="22" spans="2:10">
      <c r="B22" s="650"/>
      <c r="C22" s="650"/>
      <c r="D22" s="650"/>
      <c r="E22" s="650"/>
      <c r="F22" s="650"/>
      <c r="G22" s="650"/>
      <c r="H22" s="650"/>
      <c r="I22" s="650"/>
      <c r="J22" s="650"/>
    </row>
  </sheetData>
  <sheetProtection algorithmName="SHA-512" hashValue="a0rQWNVtpdvhoyoNWEkyVeZ9HzKiHECIF3yrT4ZxMrc8mIQBqUq9FmAmV3OsfHhTtcMsSOHw/0TPJE3h513YVA==" saltValue="VToHMAyJMlALmQaDPLJxPw==" spinCount="100000" sheet="1" objects="1" scenarios="1" formatCells="0"/>
  <mergeCells count="8">
    <mergeCell ref="E16:H16"/>
    <mergeCell ref="C20:I20"/>
    <mergeCell ref="B2:J2"/>
    <mergeCell ref="E15:G15"/>
    <mergeCell ref="C4:I4"/>
    <mergeCell ref="C6:I6"/>
    <mergeCell ref="E9:H9"/>
    <mergeCell ref="E8:I8"/>
  </mergeCells>
  <pageMargins left="0.7" right="0.7" top="0.75" bottom="0.75" header="0.3" footer="0.3"/>
  <pageSetup scale="67"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C89426CD6990C48B571977008B5B929" ma:contentTypeVersion="13" ma:contentTypeDescription="Create a new document." ma:contentTypeScope="" ma:versionID="0e01c7bc96b6eed3db98ed54fdc55eb5">
  <xsd:schema xmlns:xsd="http://www.w3.org/2001/XMLSchema" xmlns:xs="http://www.w3.org/2001/XMLSchema" xmlns:p="http://schemas.microsoft.com/office/2006/metadata/properties" xmlns:ns3="6825cbcc-075a-4232-9296-e9bac03f9e0c" xmlns:ns4="6f211968-1ce9-4ce8-bc32-9c87e03ae60e" targetNamespace="http://schemas.microsoft.com/office/2006/metadata/properties" ma:root="true" ma:fieldsID="3d38f0102057625f23cc481bc4af9216" ns3:_="" ns4:_="">
    <xsd:import namespace="6825cbcc-075a-4232-9296-e9bac03f9e0c"/>
    <xsd:import namespace="6f211968-1ce9-4ce8-bc32-9c87e03ae60e"/>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25cbcc-075a-4232-9296-e9bac03f9e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f211968-1ce9-4ce8-bc32-9c87e03ae60e"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9E5AC5-64B2-4B7B-9D75-A7C00E9C1AC0}">
  <ds:schemaRefs>
    <ds:schemaRef ds:uri="http://schemas.microsoft.com/sharepoint/v3/contenttype/forms"/>
  </ds:schemaRefs>
</ds:datastoreItem>
</file>

<file path=customXml/itemProps2.xml><?xml version="1.0" encoding="utf-8"?>
<ds:datastoreItem xmlns:ds="http://schemas.openxmlformats.org/officeDocument/2006/customXml" ds:itemID="{56C1983F-F266-4005-8EC6-D5065FD7537B}">
  <ds:schemaRefs>
    <ds:schemaRef ds:uri="http://schemas.microsoft.com/office/2006/metadata/properties"/>
    <ds:schemaRef ds:uri="http://www.w3.org/XML/1998/namespace"/>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http://purl.org/dc/dcmitype/"/>
    <ds:schemaRef ds:uri="6f211968-1ce9-4ce8-bc32-9c87e03ae60e"/>
    <ds:schemaRef ds:uri="6825cbcc-075a-4232-9296-e9bac03f9e0c"/>
    <ds:schemaRef ds:uri="http://purl.org/dc/terms/"/>
  </ds:schemaRefs>
</ds:datastoreItem>
</file>

<file path=customXml/itemProps3.xml><?xml version="1.0" encoding="utf-8"?>
<ds:datastoreItem xmlns:ds="http://schemas.openxmlformats.org/officeDocument/2006/customXml" ds:itemID="{6A564C82-A93A-469E-A667-E6054C7D72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25cbcc-075a-4232-9296-e9bac03f9e0c"/>
    <ds:schemaRef ds:uri="6f211968-1ce9-4ce8-bc32-9c87e03ae6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vt:i4>
      </vt:variant>
    </vt:vector>
  </HeadingPairs>
  <TitlesOfParts>
    <vt:vector size="16" baseType="lpstr">
      <vt:lpstr>Model inputs (2)</vt:lpstr>
      <vt:lpstr>Model inputs (3)</vt:lpstr>
      <vt:lpstr>LEER ANTES DE EMPEZAR</vt:lpstr>
      <vt:lpstr>Datos del modelo</vt:lpstr>
      <vt:lpstr>Panel</vt:lpstr>
      <vt:lpstr>Resultados</vt:lpstr>
      <vt:lpstr>Gráficos</vt:lpstr>
      <vt:lpstr>Charts_full options</vt:lpstr>
      <vt:lpstr>Ej. cálculo pob destinataria</vt:lpstr>
      <vt:lpstr>Datos</vt:lpstr>
      <vt:lpstr>Charts (2)</vt:lpstr>
      <vt:lpstr>DPP</vt:lpstr>
      <vt:lpstr>'Datos del modelo'!Print_Area</vt:lpstr>
      <vt:lpstr>'Model inputs (2)'!Print_Area</vt:lpstr>
      <vt:lpstr>'Model inputs (3)'!Print_Area</vt:lpstr>
      <vt:lpstr>Resultados!Print_Area</vt:lpstr>
    </vt:vector>
  </TitlesOfParts>
  <Manager/>
  <Company>PATH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Tara Petronio</cp:lastModifiedBy>
  <cp:revision/>
  <dcterms:created xsi:type="dcterms:W3CDTF">2018-05-24T13:25:57Z</dcterms:created>
  <dcterms:modified xsi:type="dcterms:W3CDTF">2026-08-26T18:08:49Z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f5e72d3-b6ef-4c9c-b371-eb3c79f627ee_Enabled">
    <vt:lpwstr>true</vt:lpwstr>
  </property>
  <property fmtid="{D5CDD505-2E9C-101B-9397-08002B2CF9AE}" pid="3" name="MSIP_Label_8f5e72d3-b6ef-4c9c-b371-eb3c79f627ee_SetDate">
    <vt:lpwstr>2019-12-04T11:02:07Z</vt:lpwstr>
  </property>
  <property fmtid="{D5CDD505-2E9C-101B-9397-08002B2CF9AE}" pid="4" name="MSIP_Label_8f5e72d3-b6ef-4c9c-b371-eb3c79f627ee_Method">
    <vt:lpwstr>Privileged</vt:lpwstr>
  </property>
  <property fmtid="{D5CDD505-2E9C-101B-9397-08002B2CF9AE}" pid="5" name="MSIP_Label_8f5e72d3-b6ef-4c9c-b371-eb3c79f627ee_Name">
    <vt:lpwstr>8f5e72d3-b6ef-4c9c-b371-eb3c79f627ee</vt:lpwstr>
  </property>
  <property fmtid="{D5CDD505-2E9C-101B-9397-08002B2CF9AE}" pid="6" name="MSIP_Label_8f5e72d3-b6ef-4c9c-b371-eb3c79f627ee_SiteId">
    <vt:lpwstr>1de6d9f3-0daf-4df6-b9d6-5959f16f6118</vt:lpwstr>
  </property>
  <property fmtid="{D5CDD505-2E9C-101B-9397-08002B2CF9AE}" pid="7" name="MSIP_Label_8f5e72d3-b6ef-4c9c-b371-eb3c79f627ee_ActionId">
    <vt:lpwstr>b8e400df-7c36-45f2-9454-000070304384</vt:lpwstr>
  </property>
  <property fmtid="{D5CDD505-2E9C-101B-9397-08002B2CF9AE}" pid="8" name="MSIP_Label_8f5e72d3-b6ef-4c9c-b371-eb3c79f627ee_ContentBits">
    <vt:lpwstr>1</vt:lpwstr>
  </property>
  <property fmtid="{D5CDD505-2E9C-101B-9397-08002B2CF9AE}" pid="9" name="ContentTypeId">
    <vt:lpwstr>0x010100AC89426CD6990C48B571977008B5B929</vt:lpwstr>
  </property>
</Properties>
</file>