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6.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7.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9.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api.box.com/wopi/files/2267090939976/WOPIServiceId_TP_BOX_2/WOPIUserId_-/"/>
    </mc:Choice>
  </mc:AlternateContent>
  <xr:revisionPtr revIDLastSave="309" documentId="13_ncr:1_{E7688222-8755-47CE-9942-D452E232077D}" xr6:coauthVersionLast="47" xr6:coauthVersionMax="47" xr10:uidLastSave="{483CCA67-EFAC-4A9D-8CB9-A5ABD3B7F653}"/>
  <bookViews>
    <workbookView xWindow="-110" yWindow="-110" windowWidth="19420" windowHeight="11500" tabRatio="1000" firstSheet="2" activeTab="2" xr2:uid="{873B6932-8996-406C-928F-F4A569F03DA8}"/>
  </bookViews>
  <sheets>
    <sheet name="Model inputs (2)" sheetId="21" state="hidden" r:id="rId1"/>
    <sheet name="Model inputs (3)" sheetId="22" state="hidden" r:id="rId2"/>
    <sheet name="INSTRUCTIONS" sheetId="19" r:id="rId3"/>
    <sheet name="Saisie des données" sheetId="2" r:id="rId4"/>
    <sheet name="Tableau de bord" sheetId="11" r:id="rId5"/>
    <sheet name="Résultats" sheetId="12" r:id="rId6"/>
    <sheet name="Graphiques" sheetId="15" r:id="rId7"/>
    <sheet name="Charts_full options" sheetId="14" state="hidden" r:id="rId8"/>
    <sheet name="Caclul de la pop cible (ex.)" sheetId="20" r:id="rId9"/>
    <sheet name="Data" sheetId="3" state="hidden" r:id="rId10"/>
    <sheet name="Charts (2)" sheetId="23" state="hidden" r:id="rId11"/>
    <sheet name="DPP" sheetId="5" state="hidden" r:id="rId12"/>
  </sheets>
  <externalReferences>
    <externalReference r:id="rId13"/>
  </externalReferences>
  <definedNames>
    <definedName name="_xlnm.Print_Area" localSheetId="0">'Model inputs (2)'!$A$1:$V$89</definedName>
    <definedName name="_xlnm.Print_Area" localSheetId="1">'Model inputs (3)'!$A$1:$V$88</definedName>
    <definedName name="_xlnm.Print_Area" localSheetId="5">Résultats!$B$4:$O$143</definedName>
    <definedName name="_xlnm.Print_Area" localSheetId="3">'Saisie des données'!$B$3:$S$104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2" l="1"/>
  <c r="C32" i="3" l="1" a="1"/>
  <c r="C32" i="3" s="1"/>
  <c r="C33" i="3" s="1"/>
  <c r="C34" i="3" s="1"/>
  <c r="C35" i="3" s="1"/>
  <c r="C36" i="3" s="1"/>
  <c r="C37" i="3" s="1"/>
  <c r="C38" i="3" s="1"/>
  <c r="C39" i="3" s="1"/>
  <c r="C40" i="3" s="1"/>
  <c r="C24" i="3" l="1"/>
  <c r="F14" i="3"/>
  <c r="F15" i="3" s="1"/>
  <c r="K9" i="12" l="1"/>
  <c r="K58" i="12" s="1"/>
  <c r="J9" i="12"/>
  <c r="J49" i="12" s="1"/>
  <c r="G9" i="12"/>
  <c r="G56" i="12" s="1"/>
  <c r="F9" i="12"/>
  <c r="J79" i="2"/>
  <c r="I79" i="2"/>
  <c r="G79" i="2"/>
  <c r="F79" i="2"/>
  <c r="J47" i="12" l="1"/>
  <c r="K49" i="12"/>
  <c r="K56" i="12"/>
  <c r="J22" i="12"/>
  <c r="J36" i="12"/>
  <c r="K36" i="12"/>
  <c r="K37" i="12"/>
  <c r="K38" i="12"/>
  <c r="J45" i="12"/>
  <c r="K46" i="12"/>
  <c r="J56" i="12"/>
  <c r="J58" i="12"/>
  <c r="K39" i="12"/>
  <c r="K40" i="12"/>
  <c r="K18" i="12"/>
  <c r="K17" i="12" s="1"/>
  <c r="K47" i="12"/>
  <c r="K54" i="12"/>
  <c r="K19" i="12"/>
  <c r="K57" i="12"/>
  <c r="K20" i="12"/>
  <c r="K21" i="12"/>
  <c r="K45" i="12"/>
  <c r="K48" i="12"/>
  <c r="K55" i="12"/>
  <c r="K22" i="12"/>
  <c r="J54" i="12"/>
  <c r="J18" i="12"/>
  <c r="J17" i="12" s="1"/>
  <c r="J37" i="12"/>
  <c r="J48" i="12"/>
  <c r="J19" i="12"/>
  <c r="J38" i="12"/>
  <c r="J57" i="12"/>
  <c r="J46" i="12"/>
  <c r="J20" i="12"/>
  <c r="J39" i="12"/>
  <c r="J55" i="12"/>
  <c r="J21" i="12"/>
  <c r="J40" i="12"/>
  <c r="J8" i="11"/>
  <c r="J9" i="11" s="1"/>
  <c r="G45" i="12"/>
  <c r="G47" i="12"/>
  <c r="G49" i="12"/>
  <c r="G55" i="12"/>
  <c r="G57" i="12"/>
  <c r="G21" i="12"/>
  <c r="G38" i="12"/>
  <c r="G18" i="12"/>
  <c r="G17" i="12" s="1"/>
  <c r="G22" i="12"/>
  <c r="G39" i="12"/>
  <c r="G46" i="12"/>
  <c r="G48" i="12"/>
  <c r="G54" i="12"/>
  <c r="G58" i="12"/>
  <c r="G19" i="12"/>
  <c r="G36" i="12"/>
  <c r="G40" i="12"/>
  <c r="G20" i="12"/>
  <c r="G37" i="12"/>
  <c r="H8" i="11"/>
  <c r="H9" i="11" s="1"/>
  <c r="E79" i="2"/>
  <c r="H79" i="2"/>
  <c r="L81" i="2" l="1"/>
  <c r="R8" i="11" l="1"/>
  <c r="R9" i="11" s="1"/>
  <c r="M11" i="12" l="1"/>
  <c r="F92" i="2" l="1"/>
  <c r="G92" i="2"/>
  <c r="H92" i="2" l="1"/>
  <c r="I92" i="2"/>
  <c r="J92" i="2"/>
  <c r="K92" i="2"/>
  <c r="L92" i="2"/>
  <c r="E92" i="2"/>
  <c r="F88" i="2"/>
  <c r="G88" i="2"/>
  <c r="H88" i="2"/>
  <c r="I88" i="2"/>
  <c r="J88" i="2"/>
  <c r="K88" i="2"/>
  <c r="L88" i="2"/>
  <c r="E88" i="2"/>
  <c r="D53" i="2"/>
  <c r="D52" i="2"/>
  <c r="D51" i="2"/>
  <c r="D50" i="2"/>
  <c r="D49" i="2"/>
  <c r="D47" i="2"/>
  <c r="D46" i="2"/>
  <c r="D45" i="2"/>
  <c r="D44" i="2"/>
  <c r="D43" i="2"/>
  <c r="D37" i="2"/>
  <c r="D41" i="2"/>
  <c r="D40" i="2"/>
  <c r="D39" i="2"/>
  <c r="D38" i="2"/>
  <c r="F55" i="12" l="1"/>
  <c r="F58" i="12"/>
  <c r="F54" i="12"/>
  <c r="F56" i="12"/>
  <c r="F57" i="12"/>
  <c r="D58" i="12"/>
  <c r="D57" i="12"/>
  <c r="D56" i="12"/>
  <c r="D55" i="12"/>
  <c r="D54" i="12"/>
  <c r="D49" i="12"/>
  <c r="D48" i="12"/>
  <c r="D47" i="12"/>
  <c r="D46" i="12"/>
  <c r="D45" i="12"/>
  <c r="D40" i="12"/>
  <c r="D39" i="12"/>
  <c r="D38" i="12"/>
  <c r="D37" i="12"/>
  <c r="D36" i="12"/>
  <c r="I13" i="20" l="1"/>
  <c r="I18" i="20" s="1"/>
  <c r="L91" i="2"/>
  <c r="D22" i="12" l="1"/>
  <c r="D21" i="12"/>
  <c r="D20" i="12"/>
  <c r="D19" i="12"/>
  <c r="D18" i="12"/>
  <c r="K77" i="22"/>
  <c r="J77" i="22"/>
  <c r="I77" i="22"/>
  <c r="H77" i="22"/>
  <c r="G77" i="22"/>
  <c r="F77" i="22"/>
  <c r="E77" i="22"/>
  <c r="D77" i="22"/>
  <c r="K76" i="22"/>
  <c r="J76" i="22"/>
  <c r="I76" i="22"/>
  <c r="H76" i="22"/>
  <c r="G76" i="22"/>
  <c r="F76" i="22"/>
  <c r="E76" i="22"/>
  <c r="D76" i="22"/>
  <c r="K74" i="22"/>
  <c r="J74" i="22"/>
  <c r="I74" i="22"/>
  <c r="H74" i="22"/>
  <c r="G74" i="22"/>
  <c r="F74" i="22"/>
  <c r="E74" i="22"/>
  <c r="D74" i="22"/>
  <c r="K72" i="22"/>
  <c r="J72" i="22"/>
  <c r="I72" i="22"/>
  <c r="H72" i="22"/>
  <c r="G72" i="22"/>
  <c r="F72" i="22"/>
  <c r="E72" i="22"/>
  <c r="D72" i="22"/>
  <c r="C72" i="22"/>
  <c r="K71" i="22"/>
  <c r="J71" i="22"/>
  <c r="I71" i="22"/>
  <c r="H71" i="22"/>
  <c r="G71" i="22"/>
  <c r="F71" i="22"/>
  <c r="E71" i="22"/>
  <c r="D71" i="22"/>
  <c r="C71" i="22"/>
  <c r="K70" i="22"/>
  <c r="J70" i="22"/>
  <c r="I70" i="22"/>
  <c r="H70" i="22"/>
  <c r="G70" i="22"/>
  <c r="F70" i="22"/>
  <c r="E70" i="22"/>
  <c r="D70" i="22"/>
  <c r="C70" i="22"/>
  <c r="K69" i="22"/>
  <c r="J69" i="22"/>
  <c r="I69" i="22"/>
  <c r="H69" i="22"/>
  <c r="G69" i="22"/>
  <c r="F69" i="22"/>
  <c r="E69" i="22"/>
  <c r="D69" i="22"/>
  <c r="C69" i="22"/>
  <c r="K68" i="22"/>
  <c r="J68" i="22"/>
  <c r="I68" i="22"/>
  <c r="H68" i="22"/>
  <c r="G68" i="22"/>
  <c r="F68" i="22"/>
  <c r="E68" i="22"/>
  <c r="D68" i="22"/>
  <c r="C68" i="22"/>
  <c r="K66" i="22"/>
  <c r="J66" i="22"/>
  <c r="I66" i="22"/>
  <c r="H66" i="22"/>
  <c r="G66" i="22"/>
  <c r="F66" i="22"/>
  <c r="E66" i="22"/>
  <c r="D66" i="22"/>
  <c r="I64" i="22"/>
  <c r="H64" i="22"/>
  <c r="G64" i="22"/>
  <c r="F64" i="22"/>
  <c r="E64" i="22"/>
  <c r="D64" i="22"/>
  <c r="C53" i="22"/>
  <c r="C52" i="22"/>
  <c r="C51" i="22"/>
  <c r="C50" i="22"/>
  <c r="C49" i="22"/>
  <c r="G33" i="22"/>
  <c r="D33" i="22"/>
  <c r="K32" i="22"/>
  <c r="J32" i="22"/>
  <c r="K31" i="22"/>
  <c r="J31" i="22"/>
  <c r="J30" i="22"/>
  <c r="J33" i="22" s="1"/>
  <c r="F18" i="12" l="1"/>
  <c r="F20" i="12"/>
  <c r="F38" i="12" s="1"/>
  <c r="F47" i="12" s="1"/>
  <c r="F19" i="12"/>
  <c r="F37" i="12" s="1"/>
  <c r="F46" i="12" s="1"/>
  <c r="F21" i="12"/>
  <c r="F39" i="12" s="1"/>
  <c r="F48" i="12" s="1"/>
  <c r="F22" i="12"/>
  <c r="F40" i="12" s="1"/>
  <c r="F49" i="12" s="1"/>
  <c r="K30" i="22"/>
  <c r="K33" i="22" s="1"/>
  <c r="F36" i="12" l="1"/>
  <c r="F45" i="12" s="1"/>
  <c r="F17" i="12"/>
  <c r="K78" i="21"/>
  <c r="J78" i="21"/>
  <c r="I78" i="21"/>
  <c r="H78" i="21"/>
  <c r="G78" i="21"/>
  <c r="F78" i="21"/>
  <c r="E78" i="21"/>
  <c r="D78" i="21"/>
  <c r="K77" i="21"/>
  <c r="J77" i="21"/>
  <c r="I77" i="21"/>
  <c r="H77" i="21"/>
  <c r="G77" i="21"/>
  <c r="F77" i="21"/>
  <c r="E77" i="21"/>
  <c r="D77" i="21"/>
  <c r="K75" i="21"/>
  <c r="J75" i="21"/>
  <c r="I75" i="21"/>
  <c r="H75" i="21"/>
  <c r="G75" i="21"/>
  <c r="F75" i="21"/>
  <c r="E75" i="21"/>
  <c r="D75" i="21"/>
  <c r="K73" i="21"/>
  <c r="J73" i="21"/>
  <c r="I73" i="21"/>
  <c r="H73" i="21"/>
  <c r="G73" i="21"/>
  <c r="F73" i="21"/>
  <c r="E73" i="21"/>
  <c r="D73" i="21"/>
  <c r="C73" i="21"/>
  <c r="K72" i="21"/>
  <c r="J72" i="21"/>
  <c r="I72" i="21"/>
  <c r="H72" i="21"/>
  <c r="G72" i="21"/>
  <c r="F72" i="21"/>
  <c r="E72" i="21"/>
  <c r="D72" i="21"/>
  <c r="C72" i="21"/>
  <c r="K71" i="21"/>
  <c r="J71" i="21"/>
  <c r="I71" i="21"/>
  <c r="H71" i="21"/>
  <c r="G71" i="21"/>
  <c r="F71" i="21"/>
  <c r="E71" i="21"/>
  <c r="D71" i="21"/>
  <c r="C71" i="21"/>
  <c r="K70" i="21"/>
  <c r="J70" i="21"/>
  <c r="I70" i="21"/>
  <c r="H70" i="21"/>
  <c r="G70" i="21"/>
  <c r="F70" i="21"/>
  <c r="E70" i="21"/>
  <c r="D70" i="21"/>
  <c r="C70" i="21"/>
  <c r="K69" i="21"/>
  <c r="J69" i="21"/>
  <c r="I69" i="21"/>
  <c r="H69" i="21"/>
  <c r="G69" i="21"/>
  <c r="F69" i="21"/>
  <c r="E69" i="21"/>
  <c r="D69" i="21"/>
  <c r="C69" i="21"/>
  <c r="K67" i="21"/>
  <c r="J67" i="21"/>
  <c r="I67" i="21"/>
  <c r="H67" i="21"/>
  <c r="G67" i="21"/>
  <c r="F67" i="21"/>
  <c r="E67" i="21"/>
  <c r="D67" i="21"/>
  <c r="I65" i="21"/>
  <c r="H65" i="21"/>
  <c r="G65" i="21"/>
  <c r="F65" i="21"/>
  <c r="E65" i="21"/>
  <c r="D65" i="21"/>
  <c r="C54" i="21"/>
  <c r="C53" i="21"/>
  <c r="C52" i="21"/>
  <c r="C51" i="21"/>
  <c r="C50" i="21"/>
  <c r="G34" i="21"/>
  <c r="D34" i="21"/>
  <c r="K33" i="21"/>
  <c r="J33" i="21"/>
  <c r="K32" i="21"/>
  <c r="J32" i="21"/>
  <c r="J31" i="21"/>
  <c r="J34" i="21" l="1"/>
  <c r="K31" i="21"/>
  <c r="K34" i="21" s="1"/>
  <c r="K81" i="2" l="1"/>
  <c r="J81" i="2"/>
  <c r="I81" i="2"/>
  <c r="G81" i="2"/>
  <c r="F81" i="2"/>
  <c r="H81" i="2"/>
  <c r="E81" i="2"/>
  <c r="D94" i="12"/>
  <c r="D93" i="12"/>
  <c r="D92" i="12"/>
  <c r="D91" i="12"/>
  <c r="D90" i="12"/>
  <c r="D85" i="12"/>
  <c r="D84" i="12"/>
  <c r="D83" i="12"/>
  <c r="D82" i="12"/>
  <c r="D81" i="12"/>
  <c r="D76" i="12" l="1"/>
  <c r="D75" i="12"/>
  <c r="D74" i="12"/>
  <c r="D73" i="12"/>
  <c r="D72" i="12"/>
  <c r="L32" i="2"/>
  <c r="L31" i="2"/>
  <c r="K32" i="2"/>
  <c r="K31" i="2"/>
  <c r="H33" i="2"/>
  <c r="E33" i="2"/>
  <c r="K33" i="2" l="1"/>
  <c r="L33" i="2" l="1"/>
  <c r="N9" i="12" l="1"/>
  <c r="O9" i="12"/>
  <c r="O11" i="12" s="1"/>
  <c r="I9" i="12"/>
  <c r="J11" i="12"/>
  <c r="K11" i="12"/>
  <c r="E9" i="12"/>
  <c r="F11" i="12"/>
  <c r="G11" i="12"/>
  <c r="K89" i="2"/>
  <c r="L89" i="2"/>
  <c r="K91" i="2"/>
  <c r="E58" i="12" l="1"/>
  <c r="E54" i="12"/>
  <c r="E57" i="12"/>
  <c r="E46" i="12"/>
  <c r="E56" i="12"/>
  <c r="E48" i="12"/>
  <c r="E45" i="12"/>
  <c r="E47" i="12"/>
  <c r="E55" i="12"/>
  <c r="E49" i="12"/>
  <c r="I58" i="12"/>
  <c r="I46" i="12"/>
  <c r="I48" i="12"/>
  <c r="I49" i="12"/>
  <c r="I47" i="12"/>
  <c r="I54" i="12"/>
  <c r="I57" i="12"/>
  <c r="I56" i="12"/>
  <c r="I45" i="12"/>
  <c r="I55" i="12"/>
  <c r="N11" i="12"/>
  <c r="N46" i="12"/>
  <c r="N49" i="12"/>
  <c r="N45" i="12"/>
  <c r="N47" i="12"/>
  <c r="N54" i="12"/>
  <c r="N57" i="12"/>
  <c r="N56" i="12"/>
  <c r="N48" i="12"/>
  <c r="N58" i="12"/>
  <c r="N55" i="12"/>
  <c r="N18" i="12"/>
  <c r="N20" i="12"/>
  <c r="N38" i="12" s="1"/>
  <c r="N19" i="12"/>
  <c r="N37" i="12" s="1"/>
  <c r="N21" i="12"/>
  <c r="N39" i="12" s="1"/>
  <c r="N36" i="12"/>
  <c r="N22" i="12"/>
  <c r="N40" i="12" s="1"/>
  <c r="I11" i="12"/>
  <c r="I20" i="12"/>
  <c r="I38" i="12" s="1"/>
  <c r="I19" i="12"/>
  <c r="I37" i="12" s="1"/>
  <c r="I22" i="12"/>
  <c r="I40" i="12" s="1"/>
  <c r="I18" i="12"/>
  <c r="I36" i="12" s="1"/>
  <c r="I21" i="12"/>
  <c r="I39" i="12" s="1"/>
  <c r="E11" i="12"/>
  <c r="E21" i="12"/>
  <c r="E39" i="12" s="1"/>
  <c r="F8" i="11"/>
  <c r="F9" i="11" s="1"/>
  <c r="E20" i="12"/>
  <c r="E38" i="12" s="1"/>
  <c r="E22" i="12"/>
  <c r="E40" i="12" s="1"/>
  <c r="E19" i="12"/>
  <c r="E37" i="12" s="1"/>
  <c r="E18" i="12"/>
  <c r="E36" i="12" s="1"/>
  <c r="N8" i="11"/>
  <c r="N9" i="11" s="1"/>
  <c r="L8" i="11"/>
  <c r="L9" i="11" s="1"/>
  <c r="P8" i="11"/>
  <c r="P9" i="11" s="1"/>
  <c r="D142" i="12"/>
  <c r="D141" i="12"/>
  <c r="D140" i="12"/>
  <c r="D139" i="12"/>
  <c r="D138" i="12"/>
  <c r="D133" i="12"/>
  <c r="D132" i="12"/>
  <c r="D131" i="12"/>
  <c r="D130" i="12"/>
  <c r="D129" i="12"/>
  <c r="D122" i="12"/>
  <c r="D121" i="12"/>
  <c r="D120" i="12"/>
  <c r="D119" i="12"/>
  <c r="D118" i="12"/>
  <c r="D113" i="12"/>
  <c r="D112" i="12"/>
  <c r="D111" i="12"/>
  <c r="D110" i="12"/>
  <c r="D109" i="12"/>
  <c r="D102" i="12"/>
  <c r="D101" i="12"/>
  <c r="D100" i="12"/>
  <c r="D99" i="12"/>
  <c r="D98" i="12"/>
  <c r="D67" i="12"/>
  <c r="D66" i="12"/>
  <c r="D65" i="12"/>
  <c r="D64" i="12"/>
  <c r="D63" i="12"/>
  <c r="D31" i="12"/>
  <c r="D30" i="12"/>
  <c r="D29" i="12"/>
  <c r="D28" i="12"/>
  <c r="D27" i="12"/>
  <c r="O22" i="12" l="1"/>
  <c r="M22" i="12" s="1"/>
  <c r="N17" i="12"/>
  <c r="O20" i="12"/>
  <c r="O38" i="12" s="1"/>
  <c r="O19" i="12"/>
  <c r="O37" i="12" s="1"/>
  <c r="O21" i="12"/>
  <c r="M21" i="12" s="1"/>
  <c r="I17" i="12"/>
  <c r="E17" i="12"/>
  <c r="G30" i="12"/>
  <c r="N31" i="12"/>
  <c r="N76" i="12" s="1"/>
  <c r="G53" i="12"/>
  <c r="G29" i="12"/>
  <c r="K30" i="12"/>
  <c r="J35" i="12"/>
  <c r="J30" i="12"/>
  <c r="G31" i="12"/>
  <c r="G76" i="12" s="1"/>
  <c r="G44" i="12"/>
  <c r="G28" i="12"/>
  <c r="G35" i="12"/>
  <c r="G27" i="12"/>
  <c r="G72" i="12" s="1"/>
  <c r="G71" i="12" s="1"/>
  <c r="F35" i="12"/>
  <c r="O18" i="12"/>
  <c r="O17" i="12" s="1"/>
  <c r="I28" i="12"/>
  <c r="I30" i="12"/>
  <c r="N28" i="12"/>
  <c r="N73" i="12" s="1"/>
  <c r="N30" i="12"/>
  <c r="N75" i="12" s="1"/>
  <c r="N29" i="12"/>
  <c r="N74" i="12" s="1"/>
  <c r="M19" i="12"/>
  <c r="I35" i="12"/>
  <c r="E35" i="12"/>
  <c r="K28" i="12"/>
  <c r="K31" i="12"/>
  <c r="K76" i="12" s="1"/>
  <c r="M20" i="12" l="1"/>
  <c r="O40" i="12"/>
  <c r="O46" i="12"/>
  <c r="O55" i="12" s="1"/>
  <c r="M55" i="12" s="1"/>
  <c r="O47" i="12"/>
  <c r="O56" i="12" s="1"/>
  <c r="M56" i="12" s="1"/>
  <c r="O39" i="12"/>
  <c r="M39" i="12" s="1"/>
  <c r="K73" i="12"/>
  <c r="K75" i="12"/>
  <c r="I75" i="12"/>
  <c r="I73" i="12"/>
  <c r="I83" i="12" s="1"/>
  <c r="G73" i="12"/>
  <c r="G83" i="12" s="1"/>
  <c r="G75" i="12"/>
  <c r="J75" i="12"/>
  <c r="G74" i="12"/>
  <c r="G84" i="12" s="1"/>
  <c r="G26" i="12"/>
  <c r="J29" i="12"/>
  <c r="J74" i="12" s="1"/>
  <c r="J31" i="12"/>
  <c r="J28" i="12"/>
  <c r="F28" i="12"/>
  <c r="F30" i="12"/>
  <c r="F29" i="12"/>
  <c r="F31" i="12"/>
  <c r="F76" i="12" s="1"/>
  <c r="M18" i="12"/>
  <c r="M17" i="12" s="1"/>
  <c r="O36" i="12"/>
  <c r="M47" i="12"/>
  <c r="K29" i="12"/>
  <c r="J44" i="12"/>
  <c r="J27" i="12"/>
  <c r="J72" i="12" s="1"/>
  <c r="J71" i="12" s="1"/>
  <c r="G90" i="12"/>
  <c r="G63" i="12" s="1"/>
  <c r="M37" i="12"/>
  <c r="N35" i="12"/>
  <c r="M38" i="12"/>
  <c r="M40" i="12"/>
  <c r="E28" i="12"/>
  <c r="E73" i="12" s="1"/>
  <c r="I44" i="12"/>
  <c r="I31" i="12"/>
  <c r="I29" i="12"/>
  <c r="E53" i="12"/>
  <c r="E44" i="12"/>
  <c r="E30" i="12"/>
  <c r="E75" i="12" s="1"/>
  <c r="E31" i="12"/>
  <c r="E76" i="12" s="1"/>
  <c r="E29" i="12"/>
  <c r="E74" i="12" s="1"/>
  <c r="K35" i="12"/>
  <c r="N27" i="12"/>
  <c r="N44" i="12"/>
  <c r="N84" i="12"/>
  <c r="N93" i="12" s="1"/>
  <c r="N85" i="12"/>
  <c r="N94" i="12" s="1"/>
  <c r="N83" i="12"/>
  <c r="N92" i="12" s="1"/>
  <c r="D65" i="2"/>
  <c r="D69" i="2"/>
  <c r="B36" i="3" s="1"/>
  <c r="D68" i="2"/>
  <c r="B35" i="3" s="1"/>
  <c r="D67" i="2"/>
  <c r="B34" i="3" s="1"/>
  <c r="D66" i="2"/>
  <c r="B33" i="3" s="1"/>
  <c r="O28" i="12" l="1"/>
  <c r="O73" i="12" s="1"/>
  <c r="O83" i="12" s="1"/>
  <c r="O45" i="12"/>
  <c r="O54" i="12" s="1"/>
  <c r="O48" i="12"/>
  <c r="O29" i="12"/>
  <c r="M29" i="12" s="1"/>
  <c r="M46" i="12"/>
  <c r="O49" i="12"/>
  <c r="B32" i="3"/>
  <c r="E65" i="2"/>
  <c r="I74" i="12"/>
  <c r="I92" i="12" s="1"/>
  <c r="I65" i="12" s="1"/>
  <c r="F75" i="12"/>
  <c r="F73" i="12"/>
  <c r="G93" i="12"/>
  <c r="G66" i="12" s="1"/>
  <c r="G132" i="12" s="1"/>
  <c r="G141" i="12" s="1"/>
  <c r="I85" i="12"/>
  <c r="J73" i="12"/>
  <c r="J83" i="12" s="1"/>
  <c r="J92" i="12" s="1"/>
  <c r="J65" i="12" s="1"/>
  <c r="J131" i="12" s="1"/>
  <c r="J140" i="12" s="1"/>
  <c r="G85" i="12"/>
  <c r="G94" i="12" s="1"/>
  <c r="G67" i="12" s="1"/>
  <c r="G133" i="12" s="1"/>
  <c r="G142" i="12" s="1"/>
  <c r="K83" i="12"/>
  <c r="O74" i="12"/>
  <c r="F74" i="12"/>
  <c r="F84" i="12" s="1"/>
  <c r="J85" i="12"/>
  <c r="I76" i="12"/>
  <c r="K85" i="12"/>
  <c r="K94" i="12" s="1"/>
  <c r="K67" i="12" s="1"/>
  <c r="K133" i="12" s="1"/>
  <c r="K142" i="12" s="1"/>
  <c r="J76" i="12"/>
  <c r="G92" i="12"/>
  <c r="G65" i="12" s="1"/>
  <c r="G131" i="12" s="1"/>
  <c r="G140" i="12" s="1"/>
  <c r="K74" i="12"/>
  <c r="N26" i="12"/>
  <c r="N72" i="12"/>
  <c r="J26" i="12"/>
  <c r="J84" i="12"/>
  <c r="J53" i="12"/>
  <c r="F53" i="12"/>
  <c r="O35" i="12"/>
  <c r="M54" i="12"/>
  <c r="M36" i="12"/>
  <c r="M35" i="12" s="1"/>
  <c r="F44" i="12"/>
  <c r="G82" i="12"/>
  <c r="G91" i="12" s="1"/>
  <c r="G129" i="12"/>
  <c r="E85" i="12"/>
  <c r="E94" i="12" s="1"/>
  <c r="E84" i="12"/>
  <c r="E93" i="12" s="1"/>
  <c r="E83" i="12"/>
  <c r="E92" i="12" s="1"/>
  <c r="E27" i="12"/>
  <c r="E72" i="12" s="1"/>
  <c r="E90" i="12" s="1"/>
  <c r="I27" i="12"/>
  <c r="I53" i="12"/>
  <c r="K44" i="12"/>
  <c r="N53" i="12"/>
  <c r="N65" i="12"/>
  <c r="N67" i="12"/>
  <c r="N102" i="12" s="1"/>
  <c r="N66" i="12"/>
  <c r="N101" i="12" s="1"/>
  <c r="J91" i="2"/>
  <c r="I91" i="2"/>
  <c r="H91" i="2"/>
  <c r="G91" i="2"/>
  <c r="F91" i="2"/>
  <c r="E91" i="2"/>
  <c r="M28" i="12" l="1"/>
  <c r="L83" i="2"/>
  <c r="K83" i="2"/>
  <c r="J83" i="2"/>
  <c r="I83" i="2"/>
  <c r="H83" i="2"/>
  <c r="G83" i="2"/>
  <c r="F83" i="2"/>
  <c r="E83" i="2"/>
  <c r="J94" i="12"/>
  <c r="J67" i="12" s="1"/>
  <c r="J133" i="12" s="1"/>
  <c r="J142" i="12" s="1"/>
  <c r="M45" i="12"/>
  <c r="O57" i="12"/>
  <c r="M48" i="12"/>
  <c r="O58" i="12"/>
  <c r="M58" i="12" s="1"/>
  <c r="M49" i="12"/>
  <c r="O44" i="12"/>
  <c r="E66" i="2"/>
  <c r="I94" i="12"/>
  <c r="I67" i="12" s="1"/>
  <c r="I133" i="12" s="1"/>
  <c r="I142" i="12" s="1"/>
  <c r="F93" i="12"/>
  <c r="F66" i="12" s="1"/>
  <c r="F132" i="12" s="1"/>
  <c r="F141" i="12" s="1"/>
  <c r="K92" i="12"/>
  <c r="K65" i="12" s="1"/>
  <c r="K131" i="12" s="1"/>
  <c r="K140" i="12" s="1"/>
  <c r="F85" i="12"/>
  <c r="F94" i="12" s="1"/>
  <c r="I26" i="12"/>
  <c r="I72" i="12"/>
  <c r="I82" i="12" s="1"/>
  <c r="N90" i="12"/>
  <c r="N71" i="12"/>
  <c r="F83" i="12"/>
  <c r="F92" i="12" s="1"/>
  <c r="F65" i="12" s="1"/>
  <c r="F131" i="12" s="1"/>
  <c r="F140" i="12" s="1"/>
  <c r="M73" i="12"/>
  <c r="M83" i="12" s="1"/>
  <c r="K84" i="12"/>
  <c r="J93" i="12"/>
  <c r="J66" i="12" s="1"/>
  <c r="J132" i="12" s="1"/>
  <c r="J141" i="12" s="1"/>
  <c r="I84" i="12"/>
  <c r="O92" i="12"/>
  <c r="O65" i="12" s="1"/>
  <c r="M74" i="12"/>
  <c r="M84" i="12" s="1"/>
  <c r="G64" i="12"/>
  <c r="G62" i="12" s="1"/>
  <c r="J10" i="11" s="1"/>
  <c r="G80" i="12"/>
  <c r="E71" i="12"/>
  <c r="F27" i="12"/>
  <c r="E26" i="12"/>
  <c r="G138" i="12"/>
  <c r="O27" i="12"/>
  <c r="O72" i="12" s="1"/>
  <c r="N100" i="12"/>
  <c r="G89" i="12"/>
  <c r="J90" i="12"/>
  <c r="J82" i="12"/>
  <c r="J91" i="12" s="1"/>
  <c r="I131" i="12"/>
  <c r="I140" i="12" s="1"/>
  <c r="E66" i="12"/>
  <c r="O84" i="12"/>
  <c r="E65" i="12"/>
  <c r="E67" i="12"/>
  <c r="E63" i="12"/>
  <c r="K27" i="12"/>
  <c r="K53" i="12"/>
  <c r="N133" i="12"/>
  <c r="N131" i="12"/>
  <c r="N132" i="12"/>
  <c r="G89" i="2"/>
  <c r="I84" i="2" l="1"/>
  <c r="J84" i="2"/>
  <c r="K84" i="2"/>
  <c r="L84" i="2"/>
  <c r="E84" i="2"/>
  <c r="F84" i="2"/>
  <c r="G84" i="2"/>
  <c r="H84" i="2"/>
  <c r="O53" i="12"/>
  <c r="M44" i="12"/>
  <c r="O31" i="12"/>
  <c r="M57" i="12"/>
  <c r="M53" i="12" s="1"/>
  <c r="O30" i="12"/>
  <c r="E67" i="2"/>
  <c r="G130" i="12"/>
  <c r="G139" i="12" s="1"/>
  <c r="J23" i="11" s="1"/>
  <c r="J11" i="11"/>
  <c r="K26" i="12"/>
  <c r="K72" i="12"/>
  <c r="K71" i="12" s="1"/>
  <c r="I93" i="12"/>
  <c r="I66" i="12" s="1"/>
  <c r="I132" i="12" s="1"/>
  <c r="I141" i="12" s="1"/>
  <c r="I90" i="12"/>
  <c r="I71" i="12"/>
  <c r="I80" i="12"/>
  <c r="I91" i="12"/>
  <c r="J64" i="12"/>
  <c r="J130" i="12" s="1"/>
  <c r="J139" i="12" s="1"/>
  <c r="J80" i="12"/>
  <c r="F26" i="12"/>
  <c r="F72" i="12"/>
  <c r="K93" i="12"/>
  <c r="K66" i="12" s="1"/>
  <c r="K132" i="12" s="1"/>
  <c r="K141" i="12" s="1"/>
  <c r="M72" i="12"/>
  <c r="O90" i="12"/>
  <c r="O71" i="12"/>
  <c r="M92" i="12"/>
  <c r="O82" i="12"/>
  <c r="O26" i="12"/>
  <c r="G137" i="12"/>
  <c r="J22" i="11" s="1"/>
  <c r="G128" i="12"/>
  <c r="J19" i="11" s="1"/>
  <c r="M27" i="12"/>
  <c r="M26" i="12" s="1"/>
  <c r="J63" i="12"/>
  <c r="J89" i="12"/>
  <c r="E109" i="12"/>
  <c r="G101" i="12"/>
  <c r="G99" i="12"/>
  <c r="G102" i="12"/>
  <c r="G100" i="12"/>
  <c r="G98" i="12"/>
  <c r="N140" i="12"/>
  <c r="N142" i="12"/>
  <c r="N141" i="12"/>
  <c r="O100" i="12"/>
  <c r="M100" i="12" s="1"/>
  <c r="M65" i="12"/>
  <c r="O131" i="12"/>
  <c r="O140" i="12" s="1"/>
  <c r="E131" i="12"/>
  <c r="E140" i="12" s="1"/>
  <c r="E133" i="12"/>
  <c r="E132" i="12"/>
  <c r="E141" i="12" s="1"/>
  <c r="E82" i="12"/>
  <c r="N63" i="12"/>
  <c r="N82" i="12"/>
  <c r="E89" i="2"/>
  <c r="E100" i="12" s="1"/>
  <c r="E85" i="2" l="1"/>
  <c r="E111" i="12" s="1"/>
  <c r="E120" i="12" s="1"/>
  <c r="F85" i="2"/>
  <c r="G85" i="2"/>
  <c r="H85" i="2"/>
  <c r="I85" i="2"/>
  <c r="J85" i="2"/>
  <c r="K85" i="2"/>
  <c r="N111" i="12" s="1"/>
  <c r="N120" i="12" s="1"/>
  <c r="L85" i="2"/>
  <c r="O111" i="12" s="1"/>
  <c r="O120" i="12" s="1"/>
  <c r="J20" i="11"/>
  <c r="M30" i="12"/>
  <c r="O75" i="12"/>
  <c r="O76" i="12"/>
  <c r="M31" i="12"/>
  <c r="E68" i="2"/>
  <c r="I89" i="12"/>
  <c r="F90" i="12"/>
  <c r="F63" i="12" s="1"/>
  <c r="F71" i="12"/>
  <c r="I64" i="12"/>
  <c r="I130" i="12" s="1"/>
  <c r="I139" i="12" s="1"/>
  <c r="M90" i="12"/>
  <c r="M71" i="12"/>
  <c r="N80" i="12"/>
  <c r="N91" i="12"/>
  <c r="N89" i="12" s="1"/>
  <c r="O91" i="12"/>
  <c r="O64" i="12" s="1"/>
  <c r="E80" i="12"/>
  <c r="E91" i="12"/>
  <c r="E89" i="12" s="1"/>
  <c r="O63" i="12"/>
  <c r="N11" i="11"/>
  <c r="J62" i="12"/>
  <c r="N10" i="11" s="1"/>
  <c r="F82" i="12"/>
  <c r="E101" i="12"/>
  <c r="E102" i="12"/>
  <c r="E98" i="12"/>
  <c r="E142" i="12"/>
  <c r="N109" i="12"/>
  <c r="J25" i="11"/>
  <c r="I63" i="12"/>
  <c r="J129" i="12"/>
  <c r="M140" i="12"/>
  <c r="M131" i="12"/>
  <c r="N98" i="12"/>
  <c r="E129" i="12"/>
  <c r="K90" i="12"/>
  <c r="K82" i="12"/>
  <c r="M82" i="12"/>
  <c r="J89" i="2"/>
  <c r="I89" i="2"/>
  <c r="H89" i="2"/>
  <c r="F89" i="2"/>
  <c r="D87" i="2"/>
  <c r="D86" i="2"/>
  <c r="D85" i="2"/>
  <c r="D84" i="2"/>
  <c r="D83" i="2"/>
  <c r="O41" i="5"/>
  <c r="O40" i="5"/>
  <c r="O39" i="5"/>
  <c r="O38" i="5"/>
  <c r="O37" i="5"/>
  <c r="K20" i="5"/>
  <c r="K23" i="5" s="1"/>
  <c r="J20" i="5"/>
  <c r="J23" i="5" s="1"/>
  <c r="I20" i="5"/>
  <c r="I23" i="5" s="1"/>
  <c r="H20" i="5"/>
  <c r="H23" i="5" s="1"/>
  <c r="G20" i="5"/>
  <c r="G23" i="5"/>
  <c r="F20" i="5"/>
  <c r="F23" i="5" s="1"/>
  <c r="E20" i="5"/>
  <c r="E23" i="5" s="1"/>
  <c r="D18" i="5"/>
  <c r="D20" i="5" s="1"/>
  <c r="D23" i="5" s="1"/>
  <c r="C18" i="5"/>
  <c r="C20" i="5" s="1"/>
  <c r="C23" i="5" s="1"/>
  <c r="E86" i="2" l="1"/>
  <c r="E112" i="12" s="1"/>
  <c r="E121" i="12" s="1"/>
  <c r="F86" i="2"/>
  <c r="G86" i="2"/>
  <c r="G112" i="12" s="1"/>
  <c r="G121" i="12" s="1"/>
  <c r="H86" i="2"/>
  <c r="I112" i="12" s="1"/>
  <c r="I121" i="12" s="1"/>
  <c r="I86" i="2"/>
  <c r="J112" i="12" s="1"/>
  <c r="J121" i="12" s="1"/>
  <c r="J86" i="2"/>
  <c r="K112" i="12" s="1"/>
  <c r="K121" i="12" s="1"/>
  <c r="K86" i="2"/>
  <c r="N112" i="12" s="1"/>
  <c r="L86" i="2"/>
  <c r="N64" i="12"/>
  <c r="N110" i="12" s="1"/>
  <c r="N119" i="12" s="1"/>
  <c r="M120" i="12"/>
  <c r="M76" i="12"/>
  <c r="O85" i="12"/>
  <c r="O80" i="12" s="1"/>
  <c r="M75" i="12"/>
  <c r="O93" i="12"/>
  <c r="O66" i="12" s="1"/>
  <c r="E69" i="2"/>
  <c r="M111" i="12"/>
  <c r="E64" i="12"/>
  <c r="E99" i="12" s="1"/>
  <c r="F25" i="11" s="1"/>
  <c r="N108" i="12"/>
  <c r="O110" i="12"/>
  <c r="O119" i="12" s="1"/>
  <c r="O99" i="12"/>
  <c r="O130" i="12"/>
  <c r="O139" i="12" s="1"/>
  <c r="M91" i="12"/>
  <c r="K80" i="12"/>
  <c r="K91" i="12"/>
  <c r="K64" i="12" s="1"/>
  <c r="N62" i="12"/>
  <c r="O62" i="12"/>
  <c r="F80" i="12"/>
  <c r="F91" i="12"/>
  <c r="F64" i="12" s="1"/>
  <c r="I62" i="12"/>
  <c r="O109" i="12"/>
  <c r="O118" i="12" s="1"/>
  <c r="M63" i="12"/>
  <c r="M62" i="12" s="1"/>
  <c r="R10" i="11" s="1"/>
  <c r="O129" i="12"/>
  <c r="O98" i="12"/>
  <c r="M98" i="12" s="1"/>
  <c r="N20" i="11"/>
  <c r="J128" i="12"/>
  <c r="N19" i="11" s="1"/>
  <c r="F129" i="12"/>
  <c r="I129" i="12"/>
  <c r="L11" i="11"/>
  <c r="J138" i="12"/>
  <c r="J137" i="12" s="1"/>
  <c r="J99" i="12"/>
  <c r="J101" i="12"/>
  <c r="J98" i="12"/>
  <c r="J100" i="12"/>
  <c r="J102" i="12"/>
  <c r="E138" i="12"/>
  <c r="E118" i="12"/>
  <c r="I102" i="12"/>
  <c r="I101" i="12"/>
  <c r="I100" i="12"/>
  <c r="I99" i="12"/>
  <c r="I98" i="12"/>
  <c r="K102" i="12"/>
  <c r="K101" i="12"/>
  <c r="K100" i="12"/>
  <c r="K63" i="12"/>
  <c r="N129" i="12"/>
  <c r="F100" i="12"/>
  <c r="F98" i="12"/>
  <c r="F101" i="12"/>
  <c r="J110" i="12"/>
  <c r="J119" i="12" s="1"/>
  <c r="J109" i="12"/>
  <c r="J108" i="12" s="1"/>
  <c r="J111" i="12"/>
  <c r="J120" i="12" s="1"/>
  <c r="K111" i="12"/>
  <c r="K120" i="12" s="1"/>
  <c r="I110" i="12"/>
  <c r="I119" i="12" s="1"/>
  <c r="I111" i="12"/>
  <c r="I120" i="12" s="1"/>
  <c r="I109" i="12"/>
  <c r="G110" i="12"/>
  <c r="G119" i="12" s="1"/>
  <c r="G111" i="12"/>
  <c r="G120" i="12" s="1"/>
  <c r="G109" i="12"/>
  <c r="F11" i="11" l="1"/>
  <c r="I87" i="2"/>
  <c r="J113" i="12" s="1"/>
  <c r="J122" i="12" s="1"/>
  <c r="J87" i="2"/>
  <c r="K113" i="12" s="1"/>
  <c r="K122" i="12" s="1"/>
  <c r="K87" i="2"/>
  <c r="N113" i="12" s="1"/>
  <c r="L87" i="2"/>
  <c r="E87" i="2"/>
  <c r="E113" i="12" s="1"/>
  <c r="E122" i="12" s="1"/>
  <c r="F87" i="2"/>
  <c r="G87" i="2"/>
  <c r="G113" i="12" s="1"/>
  <c r="G122" i="12" s="1"/>
  <c r="H87" i="2"/>
  <c r="I113" i="12" s="1"/>
  <c r="I122" i="12" s="1"/>
  <c r="M64" i="12"/>
  <c r="N99" i="12"/>
  <c r="M99" i="12" s="1"/>
  <c r="N130" i="12"/>
  <c r="N139" i="12" s="1"/>
  <c r="M139" i="12" s="1"/>
  <c r="E130" i="12"/>
  <c r="E139" i="12" s="1"/>
  <c r="O112" i="12"/>
  <c r="O121" i="12" s="1"/>
  <c r="M85" i="12"/>
  <c r="M93" i="12"/>
  <c r="M66" i="12"/>
  <c r="O132" i="12"/>
  <c r="O101" i="12"/>
  <c r="M101" i="12" s="1"/>
  <c r="O94" i="12"/>
  <c r="N121" i="12"/>
  <c r="E110" i="12"/>
  <c r="O117" i="12"/>
  <c r="E62" i="12"/>
  <c r="F10" i="11" s="1"/>
  <c r="M119" i="12"/>
  <c r="N128" i="12"/>
  <c r="O108" i="12"/>
  <c r="K89" i="12"/>
  <c r="F130" i="12"/>
  <c r="F139" i="12" s="1"/>
  <c r="F99" i="12"/>
  <c r="K110" i="12"/>
  <c r="K119" i="12" s="1"/>
  <c r="K130" i="12"/>
  <c r="K139" i="12" s="1"/>
  <c r="K99" i="12"/>
  <c r="M110" i="12"/>
  <c r="O138" i="12"/>
  <c r="O137" i="12" s="1"/>
  <c r="O128" i="12"/>
  <c r="P11" i="11"/>
  <c r="K62" i="12"/>
  <c r="P10" i="11" s="1"/>
  <c r="G108" i="12"/>
  <c r="J13" i="11" s="1"/>
  <c r="F138" i="12"/>
  <c r="E137" i="12"/>
  <c r="F22" i="11" s="1"/>
  <c r="I138" i="12"/>
  <c r="I137" i="12" s="1"/>
  <c r="I128" i="12"/>
  <c r="E128" i="12"/>
  <c r="F19" i="11" s="1"/>
  <c r="F23" i="11"/>
  <c r="N22" i="11"/>
  <c r="N23" i="11"/>
  <c r="N25" i="11"/>
  <c r="F109" i="12"/>
  <c r="F112" i="12"/>
  <c r="F121" i="12" s="1"/>
  <c r="F110" i="12"/>
  <c r="F119" i="12" s="1"/>
  <c r="F111" i="12"/>
  <c r="F120" i="12" s="1"/>
  <c r="K109" i="12"/>
  <c r="I118" i="12"/>
  <c r="G118" i="12"/>
  <c r="G117" i="12" s="1"/>
  <c r="J118" i="12"/>
  <c r="J117" i="12" s="1"/>
  <c r="N13" i="11"/>
  <c r="M129" i="12"/>
  <c r="M128" i="12" s="1"/>
  <c r="M109" i="12"/>
  <c r="K129" i="12"/>
  <c r="K98" i="12"/>
  <c r="N118" i="12"/>
  <c r="N117" i="12" s="1"/>
  <c r="N138" i="12"/>
  <c r="N137" i="12" s="1"/>
  <c r="L10" i="11"/>
  <c r="M121" i="12" l="1"/>
  <c r="E108" i="12"/>
  <c r="F13" i="11" s="1"/>
  <c r="M112" i="12"/>
  <c r="F20" i="11"/>
  <c r="M130" i="12"/>
  <c r="I117" i="12"/>
  <c r="O141" i="12"/>
  <c r="M141" i="12" s="1"/>
  <c r="M132" i="12"/>
  <c r="O67" i="12"/>
  <c r="O113" i="12" s="1"/>
  <c r="O122" i="12" s="1"/>
  <c r="O89" i="12"/>
  <c r="I108" i="12"/>
  <c r="L13" i="11" s="1"/>
  <c r="N14" i="11"/>
  <c r="M94" i="12"/>
  <c r="M89" i="12" s="1"/>
  <c r="M80" i="12"/>
  <c r="F14" i="11"/>
  <c r="E119" i="12"/>
  <c r="F17" i="11" s="1"/>
  <c r="N122" i="12"/>
  <c r="J14" i="11"/>
  <c r="P25" i="11"/>
  <c r="M108" i="12"/>
  <c r="R13" i="11" s="1"/>
  <c r="P14" i="11"/>
  <c r="K108" i="12"/>
  <c r="P13" i="11" s="1"/>
  <c r="P20" i="11"/>
  <c r="K128" i="12"/>
  <c r="P19" i="11" s="1"/>
  <c r="F118" i="12"/>
  <c r="R19" i="11"/>
  <c r="N16" i="11"/>
  <c r="N17" i="11"/>
  <c r="J16" i="11"/>
  <c r="J17" i="11"/>
  <c r="M138" i="12"/>
  <c r="M137" i="12" s="1"/>
  <c r="M118" i="12"/>
  <c r="M117" i="12" s="1"/>
  <c r="K138" i="12"/>
  <c r="K137" i="12" s="1"/>
  <c r="K118" i="12"/>
  <c r="K117" i="12" s="1"/>
  <c r="L25" i="11"/>
  <c r="L23" i="11"/>
  <c r="L20" i="11"/>
  <c r="L17" i="11"/>
  <c r="L14" i="11"/>
  <c r="L19" i="11"/>
  <c r="E117" i="12" l="1"/>
  <c r="F16" i="11" s="1"/>
  <c r="O102" i="12"/>
  <c r="M102" i="12" s="1"/>
  <c r="R25" i="11" s="1"/>
  <c r="S25" i="11" s="1"/>
  <c r="M67" i="12"/>
  <c r="R11" i="11" s="1"/>
  <c r="O133" i="12"/>
  <c r="M113" i="12"/>
  <c r="R14" i="11" s="1"/>
  <c r="M122" i="12"/>
  <c r="R17" i="11" s="1"/>
  <c r="R16" i="11"/>
  <c r="R22" i="11"/>
  <c r="P16" i="11"/>
  <c r="P17" i="11"/>
  <c r="P22" i="11"/>
  <c r="P23" i="11"/>
  <c r="S19" i="11"/>
  <c r="S13" i="11"/>
  <c r="L22" i="11"/>
  <c r="L16" i="11"/>
  <c r="Q19" i="11"/>
  <c r="M19" i="11"/>
  <c r="K19" i="11"/>
  <c r="O19" i="11"/>
  <c r="O25" i="11"/>
  <c r="Q25" i="11"/>
  <c r="M25" i="11"/>
  <c r="K25" i="11"/>
  <c r="O142" i="12" l="1"/>
  <c r="M142" i="12" s="1"/>
  <c r="R23" i="11" s="1"/>
  <c r="M133" i="12"/>
  <c r="R20" i="11" s="1"/>
  <c r="S16" i="11"/>
  <c r="O22" i="11"/>
  <c r="O16" i="11"/>
  <c r="M22" i="11"/>
  <c r="K22" i="11"/>
  <c r="M16" i="11"/>
  <c r="S22" i="11"/>
  <c r="Q16" i="11"/>
  <c r="Q22" i="11"/>
  <c r="K16" i="11"/>
  <c r="O13" i="11"/>
  <c r="Q13" i="11"/>
  <c r="M13" i="11"/>
  <c r="K13" i="11"/>
  <c r="F67" i="12" l="1"/>
  <c r="F62" i="12" s="1"/>
  <c r="F89" i="12"/>
  <c r="H11" i="11" l="1"/>
  <c r="H10" i="11"/>
  <c r="F113" i="12"/>
  <c r="F108" i="12" s="1"/>
  <c r="F133" i="12"/>
  <c r="F128" i="12" s="1"/>
  <c r="F102" i="12"/>
  <c r="H25" i="11" l="1"/>
  <c r="H19" i="11"/>
  <c r="H20" i="11"/>
  <c r="H13" i="11"/>
  <c r="H14" i="11"/>
  <c r="F122" i="12"/>
  <c r="F117" i="12" s="1"/>
  <c r="F142" i="12"/>
  <c r="F137" i="12" s="1"/>
  <c r="H16" i="11" l="1"/>
  <c r="H17" i="11"/>
  <c r="H22" i="11"/>
  <c r="H2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tc={07851929-3E44-4D70-AF82-8295D8EEEFD8}</author>
    <author>tc={65D9A249-4E07-4879-A9FA-982F4AF71666}</author>
  </authors>
  <commentList>
    <comment ref="B3" authorId="0" shapeId="0" xr:uid="{07851929-3E44-4D70-AF82-8295D8EEEFD8}">
      <text>
        <t>[Threaded comment]
Your version of Excel allows you to read this threaded comment; however, any edits to it will get removed if the file is opened in a newer version of Excel. Learn more: https://go.microsoft.com/fwlink/?linkid=870924
Comment:
    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
      </text>
    </comment>
    <comment ref="N71" authorId="1" shapeId="0" xr:uid="{65D9A249-4E07-4879-A9FA-982F4AF71666}">
      <text>
        <t>[Threaded comment]
Your version of Excel allows you to read this threaded comment; however, any edits to it will get removed if the file is opened in a newer version of Excel. Learn more: https://go.microsoft.com/fwlink/?linkid=870924
Comment:
    In this chart, labels of bars overlap with x-axis labels. Will need to be reformatted.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18" authorId="0" shapeId="0" xr:uid="{00000000-0006-0000-0500-000001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H18" authorId="0" shapeId="0" xr:uid="{00000000-0006-0000-0500-000002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K18" authorId="0" shapeId="0" xr:uid="{00000000-0006-0000-0500-000003000000}">
      <text>
        <r>
          <rPr>
            <b/>
            <sz val="12"/>
            <color rgb="FF000000"/>
            <rFont val="Tahoma"/>
            <family val="2"/>
          </rPr>
          <t>Author:</t>
        </r>
        <r>
          <rPr>
            <sz val="12"/>
            <color rgb="FF000000"/>
            <rFont val="Tahoma"/>
            <family val="2"/>
          </rPr>
          <t xml:space="preserve">
The price of this presentation is indicative, based on a public announcement by the manufacturer regarding the price of the lyophilized version of the same product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<sst xmlns="http://schemas.openxmlformats.org/spreadsheetml/2006/main" count="849" uniqueCount="509">
  <si>
    <t>DRAFT - NOT FOR DISTRIBUTION</t>
  </si>
  <si>
    <t>Respiratory Syncytial Virus (RSV) Intervention Cost Calculator - Model Inputs</t>
  </si>
  <si>
    <t>The RSV intervention cost calculator is a tool that helps countries compare products and estimated vaccination program costs for different RSV interventions, including maternal vaccine, and monoclonal antiobodies. Costs are calculated annually and for a total period of 5 years. All boxes with a yellow background require user inputs and blue boxes require the user to select from a drop-down menu (click on the cell to activate the dropdown). When available, default data are already entered, with the source of information indicated; however, data should be updated to reflect the local program. Note that default data are for currently Gavi-eligible countries. Countries not eligible for Gavi support should confirm all data inputs individually. The tool generates projected costs based on the best currently available information for each vaccine. All cost data are in US$, and use of local currency requires separate currency conversion to US$ before inputing values in relevant fields.</t>
  </si>
  <si>
    <r>
      <rPr>
        <b/>
        <sz val="14"/>
        <color rgb="FFFF0000"/>
        <rFont val="Wingdings"/>
        <charset val="2"/>
      </rPr>
      <t>â</t>
    </r>
    <r>
      <rPr>
        <b/>
        <sz val="14"/>
        <color rgb="FFFF0000"/>
        <rFont val="Calibri"/>
        <family val="2"/>
        <scheme val="minor"/>
      </rPr>
      <t xml:space="preserve"> START HERE </t>
    </r>
    <r>
      <rPr>
        <b/>
        <sz val="14"/>
        <color rgb="FFFF0000"/>
        <rFont val="Wingdings"/>
        <charset val="2"/>
      </rPr>
      <t>â</t>
    </r>
  </si>
  <si>
    <r>
      <rPr>
        <b/>
        <sz val="16"/>
        <color rgb="FFFF0000"/>
        <rFont val="Calibri"/>
        <family val="2"/>
        <scheme val="minor"/>
      </rPr>
      <t>STEP 1</t>
    </r>
    <r>
      <rPr>
        <b/>
        <sz val="16"/>
        <color theme="1"/>
        <rFont val="Calibri"/>
        <family val="2"/>
        <scheme val="minor"/>
      </rPr>
      <t>: DEFINE THE TARGET POPULATION</t>
    </r>
  </si>
  <si>
    <t>Target population</t>
  </si>
  <si>
    <t>Included in the program</t>
  </si>
  <si>
    <t>Pregnant women</t>
  </si>
  <si>
    <t>Yes</t>
  </si>
  <si>
    <t>Newborns</t>
  </si>
  <si>
    <t>Both pregnant women and newborns</t>
  </si>
  <si>
    <r>
      <rPr>
        <b/>
        <sz val="16"/>
        <color rgb="FFFF0000"/>
        <rFont val="Calibri"/>
        <family val="2"/>
        <scheme val="minor"/>
      </rPr>
      <t>STEP 2</t>
    </r>
    <r>
      <rPr>
        <b/>
        <sz val="16"/>
        <color theme="1"/>
        <rFont val="Calibri"/>
        <family val="2"/>
        <scheme val="minor"/>
      </rPr>
      <t>: CHARACTERIZE THE IMMUNIZATION PROGRAM</t>
    </r>
  </si>
  <si>
    <t>RSV Intervention options→</t>
  </si>
  <si>
    <t>RSV vaccination to pregnant women (maternal vaccine)</t>
  </si>
  <si>
    <t>RSV monoclonal antibody to infants
 (mAb)</t>
  </si>
  <si>
    <t>RSV vaccination, both maternal vaccine and mAb</t>
  </si>
  <si>
    <t>COMMENTS</t>
  </si>
  <si>
    <t>Start year</t>
  </si>
  <si>
    <t>Year in which program starts</t>
  </si>
  <si>
    <t>Infants</t>
  </si>
  <si>
    <t>Pregnant population per year for maternal vaccine, and infant poulation for mAb. For the combined strategy, mAb target population includes only those not covered by maternal vaccine and is auto calculated</t>
  </si>
  <si>
    <t>Number of months per year for seasonal vaccination</t>
  </si>
  <si>
    <t>Include the number of months considered for vaccination. 12 months for year-round delivery</t>
  </si>
  <si>
    <t>% of target population expected to reach  during vaccination window</t>
  </si>
  <si>
    <t xml:space="preserve">Expected number of target population to be reached during vaccination window. </t>
  </si>
  <si>
    <t>Effective target population</t>
  </si>
  <si>
    <t>Annual population growth rate</t>
  </si>
  <si>
    <t>%</t>
  </si>
  <si>
    <t xml:space="preserve">Expected coverage </t>
  </si>
  <si>
    <t>Expected annual coverage (%)</t>
  </si>
  <si>
    <t xml:space="preserve">TD vaccine coverage or ANC 4 coverage may approximate maternal vaccine coverage. Birth dose coverage for another antigen such as HepB or BCG may be used to approximate mAb coverage.
</t>
  </si>
  <si>
    <r>
      <rPr>
        <b/>
        <sz val="16"/>
        <color rgb="FFFF0000"/>
        <rFont val="Calibri"/>
        <family val="2"/>
        <scheme val="minor"/>
      </rPr>
      <t>STEP 3</t>
    </r>
    <r>
      <rPr>
        <b/>
        <sz val="16"/>
        <color theme="1"/>
        <rFont val="Calibri"/>
        <family val="2"/>
        <scheme val="minor"/>
      </rPr>
      <t>: GAVI ELIGIBILITY AND CO-FINANCING</t>
    </r>
  </si>
  <si>
    <t xml:space="preserve">Is this country Gavi eligible?  </t>
  </si>
  <si>
    <t xml:space="preserve">If yes, there will be an opportunity to add co-financing and financial support information. 
If no, 100% of program and product costs will be assigned to country. </t>
  </si>
  <si>
    <t>Gavi transition phase - please select the appropriate option in drop-down menu to the right</t>
  </si>
  <si>
    <t>Other transition phase</t>
  </si>
  <si>
    <t>If you selected "Other transition phase", fill in the country co-financing share below*</t>
  </si>
  <si>
    <r>
      <t>Country co-finan</t>
    </r>
    <r>
      <rPr>
        <b/>
        <sz val="12"/>
        <rFont val="Calibri"/>
        <family val="2"/>
        <scheme val="minor"/>
      </rPr>
      <t>c</t>
    </r>
    <r>
      <rPr>
        <b/>
        <sz val="12"/>
        <color theme="1"/>
        <rFont val="Calibri"/>
        <family val="2"/>
        <scheme val="minor"/>
      </rPr>
      <t xml:space="preserve">ing share </t>
    </r>
  </si>
  <si>
    <t>% of vaccine/mAb price per dose or "price fraction"
Not used if you selected "Initial self-financing phase" above
If you don't know your country co-financing share, contact your SCM.
Non-Gavi countries should enter 100% for all years</t>
  </si>
  <si>
    <t>*If your country is scheduled to move from initial self-financing to Preparatory transition during the 10-year period, contact HEOR@path.org to discuss how to set up the model</t>
  </si>
  <si>
    <r>
      <rPr>
        <b/>
        <sz val="16"/>
        <color rgb="FFFF0000"/>
        <rFont val="Calibri"/>
        <family val="2"/>
        <scheme val="minor"/>
      </rPr>
      <t>STEP 4</t>
    </r>
    <r>
      <rPr>
        <b/>
        <sz val="16"/>
        <color theme="1"/>
        <rFont val="Calibri"/>
        <family val="2"/>
        <scheme val="minor"/>
      </rPr>
      <t xml:space="preserve">: RSV INTERVENTION OPTIONS                                                                               </t>
    </r>
  </si>
  <si>
    <t>For detailed vaccine profiles visit:</t>
  </si>
  <si>
    <t>Gavi website</t>
  </si>
  <si>
    <t>←To be updated when RSV product profile is available</t>
  </si>
  <si>
    <t>VACCINE/mAb COST</t>
  </si>
  <si>
    <t>RSV Intervention option</t>
  </si>
  <si>
    <t>RSV intervention to pregnant women
 (maternal vaccine)</t>
  </si>
  <si>
    <t>RSV  intervention to newborn
 (mAb)</t>
  </si>
  <si>
    <t>RSV intervention, both maternal vaccine and mAb</t>
  </si>
  <si>
    <t>Maternal Vaccine 1 (Preferred)</t>
  </si>
  <si>
    <t>Maternal Vaccine 2</t>
  </si>
  <si>
    <t>Maternal Vaccine 3</t>
  </si>
  <si>
    <t>Select vaccine and presentation &gt;&gt;&gt;</t>
  </si>
  <si>
    <t>Abrysvo, Pfizer</t>
  </si>
  <si>
    <t>RSV maternal vaccine_2</t>
  </si>
  <si>
    <t>RSV maternal vaccine_3</t>
  </si>
  <si>
    <t>Nirsevimab, AstraZeneca</t>
  </si>
  <si>
    <t>RSV monoclonal antibody_2</t>
  </si>
  <si>
    <t>RSV monoclonal antibody_3</t>
  </si>
  <si>
    <t>Product price per dose</t>
  </si>
  <si>
    <t>NA</t>
  </si>
  <si>
    <t>←Assumed price. To be updated when available</t>
  </si>
  <si>
    <t>Indicative price per dose</t>
  </si>
  <si>
    <t>Co-financing amount per dose</t>
  </si>
  <si>
    <t>Provide an option to overwrite</t>
  </si>
  <si>
    <t>Number of doses in schedule</t>
  </si>
  <si>
    <r>
      <t>Cold chain volume per dose (in cm</t>
    </r>
    <r>
      <rPr>
        <b/>
        <vertAlign val="superscript"/>
        <sz val="12"/>
        <color theme="1"/>
        <rFont val="Calibri"/>
        <family val="2"/>
        <scheme val="minor"/>
      </rPr>
      <t>3</t>
    </r>
    <r>
      <rPr>
        <b/>
        <sz val="12"/>
        <color theme="1"/>
        <rFont val="Calibri"/>
        <family val="2"/>
        <scheme val="minor"/>
      </rPr>
      <t>)</t>
    </r>
  </si>
  <si>
    <t>Wastage rate</t>
  </si>
  <si>
    <t>←To update with recommended values from Gavi DPP when available</t>
  </si>
  <si>
    <t>Dummy values included as filler</t>
  </si>
  <si>
    <t>Wastage factor</t>
  </si>
  <si>
    <t>-</t>
  </si>
  <si>
    <t>Buffer stock</t>
  </si>
  <si>
    <t>Buffer stock %</t>
  </si>
  <si>
    <t>International handling</t>
  </si>
  <si>
    <t>as a % of vaccine price</t>
  </si>
  <si>
    <t>International transportation</t>
  </si>
  <si>
    <t>Safety box/bag price</t>
  </si>
  <si>
    <t>Default: UNICEF</t>
  </si>
  <si>
    <t>Safety box/bag volume</t>
  </si>
  <si>
    <t>No. of doses per safety box/bag</t>
  </si>
  <si>
    <t>IMMUNIZATION PROGRAM COST</t>
  </si>
  <si>
    <t>One-time introduction support received by country from external sources</t>
  </si>
  <si>
    <t>lump sum or budget in first year. (For e.g., Gavi Vaccine introduction support grant)</t>
  </si>
  <si>
    <t>Incremental cost of delivery per dose</t>
  </si>
  <si>
    <t xml:space="preserve">$ per dose delivered; potential source of data: the immunization delivery cost catalogue linked below </t>
  </si>
  <si>
    <t>IDCC</t>
  </si>
  <si>
    <t>Model inputs</t>
  </si>
  <si>
    <t>Both pregnant women and infants</t>
  </si>
  <si>
    <t>Pregnant population per year for maternal vaccine, and infant poulation per year for mAb. For the combined strategy, mAb target population includes only those not covered by maternal vaccine and is auto-calculated.</t>
  </si>
  <si>
    <t>RSV vaccination  to pregnant women
 (maternal vaccine)</t>
  </si>
  <si>
    <t>RSV  monoclonal antibody to infants
 (mAb)</t>
  </si>
  <si>
    <t>Product price. Indicative prices provided below in the absence of data.</t>
  </si>
  <si>
    <t>These are assumed prices. Needs update when data is available.</t>
  </si>
  <si>
    <t>Indicative wastage rate</t>
  </si>
  <si>
    <t>These are assumed values. Needs update when data is available.</t>
  </si>
  <si>
    <r>
      <rPr>
        <sz val="24"/>
        <color theme="1" tint="-0.499984740745262"/>
        <rFont val="Arial"/>
        <family val="2"/>
      </rPr>
      <t xml:space="preserve">Calculateur du coût de 
</t>
    </r>
    <r>
      <rPr>
        <b/>
        <sz val="30"/>
        <color theme="1"/>
        <rFont val="Arial"/>
        <family val="2"/>
      </rPr>
      <t>l'intervention contre le virus respiratoire syncytial (VRS)</t>
    </r>
    <r>
      <rPr>
        <b/>
        <sz val="30"/>
        <color rgb="FF000000"/>
        <rFont val="Arial"/>
        <family val="2"/>
      </rPr>
      <t xml:space="preserve"> </t>
    </r>
    <r>
      <rPr>
        <b/>
        <sz val="12"/>
        <color rgb="FF000000"/>
        <rFont val="Arial"/>
        <family val="2"/>
      </rPr>
      <t xml:space="preserve">
</t>
    </r>
    <r>
      <rPr>
        <sz val="24"/>
        <color theme="1" tint="-0.499984740745262"/>
        <rFont val="Arial"/>
        <family val="2"/>
      </rPr>
      <t xml:space="preserve"> </t>
    </r>
  </si>
  <si>
    <t>pour les pays éligibles et non éligibles au soutien de Gavi</t>
  </si>
  <si>
    <r>
      <rPr>
        <sz val="12"/>
        <color rgb="FF000000"/>
        <rFont val="Arial"/>
        <family val="2"/>
      </rPr>
      <t>Si vous avez des questions ou si vous avez besoin d’aide, contactez l’équipe Health Economics &amp; Outcomes Research de PATH :</t>
    </r>
    <r>
      <rPr>
        <sz val="12"/>
        <color rgb="FF000000"/>
        <rFont val="Arial"/>
        <family val="2"/>
      </rPr>
      <t xml:space="preserve"> </t>
    </r>
    <r>
      <rPr>
        <u/>
        <sz val="12"/>
        <color rgb="FF000000"/>
        <rFont val="Arial"/>
        <family val="2"/>
      </rPr>
      <t>HEOR@path.org</t>
    </r>
  </si>
  <si>
    <t>Vue d’ensemble</t>
  </si>
  <si>
    <r>
      <t xml:space="preserve">Le </t>
    </r>
    <r>
      <rPr>
        <b/>
        <sz val="14"/>
        <color theme="1" tint="-0.499984740745262"/>
        <rFont val="Arial"/>
        <family val="2"/>
      </rPr>
      <t>calculateur du coût de l’intervention contre le VRS</t>
    </r>
    <r>
      <rPr>
        <sz val="14"/>
        <color theme="1" tint="-0.499984740745262"/>
        <rFont val="Arial"/>
        <family val="2"/>
      </rPr>
      <t xml:space="preserve"> est un outil simple qui permet d’évaluer et de comparer les coûts financiers des interventions destinées aux enfants prévenant le VRS. L’objectif est d’aider les responsables politiques, au niveau national, à estimer le coût des programmes d’immunisation, et à comparer les produits, notamment le vaccin maternel contre le VRS (administré pendant la grossesse) et les anticorps monoclonaux (mAb) contre le VRS (administrés aux nourrissons). L’outil peut être utilisé par n’importe quel pays, qu’il soit éligible ou non au cofinancement de Gavi, l’Alliance du Vaccin. Il permet d’explorer trois scénarios différents : A) vaccin maternel uniquement ; B) mAb uniquement ; et C) vaccin maternel et mAb. Pour les scénarios A et B, les utilisateurs peuvent choisir une ou plusieurs option(s) de produit. Pour le scénario C, les utilisateurs peuvent choisir un vaccin maternel et un mAb. 
L’outil calcule le volume de la chaîne du froid et les coûts anticipés sur un an, et sur une période totale de cinq ans. L’estimation du coût des produits (achat des vaccins et du matériel nécessaire, et expédition internationale) et les coûts du programme d’immunisation (coût d’administration) sont présentés séparément selon la perspective du pays (représente uniquement les dépenses imputées sur le budget national) et la perspective combinée pays-donateur/Gavi (représente le cofinancement et les subventions de Gavi). L’ensemble des coûts sont exprimés en dollars US. En cas de paiement en devise locale, une conversion doit être effectuée avant la saisie des valeurs dans les champs adéquats. </t>
    </r>
  </si>
  <si>
    <r>
      <rPr>
        <b/>
        <i/>
        <sz val="12"/>
        <color theme="1" tint="-0.499984740745262"/>
        <rFont val="Arial"/>
        <family val="2"/>
      </rPr>
      <t xml:space="preserve">Clause de non-responsabilité : </t>
    </r>
    <r>
      <rPr>
        <i/>
        <sz val="12"/>
        <color theme="1" tint="-0.499984740745262"/>
        <rFont val="Arial"/>
        <family val="2"/>
      </rPr>
      <t>le calculateur du coût de l’intervention contre le VRS est un outil visant à éclairer la prise de décisions relative à l’introduction de vaccins et le choix des produits.</t>
    </r>
    <r>
      <rPr>
        <i/>
        <sz val="12"/>
        <color theme="1" tint="-0.499984740745262"/>
        <rFont val="Arial"/>
        <family val="2"/>
      </rPr>
      <t xml:space="preserve"> </t>
    </r>
    <r>
      <rPr>
        <i/>
        <sz val="12"/>
        <color theme="1" tint="-0.499984740745262"/>
        <rFont val="Arial"/>
        <family val="2"/>
      </rPr>
      <t>Il est important de noter que les coûts ne constituent qu’une partie de la réflexion et que, pour prendre leur décision concernant l’introduction de nouveaux vaccins ou le choix des produits, les parties prenantes doivent toujours tenir compte d’autres éléments de réflexion.</t>
    </r>
    <r>
      <rPr>
        <i/>
        <sz val="12"/>
        <color theme="1" tint="-0.499984740745262"/>
        <rFont val="Arial"/>
        <family val="2"/>
      </rPr>
      <t xml:space="preserve"> </t>
    </r>
    <r>
      <rPr>
        <i/>
        <sz val="12"/>
        <color theme="1" tint="-0.499984740745262"/>
        <rFont val="Arial"/>
        <family val="2"/>
      </rPr>
      <t xml:space="preserve">Ce modèle propose un aperçu des coûts </t>
    </r>
    <r>
      <rPr>
        <b/>
        <i/>
        <sz val="12"/>
        <color theme="1" tint="-0.499984740745262"/>
        <rFont val="Arial"/>
        <family val="2"/>
      </rPr>
      <t>potentiels</t>
    </r>
    <r>
      <rPr>
        <i/>
        <sz val="12"/>
        <color theme="1" tint="-0.499984740745262"/>
        <rFont val="Arial"/>
        <family val="2"/>
      </rPr>
      <t xml:space="preserve"> relatifs aux différents produits ou modes d’administration et ne saurait remplacer une planification budgétaire détaillée une fois le produit sélectionné.</t>
    </r>
  </si>
  <si>
    <t>Manuel d’utilisation</t>
  </si>
  <si>
    <r>
      <rPr>
        <b/>
        <sz val="16"/>
        <color theme="0"/>
        <rFont val="Arial"/>
        <family val="2"/>
      </rPr>
      <t>Feuille de calcul Saisie des données</t>
    </r>
    <r>
      <rPr>
        <sz val="16"/>
        <color theme="0"/>
        <rFont val="Arial"/>
        <family val="2"/>
      </rPr>
      <t xml:space="preserve"> </t>
    </r>
  </si>
  <si>
    <t>Les cases violettes indiquent un menu déroulant dans lequel l’utilisateur peut sélectionner une option prédéfinie. Cliquez sur la case violette et une flèche déroulante apparaîtra. En cliquant sur la flèche, l’utilisateur peut choisir parmi plusieurs options.</t>
  </si>
  <si>
    <t>Les cases vertes doivent être remplies par l’utilisateur. Des exemples de données sont inclus dans le modèle, mais ces informations doivent être mises à jour afin de refléter le programme local de prévention des infections à VRS et les données associées.</t>
  </si>
  <si>
    <t>Les cases blanches incluent des informations figées, qui ne peuvent pas être modifiées par l’utilisateur.</t>
  </si>
  <si>
    <t xml:space="preserve">Programme 
d’immunisation </t>
  </si>
  <si>
    <t xml:space="preserve">Si vous envisagez d’autres stratégies de vaccination (par exemple, une stratégie de vaccination saisonnière), reportez-vous à l’onglet « Target pop calculation eg. » (Calcul de la population cible) pour voir des suggestions de calculs de population cible appropriés. </t>
  </si>
  <si>
    <t>Les mAb et le vaccin maternel contre les infections à VRS requièrent une seule dose pour fournir une immunisation complète. Toutefois, l’outil permet de saisir des schémas à trois doses au maximum, afin d’anticiper l’utilisation de futurs produits qui pourront nécessiter l’administration de plusieurs doses.</t>
  </si>
  <si>
    <t>Éligibilité et cofinancement 
de Gavi</t>
  </si>
  <si>
    <t>Options d’intervention contre le VRS</t>
  </si>
  <si>
    <r>
      <rPr>
        <b/>
        <i/>
        <u/>
        <sz val="12"/>
        <color theme="1" tint="-0.499984740745262"/>
        <rFont val="Arial"/>
        <family val="2"/>
      </rPr>
      <t>Coûts du vaccin/des mAb</t>
    </r>
    <r>
      <rPr>
        <i/>
        <u/>
        <sz val="12"/>
        <color theme="1" tint="-0.499984740745262"/>
        <rFont val="Arial"/>
        <family val="2"/>
      </rPr>
      <t xml:space="preserve">
</t>
    </r>
    <r>
      <rPr>
        <sz val="12"/>
        <color theme="1" tint="-0.499984740745262"/>
        <rFont val="Arial"/>
        <family val="2"/>
      </rPr>
      <t>Sélectionnez le produit pour chaque groupe cible dans le menu déroulant.</t>
    </r>
    <r>
      <rPr>
        <sz val="12"/>
        <color theme="1" tint="-0.499984740745262"/>
        <rFont val="Arial"/>
        <family val="2"/>
      </rPr>
      <t xml:space="preserve"> </t>
    </r>
    <r>
      <rPr>
        <sz val="12"/>
        <color theme="1" tint="-0.499984740745262"/>
        <rFont val="Arial"/>
        <family val="2"/>
      </rPr>
      <t>Les données par défaut sont automatiquement renseignées dans les lignes ci-dessous et peuvent être ajustées selon les informations locales.</t>
    </r>
    <r>
      <rPr>
        <sz val="12"/>
        <color theme="1" tint="-0.499984740745262"/>
        <rFont val="Arial"/>
        <family val="2"/>
      </rPr>
      <t xml:space="preserve"> </t>
    </r>
    <r>
      <rPr>
        <sz val="12"/>
        <color theme="1" tint="-0.499984740745262"/>
        <rFont val="Arial"/>
        <family val="2"/>
      </rPr>
      <t>Toutes les caractéristiques du vaccin proviennent des profils détaillés des produits de Gavi.</t>
    </r>
    <r>
      <rPr>
        <i/>
        <u/>
        <sz val="12"/>
        <color theme="1" tint="-0.499984740745262"/>
        <rFont val="Arial"/>
        <family val="2"/>
      </rPr>
      <t xml:space="preserve">
</t>
    </r>
    <r>
      <rPr>
        <sz val="12"/>
        <color theme="1" tint="-0.499984740745262"/>
        <rFont val="Arial"/>
        <family val="2"/>
      </rPr>
      <t xml:space="preserve">
</t>
    </r>
    <r>
      <rPr>
        <sz val="12"/>
        <color theme="1" tint="-0.499984740745262"/>
        <rFont val="Arial"/>
        <family val="2"/>
      </rPr>
      <t>Il est impossible de modifier le montant du cofinancement annuel par dose car il est calculé en fonction du prix du vaccin et de la part de cofinancement indiqués.</t>
    </r>
    <r>
      <rPr>
        <sz val="12"/>
        <color theme="1" tint="-0.499984740745262"/>
        <rFont val="Arial"/>
        <family val="2"/>
      </rPr>
      <t xml:space="preserve">
</t>
    </r>
    <r>
      <rPr>
        <sz val="12"/>
        <color theme="1" tint="-0.499984740745262"/>
        <rFont val="Arial"/>
        <family val="2"/>
      </rPr>
      <t>Les données requises restantes concernent les caractéristiques des produits, telles que le besoin en espace pour la chaîne du froid, le taux de perte prévu, le stock tampon, les coûts de traitement, etc. Entrez les données selon les besoins.</t>
    </r>
    <r>
      <rPr>
        <sz val="12"/>
        <color theme="1" tint="-0.499984740745262"/>
        <rFont val="Arial"/>
        <family val="2"/>
      </rPr>
      <t xml:space="preserve"> </t>
    </r>
  </si>
  <si>
    <t>Ressources</t>
  </si>
  <si>
    <t xml:space="preserve">←Le profil détaillé du produit contre le VRS n’est pas disponible. Le lien et les estimations devront être mis à jour lorsqu’il sera disponible. </t>
  </si>
  <si>
    <t>Caractéristiques du produit : Profils Détaillés des Produits de Gavi</t>
  </si>
  <si>
    <t>Frais de traitement : site Web de l’UNICEF - Données de tarification</t>
  </si>
  <si>
    <t>Coût du matériel : site Web de l’UNICEF - Données de tarification</t>
  </si>
  <si>
    <r>
      <rPr>
        <b/>
        <i/>
        <u/>
        <sz val="12"/>
        <color theme="1" tint="-0.499984740745262"/>
        <rFont val="Arial"/>
        <family val="2"/>
      </rPr>
      <t>Coûts du programme d’immunisation</t>
    </r>
    <r>
      <rPr>
        <i/>
        <u/>
        <sz val="12"/>
        <color theme="1" tint="-0.499984740745262"/>
        <rFont val="Arial"/>
        <family val="2"/>
      </rPr>
      <t xml:space="preserve">
</t>
    </r>
    <r>
      <rPr>
        <sz val="12"/>
        <color theme="1" tint="-0.499984740745262"/>
        <rFont val="Arial"/>
        <family val="2"/>
      </rPr>
      <t>L’outil permet aux utilisateurs de prendre en compte les subventions d’introduction du vaccin de sources externes, y compris les coûts supplémentaires du système de santé et la subvention d’introduction unique.</t>
    </r>
    <r>
      <rPr>
        <sz val="12"/>
        <color theme="1" tint="-0.499984740745262"/>
        <rFont val="Arial"/>
        <family val="2"/>
      </rPr>
      <t xml:space="preserve"> 
</t>
    </r>
    <r>
      <rPr>
        <sz val="12"/>
        <color theme="1" tint="-0.499984740745262"/>
        <rFont val="Arial"/>
        <family val="2"/>
      </rPr>
      <t>La subvention unique sert généralement à financer les coûts de lancement au cours de la première année, et n’inclut pas les dépenses liées aux activités telles que la microplanification, la formation ou la communication.</t>
    </r>
    <r>
      <rPr>
        <sz val="12"/>
        <color theme="1" tint="-0.499984740745262"/>
        <rFont val="Arial"/>
        <family val="2"/>
      </rPr>
      <t xml:space="preserve"> </t>
    </r>
    <r>
      <rPr>
        <b/>
        <i/>
        <sz val="12"/>
        <color theme="1" tint="-0.499984740745262"/>
        <rFont val="Arial"/>
        <family val="2"/>
      </rPr>
      <t>Elle peut être perçue sous la forme d’une subvention d’introduction forfaitaire unique ou d’une subvention d’introduction propre à la population cible unique.</t>
    </r>
    <r>
      <rPr>
        <b/>
        <i/>
        <sz val="12"/>
        <color theme="1" tint="-0.499984740745262"/>
        <rFont val="Arial"/>
        <family val="2"/>
      </rPr>
      <t xml:space="preserve"> </t>
    </r>
    <r>
      <rPr>
        <sz val="12"/>
        <color theme="1" tint="-0.499984740745262"/>
        <rFont val="Arial"/>
        <family val="2"/>
      </rPr>
      <t>Les projections de coûts de la totalité du programme de la perspective d’un pays excluront ce type de dépenses financées en externe afin de refléter le coût réel pour le pays.</t>
    </r>
    <r>
      <rPr>
        <sz val="12"/>
        <color theme="1" tint="-0.499984740745262"/>
        <rFont val="Arial"/>
        <family val="2"/>
      </rPr>
      <t xml:space="preserve">
</t>
    </r>
    <r>
      <rPr>
        <sz val="12"/>
        <color theme="1" tint="-0.499984740745262"/>
        <rFont val="Arial"/>
        <family val="2"/>
      </rPr>
      <t>Pour chaque produit contre le VRS envisagé, entrez le montant budgétisé pour la subvention d’introduction unique, le cas échéant.</t>
    </r>
    <r>
      <rPr>
        <sz val="12"/>
        <color theme="1" tint="-0.499984740745262"/>
        <rFont val="Arial"/>
        <family val="2"/>
      </rPr>
      <t xml:space="preserve"> 
</t>
    </r>
    <r>
      <rPr>
        <sz val="12"/>
        <color theme="1" tint="-0.499984740745262"/>
        <rFont val="Arial"/>
        <family val="2"/>
      </rPr>
      <t>Les coûts supplémentaires du système de santé désignent toutes les dépenses supplémentaires nécessaires à l’administration de vaccins, en dehors du coût direct de l’achat et des produits de base du vaccin/des mAb.</t>
    </r>
    <r>
      <rPr>
        <sz val="12"/>
        <color theme="1" tint="-0.499984740745262"/>
        <rFont val="Arial"/>
        <family val="2"/>
      </rPr>
      <t xml:space="preserve"> </t>
    </r>
    <r>
      <rPr>
        <sz val="12"/>
        <color theme="1" tint="-0.499984740745262"/>
        <rFont val="Arial"/>
        <family val="2"/>
      </rPr>
      <t>Tous les coûts opérationnels relatifs aux indemnités de déplacement, aux équipements de la chaîne du froid, aux véhicules, au transport et au carburant, à la gestion du programme, à la formation et au renforcement des capacités, à la mobilisation sociale et aux activités de sensibilisation, à la surveillance de la maladie et aux activités relatives aux événements indésirables après la vaccination et à la gestion des pertes peuvent être inclus.</t>
    </r>
    <r>
      <rPr>
        <sz val="12"/>
        <color theme="1" tint="-0.499984740745262"/>
        <rFont val="Arial"/>
        <family val="2"/>
      </rPr>
      <t xml:space="preserve">
</t>
    </r>
    <r>
      <rPr>
        <sz val="12"/>
        <color theme="1" tint="-0.499984740745262"/>
        <rFont val="Arial"/>
        <family val="2"/>
      </rPr>
      <t>Tous les coûts opérationnels récurrents doivent apparaître dans le coût supplémentaire d’administration par dose pour chaque produit comparé.</t>
    </r>
    <r>
      <rPr>
        <sz val="12"/>
        <color theme="1" tint="-0.499984740745262"/>
        <rFont val="Arial"/>
        <family val="2"/>
      </rPr>
      <t xml:space="preserve"> </t>
    </r>
    <r>
      <rPr>
        <sz val="12"/>
        <color theme="1" tint="-0.499984740745262"/>
        <rFont val="Arial"/>
        <family val="2"/>
      </rPr>
      <t>Cette valeur peut varier d’un produit à l’autre selon la présentation du produit, les besoins en matière de stockage et la facilité d’administration.</t>
    </r>
    <r>
      <rPr>
        <sz val="12"/>
        <color theme="1" tint="-0.499984740745262"/>
        <rFont val="Arial"/>
        <family val="2"/>
      </rPr>
      <t xml:space="preserve"> </t>
    </r>
  </si>
  <si>
    <t>Coût supplémentaire d’administration par dose : Immunization Cost of Delivery Catalogue (IDCC)</t>
  </si>
  <si>
    <t>Feuille de calcul Tableau de bord</t>
  </si>
  <si>
    <r>
      <rPr>
        <sz val="12"/>
        <color theme="1" tint="-0.249977111117893"/>
        <rFont val="Arial"/>
        <family val="2"/>
      </rPr>
      <t>Le tableau de bord fournit des données récapitulatives des résultats concernant le volume de la chaîne du froid par dose en millions de cm</t>
    </r>
    <r>
      <rPr>
        <vertAlign val="superscript"/>
        <sz val="12"/>
        <color theme="1" tint="-0.249977111117893"/>
        <rFont val="Arial"/>
        <family val="2"/>
      </rPr>
      <t>3</t>
    </r>
    <r>
      <rPr>
        <sz val="12"/>
        <color theme="1" tint="-0.249977111117893"/>
        <rFont val="Arial"/>
        <family val="2"/>
      </rPr>
      <t>, le coût du vaccin pour le pays et le nombre de doses requises en millions pour les scénarios analysés.</t>
    </r>
    <r>
      <rPr>
        <sz val="12"/>
        <color theme="1" tint="-0.249977111117893"/>
        <rFont val="Arial"/>
        <family val="2"/>
      </rPr>
      <t xml:space="preserve"> </t>
    </r>
    <r>
      <rPr>
        <sz val="12"/>
        <color theme="1" tint="-0.249977111117893"/>
        <rFont val="Arial"/>
        <family val="2"/>
      </rPr>
      <t>La mise en forme conditionnelle met en évidence les coûts plus faibles potentiels (en vert) et les coûts plus élevés potentiels (en rouge).</t>
    </r>
  </si>
  <si>
    <t>Feuille de calcul Résultats</t>
  </si>
  <si>
    <r>
      <rPr>
        <sz val="12"/>
        <color theme="1" tint="-0.499984740745262"/>
        <rFont val="Arial"/>
        <family val="2"/>
      </rPr>
      <t>La feuille de calcul des résultats présente des informations sur les coûts, sur un an et sur une période totale de cinq ans,</t>
    </r>
    <r>
      <rPr>
        <sz val="12"/>
        <color rgb="FFFF0000"/>
        <rFont val="Arial"/>
        <family val="2"/>
      </rPr>
      <t xml:space="preserve"> </t>
    </r>
    <r>
      <rPr>
        <sz val="12"/>
        <color theme="1" tint="-0.499984740745262"/>
        <rFont val="Arial"/>
        <family val="2"/>
      </rPr>
      <t>selon la perspective du pays et la perspective combinée pays-donateur/Gavi pour chaque option de produit.</t>
    </r>
  </si>
  <si>
    <r>
      <rPr>
        <sz val="12"/>
        <color rgb="FF20242B"/>
        <rFont val="Arial"/>
        <family val="2"/>
      </rPr>
      <t xml:space="preserve">Les résultats sont répartis en trois sous-sections :
</t>
    </r>
    <r>
      <rPr>
        <b/>
        <sz val="12"/>
        <color rgb="FF20242B"/>
        <rFont val="Arial"/>
        <family val="2"/>
      </rPr>
      <t xml:space="preserve">1.      Programme d’immunisation
</t>
    </r>
    <r>
      <rPr>
        <sz val="12"/>
        <color rgb="FF20242B"/>
        <rFont val="Arial"/>
        <family val="2"/>
      </rPr>
      <t xml:space="preserve">Cette section exprime les résultats en nombre de doses administrées et de nombre de doses nécessaires pour le programme d’immunisation. Le nombre de doses nécessaires est égal au nombre de doses administrées auquel on ajoute le nombre de doses perdues et le stock tampon requis. Cette section propose également le calcul des besoins sur un an et sur une période de cinq ans quant au volume de la chaîne du froid, soit, pour chaque produit, le volume de la chaîne du froid par dose multiplié par le nombre total de doses requises. Ce volume total ne constitue qu’une estimation dans la mesure où il varie en fonction du nombre d’expéditions de vaccins par an et du système d’administration du pays. En outre, certains produits peuvent nécessiter une chaîne du froid à température négative, au niveau central, tandis que d’autres contiennent des composants pouvant être stockés en dehors de la chaîne du froid à température positive.
</t>
    </r>
    <r>
      <rPr>
        <b/>
        <sz val="12"/>
        <color rgb="FF20242B"/>
        <rFont val="Arial"/>
        <family val="2"/>
      </rPr>
      <t xml:space="preserve">2.      Coût pour le pays
</t>
    </r>
    <r>
      <rPr>
        <sz val="12"/>
        <color rgb="FF20242B"/>
        <rFont val="Arial"/>
        <family val="2"/>
      </rPr>
      <t xml:space="preserve">Cette section présente le coût de la perspective du pays. Le coût du produit, qui correspond à l’achat du vaccin/des mAb et des produits de base, est fourni séparément du coût total du programme d’immunisation, qui inclut le coût du vaccin/des mAb et les coûts supplémentaires du système de santé.
</t>
    </r>
    <r>
      <rPr>
        <b/>
        <sz val="12"/>
        <color rgb="FF20242B"/>
        <rFont val="Arial"/>
        <family val="2"/>
      </rPr>
      <t xml:space="preserve">3.      Coût pour le pays et le donateur/Gavi
</t>
    </r>
    <r>
      <rPr>
        <sz val="12"/>
        <color rgb="FF20242B"/>
        <rFont val="Arial"/>
        <family val="2"/>
      </rPr>
      <t xml:space="preserve">Cette section présente le coût de la perspective du pays et du donateur/de Gavi (elle ne concerne que les pays éligibles au cofinancement de Gavi). Les sous-catégories sont identiques à celles de la sous-section relative aux coûts pour le pays.
</t>
    </r>
    <r>
      <rPr>
        <i/>
        <sz val="12"/>
        <color rgb="FF20242B"/>
        <rFont val="Arial"/>
        <family val="2"/>
      </rPr>
      <t>Remarque : le formatage conditionnel est utilisé dans cette feuille afin de mettre en évidence les cellules relatives au coût et au volume sur 5 ans pour l’option de produit la moins onéreuse/avec le plus faible volume (vert foncé) jusqu’à l’option de produit la plus onéreuse/avec le volume le plus élevé (rouge).</t>
    </r>
  </si>
  <si>
    <t>Feuille de calcul Graphiques</t>
  </si>
  <si>
    <t>La feuille de calcul Graphiques propose une représentation graphique des résultats présentés sur la feuille de calcul précédente. Les mêmes perspectives et sous-catégories y sont présentées. Après réalisation de votre première analyse, si vous apportez des modifications à la feuille de calcul Saisie des données, les feuilles de calcul Résultats et Graphiques sont automatiquement mises à jour pour tenir compte des nouveaux résultats.</t>
  </si>
  <si>
    <t>Formules de calcul utilisées dans le calculateur du coût*</t>
  </si>
  <si>
    <r>
      <rPr>
        <u/>
        <sz val="12"/>
        <color theme="1" tint="-0.499984740745262"/>
        <rFont val="Arial"/>
        <family val="2"/>
      </rPr>
      <t>Nombre de doses administrées</t>
    </r>
    <r>
      <rPr>
        <sz val="12"/>
        <color theme="1" tint="-0.499984740745262"/>
        <rFont val="Arial"/>
        <family val="2"/>
      </rPr>
      <t> = Population cible x couverture</t>
    </r>
  </si>
  <si>
    <r>
      <rPr>
        <u/>
        <sz val="12"/>
        <color theme="1" tint="-0.499984740745262"/>
        <rFont val="Arial"/>
        <family val="2"/>
      </rPr>
      <t>Nombre total de doses nécessaires</t>
    </r>
    <r>
      <rPr>
        <sz val="12"/>
        <color theme="1" tint="-0.499984740745262"/>
        <rFont val="Arial"/>
        <family val="2"/>
      </rPr>
      <t> = Nombre de doses administrées x facteur de perte x stock tampon</t>
    </r>
    <r>
      <rPr>
        <sz val="12"/>
        <color theme="1" tint="-0.499984740745262"/>
        <rFont val="Arial"/>
        <family val="2"/>
      </rPr>
      <t xml:space="preserve"> </t>
    </r>
  </si>
  <si>
    <r>
      <rPr>
        <u/>
        <sz val="12"/>
        <color theme="1" tint="-0.499984740745262"/>
        <rFont val="Arial"/>
        <family val="2"/>
      </rPr>
      <t>Volume total requis de la chaîne du froid</t>
    </r>
    <r>
      <rPr>
        <sz val="12"/>
        <color theme="1" tint="-0.499984740745262"/>
        <rFont val="Arial"/>
        <family val="2"/>
      </rPr>
      <t> = Volume de la chaîne du froid par dose en cm</t>
    </r>
    <r>
      <rPr>
        <vertAlign val="superscript"/>
        <sz val="12"/>
        <color theme="1" tint="-0.499984740745262"/>
        <rFont val="Arial"/>
        <family val="2"/>
      </rPr>
      <t>3</t>
    </r>
    <r>
      <rPr>
        <sz val="12"/>
        <color theme="1" tint="-0.499984740745262"/>
        <rFont val="Arial"/>
        <family val="2"/>
      </rPr>
      <t> x nombre total de doses nécessaires</t>
    </r>
  </si>
  <si>
    <r>
      <rPr>
        <u/>
        <sz val="12"/>
        <color theme="1" tint="-0.499984740745262"/>
        <rFont val="Arial"/>
        <family val="2"/>
      </rPr>
      <t>Facteur de perte</t>
    </r>
    <r>
      <rPr>
        <sz val="12"/>
        <color theme="1" tint="-0.499984740745262"/>
        <rFont val="Arial"/>
        <family val="2"/>
      </rPr>
      <t> = (1 / (1 - taux de perte))</t>
    </r>
  </si>
  <si>
    <r>
      <rPr>
        <u/>
        <sz val="12"/>
        <color theme="1" tint="-0.499984740745262"/>
        <rFont val="Arial"/>
        <family val="2"/>
      </rPr>
      <t>Stock tampon</t>
    </r>
    <r>
      <rPr>
        <sz val="12"/>
        <color theme="1" tint="-0.499984740745262"/>
        <rFont val="Arial"/>
        <family val="2"/>
      </rPr>
      <t> = % de stock tampon x nombre de doses administrées</t>
    </r>
  </si>
  <si>
    <r>
      <rPr>
        <u/>
        <sz val="12"/>
        <color theme="1" tint="-0.499984740745262"/>
        <rFont val="Arial"/>
        <family val="2"/>
      </rPr>
      <t>Coût du vaccin (pour le pays)</t>
    </r>
    <r>
      <rPr>
        <sz val="12"/>
        <color theme="1" tint="-0.499984740745262"/>
        <rFont val="Arial"/>
        <family val="2"/>
      </rPr>
      <t> = Nombre total de doses nécessaires x (montant du cofinancement par dose + montant du cofinancement par dose x traitement à l’échelle internationale + montant du cofinancement par dose x transport international) + (nombre de doses administrées / volume de réceptacles de sécurité x prix du réceptacle de sécurité)**</t>
    </r>
  </si>
  <si>
    <r>
      <rPr>
        <u/>
        <sz val="12"/>
        <color theme="1" tint="-0.499984740745262"/>
        <rFont val="Arial"/>
        <family val="2"/>
      </rPr>
      <t>Coût du programme d’immunisation (coût pour le pays)</t>
    </r>
    <r>
      <rPr>
        <sz val="12"/>
        <color theme="1" tint="-0.499984740745262"/>
        <rFont val="Arial"/>
        <family val="2"/>
      </rPr>
      <t> = Coût du vaccin/des mAb + nombre de doses administrées x coût supplémentaire d’administration par dose</t>
    </r>
  </si>
  <si>
    <r>
      <rPr>
        <u/>
        <sz val="12"/>
        <color theme="1" tint="-0.499984740745262"/>
        <rFont val="Arial"/>
        <family val="2"/>
      </rPr>
      <t>Coût du vaccin (coût pour le pays + coût pour le donateur/Gavi)</t>
    </r>
    <r>
      <rPr>
        <sz val="12"/>
        <color theme="1" tint="-0.499984740745262"/>
        <rFont val="Arial"/>
        <family val="2"/>
      </rPr>
      <t> = Nombre total de doses nécessaires x (prix du vaccin par dose + prix du vaccin par dose x traitement à l’échelle internationale + prix du vaccin par dose x transport international) + (nombre de doses administrées / volume de réceptacles de sécurité x prix du réceptacle de sécurité)**</t>
    </r>
  </si>
  <si>
    <r>
      <rPr>
        <u/>
        <sz val="12"/>
        <color theme="1" tint="-0.499984740745262"/>
        <rFont val="Arial"/>
        <family val="2"/>
      </rPr>
      <t>Coût du programme d’immunisation (coût pour le pays + coût pour le donateur/Gavi)</t>
    </r>
    <r>
      <rPr>
        <sz val="12"/>
        <color theme="1" tint="-0.499984740745262"/>
        <rFont val="Arial"/>
        <family val="2"/>
      </rPr>
      <t> = Coût du vaccin/des mAb + nombre de doses administrées x coût supplémentaire d’administration par dose + subvention forfaitaire d’aide à l’introduction versée par des sources externes (première année uniquement) + subvention d’introduction du vaccin propre à la population cible versée par des sources externes (première année uniquement)</t>
    </r>
  </si>
  <si>
    <t>* x = multiplié par 
** nombre de réceptacles de sécurité requis arrondi à l’entier le plus proche</t>
  </si>
  <si>
    <r>
      <rPr>
        <sz val="11"/>
        <color theme="1"/>
        <rFont val="Arial"/>
        <family val="2"/>
      </rPr>
      <t>Calculateur du coût de l’</t>
    </r>
    <r>
      <rPr>
        <b/>
        <sz val="11"/>
        <color theme="1"/>
        <rFont val="Arial"/>
        <family val="2"/>
      </rPr>
      <t>intervention contre le virus respiratoire syncytial (VRS) pour les pays éligibles et non éligibles au soutien de Gavi</t>
    </r>
  </si>
  <si>
    <t>Saisie des données</t>
  </si>
  <si>
    <r>
      <rPr>
        <b/>
        <sz val="16"/>
        <color theme="0"/>
        <rFont val="Wingdings"/>
        <charset val="2"/>
      </rPr>
      <t>â</t>
    </r>
    <r>
      <rPr>
        <b/>
        <sz val="16"/>
        <color theme="0"/>
        <rFont val="Arial"/>
        <family val="2"/>
      </rPr>
      <t xml:space="preserve"> </t>
    </r>
    <r>
      <rPr>
        <b/>
        <sz val="16"/>
        <color theme="0"/>
        <rFont val="Arial"/>
        <family val="2"/>
      </rPr>
      <t xml:space="preserve">COMMENCEZ ICI </t>
    </r>
    <r>
      <rPr>
        <b/>
        <sz val="16"/>
        <color theme="0"/>
        <rFont val="Wingdings"/>
        <charset val="2"/>
      </rPr>
      <t>â</t>
    </r>
  </si>
  <si>
    <t>PROGRAMME D’IMMUNISATION</t>
  </si>
  <si>
    <t>Population cible</t>
  </si>
  <si>
    <t>Incluse dans le programme ?</t>
  </si>
  <si>
    <r>
      <rPr>
        <b/>
        <i/>
        <u/>
        <sz val="12"/>
        <color theme="1"/>
        <rFont val="Arial"/>
        <family val="2"/>
      </rPr>
      <t>Scénario A</t>
    </r>
    <r>
      <rPr>
        <b/>
        <sz val="12"/>
        <color theme="1"/>
        <rFont val="Arial"/>
        <family val="2"/>
      </rPr>
      <t> : femmes enceintes uniquement</t>
    </r>
  </si>
  <si>
    <t>Oui</t>
  </si>
  <si>
    <r>
      <rPr>
        <b/>
        <i/>
        <u/>
        <sz val="12"/>
        <color theme="1"/>
        <rFont val="Arial"/>
        <family val="2"/>
      </rPr>
      <t>Scénario B</t>
    </r>
    <r>
      <rPr>
        <b/>
        <sz val="12"/>
        <color theme="1"/>
        <rFont val="Arial"/>
        <family val="2"/>
      </rPr>
      <t> : nourrissons uniquement</t>
    </r>
  </si>
  <si>
    <r>
      <rPr>
        <b/>
        <i/>
        <u/>
        <sz val="12"/>
        <color theme="1"/>
        <rFont val="Arial"/>
        <family val="2"/>
      </rPr>
      <t>Scénario C</t>
    </r>
    <r>
      <rPr>
        <b/>
        <sz val="12"/>
        <color theme="1"/>
        <rFont val="Arial"/>
        <family val="2"/>
      </rPr>
      <t> : femmes enceintes et nourrissons</t>
    </r>
  </si>
  <si>
    <r>
      <rPr>
        <b/>
        <i/>
        <u/>
        <sz val="12"/>
        <color theme="1"/>
        <rFont val="Arial"/>
        <family val="2"/>
      </rPr>
      <t xml:space="preserve">Scénario A
</t>
    </r>
    <r>
      <rPr>
        <b/>
        <i/>
        <sz val="12"/>
        <color theme="1"/>
        <rFont val="Arial"/>
        <family val="2"/>
      </rPr>
      <t>↓</t>
    </r>
  </si>
  <si>
    <r>
      <rPr>
        <b/>
        <i/>
        <u/>
        <sz val="12"/>
        <color theme="1"/>
        <rFont val="Arial"/>
        <family val="2"/>
      </rPr>
      <t xml:space="preserve">Scénario B
</t>
    </r>
    <r>
      <rPr>
        <b/>
        <i/>
        <sz val="12"/>
        <color theme="1"/>
        <rFont val="Arial"/>
        <family val="2"/>
      </rPr>
      <t>↓</t>
    </r>
  </si>
  <si>
    <r>
      <rPr>
        <b/>
        <i/>
        <u/>
        <sz val="12"/>
        <color theme="1"/>
        <rFont val="Arial"/>
        <family val="2"/>
      </rPr>
      <t xml:space="preserve">Scénario C
</t>
    </r>
    <r>
      <rPr>
        <b/>
        <i/>
        <sz val="12"/>
        <color theme="1"/>
        <rFont val="Arial"/>
        <family val="2"/>
      </rPr>
      <t>↓</t>
    </r>
  </si>
  <si>
    <t xml:space="preserve">Options d’intervention contre le VRS	</t>
  </si>
  <si>
    <t>Vaccination contre le VRS des femmes enceintes 
(vaccin maternel)</t>
  </si>
  <si>
    <t>Administration aux nourrissons d’anticorps monoclonaux anti-VRS
 (mAb)</t>
  </si>
  <si>
    <t>Vaccination contre le VRS des femmes enceintes et administration aux nourrissons de mAb anti-VRS 
(vaccin maternel et mAb)</t>
  </si>
  <si>
    <t>COMMENTAIRES</t>
  </si>
  <si>
    <t>Année de référence (début)</t>
  </si>
  <si>
    <t>Année de début du programme</t>
  </si>
  <si>
    <t>Taille de la population cible l’année de référence (début)</t>
  </si>
  <si>
    <t>Femmes 
enceintes</t>
  </si>
  <si>
    <t>Nourrissons</t>
  </si>
  <si>
    <t>Femmes enceintes</t>
  </si>
  <si>
    <t>Population de femmes enceintes par année pour le vaccin maternel et population de nourrissons par année pour les mAb. Pour la stratégie combinée, la population cible mAb inclut uniquement les nourrissons qui ne sont pas protégés par le vaccin maternel et est calculée automatiquement.</t>
  </si>
  <si>
    <t>Croissance annuelle de la population</t>
  </si>
  <si>
    <t>Couverture attendue (dose 1)</t>
  </si>
  <si>
    <t>Couverture annuelle attendue (%)</t>
  </si>
  <si>
    <t xml:space="preserve">La couverture du vaccin DT ou la couverture des soins ANC 4 peut se rapprocher de la couverture du vaccin maternel. Un exemple de calcul d’administration saisonnière ou d’estimation de la couverture pour la fenêtre d’âge gestationnel est disponible dans l’onglet « Target pop calculation » (Calcul de la population cible) dans l’Annexe. Pour obtenir la couverture approximative des mAb, il est possible d’utiliser la couverture d’un autre antigène administré à la naissance, comme HepB ou BCG.
Les produits actuels contre les infections à VRS (vaccin maternel et mAb à longue durée d’action) requièrent une seule dose pour fournir une immunisation complète. Si des produits nécessitant plusieurs doses sont envisagés, veuillez également renseigner la couverture attendue pour la dose 2 et la dose 3, le cas échéant. </t>
  </si>
  <si>
    <t>Couverture attendue (dose 2), le cas échéant</t>
  </si>
  <si>
    <t>Couverture annuelle attendue (%), dose 2</t>
  </si>
  <si>
    <t>Indiquez la couverture attendue pour la dose 2 si l’un des produits, dans le cadre d’un scénario donné, prévoit un schéma d’administration à plus d’une dose.</t>
  </si>
  <si>
    <t>Couverture attendue (dose 3), le cas échéant</t>
  </si>
  <si>
    <t>Couverture anuelle attendue (%), dose 3</t>
  </si>
  <si>
    <t>Indiquez la couverture attendue pour la dose 3 si l’un des produits, dans le cadre d’un scénario donné, prévoit un schéma d’administration à plus de deux doses.</t>
  </si>
  <si>
    <t>ÉLIGIBILITÉ ET COFINANCEMENT DE GAVI</t>
  </si>
  <si>
    <t xml:space="preserve">Ce pays est-il éligible à Gavi ?  </t>
  </si>
  <si>
    <t>Non</t>
  </si>
  <si>
    <t>Phase de transition Gavi : veuillez sélectionner l’option appropriée dans le menu déroulant sur la droite</t>
  </si>
  <si>
    <t xml:space="preserve">Part de cofinancement du pays </t>
  </si>
  <si>
    <t>* Si votre pays doit passer de l’autofinancement initial à la transition préparatoire pendant la période de 5 ans, contactez l’équipe concernée à l’adresse HEOR@path.org pour savoir comment configurer le modèle.</t>
  </si>
  <si>
    <t xml:space="preserve">OPTIONS D’INTERVENTION CONTRE LE VRS                                                                               </t>
  </si>
  <si>
    <t>Pour connaître le profil détaillé des vaccins, consultez le</t>
  </si>
  <si>
    <t>site Web de Gavi</t>
  </si>
  <si>
    <t>←À mettre à jour lorsque le profil du produit anti-VRS sera disponible</t>
  </si>
  <si>
    <t>COÛT DU VACCIN/DES mAb</t>
  </si>
  <si>
    <r>
      <rPr>
        <b/>
        <sz val="12"/>
        <color theme="1"/>
        <rFont val="Arial"/>
        <family val="2"/>
      </rPr>
      <t xml:space="preserve">Option d’intervention contre le VRS
</t>
    </r>
    <r>
      <rPr>
        <i/>
        <sz val="12"/>
        <color theme="4" tint="-0.249977111117893"/>
        <rFont val="Arial"/>
        <family val="2"/>
      </rPr>
      <t>Remarque : pour les scénarios A (vaccin maternel uniquement) et B (mAb uniquement), l’outil permet de comparer plusieurs options de produits.</t>
    </r>
    <r>
      <rPr>
        <i/>
        <sz val="12"/>
        <color theme="4" tint="-0.249977111117893"/>
        <rFont val="Arial"/>
        <family val="2"/>
      </rPr>
      <t xml:space="preserve"> </t>
    </r>
    <r>
      <rPr>
        <i/>
        <sz val="12"/>
        <color theme="4" tint="-0.249977111117893"/>
        <rFont val="Arial"/>
        <family val="2"/>
      </rPr>
      <t>Ces produits ne sont pas disponibles pour le moment.</t>
    </r>
    <r>
      <rPr>
        <i/>
        <sz val="12"/>
        <color theme="4" tint="-0.249977111117893"/>
        <rFont val="Arial"/>
        <family val="2"/>
      </rPr>
      <t xml:space="preserve"> </t>
    </r>
    <r>
      <rPr>
        <i/>
        <sz val="12"/>
        <color theme="4" tint="-0.249977111117893"/>
        <rFont val="Arial"/>
        <family val="2"/>
      </rPr>
      <t>Ces analyses pourront être utiles à l’avenir lorsque ces produits seront disponibles sur le marché.</t>
    </r>
  </si>
  <si>
    <t>Vaccination contre le VRS des femmes enceintes
 (vaccin maternel)</t>
  </si>
  <si>
    <t>Vaccination contre le VRS des femmes enceintes et administration aux nourrissons de mAb anti-VRS (vaccin maternel et mAb)</t>
  </si>
  <si>
    <t>Vaccin et présentation retenus &gt;&gt;&gt;</t>
  </si>
  <si>
    <t>Vaccin maternel contre le VRS_2</t>
  </si>
  <si>
    <t>Aucun</t>
  </si>
  <si>
    <t>Sélectionnez « Aucun » pour toutes les options de produits sous les scénarios A et B si vous avez sélectionné « Non » à l’étape 1.</t>
  </si>
  <si>
    <t>Prix du produit par dose</t>
  </si>
  <si>
    <t>Prix du produit. En l’absence de données, des prix indicatifs sont fournis ci-dessous.</t>
  </si>
  <si>
    <t>Prix indicatif par dose</t>
  </si>
  <si>
    <t>Montant du cofinancement par dose</t>
  </si>
  <si>
    <t>Nombre de doses prévues</t>
  </si>
  <si>
    <t>←À remplacer par les valeurs recommandées dans l’onglet de l’option du vaccin lorsque des données seront disponibles</t>
  </si>
  <si>
    <r>
      <rPr>
        <b/>
        <sz val="12"/>
        <color theme="1"/>
        <rFont val="Arial"/>
        <family val="2"/>
      </rPr>
      <t>Volume de la chaîne du froid par dose (en cm</t>
    </r>
    <r>
      <rPr>
        <b/>
        <vertAlign val="superscript"/>
        <sz val="12"/>
        <color theme="1"/>
        <rFont val="Arial"/>
        <family val="2"/>
      </rPr>
      <t>3</t>
    </r>
    <r>
      <rPr>
        <b/>
        <sz val="12"/>
        <color theme="1"/>
        <rFont val="Arial"/>
        <family val="2"/>
      </rPr>
      <t>)</t>
    </r>
  </si>
  <si>
    <t>Taux de perte</t>
  </si>
  <si>
    <t>←À remplacer par les valeurs recommandées par les PDP de Gavi lorsqu’ils seront disponibles</t>
  </si>
  <si>
    <t>Taux de perte indicatif</t>
  </si>
  <si>
    <t>Facteur de perte</t>
  </si>
  <si>
    <t>Stock tampon</t>
  </si>
  <si>
    <t>% de stock tampon</t>
  </si>
  <si>
    <t>Traitement à l’échelle internationale</t>
  </si>
  <si>
    <t>en % du prix du vaccin</t>
  </si>
  <si>
    <t>Transport international</t>
  </si>
  <si>
    <t>Prix des réceptacles de sécurité</t>
  </si>
  <si>
    <t>Par défaut : UNICEF</t>
  </si>
  <si>
    <t>Volume des réceptacles de sécurité</t>
  </si>
  <si>
    <t>Nombre de doses par réceptacle de sécurité</t>
  </si>
  <si>
    <t xml:space="preserve">COÛT DU PROGRAMME D’IMMUNISATION </t>
  </si>
  <si>
    <t>Subvention d’introduction forfaitaire unique versée au pays par des sources externes</t>
  </si>
  <si>
    <t>Montant forfaitaire ou budget pour la première année, le cas échéant.</t>
  </si>
  <si>
    <t xml:space="preserve">Subvention d’introduction du vaccin unique </t>
  </si>
  <si>
    <t>Subvention d’introduction propre à la population cible reçue au cours de la première année (par exemple, subvention d’introduction du vaccin de Gavi), le cas échéant.</t>
  </si>
  <si>
    <t>Coût supplémentaire d’administration par dose</t>
  </si>
  <si>
    <t xml:space="preserve">$ par dose administrée ; origine potentielle des données : Catalogue des coûts d’administration des vaccins (IDCC) dont le lien est indiqué ci-dessous </t>
  </si>
  <si>
    <t>TABLEAU DE BORD</t>
  </si>
  <si>
    <t>Scénario A : 
vaccin maternel</t>
  </si>
  <si>
    <t>Scénario B : 
mAb</t>
  </si>
  <si>
    <t>Scénario C :</t>
  </si>
  <si>
    <t>Million de doses nécessaires</t>
  </si>
  <si>
    <t>Sur 5 ans</t>
  </si>
  <si>
    <t>Moyenne par an</t>
  </si>
  <si>
    <t>Coût du produit pour le pays (M $ US)</t>
  </si>
  <si>
    <t>Coût total du programme pour le pays (M $ US)</t>
  </si>
  <si>
    <t>Coût total du produit
pour le pays + donateur/Gavi
 (M $ US)</t>
  </si>
  <si>
    <t>Coût total du programme 
pour le pays + donateur/Gavi
(M $ US)</t>
  </si>
  <si>
    <r>
      <rPr>
        <b/>
        <sz val="12"/>
        <color theme="1"/>
        <rFont val="Arial"/>
        <family val="2"/>
      </rPr>
      <t>Volume de la chaîne du froid par dose (en M de cm</t>
    </r>
    <r>
      <rPr>
        <b/>
        <vertAlign val="superscript"/>
        <sz val="12"/>
        <color theme="1"/>
        <rFont val="Arial"/>
        <family val="2"/>
      </rPr>
      <t>3</t>
    </r>
    <r>
      <rPr>
        <b/>
        <sz val="12"/>
        <color theme="1"/>
        <rFont val="Arial"/>
        <family val="2"/>
      </rPr>
      <t>)</t>
    </r>
  </si>
  <si>
    <t>REMARQUES :</t>
  </si>
  <si>
    <t>Le coût du produit comprend l’achat des vaccins/mAb, les fournitures, la manutention et le transport. Il ne comprend pas le coût supplémentaire d’administration du vaccin/des mAb.</t>
  </si>
  <si>
    <t xml:space="preserve">Le coût pour le pays peut être partiellement compensé par le soutien financier que Gavi peut fournir sous la forme de subventions à l’introduction de vaccins et par des subventions uniques versées par d’autres donateurs. </t>
  </si>
  <si>
    <r>
      <rPr>
        <sz val="11"/>
        <color theme="1"/>
        <rFont val="Arial"/>
        <family val="2"/>
      </rPr>
      <t>Calculateur du coût de l’</t>
    </r>
    <r>
      <rPr>
        <b/>
        <sz val="11"/>
        <color theme="1"/>
        <rFont val="Arial"/>
        <family val="2"/>
      </rPr>
      <t>intervention contre le virus respiratoire syncytial (VRS)</t>
    </r>
    <r>
      <rPr>
        <sz val="11"/>
        <color theme="1"/>
        <rFont val="Arial"/>
        <family val="2"/>
      </rPr>
      <t xml:space="preserve"> </t>
    </r>
    <r>
      <rPr>
        <b/>
        <sz val="11"/>
        <color theme="1"/>
        <rFont val="Arial"/>
        <family val="2"/>
      </rPr>
      <t>pour les pays éligibles et non éligibles au soutien de Gavi</t>
    </r>
  </si>
  <si>
    <t>RÉSULTATS</t>
  </si>
  <si>
    <t>Intervention contre le VRS chez les femmes enceintes
 (vaccin maternel)</t>
  </si>
  <si>
    <t>Intervention contre le VRS chez les nourrissons
 (mAb)</t>
  </si>
  <si>
    <t>Intervention contre le VRS, vaccin maternel et mAb</t>
  </si>
  <si>
    <t>Scénario C : 
vaccin maternel et mAb</t>
  </si>
  <si>
    <t>les deux, total</t>
  </si>
  <si>
    <t>Scénario A : vaccin maternel</t>
  </si>
  <si>
    <t>Scénario B : mAb</t>
  </si>
  <si>
    <t>Scénario C : vaccin maternel et mAb</t>
  </si>
  <si>
    <t>Taille de la population cible attendue</t>
  </si>
  <si>
    <t>Total
pour 5 ans</t>
  </si>
  <si>
    <t>Nombre de doses administrées</t>
  </si>
  <si>
    <t>Nombre de doses administrées, dose 1</t>
  </si>
  <si>
    <t>Population ajustée en fonction de la croissance pour une année donnée * couverture</t>
  </si>
  <si>
    <t>Nombre de doses administrées, dose 2</t>
  </si>
  <si>
    <t>Sujets ayant reçu la dose 1 * couverture de la dose 2</t>
  </si>
  <si>
    <t>Nombre de doses administrées, dose 3</t>
  </si>
  <si>
    <t>Sujets ayant reçu la dose 2 * couverture de la dose 3</t>
  </si>
  <si>
    <r>
      <rPr>
        <b/>
        <sz val="16"/>
        <color theme="0"/>
        <rFont val="Arial"/>
        <family val="2"/>
      </rPr>
      <t xml:space="preserve">Nombre total de doses requises
</t>
    </r>
    <r>
      <rPr>
        <i/>
        <sz val="12"/>
        <color theme="0"/>
        <rFont val="Arial"/>
        <family val="2"/>
      </rPr>
      <t>Inclut les doses perdues et les doses requises pour maintenir le stock tampon</t>
    </r>
  </si>
  <si>
    <t>Nombre total de doses tampons requises</t>
  </si>
  <si>
    <t>Nombre de doses administrées * % de stock tampon</t>
  </si>
  <si>
    <t xml:space="preserve">Nombre total de doses tampons de l’année précédente </t>
  </si>
  <si>
    <t>Nombre total de doses tampons requises pour maintenir le stock tampon</t>
  </si>
  <si>
    <r>
      <rPr>
        <b/>
        <sz val="16"/>
        <color theme="0"/>
        <rFont val="Arial"/>
        <family val="2"/>
      </rPr>
      <t>Volume total de la chaîne du froid requis</t>
    </r>
    <r>
      <rPr>
        <b/>
        <sz val="12"/>
        <color theme="0"/>
        <rFont val="Arial"/>
        <family val="2"/>
      </rPr>
      <t xml:space="preserve">
</t>
    </r>
    <r>
      <rPr>
        <i/>
        <sz val="12"/>
        <color theme="0"/>
        <rFont val="Arial"/>
        <family val="2"/>
      </rPr>
      <t>en cm</t>
    </r>
    <r>
      <rPr>
        <i/>
        <vertAlign val="superscript"/>
        <sz val="12"/>
        <color theme="0"/>
        <rFont val="Arial"/>
        <family val="2"/>
      </rPr>
      <t>3</t>
    </r>
  </si>
  <si>
    <t>COÛT POUR LE PAYS</t>
  </si>
  <si>
    <r>
      <rPr>
        <b/>
        <sz val="16"/>
        <color theme="0"/>
        <rFont val="Arial"/>
        <family val="2"/>
      </rPr>
      <t>Coût du vaccin/des mAb</t>
    </r>
    <r>
      <rPr>
        <b/>
        <sz val="12"/>
        <color theme="0"/>
        <rFont val="Arial"/>
        <family val="2"/>
      </rPr>
      <t xml:space="preserve">
</t>
    </r>
    <r>
      <rPr>
        <i/>
        <sz val="12"/>
        <color theme="0"/>
        <rFont val="Arial"/>
        <family val="2"/>
      </rPr>
      <t>Coût d’achat du vaccin/des mAb et des fournitures</t>
    </r>
  </si>
  <si>
    <r>
      <rPr>
        <b/>
        <sz val="16"/>
        <color theme="0"/>
        <rFont val="Arial"/>
        <family val="2"/>
      </rPr>
      <t>Coût du programme d’immunisation</t>
    </r>
    <r>
      <rPr>
        <b/>
        <sz val="12"/>
        <color theme="0"/>
        <rFont val="Arial"/>
        <family val="2"/>
      </rPr>
      <t xml:space="preserve">
</t>
    </r>
    <r>
      <rPr>
        <i/>
        <sz val="12"/>
        <color theme="0"/>
        <rFont val="Arial"/>
        <family val="2"/>
      </rPr>
      <t>Coût du vaccin/des mAb + coûts supplémentaires pour le système de santé</t>
    </r>
  </si>
  <si>
    <t>COÛT POUR LE PAYS 
+ COÛT POUR LE DONATEUR/GAVI</t>
  </si>
  <si>
    <r>
      <rPr>
        <sz val="10"/>
        <color theme="1"/>
        <rFont val="Arial"/>
        <family val="2"/>
      </rPr>
      <t>Calculateur du coût de l’</t>
    </r>
    <r>
      <rPr>
        <b/>
        <sz val="10"/>
        <color theme="1"/>
        <rFont val="Arial"/>
        <family val="2"/>
      </rPr>
      <t>intervention contre le virus respiratoire syncytial (VRS) pour les pays éligibles et non éligibles au soutien de Gavi</t>
    </r>
  </si>
  <si>
    <t>Récapitulatif des résultats pour la période de 5 ans</t>
  </si>
  <si>
    <t>L’échelle de l’axe des abscisses/ordonnées diffère d’une figure à l’autre.</t>
  </si>
  <si>
    <t>Résultats annuels</t>
  </si>
  <si>
    <t>COÛT POUR LE PAYS + COÛT POUR LE DONATEUR/GAVI</t>
  </si>
  <si>
    <t>COUNTRY COST</t>
  </si>
  <si>
    <t>5-year summary results</t>
  </si>
  <si>
    <t>Annual results</t>
  </si>
  <si>
    <t>Note that vertical axis scales are different by figure</t>
  </si>
  <si>
    <t>COUNTRY + GAVI COST</t>
  </si>
  <si>
    <t>Note that vertical axis scales are different by figure.</t>
  </si>
  <si>
    <t>Exemple de calcul de la population cible</t>
  </si>
  <si>
    <t xml:space="preserve">Cet exemple inclut la vaccination saisonnière (partie 1) et les ajustements à prendre en compte pour les fenêtres d’âge gestationnel (partie 2). Ces calculs peuvent être réalisés de façon entièrement indépendante. </t>
  </si>
  <si>
    <t>Pays avec une transmission saisonnière envisageant la vaccination saisonnière</t>
  </si>
  <si>
    <t>Si votre pays envisage la vaccination saisonnière, il sera nécessaire de prévoir une population cible pour cette vaccination. Des données claires précisant le schéma de transmission saisonnière seront nécessaires.</t>
  </si>
  <si>
    <t>Si</t>
  </si>
  <si>
    <t xml:space="preserve">la population de femmes enceintes d’une année donnée </t>
  </si>
  <si>
    <t>=</t>
  </si>
  <si>
    <t>Et</t>
  </si>
  <si>
    <t xml:space="preserve">le nombre de mois où la vaccination saisonnière contre le VRS aurait lieu </t>
  </si>
  <si>
    <t>Alors</t>
  </si>
  <si>
    <t>la population cible approximative de la saison</t>
  </si>
  <si>
    <t>La fenêtre de vaccination pour un vaccin est susceptible d’être influencée par la période gestationnelle recommandée.</t>
  </si>
  <si>
    <t xml:space="preserve"> Les pays envisageant de façon plus approfondie la vaccination dans une fenêtre gestationnelle limitée peuvent ajuster la population cible comme suit.</t>
  </si>
  <si>
    <t>la proportion de la population cible qu’il est prévu d’atteindre pendant une fenêtre de vaccination</t>
  </si>
  <si>
    <t xml:space="preserve">
 la population cible approximative de la saison
</t>
  </si>
  <si>
    <t>Des exemples de calculs comme ceux-ci peuvent être utilisés afin de déterminer la « population cible » de la vaccination maternelle pour la transmission saisonnière ou une fenêtre d’âge gestationnel dans l’onglet « Model Inputs » (Saisie des données).</t>
  </si>
  <si>
    <t>Produit et présentation</t>
  </si>
  <si>
    <t>Prix par dose</t>
  </si>
  <si>
    <t>Doses prévues</t>
  </si>
  <si>
    <t>Perte</t>
  </si>
  <si>
    <r>
      <rPr>
        <b/>
        <sz val="11"/>
        <color theme="1"/>
        <rFont val="Calibri"/>
        <family val="2"/>
        <scheme val="minor"/>
      </rPr>
      <t>Volume de la chaîne du froid (cm</t>
    </r>
    <r>
      <rPr>
        <b/>
        <vertAlign val="superscript"/>
        <sz val="11"/>
        <color theme="1"/>
        <rFont val="Calibri"/>
        <family val="2"/>
        <scheme val="minor"/>
      </rPr>
      <t>3</t>
    </r>
    <r>
      <rPr>
        <b/>
        <sz val="11"/>
        <color theme="1"/>
        <rFont val="Calibri"/>
        <family val="2"/>
        <scheme val="minor"/>
      </rPr>
      <t>) par dose</t>
    </r>
  </si>
  <si>
    <t>Vaccin maternel contre le VRS_3</t>
  </si>
  <si>
    <t>N/A</t>
  </si>
  <si>
    <t>Anticorps monoclonal anti-VRS_2</t>
  </si>
  <si>
    <t>Anticorps monoclonal anti-VRS_3</t>
  </si>
  <si>
    <t>Phase de transition Gavi</t>
  </si>
  <si>
    <t>Phase d’autofinancement initial</t>
  </si>
  <si>
    <t>Interventions contre le VRS</t>
  </si>
  <si>
    <t>Note that horizontal/vertical axis scales are different by figure</t>
  </si>
  <si>
    <r>
      <t>COUNTRY + GAVI</t>
    </r>
    <r>
      <rPr>
        <b/>
        <sz val="14"/>
        <color rgb="FF0070C0"/>
        <rFont val="Calibri"/>
        <family val="2"/>
        <scheme val="minor"/>
      </rPr>
      <t>/DONOR</t>
    </r>
    <r>
      <rPr>
        <b/>
        <sz val="14"/>
        <rFont val="Calibri"/>
        <family val="2"/>
        <scheme val="minor"/>
      </rPr>
      <t xml:space="preserve"> COST</t>
    </r>
  </si>
  <si>
    <t>ON THE                              MENU</t>
  </si>
  <si>
    <t>OTHER PREQUALIFIED VACCINES NOT ON THE GAVI MENU</t>
  </si>
  <si>
    <t>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t>
  </si>
  <si>
    <t xml:space="preserve">The vaccines listed below are currently offered by Gavi and listed in the country application portal.   
</t>
  </si>
  <si>
    <r>
      <t>Vaccine group</t>
    </r>
    <r>
      <rPr>
        <vertAlign val="superscript"/>
        <sz val="14"/>
        <color rgb="FF000000"/>
        <rFont val="Calibri"/>
        <family val="2"/>
      </rPr>
      <t xml:space="preserve">1 </t>
    </r>
  </si>
  <si>
    <t>Rotavirus</t>
  </si>
  <si>
    <r>
      <t>Vaccine type</t>
    </r>
    <r>
      <rPr>
        <vertAlign val="superscript"/>
        <sz val="14"/>
        <color rgb="FF000000"/>
        <rFont val="Calibri"/>
        <family val="2"/>
      </rPr>
      <t xml:space="preserve">1 </t>
    </r>
  </si>
  <si>
    <t>RV1 (monovalent human rotavirus vaccine)</t>
  </si>
  <si>
    <t xml:space="preserve">RV5 (pentavalent human-bovine rotavirus vaccines) </t>
  </si>
  <si>
    <t>RV5 (pentavalent human-bovine reassortant rotavirus vaccine)</t>
  </si>
  <si>
    <r>
      <t>Serotypes</t>
    </r>
    <r>
      <rPr>
        <vertAlign val="superscript"/>
        <sz val="14"/>
        <color rgb="FF000000"/>
        <rFont val="Calibri"/>
        <family val="2"/>
      </rPr>
      <t>1</t>
    </r>
  </si>
  <si>
    <t>RIX4414</t>
  </si>
  <si>
    <t>116 E</t>
  </si>
  <si>
    <t>G1, G2, G3, G4, G9</t>
  </si>
  <si>
    <t>W179, SC2, W178, BrB, WC3</t>
  </si>
  <si>
    <r>
      <t>WHO recommended vaccine schedule</t>
    </r>
    <r>
      <rPr>
        <vertAlign val="superscript"/>
        <sz val="14"/>
        <color rgb="FF000000"/>
        <rFont val="Calibri"/>
        <family val="2"/>
      </rPr>
      <t>3</t>
    </r>
  </si>
  <si>
    <t>To be administered at the time of DTP1, DTP2 with an interval of at least 4 weeks between doses (2 doses)</t>
  </si>
  <si>
    <t>To be administered at the time of DTP1, DTP2 and DTP3 with an interval of at least 4 weeks between doses (3 doses)</t>
  </si>
  <si>
    <r>
      <t>Manufacturer</t>
    </r>
    <r>
      <rPr>
        <b/>
        <vertAlign val="superscript"/>
        <sz val="14"/>
        <color rgb="FF000000"/>
        <rFont val="Calibri"/>
        <family val="2"/>
      </rPr>
      <t>1</t>
    </r>
  </si>
  <si>
    <t>GlaxoSmithKline</t>
  </si>
  <si>
    <t>Bharat Biotech International</t>
  </si>
  <si>
    <t>Serum Institute of India Pvt Ltd</t>
  </si>
  <si>
    <t>Merck &amp; Co.</t>
  </si>
  <si>
    <r>
      <t>Vaccine trade name</t>
    </r>
    <r>
      <rPr>
        <b/>
        <vertAlign val="superscript"/>
        <sz val="14"/>
        <color rgb="FF000000"/>
        <rFont val="Calibri"/>
        <family val="2"/>
      </rPr>
      <t>1</t>
    </r>
  </si>
  <si>
    <r>
      <t>Rotarix</t>
    </r>
    <r>
      <rPr>
        <b/>
        <sz val="14"/>
        <color rgb="FF000000"/>
        <rFont val="Calibri"/>
        <family val="2"/>
      </rPr>
      <t>⁶</t>
    </r>
  </si>
  <si>
    <t>Rotavac</t>
  </si>
  <si>
    <t>Rotavac 5D</t>
  </si>
  <si>
    <t>Rotasiil</t>
  </si>
  <si>
    <t>Rotarix</t>
  </si>
  <si>
    <t>RotaTeq</t>
  </si>
  <si>
    <r>
      <t>Country of manufacture</t>
    </r>
    <r>
      <rPr>
        <vertAlign val="superscript"/>
        <sz val="14"/>
        <color rgb="FF000000"/>
        <rFont val="Calibri"/>
        <family val="2"/>
      </rPr>
      <t>1</t>
    </r>
  </si>
  <si>
    <t>Belgium</t>
  </si>
  <si>
    <t>India</t>
  </si>
  <si>
    <t>USA</t>
  </si>
  <si>
    <r>
      <t>National regulatory agency</t>
    </r>
    <r>
      <rPr>
        <vertAlign val="superscript"/>
        <sz val="14"/>
        <color rgb="FF000000"/>
        <rFont val="Calibri"/>
        <family val="2"/>
      </rPr>
      <t>1</t>
    </r>
  </si>
  <si>
    <t>FAMHP (Belgium)</t>
  </si>
  <si>
    <t>DCGI (India)</t>
  </si>
  <si>
    <t>DCGI  (India)</t>
  </si>
  <si>
    <t>FDA (USA)</t>
  </si>
  <si>
    <r>
      <t>Presentation (doses per container, primary container type, pharmaceutical form)</t>
    </r>
    <r>
      <rPr>
        <b/>
        <vertAlign val="superscript"/>
        <sz val="14"/>
        <color rgb="FF000000"/>
        <rFont val="Calibri"/>
        <family val="2"/>
      </rPr>
      <t>1</t>
    </r>
  </si>
  <si>
    <t>RV1, 1 dose/plastic tube, liquid</t>
  </si>
  <si>
    <t>RV1, 1 dose/plastic tube, liquid 
(multi-monodose presentation with 5 single tubes connected by a bar)</t>
  </si>
  <si>
    <t>RV1, 5 doses/vial, frozen</t>
  </si>
  <si>
    <t>RV1, 10 doses/vial, frozen</t>
  </si>
  <si>
    <r>
      <t>RV1, 1 dose/vial, liquid</t>
    </r>
    <r>
      <rPr>
        <b/>
        <sz val="14"/>
        <color rgb="FF000000"/>
        <rFont val="Calibri"/>
        <family val="2"/>
      </rPr>
      <t>⁷</t>
    </r>
  </si>
  <si>
    <r>
      <t>RV1, 5 doses/vial, liquid</t>
    </r>
    <r>
      <rPr>
        <b/>
        <sz val="14"/>
        <color rgb="FF000000"/>
        <rFont val="Calibri"/>
        <family val="2"/>
      </rPr>
      <t>⁷</t>
    </r>
  </si>
  <si>
    <t>RV5, 1 dose/vial, lyophilised</t>
  </si>
  <si>
    <t xml:space="preserve">RV5, 2 doses/vial, lyophilised </t>
  </si>
  <si>
    <r>
      <t>RV5, 1 dose/plastic tube, liquid
(strip of 5 tubes)</t>
    </r>
    <r>
      <rPr>
        <b/>
        <sz val="14"/>
        <color rgb="FF000000"/>
        <rFont val="Calibri"/>
        <family val="2"/>
      </rPr>
      <t>⁸</t>
    </r>
  </si>
  <si>
    <t>1 dose applicator and vial, liquid</t>
  </si>
  <si>
    <t>RV5, 1 dose/plastic tube, liquid</t>
  </si>
  <si>
    <r>
      <t>Product availability 2020</t>
    </r>
    <r>
      <rPr>
        <vertAlign val="superscript"/>
        <sz val="14"/>
        <color rgb="FF000000"/>
        <rFont val="Calibri"/>
        <family val="2"/>
      </rPr>
      <t>2</t>
    </r>
  </si>
  <si>
    <t>needs planning</t>
  </si>
  <si>
    <r>
      <t>limited supply</t>
    </r>
    <r>
      <rPr>
        <sz val="14"/>
        <rFont val="Calibri"/>
        <family val="2"/>
      </rPr>
      <t>⁹</t>
    </r>
  </si>
  <si>
    <t>TBD</t>
  </si>
  <si>
    <t>n/a</t>
  </si>
  <si>
    <t>Routine and/or campaign</t>
  </si>
  <si>
    <t>routine</t>
  </si>
  <si>
    <r>
      <t>2020 price per dose (USD/EUR)</t>
    </r>
    <r>
      <rPr>
        <vertAlign val="superscript"/>
        <sz val="14"/>
        <color rgb="FF000000"/>
        <rFont val="Calibri"/>
        <family val="2"/>
      </rPr>
      <t>4,6</t>
    </r>
  </si>
  <si>
    <r>
      <t>2020 price per dose (USD)</t>
    </r>
    <r>
      <rPr>
        <vertAlign val="superscript"/>
        <sz val="14"/>
        <color rgb="FF000000"/>
        <rFont val="Calibri"/>
        <family val="2"/>
      </rPr>
      <t>4</t>
    </r>
  </si>
  <si>
    <t>Doses per fully immunised person</t>
  </si>
  <si>
    <r>
      <t xml:space="preserve">2020 price per fully immunised person (USD) </t>
    </r>
    <r>
      <rPr>
        <vertAlign val="superscript"/>
        <sz val="14"/>
        <color rgb="FF000000"/>
        <rFont val="Calibri"/>
        <family val="2"/>
      </rPr>
      <t>4</t>
    </r>
  </si>
  <si>
    <r>
      <t>Indicative wastage rate</t>
    </r>
    <r>
      <rPr>
        <vertAlign val="superscript"/>
        <sz val="14"/>
        <color rgb="FF000000"/>
        <rFont val="Calibri"/>
        <family val="2"/>
      </rPr>
      <t>5</t>
    </r>
  </si>
  <si>
    <r>
      <t>Country specific actual wastage rate (</t>
    </r>
    <r>
      <rPr>
        <b/>
        <sz val="14"/>
        <color rgb="FF000000"/>
        <rFont val="Calibri"/>
        <family val="2"/>
      </rPr>
      <t>input required</t>
    </r>
    <r>
      <rPr>
        <sz val="14"/>
        <color rgb="FF000000"/>
        <rFont val="Calibri"/>
        <family val="2"/>
      </rPr>
      <t>)</t>
    </r>
    <r>
      <rPr>
        <vertAlign val="superscript"/>
        <sz val="14"/>
        <color rgb="FF000000"/>
        <rFont val="Calibri"/>
        <family val="2"/>
      </rPr>
      <t>4</t>
    </r>
  </si>
  <si>
    <r>
      <t>2020 wastage adjusted price per fully immunised person (USD)</t>
    </r>
    <r>
      <rPr>
        <sz val="14"/>
        <color rgb="FF000000"/>
        <rFont val="Calibri"/>
        <family val="2"/>
      </rPr>
      <t>⁴</t>
    </r>
    <r>
      <rPr>
        <vertAlign val="superscript"/>
        <sz val="14"/>
        <color rgb="FF000000"/>
        <rFont val="Calibri"/>
        <family val="2"/>
      </rPr>
      <t>,</t>
    </r>
    <r>
      <rPr>
        <sz val="14"/>
        <color rgb="FF000000"/>
        <rFont val="Calibri"/>
        <family val="2"/>
      </rPr>
      <t xml:space="preserve"> ⁵</t>
    </r>
  </si>
  <si>
    <r>
      <t>2020 wastage adjusted price per fully immunised person (USD)</t>
    </r>
    <r>
      <rPr>
        <vertAlign val="superscript"/>
        <sz val="14"/>
        <color rgb="FF000000"/>
        <rFont val="Calibri"/>
        <family val="2"/>
      </rPr>
      <t>4  ⁵</t>
    </r>
  </si>
  <si>
    <r>
      <t>WHO PQ-date</t>
    </r>
    <r>
      <rPr>
        <vertAlign val="superscript"/>
        <sz val="14"/>
        <color rgb="FF000000"/>
        <rFont val="Calibri"/>
        <family val="2"/>
      </rPr>
      <t>1</t>
    </r>
  </si>
  <si>
    <t>Prequalification expected in Q1 2020</t>
  </si>
  <si>
    <t>Prequalification expected in Q3 2020</t>
  </si>
  <si>
    <r>
      <t>Administration</t>
    </r>
    <r>
      <rPr>
        <vertAlign val="superscript"/>
        <sz val="14"/>
        <color rgb="FF000000"/>
        <rFont val="Calibri"/>
        <family val="2"/>
      </rPr>
      <t>1</t>
    </r>
  </si>
  <si>
    <t>Oral</t>
  </si>
  <si>
    <t>per oral</t>
  </si>
  <si>
    <r>
      <t>Secondary packaging</t>
    </r>
    <r>
      <rPr>
        <vertAlign val="superscript"/>
        <sz val="14"/>
        <color rgb="FF000000"/>
        <rFont val="Calibri"/>
        <family val="2"/>
      </rPr>
      <t>1</t>
    </r>
  </si>
  <si>
    <r>
      <rPr>
        <sz val="14"/>
        <color rgb="FF808080"/>
        <rFont val="Calibri"/>
        <family val="2"/>
      </rPr>
      <t xml:space="preserve">1, 10 </t>
    </r>
    <r>
      <rPr>
        <sz val="14"/>
        <color rgb="FF000000"/>
        <rFont val="Calibri"/>
        <family val="2"/>
      </rPr>
      <t>or 50 doses per carton*</t>
    </r>
  </si>
  <si>
    <t>50 doses per carton</t>
  </si>
  <si>
    <t>Carton of 25 vials (125 doses)</t>
  </si>
  <si>
    <t>Carton of 30 vials (300 doses)</t>
  </si>
  <si>
    <t>Carton of 36 vials (36 doses)</t>
  </si>
  <si>
    <t>Carton of 50 vials of lyophilized product (50 doses) + Carton of 50 vials of diluent</t>
  </si>
  <si>
    <t>Carton of 50 vials of lyophilized product (100 doses) + Carton of 50 vials of diluent (100 doses)</t>
  </si>
  <si>
    <t>Carton of 10 strips of 5 tubes each (50 doses)</t>
  </si>
  <si>
    <t>1 or 10 doses per carton</t>
  </si>
  <si>
    <r>
      <rPr>
        <sz val="14"/>
        <color rgb="FF808080"/>
        <rFont val="Calibri"/>
        <family val="2"/>
      </rPr>
      <t>10</t>
    </r>
    <r>
      <rPr>
        <sz val="14"/>
        <color rgb="FF000000"/>
        <rFont val="Calibri"/>
        <family val="2"/>
      </rPr>
      <t xml:space="preserve"> or 25 doses per carton*</t>
    </r>
  </si>
  <si>
    <r>
      <t>Shelf-life</t>
    </r>
    <r>
      <rPr>
        <vertAlign val="superscript"/>
        <sz val="14"/>
        <color rgb="FF000000"/>
        <rFont val="Calibri"/>
        <family val="2"/>
      </rPr>
      <t>1</t>
    </r>
  </si>
  <si>
    <t>24 months at 2 - 8 °C</t>
  </si>
  <si>
    <t xml:space="preserve">60 months at -20 °C, 6 months at 2-8 °C post thaw </t>
  </si>
  <si>
    <t>24 months at 2-8°C</t>
  </si>
  <si>
    <t xml:space="preserve">30 months at 2-8 °C </t>
  </si>
  <si>
    <t xml:space="preserve">24 months at 2-8 °C </t>
  </si>
  <si>
    <t>36 months at 2 - 8 °C</t>
  </si>
  <si>
    <r>
      <t>Cold chain volume per dose (cm</t>
    </r>
    <r>
      <rPr>
        <vertAlign val="superscript"/>
        <sz val="14"/>
        <color rgb="FF000000"/>
        <rFont val="Calibri"/>
        <family val="2"/>
      </rPr>
      <t>3</t>
    </r>
    <r>
      <rPr>
        <sz val="14"/>
        <color rgb="FF000000"/>
        <rFont val="Calibri"/>
        <family val="2"/>
      </rPr>
      <t>)</t>
    </r>
    <r>
      <rPr>
        <vertAlign val="superscript"/>
        <sz val="14"/>
        <color rgb="FF000000"/>
        <rFont val="Calibri"/>
        <family val="2"/>
      </rPr>
      <t>1</t>
    </r>
  </si>
  <si>
    <r>
      <rPr>
        <sz val="14"/>
        <color rgb="FF808080"/>
        <rFont val="Calibri"/>
        <family val="2"/>
      </rPr>
      <t>in one dose carton: 115.3 cm</t>
    </r>
    <r>
      <rPr>
        <vertAlign val="superscript"/>
        <sz val="14"/>
        <color rgb="FF808080"/>
        <rFont val="Calibri"/>
        <family val="2"/>
      </rPr>
      <t>3</t>
    </r>
    <r>
      <rPr>
        <sz val="14"/>
        <color rgb="FF808080"/>
        <rFont val="Calibri"/>
        <family val="2"/>
      </rPr>
      <t xml:space="preserve">
in 10 dose carton: 43.3 cm</t>
    </r>
    <r>
      <rPr>
        <vertAlign val="superscript"/>
        <sz val="14"/>
        <color rgb="FF808080"/>
        <rFont val="Calibri"/>
        <family val="2"/>
      </rPr>
      <t>3</t>
    </r>
    <r>
      <rPr>
        <sz val="14"/>
        <color rgb="FF000000"/>
        <rFont val="Calibri"/>
        <family val="2"/>
      </rPr>
      <t xml:space="preserve">
in 50 dose carton: 17.12 cm</t>
    </r>
    <r>
      <rPr>
        <vertAlign val="superscript"/>
        <sz val="14"/>
        <color rgb="FF000000"/>
        <rFont val="Calibri"/>
        <family val="2"/>
      </rPr>
      <t>3*</t>
    </r>
  </si>
  <si>
    <r>
      <t>in 50 dose carton: 11.8 cm</t>
    </r>
    <r>
      <rPr>
        <sz val="14"/>
        <color rgb="FF000000"/>
        <rFont val="Calibri"/>
        <family val="2"/>
      </rPr>
      <t>³</t>
    </r>
  </si>
  <si>
    <r>
      <rPr>
        <sz val="14"/>
        <color rgb="FF808080"/>
        <rFont val="Calibri"/>
        <family val="2"/>
      </rPr>
      <t xml:space="preserve">
</t>
    </r>
    <r>
      <rPr>
        <sz val="14"/>
        <color rgb="FF000000"/>
        <rFont val="Calibri"/>
        <family val="2"/>
      </rPr>
      <t xml:space="preserve">4.2 cm³
</t>
    </r>
  </si>
  <si>
    <t xml:space="preserve"> 3.2 cm³</t>
  </si>
  <si>
    <t>16 cm³</t>
  </si>
  <si>
    <t>17.6 cm³ [the diluent can be stored at ambient temperature; if the diluent is also stored in the cold chain volume per dose is 35.2 cm³]</t>
  </si>
  <si>
    <t>10.5 cm³ [the diluent can be stored at ambient temperature; if the diluent is also stored in the cold chain volume per dose is 21.1 cm³]</t>
  </si>
  <si>
    <r>
      <t>19.827cm</t>
    </r>
    <r>
      <rPr>
        <sz val="14"/>
        <color rgb="FF000000"/>
        <rFont val="Calibri"/>
        <family val="2"/>
      </rPr>
      <t>³</t>
    </r>
  </si>
  <si>
    <r>
      <t>in one dose carton 134 cm</t>
    </r>
    <r>
      <rPr>
        <vertAlign val="superscript"/>
        <sz val="14"/>
        <color rgb="FF000000"/>
        <rFont val="Calibri"/>
        <family val="2"/>
      </rPr>
      <t>3</t>
    </r>
    <r>
      <rPr>
        <sz val="14"/>
        <color rgb="FF000000"/>
        <rFont val="Calibri"/>
        <family val="2"/>
      </rPr>
      <t xml:space="preserve">
in ten dose carton 85.3 cm</t>
    </r>
    <r>
      <rPr>
        <vertAlign val="superscript"/>
        <sz val="14"/>
        <color rgb="FF000000"/>
        <rFont val="Calibri"/>
        <family val="2"/>
      </rPr>
      <t>3</t>
    </r>
  </si>
  <si>
    <r>
      <rPr>
        <sz val="14"/>
        <color rgb="FF808080"/>
        <rFont val="Calibri"/>
        <family val="2"/>
      </rPr>
      <t>in carton of 10 doses : 75.3 cm</t>
    </r>
    <r>
      <rPr>
        <vertAlign val="superscript"/>
        <sz val="14"/>
        <color rgb="FF808080"/>
        <rFont val="Calibri"/>
        <family val="2"/>
      </rPr>
      <t>3</t>
    </r>
    <r>
      <rPr>
        <sz val="14"/>
        <color rgb="FF000000"/>
        <rFont val="Calibri"/>
        <family val="2"/>
      </rPr>
      <t xml:space="preserve">
in carton of 25 doses : 46.3 cm</t>
    </r>
    <r>
      <rPr>
        <vertAlign val="superscript"/>
        <sz val="14"/>
        <color rgb="FF000000"/>
        <rFont val="Calibri"/>
        <family val="2"/>
      </rPr>
      <t>3*</t>
    </r>
  </si>
  <si>
    <r>
      <t>Cold chain volume per fully immunised person  (cm³)</t>
    </r>
    <r>
      <rPr>
        <sz val="14"/>
        <color rgb="FF000000"/>
        <rFont val="Calibri"/>
        <family val="2"/>
      </rPr>
      <t xml:space="preserve">¹ </t>
    </r>
  </si>
  <si>
    <t>In cartons of 50 doses: 34.2 cm³</t>
  </si>
  <si>
    <t>In cartons of 50 doses: 23.6 cm³</t>
  </si>
  <si>
    <r>
      <rPr>
        <sz val="14"/>
        <color rgb="FF808080"/>
        <rFont val="Calibri"/>
        <family val="2"/>
      </rPr>
      <t xml:space="preserve">
</t>
    </r>
    <r>
      <rPr>
        <sz val="14"/>
        <color rgb="FF000000"/>
        <rFont val="Calibri"/>
        <family val="2"/>
      </rPr>
      <t xml:space="preserve">12.6 cm³
</t>
    </r>
  </si>
  <si>
    <t>9.6 cm³</t>
  </si>
  <si>
    <t>48 cm³</t>
  </si>
  <si>
    <t>52.7 cm³ [the diluent can be stored at ambient temperature; if the diluent is also stored in the cold chain volume per dose is 105.5 cm³]</t>
  </si>
  <si>
    <t xml:space="preserve"> 31.6 cm³ [the diluent can be stored at ambient temperature; if the diluent is also stored in the cold chain volume per dose is 63.3 cm³]</t>
  </si>
  <si>
    <r>
      <t>59.481cm</t>
    </r>
    <r>
      <rPr>
        <sz val="14"/>
        <color rgb="FF000000"/>
        <rFont val="Calibri"/>
        <family val="2"/>
      </rPr>
      <t>³</t>
    </r>
  </si>
  <si>
    <r>
      <t>Cold chain volume per course  (cm³)</t>
    </r>
    <r>
      <rPr>
        <sz val="14"/>
        <color rgb="FF000000"/>
        <rFont val="Calibri"/>
        <family val="2"/>
      </rPr>
      <t xml:space="preserve">¹ </t>
    </r>
  </si>
  <si>
    <r>
      <t>in one dose carton 268 cm</t>
    </r>
    <r>
      <rPr>
        <vertAlign val="superscript"/>
        <sz val="14"/>
        <color rgb="FF000000"/>
        <rFont val="Calibri"/>
        <family val="2"/>
      </rPr>
      <t>3</t>
    </r>
    <r>
      <rPr>
        <sz val="14"/>
        <color rgb="FF000000"/>
        <rFont val="Calibri"/>
        <family val="2"/>
      </rPr>
      <t xml:space="preserve">
in ten dose carton 170.6 cm</t>
    </r>
    <r>
      <rPr>
        <vertAlign val="superscript"/>
        <sz val="14"/>
        <color rgb="FF000000"/>
        <rFont val="Calibri"/>
        <family val="2"/>
      </rPr>
      <t>3</t>
    </r>
  </si>
  <si>
    <t>In cartons of 25 doses: 138.9 cm³</t>
  </si>
  <si>
    <r>
      <t xml:space="preserve">Wastage adjusted cold chain volume per fully immunised person  (cm³)¹ </t>
    </r>
    <r>
      <rPr>
        <sz val="14"/>
        <color rgb="FF000000"/>
        <rFont val="Calibri"/>
        <family val="2"/>
      </rPr>
      <t>⁵</t>
    </r>
    <r>
      <rPr>
        <sz val="14"/>
        <color rgb="FF000000"/>
        <rFont val="Calibri"/>
        <family val="2"/>
      </rPr>
      <t xml:space="preserve"> </t>
    </r>
  </si>
  <si>
    <t>36.0 cm³</t>
  </si>
  <si>
    <t>24.8 cm³</t>
  </si>
  <si>
    <r>
      <rPr>
        <sz val="14"/>
        <color rgb="FF808080"/>
        <rFont val="Calibri"/>
        <family val="2"/>
      </rPr>
      <t xml:space="preserve">
</t>
    </r>
    <r>
      <rPr>
        <sz val="14"/>
        <color rgb="FF000000"/>
        <rFont val="Calibri"/>
        <family val="2"/>
      </rPr>
      <t xml:space="preserve">18 cm³
</t>
    </r>
  </si>
  <si>
    <t xml:space="preserve"> 19.2 cm³</t>
  </si>
  <si>
    <t>50.5 cm³</t>
  </si>
  <si>
    <t>14 cm³</t>
  </si>
  <si>
    <t>55.5 cm³ [the diluent can be stored at ambient temperature; if the diluent is also stored in the cold chain volume per dose is 111.0 cm³]</t>
  </si>
  <si>
    <t xml:space="preserve"> 35.2 cm³ [the diluent can be stored at ambient temperature; if the diluent is also stored in the cold chain volume per dose is 70.3 cm³]</t>
  </si>
  <si>
    <r>
      <t>62.61cm</t>
    </r>
    <r>
      <rPr>
        <sz val="14"/>
        <color rgb="FF000000"/>
        <rFont val="Calibri"/>
        <family val="2"/>
      </rPr>
      <t>³</t>
    </r>
  </si>
  <si>
    <t xml:space="preserve">Wastage adjusted cold chain volume per course  (cm³)¹ </t>
  </si>
  <si>
    <t>146.2 cm³</t>
  </si>
  <si>
    <r>
      <t>Vaccine vial monitor type</t>
    </r>
    <r>
      <rPr>
        <vertAlign val="superscript"/>
        <sz val="14"/>
        <color rgb="FF000000"/>
        <rFont val="Calibri"/>
        <family val="2"/>
      </rPr>
      <t>1</t>
    </r>
  </si>
  <si>
    <t>Type 7</t>
  </si>
  <si>
    <t>Type 2</t>
  </si>
  <si>
    <t>Type 30</t>
  </si>
  <si>
    <t>Type 14</t>
  </si>
  <si>
    <t xml:space="preserve">None </t>
  </si>
  <si>
    <r>
      <t>Handling open vials</t>
    </r>
    <r>
      <rPr>
        <vertAlign val="superscript"/>
        <sz val="14"/>
        <color rgb="FF000000"/>
        <rFont val="Calibri"/>
        <family val="2"/>
      </rPr>
      <t>1</t>
    </r>
  </si>
  <si>
    <t>WHO recommends that opened vials of this vaccine should be discarded 6 hours after opening or at the end of the immunization session, whichever comes first</t>
  </si>
  <si>
    <t>WHO recommends that opened vials of this vaccine should be discarded 6 hours after opening or at the end of the immunization session, whichever comes first.</t>
  </si>
  <si>
    <t>Opened vials of this vaccine should be discarded 6 hours after opening or at the end of the immunization session, whichever comes first.</t>
  </si>
  <si>
    <t>Controlled Temperature Chain (CTC)¹</t>
  </si>
  <si>
    <r>
      <t>WHO PQ link</t>
    </r>
    <r>
      <rPr>
        <vertAlign val="superscript"/>
        <sz val="14"/>
        <color rgb="FF000000"/>
        <rFont val="Calibri"/>
        <family val="2"/>
      </rPr>
      <t>1</t>
    </r>
  </si>
  <si>
    <t>https://extranet.who.int/gavi/PQ_Web/PreviewVaccine.aspx?nav=0&amp;ID=62</t>
  </si>
  <si>
    <t>https://extranet.who.int/gavi/PQ_Web/PreviewVaccine.aspx?nav=0&amp;ID=363</t>
  </si>
  <si>
    <t>https://extranet.who.int/gavi/PQ_Web/PreviewVaccine.aspx?nav=0&amp;ID=314</t>
  </si>
  <si>
    <t>https://extranet.who.int/gavi/PQ_Web/PreviewVaccine.aspx?nav=0&amp;ID=343</t>
  </si>
  <si>
    <t>https://extranet.who.int/gavi/PQ_Web/PreviewVaccine.aspx?nav=0&amp;ID=323</t>
  </si>
  <si>
    <t>https://extranet.who.int/gavi/PQ_Web/PreviewVaccine.aspx?nav=0&amp;ID=355</t>
  </si>
  <si>
    <t>https://extranet.who.int/gavi/PQ_Web/PreviewVaccine.aspx?nav=0&amp;ID=173</t>
  </si>
  <si>
    <t>https://extranet.who.int/gavi/PQ_Web/PreviewVaccine.aspx?nav=0&amp;ID=166</t>
  </si>
  <si>
    <r>
      <t>Remarks WHO</t>
    </r>
    <r>
      <rPr>
        <vertAlign val="superscript"/>
        <sz val="14"/>
        <color rgb="FF000000"/>
        <rFont val="Calibri"/>
        <family val="2"/>
      </rPr>
      <t>1</t>
    </r>
  </si>
  <si>
    <t>Stability data indicates that vaccine can be stored at 2-8°C until discard point of VVM2. (at 5°C, the VVM2 discard point is 225 days). For the delivery to PAHO, without VVM, a maximum storage of 6 months at 2-8°C</t>
  </si>
  <si>
    <t xml:space="preserve">Stability data indicates that vaccine can be stored at 2-8°C until discard point of VVM2. (at 5°C, the VVM2 discard point is 225 days). For the delivery to PAHO, without VVM, a maximum storage of 6 months at 2-8°C </t>
  </si>
  <si>
    <t>Notes</t>
  </si>
  <si>
    <t>ROTAVAC® can be subjected to 6 freeze- thaw cycles</t>
  </si>
  <si>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</si>
  <si>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r>
      <rPr>
        <sz val="14"/>
        <color rgb="FF000000"/>
        <rFont val="Calibri"/>
        <family val="2"/>
      </rPr>
      <t xml:space="preserve"> For dosage administration purpose of 2 dose presentation, the number of syringes (Applicators) supply will be 2400 in a shipment of 1200 vials.</t>
    </r>
  </si>
  <si>
    <t>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t>
  </si>
  <si>
    <t>2 Source: UNICEF PRODUCT MENU FOR VACCINES SUPPLIED BY UNICEF FOR GAVI, THE VACCINE ALLIANCE (https://www.unicef.org/supply/files/Product_Menu_08_January_2018.pdf)</t>
  </si>
  <si>
    <t>3 Source: WHO position paper: http://www.who.int/immunization/documents/positionpapers/en/</t>
  </si>
  <si>
    <t xml:space="preserve">4 Source: Gavi Secretariat, see definitions tab for details </t>
  </si>
  <si>
    <t>5 Source: Review of WHO indicative vaccine wastage rate assumptions, 2017</t>
  </si>
  <si>
    <t>6 For products priced in EURO, the actual price to countries will be in US$ based on the UN exchange rate US$/EURO on the date of payment of supplier's invoice</t>
  </si>
  <si>
    <t>7 The price of this presentation is an indicative estimation for budgeting purposes. It will be updated once a public information is available.</t>
  </si>
  <si>
    <t>8 The price of this presentation is indicative, based on a public announcement by the manufacturer regarding the price of the lyophilized version of the same product. It is provided for budgeting purposes and it will be updated once a public information is available.</t>
  </si>
  <si>
    <t>9 Supply of this presentation will be available starting September 2019</t>
  </si>
  <si>
    <t>* This secondary packaging is procured for Gavi countries by UNICEF. For this presentation, the secondary packaging without an asterisk in grey font is not procured on behalf of Gavi.</t>
  </si>
  <si>
    <t>Disclaimer</t>
  </si>
  <si>
    <t>Latest info on maternal vaccine from Gavi (6 May 2026)</t>
  </si>
  <si>
    <t>Doses per vial</t>
  </si>
  <si>
    <t>3 doses/2ml vial (expected for the multi-dose vial)</t>
  </si>
  <si>
    <t>Cold chain volume per dose</t>
  </si>
  <si>
    <t>smallest cold chain per dose (2 separtate 25-packs):</t>
  </si>
  <si>
    <t>86X86X41 MM</t>
  </si>
  <si>
    <t>Transition préparatoire</t>
  </si>
  <si>
    <t>Transition accélérée</t>
  </si>
  <si>
    <t>Introduction or Switch</t>
  </si>
  <si>
    <t>nouvelle introduction</t>
  </si>
  <si>
    <t>changement de produit</t>
  </si>
  <si>
    <t>Gavi guidance on introductory price fraction for AT</t>
  </si>
  <si>
    <t>Accelerated transition</t>
  </si>
  <si>
    <t>Application year</t>
  </si>
  <si>
    <t>Introductory price fraction</t>
  </si>
  <si>
    <t>As applied to other vaccines</t>
  </si>
  <si>
    <t>7 and 8</t>
  </si>
  <si>
    <t>Fully Self finanicng</t>
  </si>
  <si>
    <t>Y1</t>
  </si>
  <si>
    <t>Y2</t>
  </si>
  <si>
    <t>Y3</t>
  </si>
  <si>
    <t>Y4</t>
  </si>
  <si>
    <t>Y5</t>
  </si>
  <si>
    <t>Y6</t>
  </si>
  <si>
    <t>Y7</t>
  </si>
  <si>
    <t>Y8</t>
  </si>
  <si>
    <t>Y9</t>
  </si>
  <si>
    <t xml:space="preserve">► Sélectionnez le scénario et la ou les population(s) cible(s) à l’aide du menu déroulant. </t>
  </si>
  <si>
    <t>► Saisissez les données relatives à l’année de référence (début) que vous souhaitez étudier, en gardant à l’esprit qu’il s’agira de la première année de la période couverte par le programme, à savoir 5 ans.</t>
  </si>
  <si>
    <t xml:space="preserve">► Entrez la taille de la population cible pour la ou les méthode(s) d’intervention sélectionnée(s). Si seul le scénario A [vaccin maternel] est sélectionné, remplissez uniquement la colonne E. Si seul le scénario B [mAb] est sélectionné, remplissez uniquement la colonne H. Si le scénario C [vaccin maternel et mAb] est sélectionné, remplissez uniquement la colonne K. Pour le scénario C, seuls les nourrissons dont la mère n’a pas été vaccinée devraient être éligibles aux mAb ; la colonne L sera calculée automatiquement. </t>
  </si>
  <si>
    <t>► Entrez le ou les taux de croissance annuelle de la population attendue sur la période d’analyse.</t>
  </si>
  <si>
    <t xml:space="preserve">► Entrez la couverture d’intervention prévue pour chaque année. Pour obtenir une couverture vaccinale maternelle approximative, utilisez les taux de la couverture du vaccin diphtérie-tétanos (DT) ou des soins néonatals (ANC) 4. Pour obtenir la couverture des mAb approximative, utilisez les taux d’un autre antigène administré à la naissance, comme l’hépatite B ou le bacille de Calmette-Guérin (BCG). Vous pouvez également utiliser les objectifs d’estimation de la couverture ou les estimations de couverture attendues. Cela aura une incidence sur le nombre de doses nécessaires. </t>
  </si>
  <si>
    <t>Indiquez si vous prévoyez l'introduction d'un nouveau vaccin contre le VRS ou un changement de produit dans un programme de vaccination existant contre le VRS.</t>
  </si>
  <si>
    <t>Si vous avez sélectionné « Transition accélérée », indiquez l'année de cette phase correspondant au lancement du programme de vaccination contre le VRS ou au changement de produit. Cette valeur doit être comprise entre 1 et 8.
REMARQUE : Ce champ n'est pas pris en compte dans le calcul des résultats si vous avez sélectionné « Autofinancement initial » ou « Transition préparatoire » ci-dessus.</t>
  </si>
  <si>
    <t>► Indiquez si votre pays est actuellement éligible au financement de Gavi à l'aide du menu déroulant.
► Indiquez si votre pays se trouve actuellement dans la phase initiale d'autofinancement, la phase de transition préparatoire ou la phase de transition accélérée de Gavi.
► Si votre pays se trouve dans la phase initiale d'autofinancement de Gavi, les calculs de cofinancement seront effectués automatiquement et afficheront le montant du cofinancement par dose, conformément à la politique ELTRACO de Gavi.
► Si votre pays se trouve dans la phase de transition préparatoire ou accélérée, saisissez la part de cofinancement appliquée aux autres vaccins du portefeuille pour l'année d'introduction ou de changement de produit. Si vous ne connaissez pas la part de cofinancement de votre pays, veuillez contacter votre responsable pays principal (Senior Country Manager) chez Gavi pour obtenir cette information.
► Si votre pays se trouve dans la phase de transition accélérée, indiquez s'il prévoit l'introduction d'un nouveau vaccin ou un changement de produit pour un programme de vaccination existant. Ensuite, saisissez l'année au cours de laquelle votre pays se trouvera dans la phase de transition accélérée au moment du lancement du nouveau programme de vaccination ou du changement de produit.</t>
  </si>
  <si>
    <t>Si «Non» est sélectionné, 100 % des coûts du programme et du produit seront affectés au pays, et les lignes 65 à 69 ci-dessous seront automatiquement réglées sur 100 %.</t>
  </si>
  <si>
    <t>Si le pays n'est pas éligible au soutien de Gavi, sélectionnez « N/A ».
Pour les pays éligibles au soutien de Gavi, si vous avez sélectionné « Transition préparatoire » ou « Transition accélérée »,
veuillez indiquer ci-dessous la part de cofinancement du pays*.</t>
  </si>
  <si>
    <t>Prévoyez-vous l’introduction d’un nouveau vaccin contre le VRS ou un changement de produit ?</t>
  </si>
  <si>
    <t>Année d’introduction/de changement dans la phase de transition accélérée</t>
  </si>
  <si>
    <t>Fraction de prix appliquée aux autres vaccins du portefeuille pendant l’année d’introduction/de changement</t>
  </si>
  <si>
    <t>Version 0.5/Julliet 2026</t>
  </si>
  <si>
    <t>Prix ​​et volume indicatifs supposés</t>
  </si>
  <si>
    <r>
      <t xml:space="preserve">Indiquez le pourcentage du prix du vaccin par dose (ou la « fraction du prix ») appliqué aux autres vaccins du portefeuille au cours de l'année d'introduction ou de  changement.
Si vous ne connaissez pas la part de cofinancement de votre pays, veuillez contacter votre responsable pays principal (Senior Country Manager) chez Gavi.
</t>
    </r>
    <r>
      <rPr>
        <b/>
        <i/>
        <sz val="12"/>
        <rFont val="Arial"/>
        <family val="2"/>
      </rPr>
      <t>REMARQUE : Ce champ n'est pas pris en compte dans le calcul des résultats si vous avez sélectionné l'option « Autofinancement initial » ci-dessus.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</si>
</sst>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4" formatCode="_(&quot;$&quot;* #,##0.00_);_(&quot;$&quot;* \(#,##0.00\);_(&quot;$&quot;* &quot;-&quot;??_);_(@_)"/>
    <numFmt numFmtId="43" formatCode="_(* #,##0.00_);_(* \(#,##0.00\);_(* &quot;-&quot;??_);_(@_)"/>
    <numFmt numFmtId="164" formatCode="&quot;$&quot;#,##0.00"/>
    <numFmt numFmtId="165" formatCode="&quot;$&quot;#,##0"/>
    <numFmt numFmtId="166" formatCode="[$$-409]#,##0.00"/>
    <numFmt numFmtId="167" formatCode="[$$-409]#,##0.00_ ;\-[$$-409]#,##0.00\ "/>
    <numFmt numFmtId="168" formatCode="0.0%"/>
    <numFmt numFmtId="169" formatCode="_(* #,##0_);_(* \(#,##0\);_(* &quot;-&quot;??_);_(@_)"/>
    <numFmt numFmtId="170" formatCode="#,##0.00&quot; $&quot;"/>
    <numFmt numFmtId="171" formatCode="#,##0&quot; $&quot;"/>
  </numFmts>
  <fonts count="142">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20"/>
      <color theme="1"/>
      <name val="Calibri"/>
      <family val="2"/>
      <scheme val="minor"/>
    </font>
    <font>
      <b/>
      <sz val="24"/>
      <color rgb="FF00B050"/>
      <name val="Calibri"/>
      <family val="2"/>
    </font>
    <font>
      <b/>
      <sz val="24"/>
      <color rgb="FFFF0000"/>
      <name val="Calibri"/>
      <family val="2"/>
    </font>
    <font>
      <sz val="11"/>
      <color theme="1"/>
      <name val="Calibri"/>
      <family val="2"/>
    </font>
    <font>
      <sz val="14"/>
      <color rgb="FF000000"/>
      <name val="Calibri"/>
      <family val="2"/>
    </font>
    <font>
      <vertAlign val="superscript"/>
      <sz val="14"/>
      <color rgb="FF000000"/>
      <name val="Calibri"/>
      <family val="2"/>
    </font>
    <font>
      <sz val="14"/>
      <name val="Calibri"/>
      <family val="2"/>
    </font>
    <font>
      <b/>
      <sz val="14"/>
      <color rgb="FF000000"/>
      <name val="Calibri"/>
      <family val="2"/>
    </font>
    <font>
      <b/>
      <vertAlign val="superscript"/>
      <sz val="14"/>
      <color rgb="FF000000"/>
      <name val="Calibri"/>
      <family val="2"/>
    </font>
    <font>
      <sz val="14"/>
      <color rgb="FF808080"/>
      <name val="Calibri"/>
      <family val="2"/>
    </font>
    <font>
      <vertAlign val="superscript"/>
      <sz val="14"/>
      <color rgb="FF808080"/>
      <name val="Calibri"/>
      <family val="2"/>
    </font>
    <font>
      <u/>
      <sz val="11"/>
      <color rgb="FF0000FF"/>
      <name val="Calibri"/>
      <family val="2"/>
      <scheme val="minor"/>
    </font>
    <font>
      <u/>
      <sz val="11"/>
      <color rgb="FF0000FF"/>
      <name val="Calibri"/>
      <family val="2"/>
    </font>
    <font>
      <b/>
      <sz val="12"/>
      <color rgb="FF000000"/>
      <name val="Tahoma"/>
      <family val="2"/>
    </font>
    <font>
      <sz val="12"/>
      <color rgb="FF000000"/>
      <name val="Tahoma"/>
      <family val="2"/>
    </font>
    <font>
      <i/>
      <sz val="11"/>
      <color theme="1"/>
      <name val="Calibri"/>
      <family val="2"/>
      <scheme val="minor"/>
    </font>
    <font>
      <b/>
      <sz val="18"/>
      <color theme="1"/>
      <name val="Calibri"/>
      <family val="2"/>
      <scheme val="minor"/>
    </font>
    <font>
      <sz val="12"/>
      <color theme="1"/>
      <name val="Calibri"/>
      <family val="2"/>
      <scheme val="minor"/>
    </font>
    <font>
      <b/>
      <sz val="12"/>
      <color rgb="FFFF0000"/>
      <name val="Calibri"/>
      <family val="2"/>
      <scheme val="minor"/>
    </font>
    <font>
      <b/>
      <sz val="14"/>
      <color rgb="FFFF0000"/>
      <name val="Calibri"/>
      <family val="2"/>
      <scheme val="minor"/>
    </font>
    <font>
      <b/>
      <sz val="12"/>
      <color theme="1"/>
      <name val="Calibri"/>
      <family val="2"/>
      <scheme val="minor"/>
    </font>
    <font>
      <b/>
      <sz val="12"/>
      <name val="Calibri"/>
      <family val="2"/>
      <scheme val="minor"/>
    </font>
    <font>
      <b/>
      <sz val="14"/>
      <name val="Calibri"/>
      <family val="2"/>
      <scheme val="minor"/>
    </font>
    <font>
      <i/>
      <sz val="11"/>
      <name val="Calibri"/>
      <family val="2"/>
      <scheme val="minor"/>
    </font>
    <font>
      <b/>
      <sz val="16"/>
      <color theme="1"/>
      <name val="Calibri"/>
      <family val="2"/>
      <scheme val="minor"/>
    </font>
    <font>
      <b/>
      <sz val="16"/>
      <color rgb="FFFF0000"/>
      <name val="Calibri"/>
      <family val="2"/>
      <scheme val="minor"/>
    </font>
    <font>
      <i/>
      <sz val="12"/>
      <color theme="1"/>
      <name val="Calibri"/>
      <family val="2"/>
      <scheme val="minor"/>
    </font>
    <font>
      <sz val="12"/>
      <name val="Calibri"/>
      <family val="2"/>
      <scheme val="minor"/>
    </font>
    <font>
      <i/>
      <sz val="12"/>
      <name val="Calibri"/>
      <family val="2"/>
      <scheme val="minor"/>
    </font>
    <font>
      <i/>
      <sz val="14"/>
      <name val="Calibri"/>
      <family val="2"/>
      <scheme val="minor"/>
    </font>
    <font>
      <sz val="10"/>
      <color theme="1"/>
      <name val="Calibri"/>
      <family val="2"/>
      <scheme val="minor"/>
    </font>
    <font>
      <b/>
      <vertAlign val="superscript"/>
      <sz val="12"/>
      <color theme="1"/>
      <name val="Calibri"/>
      <family val="2"/>
      <scheme val="minor"/>
    </font>
    <font>
      <sz val="11"/>
      <color rgb="FFFF0000"/>
      <name val="Calibri"/>
      <family val="2"/>
      <scheme val="minor"/>
    </font>
    <font>
      <b/>
      <i/>
      <sz val="12"/>
      <color theme="1"/>
      <name val="Calibri"/>
      <family val="2"/>
      <scheme val="minor"/>
    </font>
    <font>
      <sz val="9"/>
      <color theme="1"/>
      <name val="Calibri"/>
      <family val="2"/>
      <scheme val="minor"/>
    </font>
    <font>
      <b/>
      <sz val="14"/>
      <color rgb="FFFF0000"/>
      <name val="Calibri"/>
      <family val="2"/>
      <charset val="2"/>
      <scheme val="minor"/>
    </font>
    <font>
      <b/>
      <sz val="14"/>
      <color rgb="FFFF0000"/>
      <name val="Wingdings"/>
      <charset val="2"/>
    </font>
    <font>
      <sz val="8"/>
      <name val="Calibri"/>
      <family val="2"/>
      <scheme val="minor"/>
    </font>
    <font>
      <i/>
      <sz val="12"/>
      <color theme="8"/>
      <name val="Calibri"/>
      <family val="2"/>
      <scheme val="minor"/>
    </font>
    <font>
      <sz val="11"/>
      <color theme="5"/>
      <name val="Calibri"/>
      <family val="2"/>
      <scheme val="minor"/>
    </font>
    <font>
      <sz val="12"/>
      <color theme="5"/>
      <name val="Calibri"/>
      <family val="2"/>
      <scheme val="minor"/>
    </font>
    <font>
      <i/>
      <sz val="12"/>
      <color rgb="FFFF0000"/>
      <name val="Calibri"/>
      <family val="2"/>
      <scheme val="minor"/>
    </font>
    <font>
      <i/>
      <sz val="9"/>
      <color theme="1"/>
      <name val="Calibri"/>
      <family val="2"/>
      <scheme val="minor"/>
    </font>
    <font>
      <i/>
      <sz val="11"/>
      <color rgb="FFFF0000"/>
      <name val="Calibri"/>
      <family val="2"/>
      <scheme val="minor"/>
    </font>
    <font>
      <b/>
      <sz val="20"/>
      <color rgb="FFFF0000"/>
      <name val="Calibri"/>
      <family val="2"/>
      <scheme val="minor"/>
    </font>
    <font>
      <sz val="8"/>
      <color theme="1"/>
      <name val="Calibri"/>
      <family val="2"/>
      <scheme val="minor"/>
    </font>
    <font>
      <i/>
      <sz val="8"/>
      <color theme="1"/>
      <name val="Calibri"/>
      <family val="2"/>
      <scheme val="minor"/>
    </font>
    <font>
      <b/>
      <sz val="14"/>
      <color rgb="FF0070C0"/>
      <name val="Calibri"/>
      <family val="2"/>
      <scheme val="minor"/>
    </font>
    <font>
      <b/>
      <sz val="11"/>
      <color theme="1"/>
      <name val="Arial"/>
      <family val="2"/>
    </font>
    <font>
      <sz val="12"/>
      <color theme="1"/>
      <name val="Arial"/>
      <family val="2"/>
    </font>
    <font>
      <b/>
      <sz val="12"/>
      <color rgb="FF000000"/>
      <name val="Arial"/>
      <family val="2"/>
    </font>
    <font>
      <sz val="12"/>
      <color rgb="FF000000"/>
      <name val="Arial"/>
      <family val="2"/>
    </font>
    <font>
      <u/>
      <sz val="12"/>
      <color rgb="FF000000"/>
      <name val="Arial"/>
      <family val="2"/>
    </font>
    <font>
      <b/>
      <sz val="12"/>
      <color theme="1"/>
      <name val="Arial"/>
      <family val="2"/>
    </font>
    <font>
      <b/>
      <sz val="12"/>
      <color rgb="FFFF0000"/>
      <name val="Arial"/>
      <family val="2"/>
    </font>
    <font>
      <b/>
      <u/>
      <sz val="12"/>
      <color theme="1"/>
      <name val="Arial"/>
      <family val="2"/>
    </font>
    <font>
      <u/>
      <sz val="12"/>
      <color rgb="FF0000FF"/>
      <name val="Arial"/>
      <family val="2"/>
    </font>
    <font>
      <sz val="12"/>
      <color rgb="FF0070C0"/>
      <name val="Arial"/>
      <family val="2"/>
    </font>
    <font>
      <b/>
      <sz val="16"/>
      <color theme="1"/>
      <name val="Arial"/>
      <family val="2"/>
    </font>
    <font>
      <b/>
      <sz val="22"/>
      <color theme="0"/>
      <name val="Arial"/>
      <family val="2"/>
    </font>
    <font>
      <sz val="14"/>
      <color theme="1" tint="-0.499984740745262"/>
      <name val="Arial"/>
      <family val="2"/>
    </font>
    <font>
      <b/>
      <sz val="14"/>
      <color theme="1" tint="-0.499984740745262"/>
      <name val="Arial"/>
      <family val="2"/>
    </font>
    <font>
      <sz val="12"/>
      <color theme="1" tint="-0.499984740745262"/>
      <name val="Arial"/>
      <family val="2"/>
    </font>
    <font>
      <b/>
      <i/>
      <sz val="12"/>
      <color theme="1" tint="-0.499984740745262"/>
      <name val="Arial"/>
      <family val="2"/>
    </font>
    <font>
      <i/>
      <sz val="12"/>
      <color theme="1" tint="-0.499984740745262"/>
      <name val="Arial"/>
      <family val="2"/>
    </font>
    <font>
      <sz val="16"/>
      <color theme="0"/>
      <name val="Arial"/>
      <family val="2"/>
    </font>
    <font>
      <b/>
      <sz val="16"/>
      <color theme="0"/>
      <name val="Arial"/>
      <family val="2"/>
    </font>
    <font>
      <b/>
      <sz val="30"/>
      <color rgb="FF000000"/>
      <name val="Arial"/>
      <family val="2"/>
    </font>
    <font>
      <i/>
      <u/>
      <sz val="12"/>
      <color theme="1" tint="-0.499984740745262"/>
      <name val="Arial"/>
      <family val="2"/>
    </font>
    <font>
      <b/>
      <sz val="12"/>
      <color theme="4"/>
      <name val="Arial"/>
      <family val="2"/>
    </font>
    <font>
      <b/>
      <i/>
      <u/>
      <sz val="12"/>
      <color theme="1" tint="-0.499984740745262"/>
      <name val="Arial"/>
      <family val="2"/>
    </font>
    <font>
      <i/>
      <sz val="11"/>
      <color theme="4" tint="-0.249977111117893"/>
      <name val="Arial"/>
      <family val="2"/>
    </font>
    <font>
      <sz val="12"/>
      <color theme="1" tint="-0.249977111117893"/>
      <name val="Arial"/>
      <family val="2"/>
    </font>
    <font>
      <u/>
      <sz val="12"/>
      <color theme="1" tint="-0.499984740745262"/>
      <name val="Arial"/>
      <family val="2"/>
    </font>
    <font>
      <vertAlign val="superscript"/>
      <sz val="12"/>
      <color theme="1" tint="-0.499984740745262"/>
      <name val="Arial"/>
      <family val="2"/>
    </font>
    <font>
      <b/>
      <sz val="30"/>
      <color theme="1"/>
      <name val="Arial"/>
      <family val="2"/>
    </font>
    <font>
      <sz val="24"/>
      <color theme="1" tint="-0.499984740745262"/>
      <name val="Arial"/>
      <family val="2"/>
    </font>
    <font>
      <b/>
      <sz val="12"/>
      <name val="Arial"/>
      <family val="2"/>
    </font>
    <font>
      <b/>
      <i/>
      <u/>
      <sz val="12"/>
      <color theme="1"/>
      <name val="Arial"/>
      <family val="2"/>
    </font>
    <font>
      <b/>
      <sz val="14"/>
      <color theme="1"/>
      <name val="Arial"/>
      <family val="2"/>
    </font>
    <font>
      <i/>
      <sz val="12"/>
      <color theme="1"/>
      <name val="Arial"/>
      <family val="2"/>
    </font>
    <font>
      <sz val="12"/>
      <name val="Arial"/>
      <family val="2"/>
    </font>
    <font>
      <i/>
      <sz val="12"/>
      <name val="Arial"/>
      <family val="2"/>
    </font>
    <font>
      <i/>
      <sz val="12"/>
      <color rgb="FFFF0000"/>
      <name val="Arial"/>
      <family val="2"/>
    </font>
    <font>
      <sz val="12"/>
      <color theme="5"/>
      <name val="Arial"/>
      <family val="2"/>
    </font>
    <font>
      <b/>
      <i/>
      <sz val="12"/>
      <color theme="1"/>
      <name val="Arial"/>
      <family val="2"/>
    </font>
    <font>
      <b/>
      <vertAlign val="superscript"/>
      <sz val="12"/>
      <color theme="1"/>
      <name val="Arial"/>
      <family val="2"/>
    </font>
    <font>
      <sz val="12"/>
      <color rgb="FFFF0000"/>
      <name val="Arial"/>
      <family val="2"/>
    </font>
    <font>
      <b/>
      <sz val="12"/>
      <color theme="4" tint="-0.249977111117893"/>
      <name val="Arial"/>
      <family val="2"/>
    </font>
    <font>
      <b/>
      <sz val="12"/>
      <color theme="0"/>
      <name val="Arial"/>
      <family val="2"/>
    </font>
    <font>
      <b/>
      <sz val="24"/>
      <color theme="0"/>
      <name val="Arial"/>
      <family val="2"/>
    </font>
    <font>
      <b/>
      <sz val="16"/>
      <color theme="0"/>
      <name val="Arial"/>
      <family val="2"/>
      <charset val="2"/>
    </font>
    <font>
      <b/>
      <sz val="16"/>
      <color theme="0"/>
      <name val="Wingdings"/>
      <charset val="2"/>
    </font>
    <font>
      <b/>
      <sz val="20"/>
      <color theme="0"/>
      <name val="Arial"/>
      <family val="2"/>
    </font>
    <font>
      <sz val="14"/>
      <color theme="1"/>
      <name val="Arial"/>
      <family val="2"/>
    </font>
    <font>
      <b/>
      <sz val="14"/>
      <color theme="4"/>
      <name val="Arial"/>
      <family val="2"/>
    </font>
    <font>
      <i/>
      <sz val="14"/>
      <color theme="1"/>
      <name val="Arial"/>
      <family val="2"/>
    </font>
    <font>
      <i/>
      <sz val="12"/>
      <color theme="4" tint="-0.249977111117893"/>
      <name val="Arial"/>
      <family val="2"/>
    </font>
    <font>
      <sz val="12"/>
      <color theme="4" tint="-0.249977111117893"/>
      <name val="Arial"/>
      <family val="2"/>
    </font>
    <font>
      <sz val="12"/>
      <color theme="0"/>
      <name val="Arial"/>
      <family val="2"/>
    </font>
    <font>
      <sz val="12"/>
      <color rgb="FF00B0F0"/>
      <name val="Arial"/>
      <family val="2"/>
    </font>
    <font>
      <sz val="12"/>
      <color rgb="FFE8ECEB"/>
      <name val="Arial"/>
      <family val="2"/>
    </font>
    <font>
      <sz val="11"/>
      <color theme="1"/>
      <name val="Arial"/>
      <family val="2"/>
    </font>
    <font>
      <sz val="10"/>
      <color theme="1"/>
      <name val="Arial"/>
      <family val="2"/>
    </font>
    <font>
      <b/>
      <sz val="10"/>
      <color theme="1"/>
      <name val="Arial"/>
      <family val="2"/>
    </font>
    <font>
      <i/>
      <sz val="12"/>
      <color rgb="FF00B0F0"/>
      <name val="Arial"/>
      <family val="2"/>
    </font>
    <font>
      <b/>
      <i/>
      <sz val="12"/>
      <color rgb="FF00B0F0"/>
      <name val="Arial"/>
      <family val="2"/>
    </font>
    <font>
      <b/>
      <i/>
      <sz val="12"/>
      <color rgb="FFFF0000"/>
      <name val="Arial"/>
      <family val="2"/>
    </font>
    <font>
      <b/>
      <sz val="12"/>
      <color theme="8"/>
      <name val="Arial"/>
      <family val="2"/>
    </font>
    <font>
      <b/>
      <i/>
      <sz val="12"/>
      <color theme="8"/>
      <name val="Arial"/>
      <family val="2"/>
    </font>
    <font>
      <i/>
      <sz val="12"/>
      <color theme="8"/>
      <name val="Arial"/>
      <family val="2"/>
    </font>
    <font>
      <sz val="12"/>
      <color theme="8"/>
      <name val="Arial"/>
      <family val="2"/>
    </font>
    <font>
      <b/>
      <sz val="12"/>
      <color rgb="FF00B050"/>
      <name val="Arial"/>
      <family val="2"/>
    </font>
    <font>
      <b/>
      <i/>
      <sz val="12"/>
      <color rgb="FF00B050"/>
      <name val="Arial"/>
      <family val="2"/>
    </font>
    <font>
      <i/>
      <sz val="12"/>
      <color rgb="FF00B050"/>
      <name val="Arial"/>
      <family val="2"/>
    </font>
    <font>
      <sz val="12"/>
      <color rgb="FF00B050"/>
      <name val="Arial"/>
      <family val="2"/>
    </font>
    <font>
      <b/>
      <sz val="14"/>
      <color theme="0"/>
      <name val="Arial"/>
      <family val="2"/>
    </font>
    <font>
      <sz val="18"/>
      <color theme="0"/>
      <name val="Arial"/>
      <family val="2"/>
    </font>
    <font>
      <b/>
      <sz val="18"/>
      <color theme="0"/>
      <name val="Arial"/>
      <family val="2"/>
    </font>
    <font>
      <i/>
      <sz val="11"/>
      <color theme="3" tint="-0.499984740745262"/>
      <name val="Arial"/>
      <family val="2"/>
    </font>
    <font>
      <b/>
      <sz val="14"/>
      <color theme="8"/>
      <name val="Arial"/>
      <family val="2"/>
    </font>
    <font>
      <i/>
      <sz val="11"/>
      <color theme="7" tint="-0.499984740745262"/>
      <name val="Arial"/>
      <family val="2"/>
    </font>
    <font>
      <b/>
      <i/>
      <sz val="12"/>
      <color theme="9"/>
      <name val="Arial"/>
      <family val="2"/>
    </font>
    <font>
      <i/>
      <sz val="12"/>
      <color theme="0"/>
      <name val="Arial"/>
      <family val="2"/>
    </font>
    <font>
      <i/>
      <vertAlign val="superscript"/>
      <sz val="12"/>
      <color theme="0"/>
      <name val="Arial"/>
      <family val="2"/>
    </font>
    <font>
      <b/>
      <sz val="12"/>
      <color theme="3" tint="-0.499984740745262"/>
      <name val="Arial"/>
      <family val="2"/>
    </font>
    <font>
      <sz val="14"/>
      <color theme="0"/>
      <name val="Arial"/>
      <family val="2"/>
    </font>
    <font>
      <b/>
      <sz val="14"/>
      <color theme="4" tint="-0.249977111117893"/>
      <name val="Arial"/>
      <family val="2"/>
    </font>
    <font>
      <b/>
      <sz val="11"/>
      <color theme="0"/>
      <name val="Arial"/>
      <family val="2"/>
    </font>
    <font>
      <vertAlign val="superscript"/>
      <sz val="12"/>
      <color theme="1" tint="-0.249977111117893"/>
      <name val="Arial"/>
      <family val="2"/>
    </font>
    <font>
      <b/>
      <vertAlign val="superscript"/>
      <sz val="11"/>
      <color theme="1"/>
      <name val="Calibri"/>
      <family val="2"/>
      <scheme val="minor"/>
    </font>
    <font>
      <sz val="12"/>
      <color rgb="FF20242B"/>
      <name val="Arial"/>
      <family val="2"/>
    </font>
    <font>
      <b/>
      <sz val="12"/>
      <color rgb="FF20242B"/>
      <name val="Arial"/>
      <family val="2"/>
    </font>
    <font>
      <i/>
      <sz val="12"/>
      <color rgb="FF20242B"/>
      <name val="Arial"/>
      <family val="2"/>
    </font>
    <font>
      <i/>
      <sz val="9"/>
      <name val="Arial"/>
      <family val="2"/>
    </font>
    <font>
      <b/>
      <i/>
      <sz val="12"/>
      <name val="Arial"/>
      <family val="2"/>
    </font>
    <font>
      <b/>
      <sz val="11"/>
      <name val="Calibri"/>
      <family val="2"/>
      <scheme val="minor"/>
    </font>
    <font>
      <sz val="11"/>
      <name val="Calibri"/>
      <family val="2"/>
      <scheme val="minor"/>
    </font>
  </fonts>
  <fills count="29">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000000"/>
        <bgColor rgb="FF000000"/>
      </patternFill>
    </fill>
    <fill>
      <patternFill patternType="solid">
        <fgColor rgb="FFF2F2F2"/>
        <bgColor rgb="FF000000"/>
      </patternFill>
    </fill>
    <fill>
      <patternFill patternType="solid">
        <fgColor rgb="FFFFFF00"/>
        <bgColor rgb="FF000000"/>
      </patternFill>
    </fill>
    <fill>
      <patternFill patternType="solid">
        <fgColor theme="2"/>
        <bgColor indexed="64"/>
      </patternFill>
    </fill>
    <fill>
      <patternFill patternType="solid">
        <fgColor theme="7"/>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CC"/>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bgColor indexed="64"/>
      </patternFill>
    </fill>
    <fill>
      <patternFill patternType="solid">
        <fgColor theme="4" tint="-0.249977111117893"/>
        <bgColor indexed="64"/>
      </patternFill>
    </fill>
    <fill>
      <patternFill patternType="solid">
        <fgColor rgb="FFD4EBEC"/>
        <bgColor indexed="64"/>
      </patternFill>
    </fill>
    <fill>
      <patternFill patternType="solid">
        <fgColor rgb="FF64B7C0"/>
        <bgColor indexed="64"/>
      </patternFill>
    </fill>
    <fill>
      <patternFill patternType="solid">
        <fgColor rgb="FFD2F1DF"/>
        <bgColor indexed="64"/>
      </patternFill>
    </fill>
    <fill>
      <patternFill patternType="solid">
        <fgColor theme="1"/>
        <bgColor indexed="64"/>
      </patternFill>
    </fill>
    <fill>
      <patternFill patternType="solid">
        <fgColor rgb="FFE8ECEB"/>
        <bgColor indexed="64"/>
      </patternFill>
    </fill>
    <fill>
      <patternFill patternType="solid">
        <fgColor theme="9"/>
        <bgColor indexed="64"/>
      </patternFill>
    </fill>
    <fill>
      <patternFill patternType="solid">
        <fgColor rgb="FFE2E278"/>
        <bgColor indexed="64"/>
      </patternFill>
    </fill>
    <fill>
      <patternFill patternType="solid">
        <fgColor rgb="FF009BA8"/>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rgb="FFD7EDEF"/>
        <bgColor indexed="64"/>
      </patternFill>
    </fill>
  </fills>
  <borders count="1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rgb="FFD9D9D9"/>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rgb="FFD9D9D9"/>
      </top>
      <bottom style="thin">
        <color rgb="FFD9D9D9"/>
      </bottom>
      <diagonal/>
    </border>
    <border>
      <left style="thin">
        <color indexed="64"/>
      </left>
      <right/>
      <top style="thin">
        <color indexed="64"/>
      </top>
      <bottom style="thin">
        <color rgb="FFD9D9D9"/>
      </bottom>
      <diagonal/>
    </border>
    <border>
      <left/>
      <right style="thin">
        <color indexed="64"/>
      </right>
      <top style="thin">
        <color indexed="64"/>
      </top>
      <bottom style="thin">
        <color rgb="FFD9D9D9"/>
      </bottom>
      <diagonal/>
    </border>
    <border>
      <left/>
      <right/>
      <top style="thin">
        <color indexed="64"/>
      </top>
      <bottom style="thin">
        <color rgb="FFD9D9D9"/>
      </bottom>
      <diagonal/>
    </border>
    <border>
      <left style="thin">
        <color indexed="64"/>
      </left>
      <right/>
      <top style="thin">
        <color indexed="64"/>
      </top>
      <bottom style="thin">
        <color rgb="FFBFBFBF"/>
      </bottom>
      <diagonal/>
    </border>
    <border>
      <left/>
      <right/>
      <top style="thin">
        <color indexed="64"/>
      </top>
      <bottom style="thin">
        <color rgb="FFBFBFBF"/>
      </bottom>
      <diagonal/>
    </border>
    <border>
      <left/>
      <right style="thin">
        <color indexed="64"/>
      </right>
      <top style="thin">
        <color indexed="64"/>
      </top>
      <bottom style="thin">
        <color rgb="FFBFBFBF"/>
      </bottom>
      <diagonal/>
    </border>
    <border>
      <left style="medium">
        <color indexed="64"/>
      </left>
      <right style="medium">
        <color indexed="64"/>
      </right>
      <top style="thin">
        <color indexed="64"/>
      </top>
      <bottom style="thin">
        <color rgb="FFD9D9D9"/>
      </bottom>
      <diagonal/>
    </border>
    <border>
      <left style="medium">
        <color indexed="64"/>
      </left>
      <right/>
      <top style="thin">
        <color indexed="64"/>
      </top>
      <bottom style="thin">
        <color rgb="FFD9D9D9"/>
      </bottom>
      <diagonal/>
    </border>
    <border>
      <left style="thin">
        <color indexed="64"/>
      </left>
      <right/>
      <top style="thin">
        <color rgb="FFD9D9D9"/>
      </top>
      <bottom style="thin">
        <color rgb="FFD9D9D9"/>
      </bottom>
      <diagonal/>
    </border>
    <border>
      <left/>
      <right style="thin">
        <color indexed="64"/>
      </right>
      <top style="thin">
        <color rgb="FFD9D9D9"/>
      </top>
      <bottom style="thin">
        <color rgb="FFD9D9D9"/>
      </bottom>
      <diagonal/>
    </border>
    <border>
      <left/>
      <right/>
      <top style="thin">
        <color rgb="FFD9D9D9"/>
      </top>
      <bottom style="thin">
        <color rgb="FFD9D9D9"/>
      </bottom>
      <diagonal/>
    </border>
    <border>
      <left style="thin">
        <color indexed="64"/>
      </left>
      <right/>
      <top style="thin">
        <color rgb="FFBFBFBF"/>
      </top>
      <bottom style="thin">
        <color rgb="FFBFBFBF"/>
      </bottom>
      <diagonal/>
    </border>
    <border>
      <left/>
      <right/>
      <top style="thin">
        <color rgb="FFBFBFBF"/>
      </top>
      <bottom style="thin">
        <color rgb="FFBFBFBF"/>
      </bottom>
      <diagonal/>
    </border>
    <border>
      <left/>
      <right style="thin">
        <color indexed="64"/>
      </right>
      <top style="thin">
        <color rgb="FFBFBFBF"/>
      </top>
      <bottom style="thin">
        <color rgb="FFBFBFBF"/>
      </bottom>
      <diagonal/>
    </border>
    <border>
      <left style="medium">
        <color indexed="64"/>
      </left>
      <right style="medium">
        <color indexed="64"/>
      </right>
      <top style="thin">
        <color rgb="FFD9D9D9"/>
      </top>
      <bottom style="thin">
        <color rgb="FFD9D9D9"/>
      </bottom>
      <diagonal/>
    </border>
    <border>
      <left style="thin">
        <color indexed="64"/>
      </left>
      <right/>
      <top style="thin">
        <color rgb="FFD9D9D9"/>
      </top>
      <bottom/>
      <diagonal/>
    </border>
    <border>
      <left/>
      <right/>
      <top style="thin">
        <color rgb="FFD9D9D9"/>
      </top>
      <bottom/>
      <diagonal/>
    </border>
    <border>
      <left style="thin">
        <color indexed="64"/>
      </left>
      <right style="thin">
        <color indexed="64"/>
      </right>
      <top style="thin">
        <color indexed="64"/>
      </top>
      <bottom style="thin">
        <color rgb="FFBFBFBF"/>
      </bottom>
      <diagonal/>
    </border>
    <border>
      <left style="thin">
        <color indexed="64"/>
      </left>
      <right style="thin">
        <color indexed="64"/>
      </right>
      <top style="thin">
        <color rgb="FFBFBFBF"/>
      </top>
      <bottom style="thin">
        <color rgb="FFBFBFBF"/>
      </bottom>
      <diagonal/>
    </border>
    <border>
      <left style="thin">
        <color indexed="64"/>
      </left>
      <right/>
      <top style="thin">
        <color rgb="FFD9D9D9"/>
      </top>
      <bottom style="thin">
        <color indexed="64"/>
      </bottom>
      <diagonal/>
    </border>
    <border>
      <left/>
      <right style="thin">
        <color indexed="64"/>
      </right>
      <top style="thin">
        <color rgb="FFD9D9D9"/>
      </top>
      <bottom style="thin">
        <color indexed="64"/>
      </bottom>
      <diagonal/>
    </border>
    <border>
      <left style="thin">
        <color indexed="64"/>
      </left>
      <right/>
      <top style="thin">
        <color rgb="FFBFBFBF"/>
      </top>
      <bottom style="thin">
        <color indexed="64"/>
      </bottom>
      <diagonal/>
    </border>
    <border>
      <left/>
      <right style="thin">
        <color indexed="64"/>
      </right>
      <top style="thin">
        <color rgb="FFBFBFBF"/>
      </top>
      <bottom style="thin">
        <color indexed="64"/>
      </bottom>
      <diagonal/>
    </border>
    <border>
      <left/>
      <right/>
      <top style="thin">
        <color rgb="FFBFBFBF"/>
      </top>
      <bottom style="thin">
        <color indexed="64"/>
      </bottom>
      <diagonal/>
    </border>
    <border>
      <left style="thin">
        <color indexed="64"/>
      </left>
      <right/>
      <top/>
      <bottom style="thin">
        <color rgb="FFD9D9D9"/>
      </bottom>
      <diagonal/>
    </border>
    <border>
      <left style="thin">
        <color indexed="64"/>
      </left>
      <right style="thin">
        <color indexed="64"/>
      </right>
      <top style="thin">
        <color indexed="64"/>
      </top>
      <bottom style="thin">
        <color rgb="FFD9D9D9"/>
      </bottom>
      <diagonal/>
    </border>
    <border>
      <left style="thin">
        <color indexed="64"/>
      </left>
      <right style="thin">
        <color indexed="64"/>
      </right>
      <top style="thin">
        <color rgb="FFD9D9D9"/>
      </top>
      <bottom style="thin">
        <color rgb="FFD9D9D9"/>
      </bottom>
      <diagonal/>
    </border>
    <border>
      <left style="medium">
        <color indexed="64"/>
      </left>
      <right/>
      <top style="thin">
        <color rgb="FFD9D9D9"/>
      </top>
      <bottom/>
      <diagonal/>
    </border>
    <border>
      <left style="thin">
        <color indexed="64"/>
      </left>
      <right/>
      <top style="thin">
        <color rgb="FFD9D9D9"/>
      </top>
      <bottom style="medium">
        <color rgb="FFFFFF00"/>
      </bottom>
      <diagonal/>
    </border>
    <border>
      <left style="thin">
        <color indexed="64"/>
      </left>
      <right/>
      <top style="medium">
        <color rgb="FFFFFF00"/>
      </top>
      <bottom style="medium">
        <color rgb="FFFFFF00"/>
      </bottom>
      <diagonal/>
    </border>
    <border>
      <left style="thin">
        <color indexed="64"/>
      </left>
      <right/>
      <top style="medium">
        <color rgb="FFFFFF00"/>
      </top>
      <bottom style="thin">
        <color rgb="FFD9D9D9"/>
      </bottom>
      <diagonal/>
    </border>
    <border>
      <left style="thin">
        <color indexed="64"/>
      </left>
      <right style="thin">
        <color indexed="64"/>
      </right>
      <top style="thin">
        <color rgb="FFD9D9D9"/>
      </top>
      <bottom/>
      <diagonal/>
    </border>
    <border>
      <left style="medium">
        <color indexed="64"/>
      </left>
      <right/>
      <top style="thin">
        <color rgb="FFD9D9D9"/>
      </top>
      <bottom style="medium">
        <color indexed="64"/>
      </bottom>
      <diagonal/>
    </border>
    <border>
      <left style="thin">
        <color indexed="64"/>
      </left>
      <right/>
      <top style="thin">
        <color rgb="FFD9D9D9"/>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rgb="FFD9D9D9"/>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theme="1"/>
      </left>
      <right style="thin">
        <color theme="1"/>
      </right>
      <top style="thin">
        <color theme="1"/>
      </top>
      <bottom style="thin">
        <color theme="1"/>
      </bottom>
      <diagonal/>
    </border>
    <border>
      <left style="thin">
        <color theme="1"/>
      </left>
      <right/>
      <top/>
      <bottom style="thin">
        <color theme="1"/>
      </bottom>
      <diagonal/>
    </border>
    <border>
      <left/>
      <right style="thin">
        <color theme="1"/>
      </right>
      <top/>
      <bottom/>
      <diagonal/>
    </border>
    <border>
      <left/>
      <right style="thin">
        <color theme="1"/>
      </right>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right style="thin">
        <color theme="1"/>
      </right>
      <top style="thin">
        <color theme="1"/>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theme="1"/>
      </right>
      <top style="thin">
        <color indexed="64"/>
      </top>
      <bottom style="thin">
        <color indexed="64"/>
      </bottom>
      <diagonal/>
    </border>
  </borders>
  <cellStyleXfs count="6">
    <xf numFmtId="0" fontId="0" fillId="0" borderId="0"/>
    <xf numFmtId="44" fontId="2" fillId="0" borderId="0" applyFont="0" applyFill="0" applyBorder="0" applyAlignment="0" applyProtection="0"/>
    <xf numFmtId="9" fontId="2" fillId="0" borderId="0" applyFont="0" applyFill="0" applyBorder="0" applyAlignment="0" applyProtection="0"/>
    <xf numFmtId="0" fontId="15" fillId="0" borderId="0" applyNumberFormat="0" applyFill="0" applyBorder="0" applyAlignment="0" applyProtection="0"/>
    <xf numFmtId="43" fontId="2" fillId="0" borderId="0" applyFont="0" applyFill="0" applyBorder="0" applyAlignment="0" applyProtection="0"/>
    <xf numFmtId="0" fontId="2" fillId="13" borderId="103" applyNumberFormat="0" applyFont="0" applyAlignment="0" applyProtection="0"/>
  </cellStyleXfs>
  <cellXfs count="1149">
    <xf numFmtId="0" fontId="0" fillId="0" borderId="0" xfId="0"/>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37" fontId="0" fillId="0" borderId="0" xfId="1" applyNumberFormat="1" applyFont="1" applyAlignment="1">
      <alignment horizontal="center" vertical="center"/>
    </xf>
    <xf numFmtId="0" fontId="5" fillId="0" borderId="0" xfId="0" applyFont="1"/>
    <xf numFmtId="0" fontId="5" fillId="5" borderId="0" xfId="0" applyFont="1" applyFill="1"/>
    <xf numFmtId="0" fontId="6" fillId="0" borderId="0" xfId="0" applyFont="1"/>
    <xf numFmtId="0" fontId="7" fillId="0" borderId="0" xfId="0" applyFont="1" applyAlignment="1">
      <alignment horizontal="center"/>
    </xf>
    <xf numFmtId="0" fontId="7" fillId="0" borderId="0" xfId="0" applyFont="1"/>
    <xf numFmtId="0" fontId="8" fillId="0" borderId="0" xfId="0" applyFont="1"/>
    <xf numFmtId="0" fontId="8" fillId="0" borderId="0" xfId="0" applyFont="1" applyAlignment="1">
      <alignment horizontal="center"/>
    </xf>
    <xf numFmtId="0" fontId="8" fillId="5" borderId="0" xfId="0" applyFont="1" applyFill="1"/>
    <xf numFmtId="0" fontId="8" fillId="0" borderId="0" xfId="0" applyFont="1" applyAlignment="1">
      <alignment horizontal="center" vertical="top" wrapText="1"/>
    </xf>
    <xf numFmtId="0" fontId="8" fillId="0" borderId="0" xfId="0" applyFont="1" applyAlignment="1">
      <alignment horizontal="center" wrapText="1"/>
    </xf>
    <xf numFmtId="0" fontId="8" fillId="0" borderId="0" xfId="0" applyFont="1" applyAlignment="1">
      <alignment wrapText="1"/>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0" borderId="11" xfId="0" applyFont="1" applyBorder="1" applyAlignment="1">
      <alignment horizontal="left" vertical="center"/>
    </xf>
    <xf numFmtId="0" fontId="8" fillId="6" borderId="11" xfId="0" applyFont="1" applyFill="1" applyBorder="1" applyAlignment="1">
      <alignment horizontal="left" vertical="center"/>
    </xf>
    <xf numFmtId="0" fontId="8" fillId="6" borderId="18" xfId="0" applyFont="1" applyFill="1" applyBorder="1" applyAlignment="1">
      <alignment horizontal="center" vertical="center"/>
    </xf>
    <xf numFmtId="0" fontId="8" fillId="6" borderId="19" xfId="0" applyFont="1" applyFill="1" applyBorder="1" applyAlignment="1">
      <alignment horizontal="center" vertical="center" wrapText="1"/>
    </xf>
    <xf numFmtId="0" fontId="8" fillId="6" borderId="26" xfId="0" applyFont="1" applyFill="1" applyBorder="1" applyAlignment="1">
      <alignment horizontal="center" vertical="center"/>
    </xf>
    <xf numFmtId="0" fontId="8" fillId="0" borderId="11" xfId="0" applyFont="1" applyBorder="1" applyAlignment="1">
      <alignment horizontal="left" vertical="center" wrapText="1"/>
    </xf>
    <xf numFmtId="0" fontId="8" fillId="6" borderId="11" xfId="0" applyFont="1" applyFill="1" applyBorder="1" applyAlignment="1">
      <alignment horizontal="left" vertical="center" wrapText="1"/>
    </xf>
    <xf numFmtId="0" fontId="10" fillId="6" borderId="26" xfId="0" applyFont="1" applyFill="1" applyBorder="1" applyAlignment="1">
      <alignment horizontal="center" vertical="center" wrapText="1"/>
    </xf>
    <xf numFmtId="0" fontId="11" fillId="0" borderId="11" xfId="0" applyFont="1" applyBorder="1" applyAlignment="1">
      <alignment horizontal="left" vertical="center"/>
    </xf>
    <xf numFmtId="0" fontId="11" fillId="6" borderId="11" xfId="0" applyFont="1" applyFill="1" applyBorder="1" applyAlignment="1">
      <alignment horizontal="left" vertical="center"/>
    </xf>
    <xf numFmtId="2" fontId="11" fillId="6" borderId="26" xfId="0" applyNumberFormat="1" applyFont="1" applyFill="1" applyBorder="1" applyAlignment="1">
      <alignment horizontal="center" vertical="center"/>
    </xf>
    <xf numFmtId="0" fontId="11" fillId="6" borderId="26" xfId="0" applyFont="1" applyFill="1" applyBorder="1" applyAlignment="1">
      <alignment horizontal="center" vertical="center" wrapText="1"/>
    </xf>
    <xf numFmtId="0" fontId="11" fillId="0" borderId="11" xfId="0" applyFont="1" applyBorder="1" applyAlignment="1">
      <alignment horizontal="left" vertical="center" wrapText="1"/>
    </xf>
    <xf numFmtId="0" fontId="11" fillId="0" borderId="36" xfId="0" applyFont="1" applyBorder="1" applyAlignment="1">
      <alignment horizontal="center" vertical="center"/>
    </xf>
    <xf numFmtId="0" fontId="11" fillId="0" borderId="37" xfId="0" applyFont="1" applyBorder="1" applyAlignment="1">
      <alignment horizontal="center" vertical="center" wrapText="1"/>
    </xf>
    <xf numFmtId="0" fontId="11" fillId="6" borderId="11" xfId="0" applyFont="1" applyFill="1" applyBorder="1" applyAlignment="1">
      <alignment horizontal="left" vertical="center" wrapText="1"/>
    </xf>
    <xf numFmtId="0" fontId="11" fillId="6" borderId="26" xfId="0" applyFont="1" applyFill="1" applyBorder="1" applyAlignment="1">
      <alignment horizontal="center" vertical="center"/>
    </xf>
    <xf numFmtId="0" fontId="10" fillId="0" borderId="20" xfId="0" applyFont="1" applyBorder="1" applyAlignment="1">
      <alignment horizontal="center" vertical="center"/>
    </xf>
    <xf numFmtId="0" fontId="10" fillId="0" borderId="38" xfId="0" applyFont="1" applyBorder="1" applyAlignment="1">
      <alignment horizontal="center" vertical="center"/>
    </xf>
    <xf numFmtId="0" fontId="8" fillId="0" borderId="38" xfId="0" applyFont="1" applyBorder="1" applyAlignment="1">
      <alignment horizontal="center" vertical="center" wrapText="1"/>
    </xf>
    <xf numFmtId="0" fontId="8" fillId="0" borderId="39" xfId="0" applyFont="1" applyBorder="1" applyAlignment="1">
      <alignment horizontal="left" vertical="center" wrapText="1"/>
    </xf>
    <xf numFmtId="0" fontId="8" fillId="0" borderId="38" xfId="0" applyFont="1" applyBorder="1" applyAlignment="1">
      <alignment horizontal="center" vertical="center"/>
    </xf>
    <xf numFmtId="0" fontId="8" fillId="6" borderId="39" xfId="0" applyFont="1" applyFill="1" applyBorder="1" applyAlignment="1">
      <alignment horizontal="left" vertical="center" wrapText="1"/>
    </xf>
    <xf numFmtId="0" fontId="8" fillId="0" borderId="39" xfId="0" applyFont="1" applyBorder="1" applyAlignment="1">
      <alignment wrapText="1"/>
    </xf>
    <xf numFmtId="166" fontId="8" fillId="0" borderId="20" xfId="0" applyNumberFormat="1" applyFont="1" applyBorder="1" applyAlignment="1">
      <alignment horizontal="center" vertical="center"/>
    </xf>
    <xf numFmtId="167" fontId="8" fillId="0" borderId="38" xfId="0" applyNumberFormat="1" applyFont="1" applyBorder="1" applyAlignment="1">
      <alignment horizontal="center" vertical="center"/>
    </xf>
    <xf numFmtId="167" fontId="10" fillId="0" borderId="38" xfId="0" applyNumberFormat="1" applyFont="1" applyBorder="1" applyAlignment="1">
      <alignment horizontal="center" vertical="center"/>
    </xf>
    <xf numFmtId="0" fontId="8" fillId="6" borderId="39" xfId="0" applyFont="1" applyFill="1" applyBorder="1" applyAlignment="1">
      <alignment wrapText="1"/>
    </xf>
    <xf numFmtId="2" fontId="8" fillId="6" borderId="26" xfId="0" applyNumberFormat="1" applyFont="1" applyFill="1" applyBorder="1" applyAlignment="1">
      <alignment horizontal="center" vertical="center"/>
    </xf>
    <xf numFmtId="1" fontId="8" fillId="0" borderId="20" xfId="0" applyNumberFormat="1" applyFont="1" applyBorder="1" applyAlignment="1">
      <alignment horizontal="center" vertical="center"/>
    </xf>
    <xf numFmtId="1" fontId="8" fillId="6" borderId="26" xfId="0" applyNumberFormat="1" applyFont="1" applyFill="1" applyBorder="1" applyAlignment="1">
      <alignment horizontal="center" vertical="center"/>
    </xf>
    <xf numFmtId="12" fontId="8" fillId="0" borderId="11" xfId="0" applyNumberFormat="1" applyFont="1" applyBorder="1" applyAlignment="1">
      <alignment horizontal="left" vertical="center"/>
    </xf>
    <xf numFmtId="12" fontId="8" fillId="6" borderId="11" xfId="0" applyNumberFormat="1" applyFont="1" applyFill="1" applyBorder="1" applyAlignment="1">
      <alignment horizontal="left" vertical="center"/>
    </xf>
    <xf numFmtId="9" fontId="8" fillId="0" borderId="40" xfId="0" applyNumberFormat="1" applyFont="1" applyBorder="1" applyAlignment="1">
      <alignment horizontal="center" vertical="center"/>
    </xf>
    <xf numFmtId="9" fontId="8" fillId="0" borderId="38" xfId="2" applyFont="1" applyFill="1" applyBorder="1" applyAlignment="1">
      <alignment horizontal="center" vertical="center"/>
    </xf>
    <xf numFmtId="9" fontId="8" fillId="7" borderId="41" xfId="0" applyNumberFormat="1" applyFont="1" applyFill="1" applyBorder="1" applyAlignment="1" applyProtection="1">
      <alignment horizontal="center" vertical="center"/>
      <protection locked="0"/>
    </xf>
    <xf numFmtId="9" fontId="8" fillId="7" borderId="38" xfId="2" applyFont="1" applyFill="1" applyBorder="1" applyAlignment="1">
      <alignment horizontal="center" vertical="center"/>
    </xf>
    <xf numFmtId="9" fontId="8" fillId="6" borderId="26" xfId="0" applyNumberFormat="1" applyFont="1" applyFill="1" applyBorder="1" applyAlignment="1">
      <alignment horizontal="center" vertical="center"/>
    </xf>
    <xf numFmtId="166" fontId="8" fillId="0" borderId="42" xfId="0" applyNumberFormat="1" applyFont="1" applyBorder="1" applyAlignment="1">
      <alignment horizontal="center" vertical="center"/>
    </xf>
    <xf numFmtId="166" fontId="8" fillId="6" borderId="26" xfId="0" applyNumberFormat="1" applyFont="1" applyFill="1" applyBorder="1" applyAlignment="1">
      <alignment horizontal="center" vertical="center"/>
    </xf>
    <xf numFmtId="14" fontId="8" fillId="0" borderId="20" xfId="0" applyNumberFormat="1" applyFont="1" applyBorder="1" applyAlignment="1">
      <alignment horizontal="center" vertical="center"/>
    </xf>
    <xf numFmtId="14" fontId="8" fillId="0" borderId="38" xfId="0" applyNumberFormat="1" applyFont="1" applyBorder="1" applyAlignment="1">
      <alignment horizontal="center" vertical="center"/>
    </xf>
    <xf numFmtId="14" fontId="8" fillId="0" borderId="20" xfId="0" applyNumberFormat="1" applyFont="1" applyBorder="1" applyAlignment="1">
      <alignment horizontal="center" vertical="center" wrapText="1"/>
    </xf>
    <xf numFmtId="14" fontId="8" fillId="0" borderId="38" xfId="0" applyNumberFormat="1" applyFont="1" applyBorder="1" applyAlignment="1">
      <alignment horizontal="center" vertical="center" wrapText="1"/>
    </xf>
    <xf numFmtId="14" fontId="8" fillId="6" borderId="26" xfId="0" applyNumberFormat="1" applyFont="1" applyFill="1" applyBorder="1" applyAlignment="1">
      <alignment horizontal="center" vertical="center"/>
    </xf>
    <xf numFmtId="9" fontId="8" fillId="0" borderId="27" xfId="0" applyNumberFormat="1" applyFont="1" applyBorder="1" applyAlignment="1">
      <alignment horizontal="center" vertical="center"/>
    </xf>
    <xf numFmtId="9" fontId="8" fillId="0" borderId="43" xfId="0" applyNumberFormat="1" applyFont="1" applyBorder="1" applyAlignment="1">
      <alignment horizontal="center" vertical="center"/>
    </xf>
    <xf numFmtId="0" fontId="8" fillId="6" borderId="26" xfId="0" applyFont="1" applyFill="1" applyBorder="1" applyAlignment="1">
      <alignment horizontal="center" vertical="center" wrapText="1"/>
    </xf>
    <xf numFmtId="2" fontId="8" fillId="0" borderId="38" xfId="0" applyNumberFormat="1" applyFont="1" applyBorder="1" applyAlignment="1">
      <alignment horizontal="center" vertical="center" wrapText="1"/>
    </xf>
    <xf numFmtId="0" fontId="16" fillId="0" borderId="20" xfId="3" applyFont="1" applyFill="1" applyBorder="1" applyAlignment="1">
      <alignment horizontal="center" vertical="center" wrapText="1"/>
    </xf>
    <xf numFmtId="0" fontId="16" fillId="0" borderId="38" xfId="3" applyFont="1" applyFill="1" applyBorder="1" applyAlignment="1">
      <alignment horizontal="center" vertical="center" wrapText="1"/>
    </xf>
    <xf numFmtId="0" fontId="16" fillId="6" borderId="26" xfId="3" applyFont="1" applyFill="1" applyBorder="1" applyAlignment="1">
      <alignment horizontal="center" vertical="center" wrapText="1"/>
    </xf>
    <xf numFmtId="0" fontId="8" fillId="0" borderId="44" xfId="0" applyFont="1" applyBorder="1" applyAlignment="1">
      <alignment horizontal="left"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6" borderId="44" xfId="0" applyFont="1" applyFill="1" applyBorder="1" applyAlignment="1">
      <alignment horizontal="left" vertical="center" wrapText="1"/>
    </xf>
    <xf numFmtId="0" fontId="8" fillId="6" borderId="47" xfId="0" applyFont="1" applyFill="1" applyBorder="1" applyAlignment="1">
      <alignment horizontal="center" vertical="center"/>
    </xf>
    <xf numFmtId="0" fontId="8" fillId="0" borderId="48" xfId="0" applyFont="1" applyBorder="1" applyAlignment="1">
      <alignment wrapText="1"/>
    </xf>
    <xf numFmtId="0" fontId="8" fillId="0" borderId="0" xfId="0" applyFont="1" applyAlignment="1">
      <alignment vertical="top"/>
    </xf>
    <xf numFmtId="0" fontId="10" fillId="0" borderId="0" xfId="0" applyFont="1" applyAlignment="1">
      <alignment horizontal="left"/>
    </xf>
    <xf numFmtId="0" fontId="7" fillId="0" borderId="0" xfId="0" applyFont="1" applyAlignment="1">
      <alignment horizontal="center" wrapText="1"/>
    </xf>
    <xf numFmtId="0" fontId="7" fillId="5" borderId="0" xfId="0" applyFont="1" applyFill="1"/>
    <xf numFmtId="0" fontId="20" fillId="4" borderId="0" xfId="0" applyFont="1" applyFill="1"/>
    <xf numFmtId="0" fontId="0" fillId="4" borderId="0" xfId="0" applyFill="1"/>
    <xf numFmtId="0" fontId="27" fillId="4" borderId="0" xfId="0" applyFont="1" applyFill="1" applyAlignment="1">
      <alignment vertical="center"/>
    </xf>
    <xf numFmtId="0" fontId="3" fillId="4" borderId="0" xfId="0" applyFont="1" applyFill="1"/>
    <xf numFmtId="0" fontId="0" fillId="8" borderId="0" xfId="0" applyFill="1" applyAlignment="1" applyProtection="1">
      <alignment horizontal="center" vertical="center"/>
      <protection hidden="1"/>
    </xf>
    <xf numFmtId="0" fontId="0" fillId="3" borderId="0" xfId="0" applyFill="1" applyAlignment="1" applyProtection="1">
      <alignment horizontal="center" vertical="center"/>
      <protection hidden="1"/>
    </xf>
    <xf numFmtId="0" fontId="21" fillId="3" borderId="1" xfId="0" applyFont="1" applyFill="1" applyBorder="1" applyAlignment="1" applyProtection="1">
      <alignment horizontal="center" vertical="center" wrapText="1"/>
      <protection hidden="1"/>
    </xf>
    <xf numFmtId="0" fontId="24" fillId="8" borderId="0" xfId="0" applyFont="1" applyFill="1" applyAlignment="1" applyProtection="1">
      <alignment horizontal="center" vertical="center" wrapText="1"/>
      <protection hidden="1"/>
    </xf>
    <xf numFmtId="0" fontId="0" fillId="8" borderId="0" xfId="0" applyFill="1" applyAlignment="1" applyProtection="1">
      <alignment horizontal="center" vertical="center" wrapText="1"/>
      <protection hidden="1"/>
    </xf>
    <xf numFmtId="0" fontId="3" fillId="8" borderId="0" xfId="0" applyFont="1" applyFill="1" applyAlignment="1" applyProtection="1">
      <alignment horizontal="center" vertical="center"/>
      <protection hidden="1"/>
    </xf>
    <xf numFmtId="164" fontId="21" fillId="2" borderId="51" xfId="0" applyNumberFormat="1" applyFont="1" applyFill="1" applyBorder="1" applyAlignment="1" applyProtection="1">
      <alignment horizontal="center" vertical="center"/>
      <protection hidden="1"/>
    </xf>
    <xf numFmtId="9" fontId="21" fillId="2" borderId="1" xfId="2" applyFont="1" applyFill="1" applyBorder="1" applyAlignment="1" applyProtection="1">
      <alignment horizontal="center" vertical="center"/>
      <protection locked="0"/>
    </xf>
    <xf numFmtId="168" fontId="21" fillId="2" borderId="1" xfId="2" applyNumberFormat="1" applyFont="1" applyFill="1" applyBorder="1" applyAlignment="1" applyProtection="1">
      <alignment horizontal="center" vertical="center"/>
      <protection locked="0"/>
    </xf>
    <xf numFmtId="164" fontId="21" fillId="2" borderId="1" xfId="2" applyNumberFormat="1" applyFont="1" applyFill="1" applyBorder="1" applyAlignment="1" applyProtection="1">
      <alignment horizontal="center" vertical="center"/>
      <protection locked="0"/>
    </xf>
    <xf numFmtId="1" fontId="21" fillId="2" borderId="1" xfId="2" applyNumberFormat="1" applyFont="1" applyFill="1" applyBorder="1" applyAlignment="1" applyProtection="1">
      <alignment horizontal="center" vertical="center"/>
      <protection locked="0"/>
    </xf>
    <xf numFmtId="165" fontId="21" fillId="2" borderId="49" xfId="0" applyNumberFormat="1" applyFont="1" applyFill="1" applyBorder="1" applyAlignment="1" applyProtection="1">
      <alignment horizontal="center" vertical="center" wrapText="1"/>
      <protection locked="0"/>
    </xf>
    <xf numFmtId="164" fontId="21" fillId="2" borderId="49" xfId="0" applyNumberFormat="1" applyFont="1" applyFill="1" applyBorder="1" applyAlignment="1" applyProtection="1">
      <alignment horizontal="center" vertical="center"/>
      <protection locked="0"/>
    </xf>
    <xf numFmtId="2" fontId="21" fillId="3" borderId="1" xfId="2" applyNumberFormat="1" applyFont="1" applyFill="1" applyBorder="1" applyAlignment="1" applyProtection="1">
      <alignment horizontal="center" vertical="center"/>
      <protection hidden="1"/>
    </xf>
    <xf numFmtId="9" fontId="21" fillId="2" borderId="49" xfId="2"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wrapText="1"/>
      <protection hidden="1"/>
    </xf>
    <xf numFmtId="165" fontId="21" fillId="2" borderId="1" xfId="0" applyNumberFormat="1" applyFont="1" applyFill="1" applyBorder="1" applyAlignment="1" applyProtection="1">
      <alignment horizontal="center" vertical="center" wrapText="1"/>
      <protection locked="0"/>
    </xf>
    <xf numFmtId="164" fontId="21" fillId="2" borderId="51" xfId="0" applyNumberFormat="1" applyFont="1" applyFill="1" applyBorder="1" applyAlignment="1" applyProtection="1">
      <alignment horizontal="center" vertical="center"/>
      <protection locked="0"/>
    </xf>
    <xf numFmtId="0" fontId="24" fillId="3" borderId="0" xfId="0" applyFont="1" applyFill="1" applyAlignment="1" applyProtection="1">
      <alignment vertical="center" wrapText="1"/>
      <protection hidden="1"/>
    </xf>
    <xf numFmtId="0" fontId="21" fillId="3" borderId="0" xfId="0" applyFont="1" applyFill="1" applyAlignment="1" applyProtection="1">
      <alignment horizontal="center" vertical="center" wrapText="1"/>
      <protection hidden="1"/>
    </xf>
    <xf numFmtId="0" fontId="15" fillId="3" borderId="0" xfId="3" applyFill="1" applyBorder="1" applyAlignment="1" applyProtection="1">
      <alignment horizontal="center" vertical="center" wrapText="1"/>
      <protection hidden="1"/>
    </xf>
    <xf numFmtId="0" fontId="0" fillId="8" borderId="0" xfId="0" applyFill="1" applyAlignment="1" applyProtection="1">
      <alignment horizontal="left" vertical="center"/>
      <protection hidden="1"/>
    </xf>
    <xf numFmtId="0" fontId="15" fillId="8" borderId="0" xfId="3" applyFill="1" applyBorder="1" applyAlignment="1" applyProtection="1">
      <alignment horizontal="left" vertical="center"/>
      <protection hidden="1"/>
    </xf>
    <xf numFmtId="0" fontId="4" fillId="8" borderId="0" xfId="0" applyFont="1" applyFill="1" applyAlignment="1" applyProtection="1">
      <alignment vertical="center"/>
      <protection hidden="1"/>
    </xf>
    <xf numFmtId="0" fontId="0" fillId="3" borderId="0" xfId="0" applyFill="1" applyAlignment="1" applyProtection="1">
      <alignment horizontal="center" vertical="center" wrapText="1"/>
      <protection hidden="1"/>
    </xf>
    <xf numFmtId="0" fontId="33" fillId="3" borderId="0" xfId="0" applyFont="1" applyFill="1" applyAlignment="1" applyProtection="1">
      <alignment horizontal="center" vertical="center" wrapText="1"/>
      <protection hidden="1"/>
    </xf>
    <xf numFmtId="4" fontId="21" fillId="3" borderId="51" xfId="2" applyNumberFormat="1" applyFont="1" applyFill="1"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0" fillId="0" borderId="0" xfId="0" applyAlignment="1" applyProtection="1">
      <alignment horizontal="center" vertical="center"/>
      <protection hidden="1"/>
    </xf>
    <xf numFmtId="165" fontId="21" fillId="0" borderId="0" xfId="0" applyNumberFormat="1" applyFont="1" applyAlignment="1" applyProtection="1">
      <alignment horizontal="center" vertical="center" wrapText="1"/>
      <protection locked="0"/>
    </xf>
    <xf numFmtId="164" fontId="21" fillId="0" borderId="0" xfId="0" applyNumberFormat="1" applyFont="1" applyAlignment="1" applyProtection="1">
      <alignment horizontal="center" vertical="center"/>
      <protection locked="0"/>
    </xf>
    <xf numFmtId="9" fontId="21" fillId="3" borderId="0" xfId="2" applyFont="1" applyFill="1" applyBorder="1" applyAlignment="1" applyProtection="1">
      <alignment horizontal="center" vertical="center"/>
      <protection locked="0"/>
    </xf>
    <xf numFmtId="168" fontId="21" fillId="3" borderId="0" xfId="2" applyNumberFormat="1" applyFont="1" applyFill="1" applyBorder="1" applyAlignment="1" applyProtection="1">
      <alignment horizontal="center" vertical="center"/>
      <protection locked="0"/>
    </xf>
    <xf numFmtId="9" fontId="21" fillId="3" borderId="0" xfId="2" applyFont="1" applyFill="1" applyBorder="1" applyAlignment="1" applyProtection="1">
      <alignment vertical="center"/>
      <protection locked="0"/>
    </xf>
    <xf numFmtId="0" fontId="30" fillId="3" borderId="0" xfId="0" applyFont="1" applyFill="1" applyAlignment="1" applyProtection="1">
      <alignment horizontal="right" vertical="center" wrapText="1"/>
      <protection hidden="1"/>
    </xf>
    <xf numFmtId="0" fontId="22" fillId="8" borderId="0" xfId="0" applyFont="1" applyFill="1" applyAlignment="1" applyProtection="1">
      <alignment vertical="center" wrapText="1"/>
      <protection hidden="1"/>
    </xf>
    <xf numFmtId="0" fontId="23" fillId="8" borderId="0" xfId="0" applyFont="1" applyFill="1" applyAlignment="1" applyProtection="1">
      <alignment horizontal="right" vertical="center"/>
      <protection hidden="1"/>
    </xf>
    <xf numFmtId="4" fontId="21" fillId="3" borderId="3" xfId="0" applyNumberFormat="1" applyFont="1" applyFill="1" applyBorder="1" applyAlignment="1" applyProtection="1">
      <alignment horizontal="center" vertical="center"/>
      <protection hidden="1"/>
    </xf>
    <xf numFmtId="2" fontId="21" fillId="3" borderId="3" xfId="2" applyNumberFormat="1" applyFont="1" applyFill="1" applyBorder="1" applyAlignment="1" applyProtection="1">
      <alignment horizontal="center" vertical="center"/>
      <protection hidden="1"/>
    </xf>
    <xf numFmtId="9" fontId="21" fillId="2" borderId="52" xfId="2" applyFont="1" applyFill="1" applyBorder="1" applyAlignment="1" applyProtection="1">
      <alignment horizontal="center" vertical="center"/>
      <protection locked="0"/>
    </xf>
    <xf numFmtId="4" fontId="21" fillId="3" borderId="57" xfId="2" applyNumberFormat="1" applyFont="1" applyFill="1" applyBorder="1" applyAlignment="1" applyProtection="1">
      <alignment horizontal="center" vertical="center"/>
      <protection hidden="1"/>
    </xf>
    <xf numFmtId="168" fontId="21" fillId="2" borderId="3" xfId="2" applyNumberFormat="1" applyFont="1" applyFill="1" applyBorder="1" applyAlignment="1" applyProtection="1">
      <alignment horizontal="center" vertical="center"/>
      <protection locked="0"/>
    </xf>
    <xf numFmtId="9" fontId="21" fillId="2" borderId="3" xfId="2" applyFont="1" applyFill="1" applyBorder="1" applyAlignment="1" applyProtection="1">
      <alignment horizontal="center" vertical="center"/>
      <protection locked="0"/>
    </xf>
    <xf numFmtId="164" fontId="21" fillId="2" borderId="3" xfId="2" applyNumberFormat="1" applyFont="1" applyFill="1" applyBorder="1" applyAlignment="1" applyProtection="1">
      <alignment horizontal="center" vertical="center"/>
      <protection locked="0"/>
    </xf>
    <xf numFmtId="1" fontId="21" fillId="2" borderId="3" xfId="2" applyNumberFormat="1" applyFont="1" applyFill="1" applyBorder="1" applyAlignment="1" applyProtection="1">
      <alignment horizontal="center" vertical="center"/>
      <protection locked="0"/>
    </xf>
    <xf numFmtId="7" fontId="21" fillId="3" borderId="0" xfId="1" applyNumberFormat="1" applyFont="1" applyFill="1" applyBorder="1" applyAlignment="1" applyProtection="1">
      <alignment horizontal="center" vertical="center"/>
      <protection hidden="1"/>
    </xf>
    <xf numFmtId="0" fontId="3" fillId="3" borderId="0" xfId="0" applyFont="1" applyFill="1" applyAlignment="1" applyProtection="1">
      <alignment vertical="center" wrapText="1"/>
      <protection hidden="1"/>
    </xf>
    <xf numFmtId="4" fontId="21" fillId="3" borderId="0" xfId="0" applyNumberFormat="1" applyFont="1" applyFill="1" applyAlignment="1" applyProtection="1">
      <alignment horizontal="center" vertical="center"/>
      <protection hidden="1"/>
    </xf>
    <xf numFmtId="1" fontId="21" fillId="3" borderId="0" xfId="2" applyNumberFormat="1" applyFont="1" applyFill="1" applyBorder="1" applyAlignment="1" applyProtection="1">
      <alignment horizontal="center" vertical="center"/>
      <protection hidden="1"/>
    </xf>
    <xf numFmtId="2" fontId="21" fillId="3" borderId="0" xfId="2" applyNumberFormat="1" applyFont="1" applyFill="1" applyBorder="1" applyAlignment="1" applyProtection="1">
      <alignment horizontal="center" vertical="center"/>
      <protection hidden="1"/>
    </xf>
    <xf numFmtId="4" fontId="21" fillId="3" borderId="0" xfId="2" applyNumberFormat="1" applyFont="1" applyFill="1" applyBorder="1" applyAlignment="1" applyProtection="1">
      <alignment horizontal="center" vertical="center"/>
      <protection hidden="1"/>
    </xf>
    <xf numFmtId="0" fontId="22" fillId="3" borderId="0" xfId="0" applyFont="1" applyFill="1" applyAlignment="1" applyProtection="1">
      <alignment vertical="center"/>
      <protection hidden="1"/>
    </xf>
    <xf numFmtId="0" fontId="21" fillId="3" borderId="0" xfId="0" applyFont="1" applyFill="1" applyAlignment="1" applyProtection="1">
      <alignment vertical="center" wrapText="1"/>
      <protection locked="0"/>
    </xf>
    <xf numFmtId="0" fontId="22" fillId="3" borderId="0" xfId="0" applyFont="1" applyFill="1" applyAlignment="1" applyProtection="1">
      <alignment vertical="center" wrapText="1"/>
      <protection hidden="1"/>
    </xf>
    <xf numFmtId="9" fontId="21" fillId="3" borderId="0" xfId="2" applyFont="1" applyFill="1" applyBorder="1" applyAlignment="1" applyProtection="1">
      <alignment horizontal="center" vertical="center"/>
    </xf>
    <xf numFmtId="9" fontId="30" fillId="3" borderId="0" xfId="2" applyFont="1" applyFill="1" applyBorder="1" applyAlignment="1" applyProtection="1">
      <alignment horizontal="right" vertical="center"/>
    </xf>
    <xf numFmtId="164" fontId="21" fillId="3" borderId="0" xfId="2" applyNumberFormat="1" applyFont="1" applyFill="1" applyBorder="1" applyAlignment="1" applyProtection="1">
      <alignment horizontal="center" vertical="center"/>
      <protection locked="0"/>
    </xf>
    <xf numFmtId="1" fontId="21" fillId="3" borderId="0" xfId="2" applyNumberFormat="1" applyFont="1" applyFill="1" applyBorder="1" applyAlignment="1" applyProtection="1">
      <alignment horizontal="center" vertical="center"/>
      <protection locked="0"/>
    </xf>
    <xf numFmtId="165" fontId="21" fillId="3" borderId="0" xfId="0" applyNumberFormat="1" applyFont="1" applyFill="1" applyAlignment="1" applyProtection="1">
      <alignment horizontal="center" vertical="center" wrapText="1"/>
      <protection locked="0"/>
    </xf>
    <xf numFmtId="164" fontId="21" fillId="3" borderId="0" xfId="0" applyNumberFormat="1" applyFont="1" applyFill="1" applyAlignment="1" applyProtection="1">
      <alignment horizontal="center" vertical="center"/>
      <protection locked="0"/>
    </xf>
    <xf numFmtId="164" fontId="21" fillId="3" borderId="0" xfId="0" applyNumberFormat="1" applyFont="1" applyFill="1" applyAlignment="1" applyProtection="1">
      <alignment horizontal="center" vertical="center"/>
      <protection hidden="1"/>
    </xf>
    <xf numFmtId="0" fontId="28" fillId="3" borderId="0" xfId="0" applyFont="1" applyFill="1" applyAlignment="1" applyProtection="1">
      <alignment horizontal="center" vertical="center"/>
      <protection hidden="1"/>
    </xf>
    <xf numFmtId="0" fontId="28" fillId="3" borderId="0" xfId="0" applyFont="1" applyFill="1" applyAlignment="1" applyProtection="1">
      <alignment vertical="center"/>
      <protection hidden="1"/>
    </xf>
    <xf numFmtId="0" fontId="24" fillId="3" borderId="0" xfId="0" applyFont="1" applyFill="1" applyAlignment="1" applyProtection="1">
      <alignment horizontal="left" vertical="center" wrapText="1"/>
      <protection hidden="1"/>
    </xf>
    <xf numFmtId="9" fontId="21" fillId="3" borderId="0" xfId="0" applyNumberFormat="1" applyFont="1" applyFill="1" applyAlignment="1" applyProtection="1">
      <alignment horizontal="center" vertical="center"/>
      <protection locked="0"/>
    </xf>
    <xf numFmtId="0" fontId="21" fillId="3" borderId="3" xfId="0" applyFont="1" applyFill="1" applyBorder="1" applyAlignment="1" applyProtection="1">
      <alignment horizontal="center" vertical="center" wrapText="1"/>
      <protection hidden="1"/>
    </xf>
    <xf numFmtId="0" fontId="34" fillId="3" borderId="0" xfId="0" applyFont="1" applyFill="1" applyAlignment="1" applyProtection="1">
      <alignment horizontal="left" vertical="center" wrapText="1"/>
      <protection hidden="1"/>
    </xf>
    <xf numFmtId="0" fontId="23" fillId="3" borderId="0" xfId="0" applyFont="1" applyFill="1" applyAlignment="1" applyProtection="1">
      <alignment horizontal="right" vertical="center"/>
      <protection hidden="1"/>
    </xf>
    <xf numFmtId="0" fontId="1" fillId="0" borderId="0" xfId="0" applyFont="1" applyAlignment="1">
      <alignment horizontal="center"/>
    </xf>
    <xf numFmtId="0" fontId="28" fillId="3" borderId="1" xfId="0" applyFont="1" applyFill="1" applyBorder="1" applyAlignment="1" applyProtection="1">
      <alignment vertical="center"/>
      <protection hidden="1"/>
    </xf>
    <xf numFmtId="0" fontId="21" fillId="10" borderId="56" xfId="0" applyFont="1" applyFill="1" applyBorder="1" applyAlignment="1" applyProtection="1">
      <alignment horizontal="center" vertical="center"/>
      <protection locked="0"/>
    </xf>
    <xf numFmtId="0" fontId="21" fillId="10" borderId="61" xfId="0" applyFont="1" applyFill="1" applyBorder="1" applyAlignment="1" applyProtection="1">
      <alignment horizontal="center" vertical="center"/>
      <protection locked="0"/>
    </xf>
    <xf numFmtId="0" fontId="34" fillId="3" borderId="56" xfId="0" applyFont="1" applyFill="1" applyBorder="1" applyAlignment="1" applyProtection="1">
      <alignment horizontal="left" vertical="center" wrapText="1"/>
      <protection hidden="1"/>
    </xf>
    <xf numFmtId="0" fontId="24" fillId="3" borderId="55" xfId="0" applyFont="1" applyFill="1" applyBorder="1" applyAlignment="1" applyProtection="1">
      <alignment horizontal="center" vertical="center" wrapText="1"/>
      <protection hidden="1"/>
    </xf>
    <xf numFmtId="0" fontId="28" fillId="3" borderId="5" xfId="0" applyFont="1" applyFill="1" applyBorder="1" applyAlignment="1" applyProtection="1">
      <alignment vertical="center"/>
      <protection hidden="1"/>
    </xf>
    <xf numFmtId="0" fontId="28" fillId="3" borderId="4" xfId="0" applyFont="1" applyFill="1" applyBorder="1" applyAlignment="1" applyProtection="1">
      <alignment vertical="center"/>
      <protection hidden="1"/>
    </xf>
    <xf numFmtId="0" fontId="36" fillId="3" borderId="0" xfId="0" applyFont="1" applyFill="1" applyAlignment="1" applyProtection="1">
      <alignment horizontal="left" vertical="center"/>
      <protection hidden="1"/>
    </xf>
    <xf numFmtId="9" fontId="21" fillId="2" borderId="66" xfId="2" applyFont="1" applyFill="1" applyBorder="1" applyAlignment="1" applyProtection="1">
      <alignment horizontal="center" vertical="center"/>
      <protection locked="0"/>
    </xf>
    <xf numFmtId="9" fontId="31" fillId="2" borderId="66" xfId="2" applyFont="1" applyFill="1" applyBorder="1" applyAlignment="1" applyProtection="1">
      <alignment horizontal="center" vertical="center"/>
      <protection locked="0"/>
    </xf>
    <xf numFmtId="9" fontId="31" fillId="2" borderId="67" xfId="2" applyFont="1" applyFill="1" applyBorder="1" applyAlignment="1" applyProtection="1">
      <alignment horizontal="center" vertical="center"/>
      <protection locked="0"/>
    </xf>
    <xf numFmtId="0" fontId="25" fillId="3" borderId="63" xfId="0" applyFont="1" applyFill="1" applyBorder="1" applyAlignment="1" applyProtection="1">
      <alignment horizontal="center" vertical="center" wrapText="1"/>
      <protection hidden="1"/>
    </xf>
    <xf numFmtId="0" fontId="25" fillId="3" borderId="65" xfId="0" applyFont="1" applyFill="1" applyBorder="1" applyAlignment="1" applyProtection="1">
      <alignment horizontal="center" vertical="center" wrapText="1"/>
      <protection hidden="1"/>
    </xf>
    <xf numFmtId="9" fontId="21" fillId="2" borderId="67" xfId="2" applyFont="1" applyFill="1" applyBorder="1" applyAlignment="1" applyProtection="1">
      <alignment horizontal="center" vertical="center"/>
      <protection locked="0"/>
    </xf>
    <xf numFmtId="0" fontId="21" fillId="10" borderId="4" xfId="0" applyFont="1" applyFill="1" applyBorder="1" applyAlignment="1" applyProtection="1">
      <alignment horizontal="center" vertical="center"/>
      <protection locked="0"/>
    </xf>
    <xf numFmtId="0" fontId="21" fillId="10" borderId="1" xfId="0" applyFont="1" applyFill="1" applyBorder="1" applyAlignment="1" applyProtection="1">
      <alignment horizontal="center" vertical="center" wrapText="1"/>
      <protection locked="0"/>
    </xf>
    <xf numFmtId="0" fontId="24" fillId="3" borderId="49" xfId="0" applyFont="1" applyFill="1" applyBorder="1" applyAlignment="1" applyProtection="1">
      <alignment horizontal="center" vertical="top" wrapText="1"/>
      <protection hidden="1"/>
    </xf>
    <xf numFmtId="0" fontId="21" fillId="3" borderId="57" xfId="0" applyFont="1" applyFill="1" applyBorder="1" applyAlignment="1" applyProtection="1">
      <alignment horizontal="center" vertical="center" wrapText="1"/>
      <protection hidden="1"/>
    </xf>
    <xf numFmtId="9" fontId="30" fillId="0" borderId="57" xfId="2" applyFont="1" applyFill="1" applyBorder="1" applyAlignment="1" applyProtection="1">
      <alignment horizontal="center" vertical="center"/>
    </xf>
    <xf numFmtId="9" fontId="30" fillId="0" borderId="51" xfId="2" applyFont="1" applyFill="1" applyBorder="1" applyAlignment="1" applyProtection="1">
      <alignment horizontal="center" vertical="center"/>
    </xf>
    <xf numFmtId="0" fontId="3" fillId="0" borderId="3" xfId="0" applyFont="1" applyBorder="1" applyAlignment="1" applyProtection="1">
      <alignment vertical="center"/>
      <protection hidden="1"/>
    </xf>
    <xf numFmtId="0" fontId="3" fillId="0" borderId="0" xfId="0" applyFont="1" applyAlignment="1" applyProtection="1">
      <alignment horizontal="center" vertical="center" wrapText="1"/>
      <protection hidden="1"/>
    </xf>
    <xf numFmtId="0" fontId="3" fillId="0" borderId="0" xfId="0" applyFont="1" applyAlignment="1" applyProtection="1">
      <alignment vertical="center"/>
      <protection hidden="1"/>
    </xf>
    <xf numFmtId="0" fontId="22" fillId="0" borderId="0" xfId="0" applyFont="1" applyAlignment="1" applyProtection="1">
      <alignment vertical="center" wrapText="1"/>
      <protection hidden="1"/>
    </xf>
    <xf numFmtId="0" fontId="32" fillId="3" borderId="0" xfId="0" applyFont="1" applyFill="1" applyAlignment="1" applyProtection="1">
      <alignment horizontal="center" vertical="center" wrapText="1"/>
      <protection hidden="1"/>
    </xf>
    <xf numFmtId="0" fontId="24" fillId="3" borderId="57" xfId="0" applyFont="1" applyFill="1" applyBorder="1" applyAlignment="1" applyProtection="1">
      <alignment horizontal="center" vertical="center" wrapText="1"/>
      <protection hidden="1"/>
    </xf>
    <xf numFmtId="0" fontId="24" fillId="3" borderId="3" xfId="0" applyFont="1" applyFill="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3" fillId="0" borderId="0" xfId="0" applyFont="1" applyAlignment="1" applyProtection="1">
      <alignment horizontal="center" vertical="center"/>
      <protection hidden="1"/>
    </xf>
    <xf numFmtId="1" fontId="21" fillId="2" borderId="49" xfId="2" applyNumberFormat="1" applyFont="1" applyFill="1" applyBorder="1" applyAlignment="1" applyProtection="1">
      <alignment horizontal="center" vertical="center"/>
      <protection locked="0"/>
    </xf>
    <xf numFmtId="0" fontId="21" fillId="0" borderId="1" xfId="0" applyFont="1" applyBorder="1" applyAlignment="1">
      <alignment horizontal="right" vertical="center"/>
    </xf>
    <xf numFmtId="0" fontId="3" fillId="3" borderId="3" xfId="0" applyFont="1" applyFill="1" applyBorder="1" applyAlignment="1" applyProtection="1">
      <alignment vertical="center"/>
      <protection hidden="1"/>
    </xf>
    <xf numFmtId="0" fontId="3" fillId="3" borderId="5" xfId="0" applyFont="1" applyFill="1" applyBorder="1" applyAlignment="1" applyProtection="1">
      <alignment vertical="center"/>
      <protection hidden="1"/>
    </xf>
    <xf numFmtId="0" fontId="3" fillId="3" borderId="4" xfId="0" applyFont="1" applyFill="1" applyBorder="1" applyAlignment="1" applyProtection="1">
      <alignment vertical="center"/>
      <protection hidden="1"/>
    </xf>
    <xf numFmtId="0" fontId="21" fillId="0" borderId="0" xfId="0" applyFont="1" applyAlignment="1">
      <alignment vertical="top" wrapText="1"/>
    </xf>
    <xf numFmtId="9" fontId="21" fillId="2" borderId="1" xfId="0" applyNumberFormat="1" applyFont="1" applyFill="1" applyBorder="1" applyAlignment="1" applyProtection="1">
      <alignment horizontal="center" vertical="center"/>
      <protection locked="0"/>
    </xf>
    <xf numFmtId="0" fontId="28" fillId="3" borderId="3" xfId="0" applyFont="1" applyFill="1" applyBorder="1" applyAlignment="1" applyProtection="1">
      <alignment vertical="center"/>
      <protection hidden="1"/>
    </xf>
    <xf numFmtId="0" fontId="3" fillId="3" borderId="0" xfId="0" applyFont="1" applyFill="1" applyAlignment="1" applyProtection="1">
      <alignment vertical="center"/>
      <protection hidden="1"/>
    </xf>
    <xf numFmtId="0" fontId="21" fillId="3" borderId="51" xfId="0" applyFont="1" applyFill="1" applyBorder="1" applyAlignment="1" applyProtection="1">
      <alignment horizontal="center" vertical="center" wrapText="1"/>
      <protection hidden="1"/>
    </xf>
    <xf numFmtId="4" fontId="21" fillId="3" borderId="57" xfId="0" applyNumberFormat="1" applyFont="1" applyFill="1" applyBorder="1" applyAlignment="1" applyProtection="1">
      <alignment horizontal="center" vertical="center"/>
      <protection hidden="1"/>
    </xf>
    <xf numFmtId="0" fontId="0" fillId="3" borderId="4" xfId="0" applyFill="1" applyBorder="1" applyAlignment="1" applyProtection="1">
      <alignment horizontal="center" vertical="center"/>
      <protection hidden="1"/>
    </xf>
    <xf numFmtId="1" fontId="21" fillId="2" borderId="52" xfId="2" applyNumberFormat="1" applyFont="1" applyFill="1" applyBorder="1" applyAlignment="1" applyProtection="1">
      <alignment horizontal="center" vertical="center"/>
      <protection locked="0"/>
    </xf>
    <xf numFmtId="0" fontId="0" fillId="3" borderId="54" xfId="0" applyFill="1" applyBorder="1" applyAlignment="1" applyProtection="1">
      <alignment horizontal="center" vertical="center"/>
      <protection hidden="1"/>
    </xf>
    <xf numFmtId="9" fontId="42" fillId="0" borderId="1" xfId="2" applyFont="1" applyFill="1" applyBorder="1" applyAlignment="1" applyProtection="1">
      <alignment horizontal="left" vertical="center"/>
    </xf>
    <xf numFmtId="0" fontId="0" fillId="0" borderId="4" xfId="0" applyBorder="1" applyAlignment="1" applyProtection="1">
      <alignment horizontal="center" vertical="center"/>
      <protection hidden="1"/>
    </xf>
    <xf numFmtId="0" fontId="30" fillId="8" borderId="0" xfId="0" applyFont="1" applyFill="1" applyAlignment="1" applyProtection="1">
      <alignment horizontal="center" vertical="center" wrapText="1"/>
      <protection hidden="1"/>
    </xf>
    <xf numFmtId="0" fontId="38" fillId="0" borderId="0" xfId="0" applyFont="1" applyAlignment="1" applyProtection="1">
      <alignment vertical="center" wrapText="1"/>
      <protection hidden="1"/>
    </xf>
    <xf numFmtId="0" fontId="23" fillId="0" borderId="0" xfId="0" applyFont="1" applyAlignment="1" applyProtection="1">
      <alignment horizontal="right" vertical="center"/>
      <protection hidden="1"/>
    </xf>
    <xf numFmtId="0" fontId="34" fillId="0" borderId="0" xfId="0" applyFont="1" applyAlignment="1" applyProtection="1">
      <alignment horizontal="left" vertical="center" wrapText="1"/>
      <protection hidden="1"/>
    </xf>
    <xf numFmtId="0" fontId="38" fillId="0" borderId="0" xfId="0" applyFont="1" applyAlignment="1" applyProtection="1">
      <alignment vertical="top" wrapText="1"/>
      <protection hidden="1"/>
    </xf>
    <xf numFmtId="0" fontId="28" fillId="0" borderId="0" xfId="0" applyFont="1" applyAlignment="1" applyProtection="1">
      <alignment horizontal="left" vertical="center"/>
      <protection hidden="1"/>
    </xf>
    <xf numFmtId="0" fontId="28" fillId="0" borderId="0" xfId="0" applyFont="1" applyAlignment="1" applyProtection="1">
      <alignment horizontal="center" vertical="center"/>
      <protection hidden="1"/>
    </xf>
    <xf numFmtId="0" fontId="36" fillId="0" borderId="0" xfId="0" applyFont="1" applyAlignment="1" applyProtection="1">
      <alignment horizontal="left" vertical="center"/>
      <protection hidden="1"/>
    </xf>
    <xf numFmtId="0" fontId="30" fillId="0" borderId="0" xfId="0" applyFont="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1" fillId="0" borderId="0" xfId="0" applyFont="1" applyAlignment="1" applyProtection="1">
      <alignment horizontal="center" vertical="center" wrapText="1"/>
      <protection hidden="1"/>
    </xf>
    <xf numFmtId="0" fontId="32" fillId="0" borderId="0" xfId="0" applyFont="1" applyAlignment="1" applyProtection="1">
      <alignment horizontal="center" vertical="center" wrapText="1"/>
      <protection hidden="1"/>
    </xf>
    <xf numFmtId="0" fontId="0" fillId="0" borderId="0" xfId="0" applyAlignment="1">
      <alignment horizontal="center" wrapText="1"/>
    </xf>
    <xf numFmtId="0" fontId="19" fillId="0" borderId="0" xfId="0" applyFont="1" applyAlignment="1" applyProtection="1">
      <alignment horizontal="center" vertical="center" wrapText="1"/>
      <protection hidden="1"/>
    </xf>
    <xf numFmtId="0" fontId="28" fillId="0" borderId="0" xfId="0" applyFont="1" applyAlignment="1" applyProtection="1">
      <alignment vertical="center"/>
      <protection hidden="1"/>
    </xf>
    <xf numFmtId="0" fontId="21" fillId="0" borderId="0" xfId="0" applyFont="1" applyAlignment="1" applyProtection="1">
      <alignment vertical="center" wrapText="1"/>
      <protection locked="0"/>
    </xf>
    <xf numFmtId="7" fontId="21" fillId="0" borderId="0" xfId="1" applyNumberFormat="1" applyFont="1" applyFill="1" applyBorder="1" applyAlignment="1" applyProtection="1">
      <alignment horizontal="center" vertical="center"/>
      <protection hidden="1"/>
    </xf>
    <xf numFmtId="4" fontId="21" fillId="0" borderId="0" xfId="0" applyNumberFormat="1" applyFont="1" applyAlignment="1" applyProtection="1">
      <alignment horizontal="center" vertical="center"/>
      <protection hidden="1"/>
    </xf>
    <xf numFmtId="1" fontId="21" fillId="0" borderId="0" xfId="2" applyNumberFormat="1" applyFont="1" applyFill="1" applyBorder="1" applyAlignment="1" applyProtection="1">
      <alignment horizontal="center" vertical="center"/>
      <protection hidden="1"/>
    </xf>
    <xf numFmtId="2" fontId="21" fillId="0" borderId="0" xfId="2" applyNumberFormat="1" applyFont="1" applyFill="1" applyBorder="1" applyAlignment="1" applyProtection="1">
      <alignment horizontal="center" vertical="center"/>
      <protection hidden="1"/>
    </xf>
    <xf numFmtId="9" fontId="21" fillId="0" borderId="0" xfId="2" applyFont="1" applyFill="1" applyBorder="1" applyAlignment="1" applyProtection="1">
      <alignment horizontal="center" vertical="center"/>
      <protection locked="0"/>
    </xf>
    <xf numFmtId="9" fontId="21" fillId="0" borderId="0" xfId="2" applyFont="1" applyFill="1" applyBorder="1" applyAlignment="1" applyProtection="1">
      <alignment horizontal="center" vertical="center"/>
    </xf>
    <xf numFmtId="4" fontId="21" fillId="0" borderId="0" xfId="2" applyNumberFormat="1" applyFont="1" applyFill="1" applyBorder="1" applyAlignment="1" applyProtection="1">
      <alignment horizontal="center" vertical="center"/>
      <protection hidden="1"/>
    </xf>
    <xf numFmtId="168" fontId="21" fillId="0" borderId="0" xfId="2" applyNumberFormat="1" applyFont="1" applyFill="1" applyBorder="1" applyAlignment="1" applyProtection="1">
      <alignment horizontal="center" vertical="center"/>
      <protection locked="0"/>
    </xf>
    <xf numFmtId="164" fontId="21" fillId="0" borderId="0" xfId="2" applyNumberFormat="1" applyFont="1" applyFill="1" applyBorder="1" applyAlignment="1" applyProtection="1">
      <alignment horizontal="center" vertical="center"/>
      <protection locked="0"/>
    </xf>
    <xf numFmtId="1" fontId="21" fillId="0" borderId="0" xfId="2" applyNumberFormat="1" applyFont="1" applyFill="1" applyBorder="1" applyAlignment="1" applyProtection="1">
      <alignment horizontal="center" vertical="center"/>
      <protection locked="0"/>
    </xf>
    <xf numFmtId="0" fontId="0" fillId="3" borderId="0" xfId="0" applyFill="1" applyAlignment="1">
      <alignment horizontal="center" wrapText="1"/>
    </xf>
    <xf numFmtId="0" fontId="0" fillId="3" borderId="0" xfId="0" applyFill="1" applyAlignment="1" applyProtection="1">
      <alignment horizontal="left" vertical="center"/>
      <protection hidden="1"/>
    </xf>
    <xf numFmtId="0" fontId="4" fillId="3" borderId="3" xfId="0" applyFont="1" applyFill="1" applyBorder="1" applyAlignment="1" applyProtection="1">
      <alignment horizontal="left" vertical="center"/>
      <protection hidden="1"/>
    </xf>
    <xf numFmtId="0" fontId="4" fillId="3" borderId="5" xfId="0" applyFont="1" applyFill="1" applyBorder="1" applyAlignment="1" applyProtection="1">
      <alignment horizontal="left" vertical="center"/>
      <protection hidden="1"/>
    </xf>
    <xf numFmtId="0" fontId="0" fillId="3" borderId="5" xfId="0" applyFill="1" applyBorder="1" applyAlignment="1" applyProtection="1">
      <alignment horizontal="center" vertical="center"/>
      <protection hidden="1"/>
    </xf>
    <xf numFmtId="0" fontId="38" fillId="3" borderId="5" xfId="0" applyFont="1" applyFill="1" applyBorder="1" applyAlignment="1" applyProtection="1">
      <alignment horizontal="left" vertical="center"/>
      <protection hidden="1"/>
    </xf>
    <xf numFmtId="0" fontId="43" fillId="0" borderId="0" xfId="0" applyFont="1" applyAlignment="1" applyProtection="1">
      <alignment horizontal="center" vertical="center"/>
      <protection hidden="1"/>
    </xf>
    <xf numFmtId="0" fontId="45" fillId="0" borderId="0" xfId="0" applyFont="1" applyAlignment="1" applyProtection="1">
      <alignment horizontal="center" vertical="center" wrapText="1"/>
      <protection hidden="1"/>
    </xf>
    <xf numFmtId="3" fontId="21" fillId="3" borderId="66" xfId="0" applyNumberFormat="1" applyFont="1" applyFill="1" applyBorder="1" applyAlignment="1" applyProtection="1">
      <alignment horizontal="center" vertical="center"/>
      <protection locked="0"/>
    </xf>
    <xf numFmtId="9" fontId="21" fillId="2" borderId="76" xfId="2" applyFont="1" applyFill="1" applyBorder="1" applyAlignment="1" applyProtection="1">
      <alignment horizontal="center" vertical="center"/>
      <protection locked="0"/>
    </xf>
    <xf numFmtId="9" fontId="21" fillId="3" borderId="70" xfId="2" applyFont="1" applyFill="1" applyBorder="1" applyAlignment="1" applyProtection="1">
      <alignment horizontal="center" vertical="center"/>
      <protection locked="0"/>
    </xf>
    <xf numFmtId="3" fontId="21" fillId="3" borderId="64" xfId="0" applyNumberFormat="1" applyFont="1" applyFill="1" applyBorder="1" applyAlignment="1" applyProtection="1">
      <alignment horizontal="center" vertical="center"/>
      <protection locked="0"/>
    </xf>
    <xf numFmtId="0" fontId="25" fillId="3" borderId="10" xfId="0" applyFont="1" applyFill="1" applyBorder="1" applyAlignment="1" applyProtection="1">
      <alignment horizontal="center" vertical="center" wrapText="1"/>
      <protection hidden="1"/>
    </xf>
    <xf numFmtId="0" fontId="24" fillId="3" borderId="58" xfId="0" applyFont="1" applyFill="1" applyBorder="1" applyAlignment="1" applyProtection="1">
      <alignment horizontal="center" vertical="center"/>
      <protection hidden="1"/>
    </xf>
    <xf numFmtId="9" fontId="21" fillId="2" borderId="62" xfId="2" applyFont="1" applyFill="1" applyBorder="1" applyAlignment="1" applyProtection="1">
      <alignment horizontal="center" vertical="center"/>
      <protection locked="0"/>
    </xf>
    <xf numFmtId="0" fontId="25" fillId="3" borderId="58" xfId="0" applyFont="1" applyFill="1" applyBorder="1" applyAlignment="1" applyProtection="1">
      <alignment horizontal="left" vertical="center" wrapText="1"/>
      <protection hidden="1"/>
    </xf>
    <xf numFmtId="9" fontId="31" fillId="2" borderId="76" xfId="2" applyFont="1" applyFill="1" applyBorder="1" applyAlignment="1" applyProtection="1">
      <alignment horizontal="center" vertical="center"/>
      <protection locked="0"/>
    </xf>
    <xf numFmtId="9" fontId="21" fillId="3" borderId="59" xfId="2" applyFont="1" applyFill="1" applyBorder="1" applyAlignment="1" applyProtection="1">
      <alignment horizontal="center" vertical="center"/>
      <protection locked="0"/>
    </xf>
    <xf numFmtId="9" fontId="21" fillId="3" borderId="60" xfId="2" applyFont="1" applyFill="1" applyBorder="1" applyAlignment="1" applyProtection="1">
      <alignment horizontal="center" vertical="center"/>
      <protection locked="0"/>
    </xf>
    <xf numFmtId="0" fontId="44" fillId="0" borderId="0" xfId="0" applyFont="1" applyAlignment="1" applyProtection="1">
      <alignment horizontal="left" vertical="center"/>
      <protection hidden="1"/>
    </xf>
    <xf numFmtId="0" fontId="46" fillId="3" borderId="4" xfId="0" applyFont="1" applyFill="1" applyBorder="1" applyAlignment="1" applyProtection="1">
      <alignment vertical="center" wrapText="1"/>
      <protection hidden="1"/>
    </xf>
    <xf numFmtId="0" fontId="46" fillId="3" borderId="5" xfId="0" applyFont="1" applyFill="1" applyBorder="1" applyAlignment="1" applyProtection="1">
      <alignment vertical="center" wrapText="1"/>
      <protection hidden="1"/>
    </xf>
    <xf numFmtId="0" fontId="25" fillId="3" borderId="74" xfId="0" applyFont="1" applyFill="1" applyBorder="1" applyAlignment="1" applyProtection="1">
      <alignment horizontal="center" vertical="center" wrapText="1"/>
      <protection hidden="1"/>
    </xf>
    <xf numFmtId="3" fontId="21" fillId="3" borderId="68" xfId="0" applyNumberFormat="1" applyFont="1" applyFill="1" applyBorder="1" applyAlignment="1" applyProtection="1">
      <alignment horizontal="center" vertical="center"/>
      <protection hidden="1"/>
    </xf>
    <xf numFmtId="3" fontId="21" fillId="2" borderId="1" xfId="0" applyNumberFormat="1" applyFont="1" applyFill="1" applyBorder="1" applyAlignment="1" applyProtection="1">
      <alignment horizontal="center" vertical="center"/>
      <protection locked="0"/>
    </xf>
    <xf numFmtId="3" fontId="21" fillId="2" borderId="83" xfId="0" applyNumberFormat="1" applyFont="1" applyFill="1" applyBorder="1" applyAlignment="1" applyProtection="1">
      <alignment horizontal="center" vertical="center"/>
      <protection locked="0"/>
    </xf>
    <xf numFmtId="0" fontId="21" fillId="3" borderId="63" xfId="0" applyFont="1" applyFill="1" applyBorder="1" applyAlignment="1" applyProtection="1">
      <alignment horizontal="center" vertical="center" wrapText="1"/>
      <protection hidden="1"/>
    </xf>
    <xf numFmtId="0" fontId="21" fillId="3" borderId="65" xfId="0" applyFont="1" applyFill="1" applyBorder="1" applyAlignment="1" applyProtection="1">
      <alignment horizontal="center" vertical="center" wrapText="1"/>
      <protection hidden="1"/>
    </xf>
    <xf numFmtId="3" fontId="21" fillId="2" borderId="80" xfId="0" applyNumberFormat="1" applyFont="1" applyFill="1" applyBorder="1" applyAlignment="1" applyProtection="1">
      <alignment horizontal="center" vertical="center"/>
      <protection locked="0"/>
    </xf>
    <xf numFmtId="3" fontId="21" fillId="2" borderId="81" xfId="0" applyNumberFormat="1" applyFont="1" applyFill="1" applyBorder="1" applyAlignment="1" applyProtection="1">
      <alignment horizontal="center" vertical="center"/>
      <protection locked="0"/>
    </xf>
    <xf numFmtId="9" fontId="21" fillId="2" borderId="82" xfId="2" applyFont="1" applyFill="1" applyBorder="1" applyAlignment="1" applyProtection="1">
      <alignment horizontal="center" vertical="center"/>
      <protection locked="0"/>
    </xf>
    <xf numFmtId="3" fontId="21" fillId="2" borderId="77" xfId="0" applyNumberFormat="1" applyFont="1" applyFill="1" applyBorder="1" applyAlignment="1" applyProtection="1">
      <alignment horizontal="center" vertical="center"/>
      <protection locked="0"/>
    </xf>
    <xf numFmtId="9" fontId="21" fillId="3" borderId="67" xfId="2" applyFont="1" applyFill="1" applyBorder="1" applyAlignment="1" applyProtection="1">
      <alignment horizontal="center" vertical="center"/>
      <protection locked="0"/>
    </xf>
    <xf numFmtId="3" fontId="21" fillId="3" borderId="76" xfId="0" applyNumberFormat="1" applyFont="1" applyFill="1" applyBorder="1" applyAlignment="1" applyProtection="1">
      <alignment horizontal="center" vertical="center"/>
      <protection locked="0"/>
    </xf>
    <xf numFmtId="3" fontId="21" fillId="3" borderId="75" xfId="0" applyNumberFormat="1" applyFont="1" applyFill="1" applyBorder="1" applyAlignment="1" applyProtection="1">
      <alignment horizontal="center" vertical="center"/>
      <protection locked="0"/>
    </xf>
    <xf numFmtId="0" fontId="19" fillId="3" borderId="62" xfId="0" applyFont="1" applyFill="1" applyBorder="1" applyAlignment="1" applyProtection="1">
      <alignment horizontal="center" vertical="center"/>
      <protection hidden="1"/>
    </xf>
    <xf numFmtId="0" fontId="19" fillId="3" borderId="60" xfId="0" applyFont="1" applyFill="1" applyBorder="1" applyAlignment="1" applyProtection="1">
      <alignment horizontal="center" vertical="center"/>
      <protection hidden="1"/>
    </xf>
    <xf numFmtId="0" fontId="25" fillId="3" borderId="62" xfId="0" applyFont="1" applyFill="1" applyBorder="1" applyAlignment="1" applyProtection="1">
      <alignment horizontal="left" vertical="center" wrapText="1"/>
      <protection hidden="1"/>
    </xf>
    <xf numFmtId="0" fontId="0" fillId="12" borderId="0" xfId="0" applyFill="1" applyAlignment="1" applyProtection="1">
      <alignment horizontal="center" vertical="center"/>
      <protection hidden="1"/>
    </xf>
    <xf numFmtId="0" fontId="47" fillId="4" borderId="0" xfId="0" applyFont="1" applyFill="1" applyAlignment="1">
      <alignment vertical="center"/>
    </xf>
    <xf numFmtId="0" fontId="3" fillId="11" borderId="62" xfId="0" applyFont="1" applyFill="1" applyBorder="1" applyAlignment="1" applyProtection="1">
      <alignment horizontal="center" vertical="center" wrapText="1"/>
      <protection hidden="1"/>
    </xf>
    <xf numFmtId="0" fontId="25" fillId="0" borderId="1" xfId="0" applyFont="1" applyBorder="1" applyAlignment="1" applyProtection="1">
      <alignment horizontal="center" vertical="center" wrapText="1"/>
      <protection hidden="1"/>
    </xf>
    <xf numFmtId="0" fontId="3" fillId="3" borderId="2" xfId="0" applyFont="1" applyFill="1" applyBorder="1" applyAlignment="1" applyProtection="1">
      <alignment vertical="center" wrapText="1"/>
      <protection hidden="1"/>
    </xf>
    <xf numFmtId="164" fontId="21" fillId="2" borderId="52" xfId="0" applyNumberFormat="1" applyFont="1" applyFill="1" applyBorder="1" applyAlignment="1" applyProtection="1">
      <alignment horizontal="center" vertical="center"/>
      <protection locked="0"/>
    </xf>
    <xf numFmtId="164" fontId="21" fillId="2" borderId="53" xfId="0" applyNumberFormat="1" applyFont="1" applyFill="1" applyBorder="1" applyAlignment="1" applyProtection="1">
      <alignment horizontal="center" vertical="center"/>
      <protection locked="0"/>
    </xf>
    <xf numFmtId="164" fontId="21" fillId="2" borderId="54" xfId="0" applyNumberFormat="1" applyFont="1" applyFill="1" applyBorder="1" applyAlignment="1" applyProtection="1">
      <alignment horizontal="center" vertical="center"/>
      <protection locked="0"/>
    </xf>
    <xf numFmtId="7" fontId="21" fillId="3" borderId="57" xfId="1" applyNumberFormat="1" applyFont="1" applyFill="1" applyBorder="1" applyAlignment="1" applyProtection="1">
      <alignment horizontal="center" vertical="center"/>
      <protection hidden="1"/>
    </xf>
    <xf numFmtId="7" fontId="21" fillId="3" borderId="2" xfId="1" applyNumberFormat="1" applyFont="1" applyFill="1" applyBorder="1" applyAlignment="1" applyProtection="1">
      <alignment horizontal="center" vertical="center"/>
      <protection hidden="1"/>
    </xf>
    <xf numFmtId="7" fontId="21" fillId="3" borderId="61" xfId="1" applyNumberFormat="1" applyFont="1" applyFill="1" applyBorder="1" applyAlignment="1" applyProtection="1">
      <alignment horizontal="center" vertical="center"/>
      <protection hidden="1"/>
    </xf>
    <xf numFmtId="0" fontId="3" fillId="3" borderId="57" xfId="0" applyFont="1" applyFill="1" applyBorder="1" applyAlignment="1" applyProtection="1">
      <alignment vertical="center" wrapText="1"/>
      <protection hidden="1"/>
    </xf>
    <xf numFmtId="0" fontId="37" fillId="3" borderId="51" xfId="0" applyFont="1" applyFill="1" applyBorder="1" applyAlignment="1" applyProtection="1">
      <alignment horizontal="center" vertical="center" wrapText="1"/>
      <protection hidden="1"/>
    </xf>
    <xf numFmtId="7" fontId="21" fillId="3" borderId="51" xfId="1" applyNumberFormat="1" applyFont="1" applyFill="1" applyBorder="1" applyAlignment="1" applyProtection="1">
      <alignment horizontal="center" vertical="center"/>
      <protection hidden="1"/>
    </xf>
    <xf numFmtId="0" fontId="24" fillId="3" borderId="80" xfId="0" applyFont="1" applyFill="1" applyBorder="1" applyAlignment="1" applyProtection="1">
      <alignment horizontal="center" vertical="center" wrapText="1"/>
      <protection hidden="1"/>
    </xf>
    <xf numFmtId="0" fontId="24" fillId="3" borderId="88" xfId="0" applyFont="1" applyFill="1" applyBorder="1" applyAlignment="1" applyProtection="1">
      <alignment horizontal="center" vertical="center" wrapText="1"/>
      <protection hidden="1"/>
    </xf>
    <xf numFmtId="0" fontId="24" fillId="3" borderId="82" xfId="0" applyFont="1" applyFill="1" applyBorder="1" applyAlignment="1" applyProtection="1">
      <alignment horizontal="center" vertical="center" wrapText="1"/>
      <protection hidden="1"/>
    </xf>
    <xf numFmtId="0" fontId="24" fillId="3" borderId="7" xfId="0" applyFont="1" applyFill="1" applyBorder="1" applyAlignment="1" applyProtection="1">
      <alignment horizontal="center" vertical="center" wrapText="1"/>
      <protection hidden="1"/>
    </xf>
    <xf numFmtId="0" fontId="24" fillId="3" borderId="9" xfId="0" applyFont="1" applyFill="1" applyBorder="1" applyAlignment="1" applyProtection="1">
      <alignment horizontal="center" vertical="center" wrapText="1"/>
      <protection hidden="1"/>
    </xf>
    <xf numFmtId="0" fontId="21" fillId="10" borderId="93" xfId="0" applyFont="1" applyFill="1" applyBorder="1" applyAlignment="1" applyProtection="1">
      <alignment horizontal="center" vertical="center"/>
      <protection locked="0"/>
    </xf>
    <xf numFmtId="0" fontId="34" fillId="3" borderId="93" xfId="0" applyFont="1" applyFill="1" applyBorder="1" applyAlignment="1" applyProtection="1">
      <alignment horizontal="left" vertical="center" wrapText="1"/>
      <protection hidden="1"/>
    </xf>
    <xf numFmtId="0" fontId="24" fillId="3" borderId="74" xfId="0" applyFont="1" applyFill="1" applyBorder="1" applyAlignment="1" applyProtection="1">
      <alignment horizontal="center" vertical="center" wrapText="1"/>
      <protection hidden="1"/>
    </xf>
    <xf numFmtId="0" fontId="21" fillId="10" borderId="79" xfId="0" applyFont="1" applyFill="1" applyBorder="1" applyAlignment="1" applyProtection="1">
      <alignment horizontal="center" vertical="center"/>
      <protection locked="0"/>
    </xf>
    <xf numFmtId="0" fontId="24" fillId="0" borderId="89" xfId="0" applyFont="1" applyBorder="1" applyAlignment="1">
      <alignment horizontal="right" vertical="center"/>
    </xf>
    <xf numFmtId="0" fontId="21" fillId="10" borderId="95" xfId="0" applyFont="1" applyFill="1" applyBorder="1" applyAlignment="1" applyProtection="1">
      <alignment horizontal="center" vertical="center"/>
      <protection locked="0"/>
    </xf>
    <xf numFmtId="0" fontId="0" fillId="8" borderId="88" xfId="0" applyFill="1" applyBorder="1" applyAlignment="1" applyProtection="1">
      <alignment horizontal="center" vertical="center"/>
      <protection hidden="1"/>
    </xf>
    <xf numFmtId="0" fontId="0" fillId="8" borderId="93" xfId="0" applyFill="1" applyBorder="1" applyAlignment="1" applyProtection="1">
      <alignment horizontal="center" vertical="center"/>
      <protection hidden="1"/>
    </xf>
    <xf numFmtId="0" fontId="24" fillId="3" borderId="97" xfId="0" applyFont="1" applyFill="1" applyBorder="1" applyAlignment="1" applyProtection="1">
      <alignment horizontal="center" vertical="top" wrapText="1"/>
      <protection hidden="1"/>
    </xf>
    <xf numFmtId="0" fontId="24" fillId="3" borderId="63" xfId="0" applyFont="1" applyFill="1" applyBorder="1" applyAlignment="1" applyProtection="1">
      <alignment horizontal="center" vertical="center" wrapText="1"/>
      <protection hidden="1"/>
    </xf>
    <xf numFmtId="0" fontId="24" fillId="3" borderId="64" xfId="0" applyFont="1" applyFill="1" applyBorder="1" applyAlignment="1" applyProtection="1">
      <alignment horizontal="center" vertical="center" wrapText="1"/>
      <protection hidden="1"/>
    </xf>
    <xf numFmtId="0" fontId="21" fillId="3" borderId="10" xfId="0" applyFont="1" applyFill="1" applyBorder="1" applyAlignment="1" applyProtection="1">
      <alignment horizontal="center" vertical="center" wrapText="1"/>
      <protection hidden="1"/>
    </xf>
    <xf numFmtId="0" fontId="0" fillId="8" borderId="78" xfId="0" applyFill="1" applyBorder="1" applyAlignment="1" applyProtection="1">
      <alignment horizontal="center" vertical="center"/>
      <protection hidden="1"/>
    </xf>
    <xf numFmtId="0" fontId="0" fillId="8" borderId="79" xfId="0" applyFill="1" applyBorder="1" applyAlignment="1" applyProtection="1">
      <alignment horizontal="center" vertical="center"/>
      <protection hidden="1"/>
    </xf>
    <xf numFmtId="0" fontId="3" fillId="0" borderId="7" xfId="0" applyFont="1" applyBorder="1" applyAlignment="1" applyProtection="1">
      <alignment vertical="center"/>
      <protection hidden="1"/>
    </xf>
    <xf numFmtId="0" fontId="3" fillId="0" borderId="63" xfId="0" applyFont="1" applyBorder="1" applyAlignment="1" applyProtection="1">
      <alignment vertical="center"/>
      <protection hidden="1"/>
    </xf>
    <xf numFmtId="0" fontId="3" fillId="0" borderId="81" xfId="0" applyFont="1" applyBorder="1" applyAlignment="1" applyProtection="1">
      <alignment horizontal="center" vertical="center" wrapText="1"/>
      <protection hidden="1"/>
    </xf>
    <xf numFmtId="0" fontId="21" fillId="10" borderId="81" xfId="0" applyFont="1" applyFill="1" applyBorder="1" applyAlignment="1" applyProtection="1">
      <alignment horizontal="center" vertical="center" wrapText="1"/>
      <protection locked="0"/>
    </xf>
    <xf numFmtId="0" fontId="24" fillId="8" borderId="88" xfId="0" applyFont="1" applyFill="1" applyBorder="1" applyAlignment="1" applyProtection="1">
      <alignment horizontal="center" vertical="center" wrapText="1"/>
      <protection hidden="1"/>
    </xf>
    <xf numFmtId="0" fontId="22" fillId="8" borderId="93" xfId="0" applyFont="1" applyFill="1" applyBorder="1" applyAlignment="1" applyProtection="1">
      <alignment vertical="center" wrapText="1"/>
      <protection hidden="1"/>
    </xf>
    <xf numFmtId="0" fontId="24" fillId="3" borderId="97" xfId="0" applyFont="1" applyFill="1" applyBorder="1" applyAlignment="1" applyProtection="1">
      <alignment horizontal="center" vertical="center" wrapText="1"/>
      <protection hidden="1"/>
    </xf>
    <xf numFmtId="164" fontId="21" fillId="2" borderId="98" xfId="0" applyNumberFormat="1" applyFont="1" applyFill="1" applyBorder="1" applyAlignment="1" applyProtection="1">
      <alignment horizontal="center" vertical="center"/>
      <protection locked="0"/>
    </xf>
    <xf numFmtId="0" fontId="37" fillId="3" borderId="84" xfId="0" applyFont="1" applyFill="1" applyBorder="1" applyAlignment="1" applyProtection="1">
      <alignment horizontal="center" vertical="center" wrapText="1"/>
      <protection hidden="1"/>
    </xf>
    <xf numFmtId="7" fontId="21" fillId="3" borderId="75" xfId="1" applyNumberFormat="1" applyFont="1" applyFill="1" applyBorder="1" applyAlignment="1" applyProtection="1">
      <alignment horizontal="center" vertical="center"/>
      <protection hidden="1"/>
    </xf>
    <xf numFmtId="0" fontId="3" fillId="3" borderId="10" xfId="0" applyFont="1" applyFill="1" applyBorder="1" applyAlignment="1" applyProtection="1">
      <alignment vertical="center" wrapText="1"/>
      <protection hidden="1"/>
    </xf>
    <xf numFmtId="0" fontId="3" fillId="3" borderId="75" xfId="0" applyFont="1" applyFill="1" applyBorder="1" applyAlignment="1" applyProtection="1">
      <alignment vertical="center" wrapText="1"/>
      <protection hidden="1"/>
    </xf>
    <xf numFmtId="0" fontId="21" fillId="3" borderId="84" xfId="0" applyFont="1" applyFill="1" applyBorder="1" applyAlignment="1" applyProtection="1">
      <alignment horizontal="center" vertical="center" wrapText="1"/>
      <protection hidden="1"/>
    </xf>
    <xf numFmtId="4" fontId="21" fillId="3" borderId="85" xfId="0" applyNumberFormat="1" applyFont="1" applyFill="1" applyBorder="1" applyAlignment="1" applyProtection="1">
      <alignment horizontal="center" vertical="center"/>
      <protection hidden="1"/>
    </xf>
    <xf numFmtId="0" fontId="21" fillId="3" borderId="80" xfId="0" applyFont="1" applyFill="1" applyBorder="1" applyAlignment="1" applyProtection="1">
      <alignment horizontal="center" vertical="center" wrapText="1"/>
      <protection hidden="1"/>
    </xf>
    <xf numFmtId="4" fontId="21" fillId="3" borderId="81" xfId="0" applyNumberFormat="1" applyFont="1" applyFill="1" applyBorder="1" applyAlignment="1" applyProtection="1">
      <alignment horizontal="center" vertical="center"/>
      <protection hidden="1"/>
    </xf>
    <xf numFmtId="1" fontId="21" fillId="2" borderId="99" xfId="2" applyNumberFormat="1" applyFont="1" applyFill="1" applyBorder="1" applyAlignment="1" applyProtection="1">
      <alignment horizontal="center" vertical="center"/>
      <protection locked="0"/>
    </xf>
    <xf numFmtId="2" fontId="21" fillId="3" borderId="81" xfId="2" applyNumberFormat="1" applyFont="1" applyFill="1" applyBorder="1" applyAlignment="1" applyProtection="1">
      <alignment horizontal="center" vertical="center"/>
      <protection hidden="1"/>
    </xf>
    <xf numFmtId="9" fontId="21" fillId="2" borderId="99" xfId="2" applyFont="1" applyFill="1" applyBorder="1" applyAlignment="1" applyProtection="1">
      <alignment horizontal="center" vertical="center"/>
      <protection locked="0"/>
    </xf>
    <xf numFmtId="9" fontId="30" fillId="0" borderId="85" xfId="2" applyFont="1" applyFill="1" applyBorder="1" applyAlignment="1" applyProtection="1">
      <alignment horizontal="center" vertical="center"/>
    </xf>
    <xf numFmtId="4" fontId="21" fillId="3" borderId="85" xfId="2" applyNumberFormat="1" applyFont="1" applyFill="1" applyBorder="1" applyAlignment="1" applyProtection="1">
      <alignment horizontal="center" vertical="center"/>
      <protection hidden="1"/>
    </xf>
    <xf numFmtId="168" fontId="21" fillId="2" borderId="81" xfId="2" applyNumberFormat="1" applyFont="1" applyFill="1" applyBorder="1" applyAlignment="1" applyProtection="1">
      <alignment horizontal="center" vertical="center"/>
      <protection locked="0"/>
    </xf>
    <xf numFmtId="9" fontId="21" fillId="2" borderId="81" xfId="2" applyFont="1" applyFill="1" applyBorder="1" applyAlignment="1" applyProtection="1">
      <alignment horizontal="center" vertical="center"/>
      <protection locked="0"/>
    </xf>
    <xf numFmtId="164" fontId="21" fillId="2" borderId="81" xfId="2" applyNumberFormat="1" applyFont="1" applyFill="1" applyBorder="1" applyAlignment="1" applyProtection="1">
      <alignment horizontal="center" vertical="center"/>
      <protection locked="0"/>
    </xf>
    <xf numFmtId="1" fontId="21" fillId="2" borderId="96" xfId="2" applyNumberFormat="1" applyFont="1" applyFill="1" applyBorder="1" applyAlignment="1" applyProtection="1">
      <alignment horizontal="center" vertical="center"/>
      <protection locked="0"/>
    </xf>
    <xf numFmtId="1" fontId="21" fillId="2" borderId="83" xfId="2" applyNumberFormat="1" applyFont="1" applyFill="1" applyBorder="1" applyAlignment="1" applyProtection="1">
      <alignment horizontal="center" vertical="center"/>
      <protection locked="0"/>
    </xf>
    <xf numFmtId="1" fontId="21" fillId="2" borderId="77" xfId="2" applyNumberFormat="1" applyFont="1" applyFill="1" applyBorder="1" applyAlignment="1" applyProtection="1">
      <alignment horizontal="center" vertical="center"/>
      <protection locked="0"/>
    </xf>
    <xf numFmtId="0" fontId="25" fillId="0" borderId="89" xfId="0" applyFont="1" applyBorder="1" applyAlignment="1" applyProtection="1">
      <alignment horizontal="center" vertical="center" wrapText="1"/>
      <protection hidden="1"/>
    </xf>
    <xf numFmtId="165" fontId="21" fillId="2" borderId="90" xfId="0" applyNumberFormat="1" applyFont="1" applyFill="1" applyBorder="1" applyAlignment="1" applyProtection="1">
      <alignment horizontal="center" vertical="center" wrapText="1"/>
      <protection locked="0"/>
    </xf>
    <xf numFmtId="165" fontId="21" fillId="2" borderId="91" xfId="0" applyNumberFormat="1" applyFont="1" applyFill="1" applyBorder="1" applyAlignment="1" applyProtection="1">
      <alignment horizontal="center" vertical="center" wrapText="1"/>
      <protection locked="0"/>
    </xf>
    <xf numFmtId="165" fontId="21" fillId="2" borderId="92" xfId="0" applyNumberFormat="1" applyFont="1" applyFill="1" applyBorder="1" applyAlignment="1" applyProtection="1">
      <alignment horizontal="center" vertical="center" wrapText="1"/>
      <protection locked="0"/>
    </xf>
    <xf numFmtId="164" fontId="21" fillId="2" borderId="99" xfId="0" applyNumberFormat="1" applyFont="1" applyFill="1" applyBorder="1" applyAlignment="1" applyProtection="1">
      <alignment horizontal="center" vertical="center"/>
      <protection locked="0"/>
    </xf>
    <xf numFmtId="0" fontId="24" fillId="3" borderId="100" xfId="0" applyFont="1" applyFill="1" applyBorder="1" applyAlignment="1" applyProtection="1">
      <alignment horizontal="center" vertical="center" wrapText="1"/>
      <protection hidden="1"/>
    </xf>
    <xf numFmtId="164" fontId="21" fillId="2" borderId="46" xfId="0" applyNumberFormat="1" applyFont="1" applyFill="1" applyBorder="1" applyAlignment="1" applyProtection="1">
      <alignment horizontal="center" vertical="center"/>
      <protection locked="0"/>
    </xf>
    <xf numFmtId="164" fontId="21" fillId="2" borderId="46" xfId="0" applyNumberFormat="1" applyFont="1" applyFill="1" applyBorder="1" applyAlignment="1" applyProtection="1">
      <alignment horizontal="center" vertical="center"/>
      <protection hidden="1"/>
    </xf>
    <xf numFmtId="164" fontId="21" fillId="2" borderId="101" xfId="0" applyNumberFormat="1" applyFont="1" applyFill="1" applyBorder="1" applyAlignment="1" applyProtection="1">
      <alignment horizontal="center" vertical="center"/>
      <protection hidden="1"/>
    </xf>
    <xf numFmtId="0" fontId="53" fillId="3" borderId="0" xfId="0" applyFont="1" applyFill="1" applyAlignment="1">
      <alignment vertical="center" wrapText="1"/>
    </xf>
    <xf numFmtId="0" fontId="57" fillId="3" borderId="0" xfId="0" applyFont="1" applyFill="1" applyAlignment="1">
      <alignment horizontal="left" vertical="center" wrapText="1"/>
    </xf>
    <xf numFmtId="0" fontId="55" fillId="3" borderId="0" xfId="0" applyFont="1" applyFill="1" applyAlignment="1">
      <alignment horizontal="right" vertical="center" wrapText="1"/>
    </xf>
    <xf numFmtId="0" fontId="53" fillId="10" borderId="1" xfId="0" applyFont="1" applyFill="1" applyBorder="1" applyAlignment="1">
      <alignment vertical="center" wrapText="1"/>
    </xf>
    <xf numFmtId="0" fontId="53" fillId="3" borderId="1" xfId="0" applyFont="1" applyFill="1" applyBorder="1" applyAlignment="1">
      <alignment vertical="center" wrapText="1"/>
    </xf>
    <xf numFmtId="0" fontId="53" fillId="3" borderId="0" xfId="0" applyFont="1" applyFill="1" applyAlignment="1">
      <alignment vertical="top" wrapText="1"/>
    </xf>
    <xf numFmtId="0" fontId="60" fillId="3" borderId="0" xfId="3" applyFont="1" applyFill="1" applyBorder="1" applyAlignment="1">
      <alignment horizontal="left" indent="5"/>
    </xf>
    <xf numFmtId="0" fontId="57" fillId="8" borderId="0" xfId="0" applyFont="1" applyFill="1" applyAlignment="1">
      <alignment horizontal="left" vertical="center" wrapText="1"/>
    </xf>
    <xf numFmtId="0" fontId="53" fillId="8" borderId="0" xfId="0" applyFont="1" applyFill="1" applyAlignment="1">
      <alignment vertical="center" wrapText="1"/>
    </xf>
    <xf numFmtId="0" fontId="58" fillId="8" borderId="0" xfId="0" applyFont="1" applyFill="1" applyAlignment="1">
      <alignment horizontal="left" vertical="center" wrapText="1"/>
    </xf>
    <xf numFmtId="0" fontId="53" fillId="8" borderId="0" xfId="0" applyFont="1" applyFill="1" applyAlignment="1">
      <alignment vertical="top" wrapText="1"/>
    </xf>
    <xf numFmtId="0" fontId="61" fillId="8" borderId="0" xfId="0" applyFont="1" applyFill="1" applyAlignment="1">
      <alignment vertical="center" wrapText="1"/>
    </xf>
    <xf numFmtId="0" fontId="55" fillId="8" borderId="0" xfId="0" applyFont="1" applyFill="1" applyAlignment="1">
      <alignment horizontal="center" vertical="center" wrapText="1"/>
    </xf>
    <xf numFmtId="0" fontId="64" fillId="8" borderId="0" xfId="0" applyFont="1" applyFill="1" applyAlignment="1">
      <alignment horizontal="left" vertical="center" wrapText="1"/>
    </xf>
    <xf numFmtId="0" fontId="53" fillId="18" borderId="0" xfId="0" applyFont="1" applyFill="1" applyAlignment="1">
      <alignment vertical="center" wrapText="1"/>
    </xf>
    <xf numFmtId="0" fontId="59" fillId="18" borderId="0" xfId="0" applyFont="1" applyFill="1" applyAlignment="1">
      <alignment horizontal="left" vertical="center" wrapText="1" indent="1"/>
    </xf>
    <xf numFmtId="0" fontId="53" fillId="20" borderId="1" xfId="0" applyFont="1" applyFill="1" applyBorder="1" applyAlignment="1">
      <alignment vertical="center" wrapText="1"/>
    </xf>
    <xf numFmtId="0" fontId="54" fillId="3" borderId="0" xfId="0" applyFont="1" applyFill="1" applyAlignment="1">
      <alignment vertical="center" wrapText="1"/>
    </xf>
    <xf numFmtId="0" fontId="62" fillId="3" borderId="0" xfId="0" applyFont="1" applyFill="1" applyAlignment="1">
      <alignment vertical="center" wrapText="1"/>
    </xf>
    <xf numFmtId="0" fontId="53" fillId="18" borderId="0" xfId="0" applyFont="1" applyFill="1" applyAlignment="1">
      <alignment horizontal="right" vertical="center" wrapText="1"/>
    </xf>
    <xf numFmtId="0" fontId="53" fillId="18" borderId="56" xfId="0" applyFont="1" applyFill="1" applyBorder="1" applyAlignment="1">
      <alignment vertical="center" wrapText="1"/>
    </xf>
    <xf numFmtId="0" fontId="63" fillId="3" borderId="0" xfId="0" applyFont="1" applyFill="1" applyAlignment="1">
      <alignment horizontal="center" vertical="center" wrapText="1"/>
    </xf>
    <xf numFmtId="0" fontId="53" fillId="24" borderId="0" xfId="0" applyFont="1" applyFill="1" applyAlignment="1">
      <alignment vertical="center" wrapText="1"/>
    </xf>
    <xf numFmtId="0" fontId="53" fillId="0" borderId="0" xfId="0" applyFont="1" applyAlignment="1">
      <alignment vertical="top" wrapText="1"/>
    </xf>
    <xf numFmtId="0" fontId="84" fillId="3" borderId="0" xfId="0" applyFont="1" applyFill="1" applyAlignment="1" applyProtection="1">
      <alignment horizontal="center" vertical="center" wrapText="1"/>
      <protection hidden="1"/>
    </xf>
    <xf numFmtId="0" fontId="53" fillId="3" borderId="0" xfId="0" applyFont="1" applyFill="1" applyAlignment="1" applyProtection="1">
      <alignment vertical="center" wrapText="1"/>
      <protection locked="0"/>
    </xf>
    <xf numFmtId="0" fontId="57" fillId="0" borderId="0" xfId="0" applyFont="1" applyAlignment="1" applyProtection="1">
      <alignment horizontal="left" vertical="center" wrapText="1"/>
      <protection hidden="1"/>
    </xf>
    <xf numFmtId="0" fontId="57" fillId="3" borderId="0" xfId="0" applyFont="1" applyFill="1" applyAlignment="1" applyProtection="1">
      <alignment horizontal="left" vertical="center" wrapText="1"/>
      <protection hidden="1"/>
    </xf>
    <xf numFmtId="0" fontId="53" fillId="0" borderId="0" xfId="0" applyFont="1" applyAlignment="1" applyProtection="1">
      <alignment horizontal="center" vertical="center" wrapText="1"/>
      <protection hidden="1"/>
    </xf>
    <xf numFmtId="9" fontId="53" fillId="3" borderId="0" xfId="0" applyNumberFormat="1" applyFont="1" applyFill="1" applyAlignment="1" applyProtection="1">
      <alignment horizontal="center" vertical="center"/>
      <protection locked="0"/>
    </xf>
    <xf numFmtId="0" fontId="81" fillId="3" borderId="62" xfId="0" applyFont="1" applyFill="1" applyBorder="1" applyAlignment="1" applyProtection="1">
      <alignment horizontal="left" vertical="center" wrapText="1"/>
      <protection hidden="1"/>
    </xf>
    <xf numFmtId="9" fontId="53" fillId="3" borderId="59" xfId="2" applyFont="1" applyFill="1" applyBorder="1" applyAlignment="1" applyProtection="1">
      <alignment horizontal="center" vertical="center"/>
      <protection locked="0"/>
    </xf>
    <xf numFmtId="9" fontId="53" fillId="3" borderId="60" xfId="2" applyFont="1" applyFill="1" applyBorder="1" applyAlignment="1" applyProtection="1">
      <alignment horizontal="center" vertical="center"/>
      <protection locked="0"/>
    </xf>
    <xf numFmtId="0" fontId="81" fillId="0" borderId="10" xfId="0" applyFont="1" applyBorder="1" applyAlignment="1" applyProtection="1">
      <alignment horizontal="center" vertical="center" wrapText="1"/>
      <protection hidden="1"/>
    </xf>
    <xf numFmtId="9" fontId="53" fillId="2" borderId="76" xfId="2" applyFont="1" applyFill="1" applyBorder="1" applyAlignment="1" applyProtection="1">
      <alignment horizontal="center" vertical="center"/>
      <protection locked="0"/>
    </xf>
    <xf numFmtId="9" fontId="53" fillId="2" borderId="102" xfId="2" applyFont="1" applyFill="1" applyBorder="1" applyAlignment="1" applyProtection="1">
      <alignment horizontal="center" vertical="center"/>
      <protection locked="0"/>
    </xf>
    <xf numFmtId="0" fontId="86" fillId="3" borderId="0" xfId="0" applyFont="1" applyFill="1" applyAlignment="1" applyProtection="1">
      <alignment horizontal="center" vertical="center" wrapText="1"/>
      <protection hidden="1"/>
    </xf>
    <xf numFmtId="9" fontId="53" fillId="2" borderId="66" xfId="2" applyFont="1" applyFill="1" applyBorder="1" applyAlignment="1" applyProtection="1">
      <alignment horizontal="center" vertical="center"/>
      <protection locked="0"/>
    </xf>
    <xf numFmtId="9" fontId="53" fillId="2" borderId="67" xfId="2" applyFont="1" applyFill="1" applyBorder="1" applyAlignment="1" applyProtection="1">
      <alignment horizontal="center" vertical="center"/>
      <protection locked="0"/>
    </xf>
    <xf numFmtId="0" fontId="57" fillId="3" borderId="3" xfId="0" applyFont="1" applyFill="1" applyBorder="1" applyAlignment="1" applyProtection="1">
      <alignment horizontal="center" vertical="center" wrapText="1"/>
      <protection hidden="1"/>
    </xf>
    <xf numFmtId="0" fontId="53" fillId="3" borderId="57" xfId="0" applyFont="1" applyFill="1" applyBorder="1" applyAlignment="1" applyProtection="1">
      <alignment horizontal="center" vertical="center" wrapText="1"/>
      <protection hidden="1"/>
    </xf>
    <xf numFmtId="0" fontId="53" fillId="3" borderId="3" xfId="0" applyFont="1" applyFill="1" applyBorder="1" applyAlignment="1" applyProtection="1">
      <alignment horizontal="center" vertical="center" wrapText="1"/>
      <protection hidden="1"/>
    </xf>
    <xf numFmtId="0" fontId="53" fillId="0" borderId="0" xfId="0" applyFont="1" applyAlignment="1" applyProtection="1">
      <alignment vertical="center" wrapText="1"/>
      <protection locked="0"/>
    </xf>
    <xf numFmtId="0" fontId="58" fillId="3" borderId="0" xfId="0" applyFont="1" applyFill="1" applyAlignment="1" applyProtection="1">
      <alignment vertical="center"/>
      <protection hidden="1"/>
    </xf>
    <xf numFmtId="0" fontId="58" fillId="0" borderId="0" xfId="0" applyFont="1" applyAlignment="1" applyProtection="1">
      <alignment vertical="center" wrapText="1"/>
      <protection hidden="1"/>
    </xf>
    <xf numFmtId="7" fontId="53" fillId="3" borderId="0" xfId="1" applyNumberFormat="1" applyFont="1" applyFill="1" applyBorder="1" applyAlignment="1" applyProtection="1">
      <alignment horizontal="center" vertical="center"/>
      <protection hidden="1"/>
    </xf>
    <xf numFmtId="0" fontId="58" fillId="3" borderId="0" xfId="0" applyFont="1" applyFill="1" applyAlignment="1" applyProtection="1">
      <alignment vertical="center" wrapText="1"/>
      <protection hidden="1"/>
    </xf>
    <xf numFmtId="7" fontId="53" fillId="0" borderId="0" xfId="1" applyNumberFormat="1" applyFont="1" applyFill="1" applyBorder="1" applyAlignment="1" applyProtection="1">
      <alignment horizontal="center" vertical="center"/>
      <protection hidden="1"/>
    </xf>
    <xf numFmtId="0" fontId="89" fillId="3" borderId="51" xfId="0" applyFont="1" applyFill="1" applyBorder="1" applyAlignment="1" applyProtection="1">
      <alignment horizontal="center" vertical="center" wrapText="1"/>
      <protection hidden="1"/>
    </xf>
    <xf numFmtId="4" fontId="53" fillId="3" borderId="0" xfId="0" applyNumberFormat="1" applyFont="1" applyFill="1" applyAlignment="1" applyProtection="1">
      <alignment horizontal="center" vertical="center"/>
      <protection hidden="1"/>
    </xf>
    <xf numFmtId="0" fontId="57" fillId="3" borderId="0" xfId="0" applyFont="1" applyFill="1" applyAlignment="1" applyProtection="1">
      <alignment vertical="center" wrapText="1"/>
      <protection hidden="1"/>
    </xf>
    <xf numFmtId="4" fontId="53" fillId="0" borderId="0" xfId="0" applyNumberFormat="1" applyFont="1" applyAlignment="1" applyProtection="1">
      <alignment horizontal="center" vertical="center"/>
      <protection hidden="1"/>
    </xf>
    <xf numFmtId="0" fontId="53" fillId="3" borderId="0" xfId="0" applyFont="1" applyFill="1" applyAlignment="1" applyProtection="1">
      <alignment horizontal="center" vertical="center" wrapText="1"/>
      <protection hidden="1"/>
    </xf>
    <xf numFmtId="1" fontId="53" fillId="3" borderId="0" xfId="2" applyNumberFormat="1" applyFont="1" applyFill="1" applyBorder="1" applyAlignment="1" applyProtection="1">
      <alignment horizontal="center" vertical="center"/>
      <protection hidden="1"/>
    </xf>
    <xf numFmtId="0" fontId="57" fillId="0" borderId="1" xfId="0" applyFont="1" applyBorder="1" applyAlignment="1" applyProtection="1">
      <alignment horizontal="center" vertical="center" wrapText="1"/>
      <protection hidden="1"/>
    </xf>
    <xf numFmtId="1" fontId="53" fillId="0" borderId="0" xfId="2" applyNumberFormat="1" applyFont="1" applyFill="1" applyBorder="1" applyAlignment="1" applyProtection="1">
      <alignment horizontal="center" vertical="center"/>
      <protection hidden="1"/>
    </xf>
    <xf numFmtId="2" fontId="53" fillId="3" borderId="0" xfId="2" applyNumberFormat="1" applyFont="1" applyFill="1" applyBorder="1" applyAlignment="1" applyProtection="1">
      <alignment horizontal="center" vertical="center"/>
      <protection hidden="1"/>
    </xf>
    <xf numFmtId="2" fontId="53" fillId="0" borderId="0" xfId="2" applyNumberFormat="1" applyFont="1" applyFill="1" applyBorder="1" applyAlignment="1" applyProtection="1">
      <alignment horizontal="center" vertical="center"/>
      <protection hidden="1"/>
    </xf>
    <xf numFmtId="9" fontId="53" fillId="3" borderId="0" xfId="2" applyFont="1" applyFill="1" applyBorder="1" applyAlignment="1" applyProtection="1">
      <alignment vertical="center"/>
      <protection locked="0"/>
    </xf>
    <xf numFmtId="9" fontId="53" fillId="0" borderId="0" xfId="2" applyFont="1" applyFill="1" applyBorder="1" applyAlignment="1" applyProtection="1">
      <alignment horizontal="center" vertical="center"/>
      <protection locked="0"/>
    </xf>
    <xf numFmtId="9" fontId="53" fillId="3" borderId="0" xfId="2" applyFont="1" applyFill="1" applyBorder="1" applyAlignment="1" applyProtection="1">
      <alignment horizontal="center" vertical="center"/>
    </xf>
    <xf numFmtId="9" fontId="53" fillId="3" borderId="0" xfId="2" applyFont="1" applyFill="1" applyBorder="1" applyAlignment="1" applyProtection="1">
      <alignment horizontal="center" vertical="center"/>
      <protection locked="0"/>
    </xf>
    <xf numFmtId="0" fontId="84" fillId="3" borderId="0" xfId="0" applyFont="1" applyFill="1" applyAlignment="1" applyProtection="1">
      <alignment horizontal="right" vertical="center" wrapText="1"/>
      <protection hidden="1"/>
    </xf>
    <xf numFmtId="9" fontId="53" fillId="0" borderId="0" xfId="2" applyFont="1" applyFill="1" applyBorder="1" applyAlignment="1" applyProtection="1">
      <alignment horizontal="center" vertical="center"/>
    </xf>
    <xf numFmtId="4" fontId="53" fillId="3" borderId="0" xfId="2" applyNumberFormat="1" applyFont="1" applyFill="1" applyBorder="1" applyAlignment="1" applyProtection="1">
      <alignment horizontal="center" vertical="center"/>
      <protection hidden="1"/>
    </xf>
    <xf numFmtId="9" fontId="84" fillId="3" borderId="0" xfId="2" applyFont="1" applyFill="1" applyBorder="1" applyAlignment="1" applyProtection="1">
      <alignment horizontal="right" vertical="center"/>
    </xf>
    <xf numFmtId="4" fontId="53" fillId="0" borderId="0" xfId="2" applyNumberFormat="1" applyFont="1" applyFill="1" applyBorder="1" applyAlignment="1" applyProtection="1">
      <alignment horizontal="center" vertical="center"/>
      <protection hidden="1"/>
    </xf>
    <xf numFmtId="168" fontId="53" fillId="3" borderId="0" xfId="2" applyNumberFormat="1" applyFont="1" applyFill="1" applyBorder="1" applyAlignment="1" applyProtection="1">
      <alignment horizontal="center" vertical="center"/>
      <protection locked="0"/>
    </xf>
    <xf numFmtId="168" fontId="53" fillId="0" borderId="0" xfId="2" applyNumberFormat="1" applyFont="1" applyFill="1" applyBorder="1" applyAlignment="1" applyProtection="1">
      <alignment horizontal="center" vertical="center"/>
      <protection locked="0"/>
    </xf>
    <xf numFmtId="164" fontId="53" fillId="3" borderId="0" xfId="2" applyNumberFormat="1" applyFont="1" applyFill="1" applyBorder="1" applyAlignment="1" applyProtection="1">
      <alignment horizontal="center" vertical="center"/>
      <protection locked="0"/>
    </xf>
    <xf numFmtId="164" fontId="53" fillId="0" borderId="0" xfId="2" applyNumberFormat="1" applyFont="1" applyFill="1" applyBorder="1" applyAlignment="1" applyProtection="1">
      <alignment horizontal="center" vertical="center"/>
      <protection locked="0"/>
    </xf>
    <xf numFmtId="1" fontId="53" fillId="3" borderId="0" xfId="2" applyNumberFormat="1" applyFont="1" applyFill="1" applyBorder="1" applyAlignment="1" applyProtection="1">
      <alignment horizontal="center" vertical="center"/>
      <protection locked="0"/>
    </xf>
    <xf numFmtId="1" fontId="53" fillId="0" borderId="0" xfId="2" applyNumberFormat="1" applyFont="1" applyFill="1" applyBorder="1" applyAlignment="1" applyProtection="1">
      <alignment horizontal="center" vertical="center"/>
      <protection locked="0"/>
    </xf>
    <xf numFmtId="165" fontId="53" fillId="3" borderId="0" xfId="0" applyNumberFormat="1" applyFont="1" applyFill="1" applyAlignment="1" applyProtection="1">
      <alignment horizontal="center" vertical="center" wrapText="1"/>
      <protection locked="0"/>
    </xf>
    <xf numFmtId="165" fontId="53" fillId="0" borderId="0" xfId="0" applyNumberFormat="1" applyFont="1" applyAlignment="1" applyProtection="1">
      <alignment horizontal="center" vertical="center" wrapText="1"/>
      <protection locked="0"/>
    </xf>
    <xf numFmtId="164" fontId="53" fillId="3" borderId="0" xfId="0" applyNumberFormat="1" applyFont="1" applyFill="1" applyAlignment="1" applyProtection="1">
      <alignment horizontal="center" vertical="center"/>
      <protection locked="0"/>
    </xf>
    <xf numFmtId="164" fontId="53" fillId="0" borderId="0" xfId="0" applyNumberFormat="1" applyFont="1" applyAlignment="1" applyProtection="1">
      <alignment horizontal="center" vertical="center"/>
      <protection locked="0"/>
    </xf>
    <xf numFmtId="164" fontId="53" fillId="3" borderId="0" xfId="0" applyNumberFormat="1" applyFont="1" applyFill="1" applyAlignment="1" applyProtection="1">
      <alignment horizontal="center" vertical="center"/>
      <protection hidden="1"/>
    </xf>
    <xf numFmtId="0" fontId="53" fillId="8" borderId="0" xfId="0" applyFont="1" applyFill="1" applyAlignment="1" applyProtection="1">
      <alignment horizontal="center" vertical="center"/>
      <protection hidden="1"/>
    </xf>
    <xf numFmtId="0" fontId="53" fillId="3" borderId="0" xfId="0" applyFont="1" applyFill="1" applyAlignment="1" applyProtection="1">
      <alignment horizontal="center" vertical="center"/>
      <protection hidden="1"/>
    </xf>
    <xf numFmtId="0" fontId="53" fillId="0" borderId="0" xfId="0" applyFont="1" applyAlignment="1" applyProtection="1">
      <alignment horizontal="center" vertical="center"/>
      <protection hidden="1"/>
    </xf>
    <xf numFmtId="0" fontId="53" fillId="0" borderId="0" xfId="0" applyFont="1" applyAlignment="1" applyProtection="1">
      <alignment vertical="center" wrapText="1"/>
      <protection hidden="1"/>
    </xf>
    <xf numFmtId="0" fontId="58" fillId="0" borderId="0" xfId="0" applyFont="1" applyAlignment="1" applyProtection="1">
      <alignment horizontal="right" vertical="center"/>
      <protection hidden="1"/>
    </xf>
    <xf numFmtId="0" fontId="58" fillId="3" borderId="0" xfId="0" applyFont="1" applyFill="1" applyAlignment="1" applyProtection="1">
      <alignment horizontal="right" vertical="center"/>
      <protection hidden="1"/>
    </xf>
    <xf numFmtId="0" fontId="53" fillId="3" borderId="4" xfId="0" applyFont="1" applyFill="1" applyBorder="1" applyAlignment="1" applyProtection="1">
      <alignment horizontal="center" vertical="center"/>
      <protection hidden="1"/>
    </xf>
    <xf numFmtId="0" fontId="53" fillId="0" borderId="0" xfId="0" applyFont="1" applyAlignment="1" applyProtection="1">
      <alignment horizontal="left" vertical="center" wrapText="1"/>
      <protection hidden="1"/>
    </xf>
    <xf numFmtId="0" fontId="53" fillId="3" borderId="0" xfId="0" applyFont="1" applyFill="1" applyAlignment="1" applyProtection="1">
      <alignment horizontal="left" vertical="center" wrapText="1"/>
      <protection hidden="1"/>
    </xf>
    <xf numFmtId="0" fontId="57" fillId="8" borderId="0" xfId="0" applyFont="1" applyFill="1" applyAlignment="1" applyProtection="1">
      <alignment vertical="center"/>
      <protection hidden="1"/>
    </xf>
    <xf numFmtId="0" fontId="53" fillId="0" borderId="0" xfId="0" applyFont="1" applyAlignment="1" applyProtection="1">
      <alignment vertical="top" wrapText="1"/>
      <protection hidden="1"/>
    </xf>
    <xf numFmtId="0" fontId="57" fillId="3" borderId="0" xfId="0" applyFont="1" applyFill="1" applyAlignment="1" applyProtection="1">
      <alignment vertical="center"/>
      <protection hidden="1"/>
    </xf>
    <xf numFmtId="0" fontId="91" fillId="0" borderId="0" xfId="0" applyFont="1" applyAlignment="1" applyProtection="1">
      <alignment horizontal="left" vertical="center"/>
      <protection hidden="1"/>
    </xf>
    <xf numFmtId="0" fontId="57" fillId="3" borderId="5" xfId="0" applyFont="1" applyFill="1" applyBorder="1" applyAlignment="1" applyProtection="1">
      <alignment vertical="center"/>
      <protection hidden="1"/>
    </xf>
    <xf numFmtId="0" fontId="57" fillId="0" borderId="0" xfId="0" applyFont="1" applyAlignment="1" applyProtection="1">
      <alignment vertical="center"/>
      <protection hidden="1"/>
    </xf>
    <xf numFmtId="0" fontId="53" fillId="8" borderId="0" xfId="0" applyFont="1" applyFill="1" applyAlignment="1" applyProtection="1">
      <alignment horizontal="left" vertical="center"/>
      <protection hidden="1"/>
    </xf>
    <xf numFmtId="0" fontId="53" fillId="0" borderId="53" xfId="0" applyFont="1" applyBorder="1" applyAlignment="1" applyProtection="1">
      <alignment horizontal="center" vertical="center"/>
      <protection hidden="1"/>
    </xf>
    <xf numFmtId="0" fontId="60" fillId="3" borderId="0" xfId="3" applyFont="1" applyFill="1" applyBorder="1" applyAlignment="1" applyProtection="1">
      <alignment horizontal="center" vertical="center" wrapText="1"/>
      <protection hidden="1"/>
    </xf>
    <xf numFmtId="0" fontId="53" fillId="18" borderId="0" xfId="0" applyFont="1" applyFill="1" applyAlignment="1" applyProtection="1">
      <alignment horizontal="center" vertical="center"/>
      <protection hidden="1"/>
    </xf>
    <xf numFmtId="0" fontId="58" fillId="18" borderId="0" xfId="0" applyFont="1" applyFill="1" applyAlignment="1" applyProtection="1">
      <alignment horizontal="right" vertical="center"/>
      <protection hidden="1"/>
    </xf>
    <xf numFmtId="0" fontId="57" fillId="18" borderId="0" xfId="0" applyFont="1" applyFill="1" applyAlignment="1" applyProtection="1">
      <alignment horizontal="left" vertical="center"/>
      <protection hidden="1"/>
    </xf>
    <xf numFmtId="0" fontId="57" fillId="18" borderId="0" xfId="0" applyFont="1" applyFill="1" applyAlignment="1" applyProtection="1">
      <alignment horizontal="center" vertical="center"/>
      <protection hidden="1"/>
    </xf>
    <xf numFmtId="0" fontId="86" fillId="18" borderId="0" xfId="0" applyFont="1" applyFill="1" applyAlignment="1" applyProtection="1">
      <alignment horizontal="center" vertical="center" wrapText="1"/>
      <protection hidden="1"/>
    </xf>
    <xf numFmtId="0" fontId="87" fillId="18" borderId="0" xfId="0" applyFont="1" applyFill="1" applyAlignment="1" applyProtection="1">
      <alignment horizontal="center" vertical="center" wrapText="1"/>
      <protection hidden="1"/>
    </xf>
    <xf numFmtId="0" fontId="88" fillId="18" borderId="0" xfId="0" applyFont="1" applyFill="1" applyAlignment="1" applyProtection="1">
      <alignment horizontal="left" vertical="center"/>
      <protection hidden="1"/>
    </xf>
    <xf numFmtId="0" fontId="53" fillId="18" borderId="0" xfId="0" applyFont="1" applyFill="1" applyAlignment="1">
      <alignment horizontal="center" wrapText="1"/>
    </xf>
    <xf numFmtId="0" fontId="88" fillId="18" borderId="0" xfId="0" applyFont="1" applyFill="1" applyAlignment="1" applyProtection="1">
      <alignment horizontal="center" vertical="center"/>
      <protection hidden="1"/>
    </xf>
    <xf numFmtId="0" fontId="57" fillId="18" borderId="0" xfId="0" applyFont="1" applyFill="1" applyAlignment="1" applyProtection="1">
      <alignment vertical="center"/>
      <protection hidden="1"/>
    </xf>
    <xf numFmtId="0" fontId="91" fillId="18" borderId="0" xfId="0" applyFont="1" applyFill="1" applyAlignment="1" applyProtection="1">
      <alignment horizontal="left" vertical="center"/>
      <protection hidden="1"/>
    </xf>
    <xf numFmtId="0" fontId="53" fillId="18" borderId="0" xfId="0" applyFont="1" applyFill="1" applyAlignment="1" applyProtection="1">
      <alignment horizontal="left" vertical="center"/>
      <protection hidden="1"/>
    </xf>
    <xf numFmtId="0" fontId="57" fillId="18" borderId="0" xfId="0" applyFont="1" applyFill="1" applyAlignment="1" applyProtection="1">
      <alignment horizontal="right" vertical="center"/>
      <protection hidden="1"/>
    </xf>
    <xf numFmtId="0" fontId="57" fillId="8" borderId="0" xfId="0" applyFont="1" applyFill="1" applyAlignment="1" applyProtection="1">
      <alignment horizontal="right" vertical="center"/>
      <protection hidden="1"/>
    </xf>
    <xf numFmtId="9" fontId="53" fillId="20" borderId="1" xfId="0" applyNumberFormat="1" applyFont="1" applyFill="1" applyBorder="1" applyAlignment="1" applyProtection="1">
      <alignment horizontal="center" vertical="center"/>
      <protection locked="0"/>
    </xf>
    <xf numFmtId="0" fontId="70" fillId="25" borderId="104" xfId="0" applyFont="1" applyFill="1" applyBorder="1" applyAlignment="1" applyProtection="1">
      <alignment horizontal="center" vertical="center" wrapText="1"/>
      <protection hidden="1"/>
    </xf>
    <xf numFmtId="3" fontId="53" fillId="3" borderId="104" xfId="0" applyNumberFormat="1" applyFont="1" applyFill="1" applyBorder="1" applyAlignment="1" applyProtection="1">
      <alignment horizontal="center" vertical="center"/>
      <protection locked="0"/>
    </xf>
    <xf numFmtId="0" fontId="53" fillId="3" borderId="104" xfId="0" applyFont="1" applyFill="1" applyBorder="1" applyAlignment="1" applyProtection="1">
      <alignment horizontal="center" vertical="center" wrapText="1"/>
      <protection hidden="1"/>
    </xf>
    <xf numFmtId="3" fontId="98" fillId="2" borderId="104" xfId="0" applyNumberFormat="1" applyFont="1" applyFill="1" applyBorder="1" applyAlignment="1" applyProtection="1">
      <alignment horizontal="center" vertical="center"/>
      <protection locked="0"/>
    </xf>
    <xf numFmtId="9" fontId="98" fillId="2" borderId="104" xfId="2" applyFont="1" applyFill="1" applyBorder="1" applyAlignment="1" applyProtection="1">
      <alignment horizontal="center" vertical="center"/>
      <protection locked="0"/>
    </xf>
    <xf numFmtId="9" fontId="53" fillId="3" borderId="104" xfId="2" applyFont="1" applyFill="1" applyBorder="1" applyAlignment="1" applyProtection="1">
      <alignment horizontal="center" vertical="center"/>
      <protection locked="0"/>
    </xf>
    <xf numFmtId="3" fontId="53" fillId="3" borderId="104" xfId="0" applyNumberFormat="1" applyFont="1" applyFill="1" applyBorder="1" applyAlignment="1" applyProtection="1">
      <alignment horizontal="center" vertical="center"/>
      <protection hidden="1"/>
    </xf>
    <xf numFmtId="0" fontId="81" fillId="3" borderId="68" xfId="0" applyFont="1" applyFill="1" applyBorder="1" applyAlignment="1" applyProtection="1">
      <alignment horizontal="left" vertical="center" wrapText="1"/>
      <protection hidden="1"/>
    </xf>
    <xf numFmtId="9" fontId="53" fillId="3" borderId="78" xfId="2" applyFont="1" applyFill="1" applyBorder="1" applyAlignment="1" applyProtection="1">
      <alignment horizontal="center" vertical="center"/>
      <protection locked="0"/>
    </xf>
    <xf numFmtId="9" fontId="53" fillId="3" borderId="79" xfId="2" applyFont="1" applyFill="1" applyBorder="1" applyAlignment="1" applyProtection="1">
      <alignment horizontal="center" vertical="center"/>
      <protection locked="0"/>
    </xf>
    <xf numFmtId="0" fontId="53" fillId="10" borderId="106" xfId="0" applyFont="1" applyFill="1" applyBorder="1" applyAlignment="1" applyProtection="1">
      <alignment horizontal="center" vertical="center"/>
      <protection locked="0"/>
    </xf>
    <xf numFmtId="0" fontId="53" fillId="10" borderId="107" xfId="0" applyFont="1" applyFill="1" applyBorder="1" applyAlignment="1" applyProtection="1">
      <alignment horizontal="center" vertical="center"/>
      <protection locked="0"/>
    </xf>
    <xf numFmtId="0" fontId="57" fillId="3" borderId="108" xfId="0" applyFont="1" applyFill="1" applyBorder="1" applyAlignment="1" applyProtection="1">
      <alignment horizontal="left" vertical="center" wrapText="1"/>
      <protection hidden="1"/>
    </xf>
    <xf numFmtId="0" fontId="57" fillId="3" borderId="109" xfId="0" applyFont="1" applyFill="1" applyBorder="1" applyAlignment="1" applyProtection="1">
      <alignment horizontal="left" vertical="center" wrapText="1"/>
      <protection hidden="1"/>
    </xf>
    <xf numFmtId="0" fontId="57" fillId="3" borderId="110" xfId="0" applyFont="1" applyFill="1" applyBorder="1" applyAlignment="1" applyProtection="1">
      <alignment horizontal="center" vertical="center" wrapText="1"/>
      <protection hidden="1"/>
    </xf>
    <xf numFmtId="0" fontId="57" fillId="18" borderId="106" xfId="0" applyFont="1" applyFill="1" applyBorder="1" applyAlignment="1" applyProtection="1">
      <alignment horizontal="right" vertical="center"/>
      <protection hidden="1"/>
    </xf>
    <xf numFmtId="0" fontId="60" fillId="18" borderId="0" xfId="3" applyFont="1" applyFill="1" applyBorder="1" applyAlignment="1" applyProtection="1">
      <alignment horizontal="left" vertical="center"/>
      <protection hidden="1"/>
    </xf>
    <xf numFmtId="0" fontId="53" fillId="18" borderId="0" xfId="0" applyFont="1" applyFill="1" applyAlignment="1" applyProtection="1">
      <alignment horizontal="left" vertical="center" wrapText="1"/>
      <protection hidden="1"/>
    </xf>
    <xf numFmtId="0" fontId="57" fillId="0" borderId="104" xfId="0" applyFont="1" applyBorder="1" applyAlignment="1" applyProtection="1">
      <alignment vertical="center" wrapText="1"/>
      <protection hidden="1"/>
    </xf>
    <xf numFmtId="0" fontId="57" fillId="0" borderId="104" xfId="0" applyFont="1" applyBorder="1" applyAlignment="1" applyProtection="1">
      <alignment vertical="center"/>
      <protection hidden="1"/>
    </xf>
    <xf numFmtId="0" fontId="57" fillId="3" borderId="104" xfId="0" applyFont="1" applyFill="1" applyBorder="1" applyAlignment="1" applyProtection="1">
      <alignment vertical="center"/>
      <protection hidden="1"/>
    </xf>
    <xf numFmtId="0" fontId="53" fillId="10" borderId="104" xfId="0" applyFont="1" applyFill="1" applyBorder="1" applyAlignment="1" applyProtection="1">
      <alignment horizontal="center" vertical="center" wrapText="1"/>
      <protection locked="0"/>
    </xf>
    <xf numFmtId="0" fontId="57" fillId="3" borderId="55" xfId="0" applyFont="1" applyFill="1" applyBorder="1" applyAlignment="1" applyProtection="1">
      <alignment vertical="center" wrapText="1"/>
      <protection hidden="1"/>
    </xf>
    <xf numFmtId="0" fontId="57" fillId="3" borderId="50" xfId="0" applyFont="1" applyFill="1" applyBorder="1" applyAlignment="1" applyProtection="1">
      <alignment horizontal="center" vertical="center" wrapText="1"/>
      <protection hidden="1"/>
    </xf>
    <xf numFmtId="0" fontId="89" fillId="3" borderId="50" xfId="0" applyFont="1" applyFill="1" applyBorder="1" applyAlignment="1" applyProtection="1">
      <alignment horizontal="center" vertical="center" wrapText="1"/>
      <protection hidden="1"/>
    </xf>
    <xf numFmtId="0" fontId="57" fillId="18" borderId="0" xfId="0" applyFont="1" applyFill="1" applyAlignment="1" applyProtection="1">
      <alignment horizontal="center" vertical="center" wrapText="1"/>
      <protection hidden="1"/>
    </xf>
    <xf numFmtId="0" fontId="58" fillId="18" borderId="0" xfId="0" applyFont="1" applyFill="1" applyAlignment="1" applyProtection="1">
      <alignment vertical="center" wrapText="1"/>
      <protection hidden="1"/>
    </xf>
    <xf numFmtId="0" fontId="83" fillId="3" borderId="0" xfId="0" applyFont="1" applyFill="1" applyAlignment="1" applyProtection="1">
      <alignment vertical="center" wrapText="1"/>
      <protection hidden="1"/>
    </xf>
    <xf numFmtId="2" fontId="98" fillId="3" borderId="104" xfId="2" applyNumberFormat="1" applyFont="1" applyFill="1" applyBorder="1" applyAlignment="1" applyProtection="1">
      <alignment horizontal="center" vertical="center"/>
      <protection hidden="1"/>
    </xf>
    <xf numFmtId="4" fontId="98" fillId="3" borderId="104" xfId="2" applyNumberFormat="1" applyFont="1" applyFill="1" applyBorder="1" applyAlignment="1" applyProtection="1">
      <alignment horizontal="center" vertical="center"/>
      <protection hidden="1"/>
    </xf>
    <xf numFmtId="9" fontId="83" fillId="20" borderId="55" xfId="2" applyFont="1" applyFill="1" applyBorder="1" applyAlignment="1" applyProtection="1">
      <alignment horizontal="center" vertical="center"/>
      <protection locked="0"/>
    </xf>
    <xf numFmtId="9" fontId="83" fillId="20" borderId="50" xfId="2" applyFont="1" applyFill="1" applyBorder="1" applyAlignment="1" applyProtection="1">
      <alignment horizontal="center" vertical="center"/>
      <protection locked="0"/>
    </xf>
    <xf numFmtId="168" fontId="83" fillId="20" borderId="104" xfId="2" applyNumberFormat="1" applyFont="1" applyFill="1" applyBorder="1" applyAlignment="1" applyProtection="1">
      <alignment horizontal="center" vertical="center"/>
      <protection locked="0"/>
    </xf>
    <xf numFmtId="1" fontId="83" fillId="20" borderId="104" xfId="2" applyNumberFormat="1" applyFont="1" applyFill="1" applyBorder="1" applyAlignment="1" applyProtection="1">
      <alignment horizontal="center" vertical="center"/>
      <protection locked="0"/>
    </xf>
    <xf numFmtId="0" fontId="99" fillId="3" borderId="3" xfId="0" applyFont="1" applyFill="1" applyBorder="1" applyAlignment="1" applyProtection="1">
      <alignment horizontal="left" vertical="center" indent="1"/>
      <protection hidden="1"/>
    </xf>
    <xf numFmtId="0" fontId="102" fillId="18" borderId="0" xfId="0" applyFont="1" applyFill="1" applyAlignment="1" applyProtection="1">
      <alignment horizontal="left" vertical="center"/>
      <protection hidden="1"/>
    </xf>
    <xf numFmtId="0" fontId="102" fillId="18" borderId="0" xfId="0" applyFont="1" applyFill="1" applyAlignment="1" applyProtection="1">
      <alignment horizontal="center" vertical="center"/>
      <protection hidden="1"/>
    </xf>
    <xf numFmtId="2" fontId="98" fillId="3" borderId="111" xfId="2" applyNumberFormat="1" applyFont="1" applyFill="1" applyBorder="1" applyAlignment="1" applyProtection="1">
      <alignment horizontal="center" vertical="center"/>
      <protection hidden="1"/>
    </xf>
    <xf numFmtId="0" fontId="84" fillId="0" borderId="114" xfId="0" applyFont="1" applyBorder="1" applyAlignment="1" applyProtection="1">
      <alignment horizontal="left" vertical="center" wrapText="1"/>
      <protection hidden="1"/>
    </xf>
    <xf numFmtId="0" fontId="53" fillId="3" borderId="115" xfId="0" applyFont="1" applyFill="1" applyBorder="1" applyAlignment="1" applyProtection="1">
      <alignment horizontal="left" vertical="center"/>
      <protection hidden="1"/>
    </xf>
    <xf numFmtId="0" fontId="84" fillId="3" borderId="105" xfId="0" applyFont="1" applyFill="1" applyBorder="1" applyAlignment="1" applyProtection="1">
      <alignment horizontal="left" vertical="center" wrapText="1"/>
      <protection hidden="1"/>
    </xf>
    <xf numFmtId="0" fontId="53" fillId="3" borderId="107" xfId="0" applyFont="1" applyFill="1" applyBorder="1" applyAlignment="1" applyProtection="1">
      <alignment horizontal="left" vertical="center"/>
      <protection hidden="1"/>
    </xf>
    <xf numFmtId="0" fontId="53" fillId="18" borderId="0" xfId="0" applyFont="1" applyFill="1" applyAlignment="1" applyProtection="1">
      <alignment horizontal="left" vertical="center" indent="1"/>
      <protection hidden="1"/>
    </xf>
    <xf numFmtId="0" fontId="99" fillId="3" borderId="111" xfId="0" applyFont="1" applyFill="1" applyBorder="1" applyAlignment="1" applyProtection="1">
      <alignment horizontal="left" vertical="center" indent="1"/>
      <protection hidden="1"/>
    </xf>
    <xf numFmtId="0" fontId="57" fillId="3" borderId="112" xfId="0" applyFont="1" applyFill="1" applyBorder="1" applyAlignment="1" applyProtection="1">
      <alignment horizontal="left" vertical="center" indent="1"/>
      <protection hidden="1"/>
    </xf>
    <xf numFmtId="0" fontId="57" fillId="3" borderId="110" xfId="0" applyFont="1" applyFill="1" applyBorder="1" applyAlignment="1" applyProtection="1">
      <alignment horizontal="left" vertical="center" indent="1"/>
      <protection hidden="1"/>
    </xf>
    <xf numFmtId="0" fontId="57" fillId="18" borderId="0" xfId="0" applyFont="1" applyFill="1" applyAlignment="1" applyProtection="1">
      <alignment horizontal="left" vertical="center" indent="1"/>
      <protection hidden="1"/>
    </xf>
    <xf numFmtId="0" fontId="57" fillId="0" borderId="0" xfId="0" applyFont="1" applyAlignment="1" applyProtection="1">
      <alignment horizontal="left" vertical="center" indent="1"/>
      <protection hidden="1"/>
    </xf>
    <xf numFmtId="0" fontId="53" fillId="3" borderId="0" xfId="0" applyFont="1" applyFill="1" applyAlignment="1" applyProtection="1">
      <alignment horizontal="left" vertical="center" indent="1"/>
      <protection hidden="1"/>
    </xf>
    <xf numFmtId="0" fontId="53" fillId="0" borderId="0" xfId="0" applyFont="1"/>
    <xf numFmtId="0" fontId="85" fillId="0" borderId="0" xfId="0" applyFont="1"/>
    <xf numFmtId="0" fontId="103" fillId="0" borderId="0" xfId="0" applyFont="1"/>
    <xf numFmtId="0" fontId="93" fillId="0" borderId="0" xfId="0" applyFont="1" applyAlignment="1" applyProtection="1">
      <alignment horizontal="center" vertical="center"/>
      <protection hidden="1"/>
    </xf>
    <xf numFmtId="0" fontId="104" fillId="0" borderId="0" xfId="0" applyFont="1" applyAlignment="1">
      <alignment wrapText="1"/>
    </xf>
    <xf numFmtId="0" fontId="57" fillId="0" borderId="0" xfId="0" applyFont="1"/>
    <xf numFmtId="2" fontId="53" fillId="0" borderId="0" xfId="0" applyNumberFormat="1" applyFont="1"/>
    <xf numFmtId="0" fontId="104" fillId="0" borderId="0" xfId="0" applyFont="1"/>
    <xf numFmtId="0" fontId="81" fillId="0" borderId="0" xfId="0" applyFont="1" applyAlignment="1" applyProtection="1">
      <alignment horizontal="center" vertical="center"/>
      <protection hidden="1"/>
    </xf>
    <xf numFmtId="0" fontId="103" fillId="0" borderId="0" xfId="0" applyFont="1" applyAlignment="1" applyProtection="1">
      <alignment horizontal="center" vertical="center"/>
      <protection hidden="1"/>
    </xf>
    <xf numFmtId="0" fontId="81" fillId="0" borderId="0" xfId="0" applyFont="1" applyAlignment="1" applyProtection="1">
      <alignment horizontal="center" vertical="center" wrapText="1"/>
      <protection hidden="1"/>
    </xf>
    <xf numFmtId="165" fontId="85" fillId="0" borderId="0" xfId="0" applyNumberFormat="1" applyFont="1" applyAlignment="1" applyProtection="1">
      <alignment horizontal="center" vertical="center" wrapText="1"/>
      <protection locked="0"/>
    </xf>
    <xf numFmtId="165" fontId="103" fillId="0" borderId="0" xfId="0" applyNumberFormat="1" applyFont="1" applyAlignment="1" applyProtection="1">
      <alignment horizontal="center" vertical="center" wrapText="1"/>
      <protection locked="0"/>
    </xf>
    <xf numFmtId="164" fontId="85" fillId="0" borderId="0" xfId="0" applyNumberFormat="1" applyFont="1" applyAlignment="1" applyProtection="1">
      <alignment horizontal="center" vertical="center"/>
      <protection locked="0"/>
    </xf>
    <xf numFmtId="164" fontId="103" fillId="0" borderId="0" xfId="0" applyNumberFormat="1" applyFont="1" applyAlignment="1" applyProtection="1">
      <alignment horizontal="center" vertical="center"/>
      <protection locked="0"/>
    </xf>
    <xf numFmtId="164" fontId="103" fillId="0" borderId="0" xfId="0" applyNumberFormat="1" applyFont="1" applyAlignment="1" applyProtection="1">
      <alignment horizontal="center" vertical="center"/>
      <protection hidden="1"/>
    </xf>
    <xf numFmtId="164" fontId="53" fillId="0" borderId="0" xfId="0" applyNumberFormat="1" applyFont="1" applyAlignment="1" applyProtection="1">
      <alignment horizontal="center" vertical="center"/>
      <protection hidden="1"/>
    </xf>
    <xf numFmtId="0" fontId="53" fillId="22" borderId="0" xfId="0" applyFont="1" applyFill="1"/>
    <xf numFmtId="0" fontId="93" fillId="22" borderId="0" xfId="0" applyFont="1" applyFill="1" applyAlignment="1" applyProtection="1">
      <alignment horizontal="center" vertical="center"/>
      <protection hidden="1"/>
    </xf>
    <xf numFmtId="0" fontId="93" fillId="22" borderId="0" xfId="0" applyFont="1" applyFill="1" applyAlignment="1">
      <alignment vertical="center" wrapText="1"/>
    </xf>
    <xf numFmtId="0" fontId="93" fillId="22" borderId="0" xfId="0" applyFont="1" applyFill="1" applyAlignment="1" applyProtection="1">
      <alignment vertical="center"/>
      <protection hidden="1"/>
    </xf>
    <xf numFmtId="2" fontId="103" fillId="22" borderId="0" xfId="0" applyNumberFormat="1" applyFont="1" applyFill="1" applyAlignment="1" applyProtection="1">
      <alignment horizontal="center" vertical="center"/>
      <protection hidden="1"/>
    </xf>
    <xf numFmtId="9" fontId="103" fillId="22" borderId="0" xfId="2" applyFont="1" applyFill="1" applyBorder="1" applyAlignment="1" applyProtection="1">
      <alignment horizontal="center" vertical="center"/>
      <protection hidden="1"/>
    </xf>
    <xf numFmtId="0" fontId="103" fillId="22" borderId="0" xfId="0" applyFont="1" applyFill="1"/>
    <xf numFmtId="0" fontId="94" fillId="22" borderId="0" xfId="0" applyFont="1" applyFill="1" applyAlignment="1" applyProtection="1">
      <alignment horizontal="center" vertical="center" wrapText="1"/>
      <protection hidden="1"/>
    </xf>
    <xf numFmtId="0" fontId="85" fillId="22" borderId="0" xfId="0" applyFont="1" applyFill="1"/>
    <xf numFmtId="0" fontId="57" fillId="22" borderId="0" xfId="0" applyFont="1" applyFill="1" applyAlignment="1" applyProtection="1">
      <alignment vertical="center" wrapText="1"/>
      <protection hidden="1"/>
    </xf>
    <xf numFmtId="0" fontId="57" fillId="22" borderId="0" xfId="0" applyFont="1" applyFill="1" applyAlignment="1" applyProtection="1">
      <alignment horizontal="center" vertical="center" wrapText="1"/>
      <protection hidden="1"/>
    </xf>
    <xf numFmtId="0" fontId="52" fillId="22" borderId="0" xfId="0" applyFont="1" applyFill="1" applyAlignment="1" applyProtection="1">
      <alignment horizontal="center" vertical="center"/>
      <protection hidden="1"/>
    </xf>
    <xf numFmtId="0" fontId="59" fillId="22" borderId="0" xfId="0" applyFont="1" applyFill="1" applyAlignment="1" applyProtection="1">
      <alignment horizontal="center" vertical="center" wrapText="1"/>
      <protection hidden="1"/>
    </xf>
    <xf numFmtId="0" fontId="73" fillId="22" borderId="0" xfId="0" applyFont="1" applyFill="1" applyAlignment="1" applyProtection="1">
      <alignment vertical="center"/>
      <protection hidden="1"/>
    </xf>
    <xf numFmtId="0" fontId="81" fillId="22" borderId="0" xfId="0" applyFont="1" applyFill="1" applyAlignment="1" applyProtection="1">
      <alignment vertical="center" wrapText="1"/>
      <protection hidden="1"/>
    </xf>
    <xf numFmtId="0" fontId="58" fillId="22" borderId="0" xfId="0" applyFont="1" applyFill="1" applyAlignment="1" applyProtection="1">
      <alignment vertical="center" wrapText="1"/>
      <protection hidden="1"/>
    </xf>
    <xf numFmtId="0" fontId="57" fillId="20" borderId="1" xfId="0" applyFont="1" applyFill="1" applyBorder="1" applyAlignment="1">
      <alignment horizontal="center" vertical="center" wrapText="1"/>
    </xf>
    <xf numFmtId="0" fontId="53" fillId="22" borderId="0" xfId="0" applyFont="1" applyFill="1" applyAlignment="1">
      <alignment horizontal="center" vertical="center" wrapText="1"/>
    </xf>
    <xf numFmtId="0" fontId="52" fillId="22" borderId="0" xfId="0" applyFont="1" applyFill="1" applyAlignment="1" applyProtection="1">
      <alignment horizontal="center" vertical="center" wrapText="1"/>
      <protection hidden="1"/>
    </xf>
    <xf numFmtId="0" fontId="52" fillId="3" borderId="1" xfId="0" applyFont="1" applyFill="1" applyBorder="1" applyAlignment="1" applyProtection="1">
      <alignment horizontal="center" vertical="center"/>
      <protection hidden="1"/>
    </xf>
    <xf numFmtId="0" fontId="84" fillId="22" borderId="0" xfId="0" applyFont="1" applyFill="1" applyAlignment="1" applyProtection="1">
      <alignment horizontal="right" vertical="center" wrapText="1"/>
      <protection hidden="1"/>
    </xf>
    <xf numFmtId="0" fontId="89" fillId="22" borderId="0" xfId="0" applyFont="1" applyFill="1" applyAlignment="1" applyProtection="1">
      <alignment horizontal="center" vertical="center" wrapText="1"/>
      <protection hidden="1"/>
    </xf>
    <xf numFmtId="2" fontId="85" fillId="22" borderId="0" xfId="0" applyNumberFormat="1" applyFont="1" applyFill="1" applyAlignment="1" applyProtection="1">
      <alignment horizontal="center" vertical="center"/>
      <protection hidden="1"/>
    </xf>
    <xf numFmtId="2" fontId="53" fillId="22" borderId="0" xfId="1" applyNumberFormat="1" applyFont="1" applyFill="1" applyBorder="1" applyAlignment="1" applyProtection="1">
      <alignment horizontal="center" vertical="center"/>
      <protection hidden="1"/>
    </xf>
    <xf numFmtId="2" fontId="53" fillId="22" borderId="0" xfId="0" applyNumberFormat="1" applyFont="1" applyFill="1" applyAlignment="1" applyProtection="1">
      <alignment horizontal="center" vertical="center"/>
      <protection hidden="1"/>
    </xf>
    <xf numFmtId="0" fontId="84" fillId="22" borderId="0" xfId="0" applyFont="1" applyFill="1" applyAlignment="1" applyProtection="1">
      <alignment horizontal="center" vertical="center" wrapText="1"/>
      <protection hidden="1"/>
    </xf>
    <xf numFmtId="0" fontId="84" fillId="3" borderId="1" xfId="0" applyFont="1" applyFill="1" applyBorder="1" applyAlignment="1" applyProtection="1">
      <alignment horizontal="center" vertical="center" wrapText="1"/>
      <protection hidden="1"/>
    </xf>
    <xf numFmtId="2" fontId="85" fillId="3" borderId="1" xfId="1" applyNumberFormat="1" applyFont="1" applyFill="1" applyBorder="1" applyAlignment="1" applyProtection="1">
      <alignment horizontal="center" vertical="center"/>
      <protection hidden="1"/>
    </xf>
    <xf numFmtId="2" fontId="85" fillId="3" borderId="1" xfId="0" applyNumberFormat="1" applyFont="1" applyFill="1" applyBorder="1" applyAlignment="1" applyProtection="1">
      <alignment horizontal="center" vertical="center"/>
      <protection hidden="1"/>
    </xf>
    <xf numFmtId="2" fontId="53" fillId="3" borderId="1" xfId="1" applyNumberFormat="1" applyFont="1" applyFill="1" applyBorder="1" applyAlignment="1" applyProtection="1">
      <alignment horizontal="center" vertical="center"/>
      <protection hidden="1"/>
    </xf>
    <xf numFmtId="2" fontId="53" fillId="3" borderId="1" xfId="0" applyNumberFormat="1" applyFont="1" applyFill="1" applyBorder="1" applyAlignment="1" applyProtection="1">
      <alignment horizontal="center" vertical="center"/>
      <protection hidden="1"/>
    </xf>
    <xf numFmtId="4" fontId="85" fillId="3" borderId="1" xfId="2" applyNumberFormat="1" applyFont="1" applyFill="1" applyBorder="1" applyAlignment="1" applyProtection="1">
      <alignment horizontal="center" vertical="center"/>
      <protection hidden="1"/>
    </xf>
    <xf numFmtId="2" fontId="105" fillId="22" borderId="0" xfId="1" applyNumberFormat="1" applyFont="1" applyFill="1" applyBorder="1" applyAlignment="1" applyProtection="1">
      <alignment horizontal="center" vertical="center"/>
      <protection locked="0" hidden="1"/>
    </xf>
    <xf numFmtId="2" fontId="105" fillId="22" borderId="0" xfId="0" applyNumberFormat="1" applyFont="1" applyFill="1" applyAlignment="1" applyProtection="1">
      <alignment horizontal="center" vertical="center"/>
      <protection hidden="1"/>
    </xf>
    <xf numFmtId="9" fontId="105" fillId="22" borderId="0" xfId="2" applyFont="1" applyFill="1" applyBorder="1" applyAlignment="1" applyProtection="1">
      <alignment horizontal="center" vertical="center"/>
      <protection hidden="1"/>
    </xf>
    <xf numFmtId="168" fontId="105" fillId="22" borderId="0" xfId="2" applyNumberFormat="1" applyFont="1" applyFill="1" applyBorder="1" applyAlignment="1" applyProtection="1">
      <alignment horizontal="center" vertical="center"/>
      <protection locked="0"/>
    </xf>
    <xf numFmtId="9" fontId="105" fillId="22" borderId="0" xfId="2" applyFont="1" applyFill="1" applyBorder="1" applyAlignment="1" applyProtection="1">
      <alignment horizontal="center" vertical="center"/>
      <protection locked="0"/>
    </xf>
    <xf numFmtId="0" fontId="53" fillId="24" borderId="0" xfId="0" applyFont="1" applyFill="1"/>
    <xf numFmtId="0" fontId="85" fillId="24" borderId="0" xfId="0" applyFont="1" applyFill="1"/>
    <xf numFmtId="0" fontId="103" fillId="24" borderId="0" xfId="0" applyFont="1" applyFill="1"/>
    <xf numFmtId="0" fontId="53" fillId="24" borderId="0" xfId="0" applyFont="1" applyFill="1" applyAlignment="1" applyProtection="1">
      <alignment horizontal="center" vertical="center"/>
      <protection hidden="1"/>
    </xf>
    <xf numFmtId="3" fontId="98" fillId="20" borderId="104" xfId="5" applyNumberFormat="1" applyFont="1" applyFill="1" applyBorder="1" applyAlignment="1" applyProtection="1">
      <alignment horizontal="center" vertical="center"/>
      <protection locked="0"/>
    </xf>
    <xf numFmtId="0" fontId="109" fillId="0" borderId="0" xfId="0" applyFont="1" applyAlignment="1" applyProtection="1">
      <alignment horizontal="right" vertical="center" wrapText="1"/>
      <protection hidden="1"/>
    </xf>
    <xf numFmtId="3" fontId="53" fillId="0" borderId="0" xfId="0" applyNumberFormat="1" applyFont="1" applyAlignment="1" applyProtection="1">
      <alignment horizontal="center" vertical="center"/>
      <protection hidden="1"/>
    </xf>
    <xf numFmtId="0" fontId="84" fillId="0" borderId="0" xfId="0" applyFont="1" applyAlignment="1" applyProtection="1">
      <alignment horizontal="right" vertical="center" wrapText="1"/>
      <protection hidden="1"/>
    </xf>
    <xf numFmtId="3" fontId="57" fillId="3" borderId="1" xfId="0" applyNumberFormat="1" applyFont="1" applyFill="1" applyBorder="1" applyAlignment="1" applyProtection="1">
      <alignment horizontal="center" vertical="center"/>
      <protection hidden="1"/>
    </xf>
    <xf numFmtId="165" fontId="57" fillId="3" borderId="1" xfId="0" applyNumberFormat="1" applyFont="1" applyFill="1" applyBorder="1" applyAlignment="1" applyProtection="1">
      <alignment horizontal="center" vertical="center"/>
      <protection hidden="1"/>
    </xf>
    <xf numFmtId="0" fontId="84" fillId="3" borderId="1" xfId="0" applyFont="1" applyFill="1" applyBorder="1" applyAlignment="1" applyProtection="1">
      <alignment horizontal="right" vertical="center" wrapText="1"/>
      <protection hidden="1"/>
    </xf>
    <xf numFmtId="3" fontId="53" fillId="0" borderId="1" xfId="0" applyNumberFormat="1" applyFont="1" applyBorder="1" applyAlignment="1" applyProtection="1">
      <alignment horizontal="center" vertical="center"/>
      <protection hidden="1"/>
    </xf>
    <xf numFmtId="3" fontId="84" fillId="0" borderId="0" xfId="0" applyNumberFormat="1" applyFont="1" applyAlignment="1" applyProtection="1">
      <alignment horizontal="right" vertical="center" wrapText="1"/>
      <protection hidden="1"/>
    </xf>
    <xf numFmtId="3" fontId="57" fillId="0" borderId="1" xfId="0" applyNumberFormat="1" applyFont="1" applyBorder="1" applyAlignment="1" applyProtection="1">
      <alignment horizontal="center" vertical="center"/>
      <protection hidden="1"/>
    </xf>
    <xf numFmtId="0" fontId="89" fillId="14" borderId="1" xfId="0" applyFont="1" applyFill="1" applyBorder="1" applyAlignment="1" applyProtection="1">
      <alignment horizontal="right" vertical="center" wrapText="1"/>
      <protection hidden="1"/>
    </xf>
    <xf numFmtId="3" fontId="57" fillId="14" borderId="1" xfId="0" applyNumberFormat="1" applyFont="1" applyFill="1" applyBorder="1" applyAlignment="1" applyProtection="1">
      <alignment horizontal="center" vertical="center"/>
      <protection hidden="1"/>
    </xf>
    <xf numFmtId="0" fontId="84" fillId="0" borderId="0" xfId="0" applyFont="1" applyAlignment="1" applyProtection="1">
      <alignment vertical="center"/>
      <protection hidden="1"/>
    </xf>
    <xf numFmtId="0" fontId="84" fillId="14" borderId="1" xfId="0" applyFont="1" applyFill="1" applyBorder="1" applyAlignment="1" applyProtection="1">
      <alignment horizontal="right" vertical="center" wrapText="1"/>
      <protection hidden="1"/>
    </xf>
    <xf numFmtId="3" fontId="53" fillId="14" borderId="1" xfId="0" applyNumberFormat="1" applyFont="1" applyFill="1" applyBorder="1" applyAlignment="1" applyProtection="1">
      <alignment horizontal="center" vertical="center"/>
      <protection hidden="1"/>
    </xf>
    <xf numFmtId="0" fontId="84" fillId="0" borderId="0" xfId="0" applyFont="1" applyAlignment="1" applyProtection="1">
      <alignment horizontal="left" vertical="center" wrapText="1"/>
      <protection hidden="1"/>
    </xf>
    <xf numFmtId="3" fontId="53" fillId="3" borderId="1" xfId="0" applyNumberFormat="1" applyFont="1" applyFill="1" applyBorder="1" applyAlignment="1" applyProtection="1">
      <alignment horizontal="center" vertical="center"/>
      <protection hidden="1"/>
    </xf>
    <xf numFmtId="0" fontId="84" fillId="0" borderId="0" xfId="0" applyFont="1" applyAlignment="1" applyProtection="1">
      <alignment horizontal="left" vertical="center"/>
      <protection hidden="1"/>
    </xf>
    <xf numFmtId="165" fontId="53" fillId="0" borderId="0" xfId="0" applyNumberFormat="1" applyFont="1" applyAlignment="1" applyProtection="1">
      <alignment horizontal="center" vertical="center"/>
      <protection hidden="1"/>
    </xf>
    <xf numFmtId="165" fontId="109" fillId="0" borderId="0" xfId="0" applyNumberFormat="1" applyFont="1" applyAlignment="1" applyProtection="1">
      <alignment horizontal="left" vertical="center"/>
      <protection hidden="1"/>
    </xf>
    <xf numFmtId="165" fontId="85" fillId="0" borderId="0" xfId="0" applyNumberFormat="1" applyFont="1" applyAlignment="1" applyProtection="1">
      <alignment horizontal="center" vertical="center"/>
      <protection hidden="1"/>
    </xf>
    <xf numFmtId="0" fontId="84" fillId="0" borderId="1" xfId="0" applyFont="1" applyBorder="1" applyAlignment="1" applyProtection="1">
      <alignment horizontal="right" vertical="center" wrapText="1"/>
      <protection hidden="1"/>
    </xf>
    <xf numFmtId="165" fontId="53" fillId="0" borderId="1" xfId="0" applyNumberFormat="1" applyFont="1" applyBorder="1" applyAlignment="1" applyProtection="1">
      <alignment horizontal="center" vertical="center"/>
      <protection hidden="1"/>
    </xf>
    <xf numFmtId="165" fontId="109" fillId="0" borderId="0" xfId="0" applyNumberFormat="1" applyFont="1" applyAlignment="1" applyProtection="1">
      <alignment horizontal="right" vertical="center" wrapText="1"/>
      <protection hidden="1"/>
    </xf>
    <xf numFmtId="165" fontId="53" fillId="3" borderId="1" xfId="0" applyNumberFormat="1" applyFont="1" applyFill="1" applyBorder="1" applyAlignment="1" applyProtection="1">
      <alignment horizontal="center" vertical="center"/>
      <protection hidden="1"/>
    </xf>
    <xf numFmtId="0" fontId="109" fillId="0" borderId="0" xfId="0" applyFont="1" applyAlignment="1" applyProtection="1">
      <alignment horizontal="left" vertical="center"/>
      <protection hidden="1"/>
    </xf>
    <xf numFmtId="0" fontId="53" fillId="3" borderId="0" xfId="0" applyFont="1" applyFill="1" applyProtection="1">
      <protection hidden="1"/>
    </xf>
    <xf numFmtId="0" fontId="53" fillId="0" borderId="0" xfId="0" applyFont="1" applyProtection="1">
      <protection hidden="1"/>
    </xf>
    <xf numFmtId="3" fontId="57" fillId="0" borderId="0" xfId="0" applyNumberFormat="1" applyFont="1" applyAlignment="1" applyProtection="1">
      <alignment horizontal="center" vertical="center"/>
      <protection hidden="1"/>
    </xf>
    <xf numFmtId="0" fontId="53" fillId="3" borderId="0" xfId="0" quotePrefix="1" applyFont="1" applyFill="1" applyProtection="1">
      <protection hidden="1"/>
    </xf>
    <xf numFmtId="0" fontId="53" fillId="4" borderId="0" xfId="0" applyFont="1" applyFill="1" applyProtection="1">
      <protection hidden="1"/>
    </xf>
    <xf numFmtId="0" fontId="53" fillId="4" borderId="0" xfId="0" applyFont="1" applyFill="1"/>
    <xf numFmtId="0" fontId="57" fillId="8" borderId="0" xfId="0" applyFont="1" applyFill="1" applyAlignment="1" applyProtection="1">
      <alignment horizontal="center" vertical="center" wrapText="1"/>
      <protection hidden="1"/>
    </xf>
    <xf numFmtId="0" fontId="57" fillId="0" borderId="0" xfId="0" applyFont="1" applyAlignment="1" applyProtection="1">
      <alignment vertical="center" wrapText="1"/>
      <protection hidden="1"/>
    </xf>
    <xf numFmtId="0" fontId="53" fillId="4" borderId="0" xfId="0" applyFont="1" applyFill="1" applyAlignment="1" applyProtection="1">
      <alignment horizontal="center" vertical="center"/>
      <protection hidden="1"/>
    </xf>
    <xf numFmtId="0" fontId="121" fillId="23" borderId="0" xfId="0" applyFont="1" applyFill="1"/>
    <xf numFmtId="0" fontId="122" fillId="23" borderId="0" xfId="0" applyFont="1" applyFill="1"/>
    <xf numFmtId="0" fontId="106" fillId="0" borderId="0" xfId="0" applyFont="1"/>
    <xf numFmtId="0" fontId="106" fillId="4" borderId="0" xfId="0" applyFont="1" applyFill="1"/>
    <xf numFmtId="0" fontId="123" fillId="4" borderId="0" xfId="0" applyFont="1" applyFill="1" applyAlignment="1">
      <alignment vertical="center"/>
    </xf>
    <xf numFmtId="0" fontId="124" fillId="4" borderId="0" xfId="0" applyFont="1" applyFill="1"/>
    <xf numFmtId="0" fontId="125" fillId="4" borderId="0" xfId="0" applyFont="1" applyFill="1" applyAlignment="1">
      <alignment vertical="center"/>
    </xf>
    <xf numFmtId="0" fontId="107" fillId="4" borderId="0" xfId="0" applyFont="1" applyFill="1" applyAlignment="1" applyProtection="1">
      <alignment horizontal="center" vertical="center"/>
      <protection hidden="1"/>
    </xf>
    <xf numFmtId="0" fontId="107" fillId="4" borderId="0" xfId="0" applyFont="1" applyFill="1"/>
    <xf numFmtId="3" fontId="108" fillId="0" borderId="0" xfId="0" applyNumberFormat="1" applyFont="1" applyAlignment="1" applyProtection="1">
      <alignment horizontal="center" vertical="center"/>
      <protection hidden="1"/>
    </xf>
    <xf numFmtId="0" fontId="107" fillId="0" borderId="0" xfId="0" applyFont="1" applyProtection="1">
      <protection hidden="1"/>
    </xf>
    <xf numFmtId="0" fontId="107" fillId="3" borderId="0" xfId="0" applyFont="1" applyFill="1" applyProtection="1">
      <protection hidden="1"/>
    </xf>
    <xf numFmtId="0" fontId="57" fillId="4" borderId="0" xfId="0" applyFont="1" applyFill="1" applyAlignment="1" applyProtection="1">
      <alignment horizontal="center" vertical="center"/>
      <protection hidden="1"/>
    </xf>
    <xf numFmtId="0" fontId="107" fillId="4" borderId="0" xfId="0" applyFont="1" applyFill="1" applyProtection="1">
      <protection hidden="1"/>
    </xf>
    <xf numFmtId="0" fontId="81" fillId="10" borderId="0" xfId="0" applyFont="1" applyFill="1" applyAlignment="1" applyProtection="1">
      <alignment horizontal="center" vertical="center"/>
      <protection hidden="1"/>
    </xf>
    <xf numFmtId="0" fontId="53" fillId="23" borderId="0" xfId="0" applyFont="1" applyFill="1" applyAlignment="1" applyProtection="1">
      <alignment horizontal="center" vertical="center"/>
      <protection hidden="1"/>
    </xf>
    <xf numFmtId="0" fontId="53" fillId="23" borderId="0" xfId="0" applyFont="1" applyFill="1"/>
    <xf numFmtId="0" fontId="122" fillId="4" borderId="0" xfId="0" applyFont="1" applyFill="1" applyAlignment="1" applyProtection="1">
      <alignment horizontal="center" vertical="center"/>
      <protection hidden="1"/>
    </xf>
    <xf numFmtId="0" fontId="81" fillId="4" borderId="0" xfId="0" applyFont="1" applyFill="1" applyAlignment="1" applyProtection="1">
      <alignment horizontal="center" vertical="center"/>
      <protection hidden="1"/>
    </xf>
    <xf numFmtId="0" fontId="84" fillId="4" borderId="5" xfId="0" applyFont="1" applyFill="1" applyBorder="1" applyAlignment="1" applyProtection="1">
      <alignment horizontal="right" vertical="center" wrapText="1"/>
      <protection hidden="1"/>
    </xf>
    <xf numFmtId="3" fontId="53" fillId="4" borderId="5" xfId="0" applyNumberFormat="1" applyFont="1" applyFill="1" applyBorder="1" applyAlignment="1" applyProtection="1">
      <alignment horizontal="center" vertical="center"/>
      <protection hidden="1"/>
    </xf>
    <xf numFmtId="0" fontId="84" fillId="4" borderId="0" xfId="0" applyFont="1" applyFill="1" applyAlignment="1" applyProtection="1">
      <alignment horizontal="right" vertical="center" wrapText="1"/>
      <protection hidden="1"/>
    </xf>
    <xf numFmtId="3" fontId="53" fillId="4" borderId="0" xfId="0" applyNumberFormat="1" applyFont="1" applyFill="1" applyAlignment="1" applyProtection="1">
      <alignment horizontal="center" vertical="center"/>
      <protection hidden="1"/>
    </xf>
    <xf numFmtId="0" fontId="126" fillId="3" borderId="1" xfId="0" applyFont="1" applyFill="1" applyBorder="1" applyAlignment="1" applyProtection="1">
      <alignment horizontal="right" vertical="center" wrapText="1"/>
      <protection hidden="1"/>
    </xf>
    <xf numFmtId="0" fontId="57" fillId="4" borderId="2" xfId="0" applyFont="1" applyFill="1" applyBorder="1" applyAlignment="1" applyProtection="1">
      <alignment horizontal="center" vertical="center"/>
      <protection hidden="1"/>
    </xf>
    <xf numFmtId="0" fontId="57" fillId="4" borderId="5" xfId="0" applyFont="1" applyFill="1" applyBorder="1" applyAlignment="1" applyProtection="1">
      <alignment horizontal="center" vertical="center"/>
      <protection hidden="1"/>
    </xf>
    <xf numFmtId="0" fontId="58" fillId="4" borderId="5" xfId="0" applyFont="1" applyFill="1" applyBorder="1" applyAlignment="1" applyProtection="1">
      <alignment horizontal="center" vertical="center" wrapText="1"/>
      <protection hidden="1"/>
    </xf>
    <xf numFmtId="3" fontId="58" fillId="14" borderId="1" xfId="0" applyNumberFormat="1" applyFont="1" applyFill="1" applyBorder="1" applyAlignment="1" applyProtection="1">
      <alignment horizontal="center" vertical="center"/>
      <protection hidden="1"/>
    </xf>
    <xf numFmtId="3" fontId="91" fillId="14" borderId="1" xfId="0" applyNumberFormat="1" applyFont="1" applyFill="1" applyBorder="1" applyAlignment="1" applyProtection="1">
      <alignment horizontal="center" vertical="center"/>
      <protection hidden="1"/>
    </xf>
    <xf numFmtId="0" fontId="87" fillId="4" borderId="5" xfId="0" applyFont="1" applyFill="1" applyBorder="1" applyAlignment="1" applyProtection="1">
      <alignment horizontal="right" vertical="center" wrapText="1"/>
      <protection hidden="1"/>
    </xf>
    <xf numFmtId="3" fontId="91" fillId="4" borderId="5" xfId="0" applyNumberFormat="1" applyFont="1" applyFill="1" applyBorder="1" applyAlignment="1" applyProtection="1">
      <alignment horizontal="center" vertical="center"/>
      <protection hidden="1"/>
    </xf>
    <xf numFmtId="0" fontId="118" fillId="4" borderId="53" xfId="0" applyFont="1" applyFill="1" applyBorder="1" applyAlignment="1" applyProtection="1">
      <alignment horizontal="right" vertical="center" wrapText="1"/>
      <protection hidden="1"/>
    </xf>
    <xf numFmtId="3" fontId="119" fillId="4" borderId="53" xfId="0" applyNumberFormat="1" applyFont="1" applyFill="1" applyBorder="1" applyAlignment="1" applyProtection="1">
      <alignment horizontal="center" vertical="center"/>
      <protection hidden="1"/>
    </xf>
    <xf numFmtId="0" fontId="57" fillId="4" borderId="2" xfId="0" applyFont="1" applyFill="1" applyBorder="1" applyAlignment="1" applyProtection="1">
      <alignment horizontal="center" vertical="center" wrapText="1"/>
      <protection hidden="1"/>
    </xf>
    <xf numFmtId="0" fontId="114" fillId="4" borderId="53" xfId="0" applyFont="1" applyFill="1" applyBorder="1" applyAlignment="1" applyProtection="1">
      <alignment horizontal="right" vertical="center" wrapText="1"/>
      <protection hidden="1"/>
    </xf>
    <xf numFmtId="3" fontId="115" fillId="4" borderId="53" xfId="0" applyNumberFormat="1" applyFont="1" applyFill="1" applyBorder="1" applyAlignment="1" applyProtection="1">
      <alignment horizontal="center" vertical="center"/>
      <protection hidden="1"/>
    </xf>
    <xf numFmtId="0" fontId="116" fillId="4" borderId="2" xfId="0" applyFont="1" applyFill="1" applyBorder="1" applyAlignment="1" applyProtection="1">
      <alignment horizontal="center" vertical="center" wrapText="1"/>
      <protection hidden="1"/>
    </xf>
    <xf numFmtId="0" fontId="111" fillId="14" borderId="1" xfId="0" applyFont="1" applyFill="1" applyBorder="1" applyAlignment="1" applyProtection="1">
      <alignment horizontal="right" vertical="center" wrapText="1"/>
      <protection hidden="1"/>
    </xf>
    <xf numFmtId="0" fontId="87" fillId="14" borderId="1" xfId="0" applyFont="1" applyFill="1" applyBorder="1" applyAlignment="1" applyProtection="1">
      <alignment horizontal="right" vertical="center" wrapText="1"/>
      <protection hidden="1"/>
    </xf>
    <xf numFmtId="0" fontId="113" fillId="14" borderId="1" xfId="0" applyFont="1" applyFill="1" applyBorder="1" applyAlignment="1" applyProtection="1">
      <alignment horizontal="right" vertical="center" wrapText="1"/>
      <protection hidden="1"/>
    </xf>
    <xf numFmtId="3" fontId="112" fillId="14" borderId="1" xfId="0" applyNumberFormat="1" applyFont="1" applyFill="1" applyBorder="1" applyAlignment="1" applyProtection="1">
      <alignment horizontal="center" vertical="center"/>
      <protection hidden="1"/>
    </xf>
    <xf numFmtId="0" fontId="114" fillId="14" borderId="1" xfId="0" applyFont="1" applyFill="1" applyBorder="1" applyAlignment="1" applyProtection="1">
      <alignment horizontal="right" vertical="center" wrapText="1"/>
      <protection hidden="1"/>
    </xf>
    <xf numFmtId="3" fontId="115" fillId="14" borderId="1" xfId="0" applyNumberFormat="1" applyFont="1" applyFill="1" applyBorder="1" applyAlignment="1" applyProtection="1">
      <alignment horizontal="center" vertical="center"/>
      <protection hidden="1"/>
    </xf>
    <xf numFmtId="0" fontId="117" fillId="14" borderId="1" xfId="0" applyFont="1" applyFill="1" applyBorder="1" applyAlignment="1" applyProtection="1">
      <alignment horizontal="right" vertical="center" wrapText="1"/>
      <protection hidden="1"/>
    </xf>
    <xf numFmtId="3" fontId="116" fillId="14" borderId="1" xfId="0" applyNumberFormat="1" applyFont="1" applyFill="1" applyBorder="1" applyAlignment="1" applyProtection="1">
      <alignment horizontal="center" vertical="center"/>
      <protection hidden="1"/>
    </xf>
    <xf numFmtId="0" fontId="118" fillId="14" borderId="1" xfId="0" applyFont="1" applyFill="1" applyBorder="1" applyAlignment="1" applyProtection="1">
      <alignment horizontal="right" vertical="center" wrapText="1"/>
      <protection hidden="1"/>
    </xf>
    <xf numFmtId="3" fontId="119" fillId="14" borderId="1" xfId="0" applyNumberFormat="1" applyFont="1" applyFill="1" applyBorder="1" applyAlignment="1" applyProtection="1">
      <alignment horizontal="center" vertical="center"/>
      <protection hidden="1"/>
    </xf>
    <xf numFmtId="0" fontId="84" fillId="4" borderId="53" xfId="0" applyFont="1" applyFill="1" applyBorder="1" applyAlignment="1" applyProtection="1">
      <alignment horizontal="right" vertical="center" wrapText="1"/>
      <protection hidden="1"/>
    </xf>
    <xf numFmtId="3" fontId="53" fillId="4" borderId="53" xfId="0" applyNumberFormat="1" applyFont="1" applyFill="1" applyBorder="1" applyAlignment="1" applyProtection="1">
      <alignment horizontal="center" vertical="center"/>
      <protection hidden="1"/>
    </xf>
    <xf numFmtId="0" fontId="126" fillId="0" borderId="1" xfId="0" applyFont="1" applyBorder="1" applyAlignment="1" applyProtection="1">
      <alignment horizontal="right" vertical="center" wrapText="1"/>
      <protection hidden="1"/>
    </xf>
    <xf numFmtId="165" fontId="85" fillId="4" borderId="53" xfId="0" applyNumberFormat="1" applyFont="1" applyFill="1" applyBorder="1" applyAlignment="1" applyProtection="1">
      <alignment horizontal="center" vertical="center"/>
      <protection hidden="1"/>
    </xf>
    <xf numFmtId="165" fontId="53" fillId="4" borderId="53" xfId="0" applyNumberFormat="1" applyFont="1" applyFill="1" applyBorder="1" applyAlignment="1" applyProtection="1">
      <alignment horizontal="center" vertical="center"/>
      <protection hidden="1"/>
    </xf>
    <xf numFmtId="0" fontId="93" fillId="4" borderId="0" xfId="0" applyFont="1" applyFill="1" applyAlignment="1" applyProtection="1">
      <alignment horizontal="center" vertical="center" wrapText="1"/>
      <protection hidden="1"/>
    </xf>
    <xf numFmtId="0" fontId="57" fillId="4" borderId="0" xfId="0" applyFont="1" applyFill="1" applyAlignment="1" applyProtection="1">
      <alignment horizontal="center" vertical="center" wrapText="1"/>
      <protection hidden="1"/>
    </xf>
    <xf numFmtId="165" fontId="53" fillId="4" borderId="0" xfId="0" applyNumberFormat="1" applyFont="1" applyFill="1" applyAlignment="1" applyProtection="1">
      <alignment horizontal="center" vertical="center"/>
      <protection hidden="1"/>
    </xf>
    <xf numFmtId="3" fontId="57" fillId="4" borderId="0" xfId="0" applyNumberFormat="1" applyFont="1" applyFill="1" applyAlignment="1" applyProtection="1">
      <alignment horizontal="center" vertical="center"/>
      <protection hidden="1"/>
    </xf>
    <xf numFmtId="0" fontId="108" fillId="4" borderId="0" xfId="0" applyFont="1" applyFill="1" applyAlignment="1" applyProtection="1">
      <alignment horizontal="center" vertical="center" wrapText="1"/>
      <protection hidden="1"/>
    </xf>
    <xf numFmtId="3" fontId="53" fillId="4" borderId="2" xfId="0" applyNumberFormat="1" applyFont="1" applyFill="1" applyBorder="1" applyAlignment="1" applyProtection="1">
      <alignment horizontal="center" vertical="center"/>
      <protection hidden="1"/>
    </xf>
    <xf numFmtId="0" fontId="57" fillId="4" borderId="53" xfId="0" applyFont="1" applyFill="1" applyBorder="1" applyAlignment="1" applyProtection="1">
      <alignment horizontal="center" vertical="center"/>
      <protection hidden="1"/>
    </xf>
    <xf numFmtId="165" fontId="57" fillId="4" borderId="0" xfId="0" applyNumberFormat="1" applyFont="1" applyFill="1" applyAlignment="1" applyProtection="1">
      <alignment horizontal="center" vertical="center"/>
      <protection hidden="1"/>
    </xf>
    <xf numFmtId="0" fontId="58" fillId="4" borderId="53" xfId="0" applyFont="1" applyFill="1" applyBorder="1" applyAlignment="1" applyProtection="1">
      <alignment horizontal="center" vertical="center" wrapText="1"/>
      <protection hidden="1"/>
    </xf>
    <xf numFmtId="3" fontId="91" fillId="4" borderId="2" xfId="0" applyNumberFormat="1" applyFont="1" applyFill="1" applyBorder="1" applyAlignment="1" applyProtection="1">
      <alignment horizontal="center" vertical="center"/>
      <protection hidden="1"/>
    </xf>
    <xf numFmtId="3" fontId="58" fillId="4" borderId="0" xfId="0" applyNumberFormat="1" applyFont="1" applyFill="1" applyAlignment="1" applyProtection="1">
      <alignment horizontal="center" vertical="center"/>
      <protection hidden="1"/>
    </xf>
    <xf numFmtId="3" fontId="91" fillId="4" borderId="0" xfId="0" applyNumberFormat="1" applyFont="1" applyFill="1" applyAlignment="1" applyProtection="1">
      <alignment horizontal="center" vertical="center"/>
      <protection hidden="1"/>
    </xf>
    <xf numFmtId="3" fontId="115" fillId="4" borderId="0" xfId="0" applyNumberFormat="1" applyFont="1" applyFill="1" applyAlignment="1" applyProtection="1">
      <alignment horizontal="center" vertical="center"/>
      <protection hidden="1"/>
    </xf>
    <xf numFmtId="3" fontId="112" fillId="4" borderId="0" xfId="0" applyNumberFormat="1" applyFont="1" applyFill="1" applyAlignment="1" applyProtection="1">
      <alignment horizontal="center" vertical="center"/>
      <protection hidden="1"/>
    </xf>
    <xf numFmtId="0" fontId="116" fillId="4" borderId="0" xfId="0" applyFont="1" applyFill="1" applyAlignment="1" applyProtection="1">
      <alignment horizontal="center" vertical="center" wrapText="1"/>
      <protection hidden="1"/>
    </xf>
    <xf numFmtId="3" fontId="119" fillId="4" borderId="0" xfId="0" applyNumberFormat="1" applyFont="1" applyFill="1" applyAlignment="1" applyProtection="1">
      <alignment horizontal="center" vertical="center"/>
      <protection hidden="1"/>
    </xf>
    <xf numFmtId="3" fontId="116" fillId="4" borderId="0" xfId="0" applyNumberFormat="1" applyFont="1" applyFill="1" applyAlignment="1" applyProtection="1">
      <alignment horizontal="center" vertical="center"/>
      <protection hidden="1"/>
    </xf>
    <xf numFmtId="165" fontId="85" fillId="4" borderId="0" xfId="0" applyNumberFormat="1" applyFont="1" applyFill="1" applyAlignment="1" applyProtection="1">
      <alignment horizontal="center" vertical="center"/>
      <protection hidden="1"/>
    </xf>
    <xf numFmtId="0" fontId="112" fillId="4" borderId="0" xfId="0" applyFont="1" applyFill="1" applyAlignment="1" applyProtection="1">
      <alignment horizontal="center" vertical="center" wrapText="1"/>
      <protection hidden="1"/>
    </xf>
    <xf numFmtId="0" fontId="112" fillId="4" borderId="2" xfId="0" applyFont="1" applyFill="1" applyBorder="1" applyAlignment="1" applyProtection="1">
      <alignment horizontal="center" vertical="center" wrapText="1"/>
      <protection hidden="1"/>
    </xf>
    <xf numFmtId="0" fontId="108" fillId="8" borderId="1" xfId="0" applyFont="1" applyFill="1" applyBorder="1" applyAlignment="1" applyProtection="1">
      <alignment horizontal="center" vertical="center" wrapText="1"/>
      <protection hidden="1"/>
    </xf>
    <xf numFmtId="0" fontId="53" fillId="24" borderId="0" xfId="0" applyFont="1" applyFill="1" applyProtection="1">
      <protection hidden="1"/>
    </xf>
    <xf numFmtId="0" fontId="106" fillId="24" borderId="0" xfId="0" applyFont="1" applyFill="1"/>
    <xf numFmtId="0" fontId="53" fillId="18" borderId="0" xfId="0" applyFont="1" applyFill="1"/>
    <xf numFmtId="0" fontId="57" fillId="18" borderId="0" xfId="0" applyFont="1" applyFill="1"/>
    <xf numFmtId="0" fontId="53" fillId="18" borderId="0" xfId="0" applyFont="1" applyFill="1" applyAlignment="1">
      <alignment horizontal="center" vertical="center"/>
    </xf>
    <xf numFmtId="169" fontId="53" fillId="18" borderId="0" xfId="4" applyNumberFormat="1" applyFont="1" applyFill="1" applyAlignment="1">
      <alignment horizontal="center" vertical="center"/>
    </xf>
    <xf numFmtId="0" fontId="53" fillId="18" borderId="0" xfId="0" applyFont="1" applyFill="1" applyAlignment="1">
      <alignment horizontal="center" vertical="top" wrapText="1"/>
    </xf>
    <xf numFmtId="0" fontId="130" fillId="19" borderId="0" xfId="0" applyFont="1" applyFill="1" applyAlignment="1">
      <alignment vertical="center"/>
    </xf>
    <xf numFmtId="0" fontId="53" fillId="3" borderId="1" xfId="0" applyFont="1" applyFill="1" applyBorder="1" applyAlignment="1">
      <alignment horizontal="center" vertical="center"/>
    </xf>
    <xf numFmtId="0" fontId="53" fillId="3" borderId="1" xfId="0" applyFont="1" applyFill="1" applyBorder="1" applyAlignment="1">
      <alignment horizontal="center" vertical="center" wrapText="1"/>
    </xf>
    <xf numFmtId="0" fontId="130" fillId="18" borderId="0" xfId="0" applyFont="1" applyFill="1"/>
    <xf numFmtId="0" fontId="53" fillId="0" borderId="0" xfId="0" applyFont="1" applyAlignment="1">
      <alignment vertical="center"/>
    </xf>
    <xf numFmtId="0" fontId="53" fillId="18" borderId="0" xfId="0" applyFont="1" applyFill="1" applyAlignment="1">
      <alignment vertical="center"/>
    </xf>
    <xf numFmtId="0" fontId="53" fillId="18" borderId="0" xfId="0" applyFont="1" applyFill="1" applyAlignment="1">
      <alignment horizontal="center" vertical="center" wrapText="1"/>
    </xf>
    <xf numFmtId="169" fontId="53" fillId="18" borderId="0" xfId="4" applyNumberFormat="1" applyFont="1" applyFill="1" applyBorder="1" applyAlignment="1">
      <alignment horizontal="center" vertical="center"/>
    </xf>
    <xf numFmtId="0" fontId="53" fillId="3" borderId="3" xfId="0" applyFont="1" applyFill="1" applyBorder="1" applyAlignment="1">
      <alignment horizontal="center" vertical="center"/>
    </xf>
    <xf numFmtId="0" fontId="53" fillId="8" borderId="0" xfId="0" applyFont="1" applyFill="1" applyAlignment="1">
      <alignment horizontal="left" wrapText="1" indent="1"/>
    </xf>
    <xf numFmtId="0" fontId="53" fillId="3" borderId="0" xfId="0" applyFont="1" applyFill="1" applyAlignment="1">
      <alignment horizontal="left" wrapText="1" indent="1"/>
    </xf>
    <xf numFmtId="0" fontId="53" fillId="8" borderId="0" xfId="0" applyFont="1" applyFill="1" applyAlignment="1">
      <alignment horizontal="left" vertical="top" wrapText="1" indent="1"/>
    </xf>
    <xf numFmtId="0" fontId="53" fillId="3" borderId="0" xfId="0" applyFont="1" applyFill="1" applyAlignment="1">
      <alignment horizontal="left" vertical="top" wrapText="1" indent="1"/>
    </xf>
    <xf numFmtId="0" fontId="132" fillId="4" borderId="0" xfId="0" applyFont="1" applyFill="1" applyAlignment="1" applyProtection="1">
      <alignment horizontal="center" vertical="center" wrapText="1"/>
      <protection hidden="1"/>
    </xf>
    <xf numFmtId="0" fontId="53" fillId="4" borderId="0" xfId="0" applyFont="1" applyFill="1" applyAlignment="1" applyProtection="1">
      <alignment horizontal="center" vertical="center" wrapText="1"/>
      <protection hidden="1"/>
    </xf>
    <xf numFmtId="0" fontId="53" fillId="4" borderId="0" xfId="0" applyFont="1" applyFill="1" applyAlignment="1">
      <alignment wrapText="1"/>
    </xf>
    <xf numFmtId="0" fontId="53" fillId="0" borderId="0" xfId="0" applyFont="1" applyAlignment="1" applyProtection="1">
      <alignment wrapText="1"/>
      <protection hidden="1"/>
    </xf>
    <xf numFmtId="0" fontId="53" fillId="3" borderId="0" xfId="0" applyFont="1" applyFill="1" applyAlignment="1" applyProtection="1">
      <alignment wrapText="1"/>
      <protection hidden="1"/>
    </xf>
    <xf numFmtId="170" fontId="83" fillId="20" borderId="1" xfId="0" applyNumberFormat="1" applyFont="1" applyFill="1" applyBorder="1" applyAlignment="1" applyProtection="1">
      <alignment horizontal="center" vertical="center" wrapText="1"/>
      <protection locked="0"/>
    </xf>
    <xf numFmtId="170" fontId="83" fillId="20" borderId="104" xfId="2" applyNumberFormat="1" applyFont="1" applyFill="1" applyBorder="1" applyAlignment="1" applyProtection="1">
      <alignment horizontal="center" vertical="center"/>
      <protection locked="0"/>
    </xf>
    <xf numFmtId="170" fontId="83" fillId="20" borderId="53" xfId="0" applyNumberFormat="1" applyFont="1" applyFill="1" applyBorder="1" applyAlignment="1" applyProtection="1">
      <alignment horizontal="center" vertical="center"/>
      <protection locked="0"/>
    </xf>
    <xf numFmtId="170" fontId="83" fillId="20" borderId="54" xfId="0" applyNumberFormat="1" applyFont="1" applyFill="1" applyBorder="1" applyAlignment="1" applyProtection="1">
      <alignment horizontal="center" vertical="center"/>
      <protection locked="0"/>
    </xf>
    <xf numFmtId="170" fontId="83" fillId="20" borderId="52" xfId="0" applyNumberFormat="1" applyFont="1" applyFill="1" applyBorder="1" applyAlignment="1" applyProtection="1">
      <alignment horizontal="center" vertical="center"/>
      <protection locked="0"/>
    </xf>
    <xf numFmtId="170" fontId="98" fillId="3" borderId="2" xfId="1" applyNumberFormat="1" applyFont="1" applyFill="1" applyBorder="1" applyAlignment="1" applyProtection="1">
      <alignment horizontal="center" vertical="center"/>
      <protection hidden="1"/>
    </xf>
    <xf numFmtId="170" fontId="98" fillId="3" borderId="51" xfId="1" applyNumberFormat="1" applyFont="1" applyFill="1" applyBorder="1" applyAlignment="1" applyProtection="1">
      <alignment horizontal="center" vertical="center"/>
      <protection hidden="1"/>
    </xf>
    <xf numFmtId="170" fontId="98" fillId="3" borderId="61" xfId="1" applyNumberFormat="1" applyFont="1" applyFill="1" applyBorder="1" applyAlignment="1" applyProtection="1">
      <alignment horizontal="center" vertical="center"/>
      <protection hidden="1"/>
    </xf>
    <xf numFmtId="170" fontId="98" fillId="3" borderId="57" xfId="1" applyNumberFormat="1" applyFont="1" applyFill="1" applyBorder="1" applyAlignment="1" applyProtection="1">
      <alignment horizontal="center" vertical="center"/>
      <protection hidden="1"/>
    </xf>
    <xf numFmtId="171" fontId="83" fillId="20" borderId="1" xfId="0" applyNumberFormat="1" applyFont="1" applyFill="1" applyBorder="1" applyAlignment="1" applyProtection="1">
      <alignment horizontal="center" vertical="center" wrapText="1"/>
      <protection locked="0"/>
    </xf>
    <xf numFmtId="171" fontId="83" fillId="20" borderId="49" xfId="0" applyNumberFormat="1" applyFont="1" applyFill="1" applyBorder="1" applyAlignment="1" applyProtection="1">
      <alignment horizontal="center" vertical="center" wrapText="1"/>
      <protection locked="0"/>
    </xf>
    <xf numFmtId="171" fontId="57" fillId="3" borderId="1" xfId="0" applyNumberFormat="1" applyFont="1" applyFill="1" applyBorder="1" applyAlignment="1" applyProtection="1">
      <alignment horizontal="center" vertical="center"/>
      <protection hidden="1"/>
    </xf>
    <xf numFmtId="171" fontId="57" fillId="4" borderId="0" xfId="0" applyNumberFormat="1" applyFont="1" applyFill="1" applyAlignment="1" applyProtection="1">
      <alignment horizontal="center" vertical="center"/>
      <protection hidden="1"/>
    </xf>
    <xf numFmtId="171" fontId="53" fillId="0" borderId="1" xfId="0" applyNumberFormat="1" applyFont="1" applyBorder="1" applyAlignment="1" applyProtection="1">
      <alignment horizontal="center" vertical="center"/>
      <protection hidden="1"/>
    </xf>
    <xf numFmtId="171" fontId="53" fillId="4" borderId="0" xfId="0" applyNumberFormat="1" applyFont="1" applyFill="1" applyAlignment="1" applyProtection="1">
      <alignment horizontal="center" vertical="center"/>
      <protection hidden="1"/>
    </xf>
    <xf numFmtId="171" fontId="53" fillId="3" borderId="1" xfId="0" applyNumberFormat="1" applyFont="1" applyFill="1" applyBorder="1" applyAlignment="1" applyProtection="1">
      <alignment horizontal="center" vertical="center"/>
      <protection hidden="1"/>
    </xf>
    <xf numFmtId="170" fontId="0" fillId="0" borderId="0" xfId="0" applyNumberFormat="1" applyAlignment="1">
      <alignment horizontal="center" vertical="center"/>
    </xf>
    <xf numFmtId="0" fontId="19" fillId="3" borderId="0" xfId="0" applyFont="1" applyFill="1" applyAlignment="1" applyProtection="1">
      <alignment horizontal="center" vertical="center" wrapText="1"/>
      <protection hidden="1"/>
    </xf>
    <xf numFmtId="0" fontId="28"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24" fillId="3" borderId="5" xfId="0" applyFont="1" applyFill="1" applyBorder="1" applyAlignment="1" applyProtection="1">
      <alignment horizontal="center" vertical="center" wrapText="1"/>
      <protection hidden="1"/>
    </xf>
    <xf numFmtId="0" fontId="24" fillId="3" borderId="4" xfId="0" applyFont="1" applyFill="1" applyBorder="1" applyAlignment="1" applyProtection="1">
      <alignment horizontal="center" vertical="center" wrapText="1"/>
      <protection hidden="1"/>
    </xf>
    <xf numFmtId="0" fontId="30" fillId="3" borderId="52" xfId="0" applyFont="1" applyFill="1" applyBorder="1" applyAlignment="1" applyProtection="1">
      <alignment horizontal="center" vertical="center" wrapText="1"/>
      <protection hidden="1"/>
    </xf>
    <xf numFmtId="0" fontId="24" fillId="3" borderId="49" xfId="0" applyFont="1" applyFill="1" applyBorder="1" applyAlignment="1" applyProtection="1">
      <alignment horizontal="center" vertical="center" wrapText="1"/>
      <protection hidden="1"/>
    </xf>
    <xf numFmtId="0" fontId="24" fillId="3" borderId="51" xfId="0" applyFont="1" applyFill="1" applyBorder="1" applyAlignment="1" applyProtection="1">
      <alignment horizontal="center" vertical="center" wrapText="1"/>
      <protection hidden="1"/>
    </xf>
    <xf numFmtId="0" fontId="24" fillId="3" borderId="0" xfId="0" applyFont="1" applyFill="1" applyAlignment="1" applyProtection="1">
      <alignment horizontal="center" vertical="center" wrapText="1"/>
      <protection hidden="1"/>
    </xf>
    <xf numFmtId="0" fontId="30" fillId="3" borderId="53" xfId="0" applyFont="1" applyFill="1" applyBorder="1" applyAlignment="1" applyProtection="1">
      <alignment horizontal="center" vertical="center" wrapText="1"/>
      <protection hidden="1"/>
    </xf>
    <xf numFmtId="0" fontId="30" fillId="3" borderId="0" xfId="0" applyFont="1" applyFill="1" applyAlignment="1" applyProtection="1">
      <alignment horizontal="center" vertical="center" wrapText="1"/>
      <protection hidden="1"/>
    </xf>
    <xf numFmtId="0" fontId="66" fillId="3" borderId="0" xfId="0" applyFont="1" applyFill="1" applyAlignment="1">
      <alignment horizontal="left" vertical="center" wrapText="1"/>
    </xf>
    <xf numFmtId="0" fontId="64" fillId="3" borderId="0" xfId="0" applyFont="1" applyFill="1" applyAlignment="1">
      <alignment horizontal="left" vertical="center" wrapText="1"/>
    </xf>
    <xf numFmtId="0" fontId="53" fillId="18" borderId="0" xfId="0" applyFont="1" applyFill="1" applyAlignment="1">
      <alignment horizontal="left" vertical="top" wrapText="1"/>
    </xf>
    <xf numFmtId="0" fontId="84" fillId="3" borderId="104" xfId="0" applyFont="1" applyFill="1" applyBorder="1" applyAlignment="1" applyProtection="1">
      <alignment horizontal="left" vertical="center" wrapText="1"/>
      <protection hidden="1"/>
    </xf>
    <xf numFmtId="0" fontId="57" fillId="3" borderId="104" xfId="0" applyFont="1" applyFill="1" applyBorder="1" applyAlignment="1" applyProtection="1">
      <alignment horizontal="center" vertical="center" wrapText="1"/>
      <protection hidden="1"/>
    </xf>
    <xf numFmtId="0" fontId="53" fillId="18" borderId="0" xfId="0" applyFont="1" applyFill="1" applyAlignment="1" applyProtection="1">
      <alignment horizontal="center" vertical="center" wrapText="1"/>
      <protection hidden="1"/>
    </xf>
    <xf numFmtId="9" fontId="83" fillId="20" borderId="104" xfId="2" applyFont="1" applyFill="1" applyBorder="1" applyAlignment="1" applyProtection="1">
      <alignment horizontal="center" vertical="center"/>
      <protection locked="0"/>
    </xf>
    <xf numFmtId="0" fontId="84" fillId="18" borderId="0" xfId="0" applyFont="1" applyFill="1" applyAlignment="1" applyProtection="1">
      <alignment horizontal="center" vertical="center" wrapText="1"/>
      <protection hidden="1"/>
    </xf>
    <xf numFmtId="0" fontId="84" fillId="3" borderId="104" xfId="0" applyFont="1" applyFill="1" applyBorder="1" applyAlignment="1" applyProtection="1">
      <alignment horizontal="center" vertical="center" wrapText="1"/>
      <protection hidden="1"/>
    </xf>
    <xf numFmtId="0" fontId="84" fillId="3" borderId="104" xfId="0" applyFont="1" applyFill="1" applyBorder="1" applyAlignment="1" applyProtection="1">
      <alignment horizontal="center" vertical="center"/>
      <protection hidden="1"/>
    </xf>
    <xf numFmtId="0" fontId="85" fillId="3" borderId="0" xfId="0" applyFont="1" applyFill="1" applyAlignment="1" applyProtection="1">
      <alignment horizontal="center" vertical="center" wrapText="1"/>
      <protection hidden="1"/>
    </xf>
    <xf numFmtId="0" fontId="57" fillId="3" borderId="0" xfId="0" applyFont="1" applyFill="1" applyAlignment="1" applyProtection="1">
      <alignment horizontal="center" vertical="center"/>
      <protection hidden="1"/>
    </xf>
    <xf numFmtId="0" fontId="57" fillId="3" borderId="0" xfId="0" applyFont="1" applyFill="1" applyAlignment="1" applyProtection="1">
      <alignment horizontal="center" vertical="center" wrapText="1"/>
      <protection hidden="1"/>
    </xf>
    <xf numFmtId="0" fontId="57" fillId="0" borderId="104" xfId="0" applyFont="1" applyBorder="1" applyAlignment="1" applyProtection="1">
      <alignment horizontal="center" vertical="center" wrapText="1"/>
      <protection hidden="1"/>
    </xf>
    <xf numFmtId="9" fontId="98" fillId="20" borderId="104" xfId="2" applyFont="1" applyFill="1" applyBorder="1" applyAlignment="1" applyProtection="1">
      <alignment horizontal="center" vertical="center"/>
      <protection locked="0"/>
    </xf>
    <xf numFmtId="0" fontId="57" fillId="3" borderId="0" xfId="0" applyFont="1" applyFill="1" applyAlignment="1" applyProtection="1">
      <alignment horizontal="left" vertical="center" indent="1"/>
      <protection hidden="1"/>
    </xf>
    <xf numFmtId="0" fontId="57" fillId="3" borderId="49" xfId="0" applyFont="1" applyFill="1" applyBorder="1" applyAlignment="1" applyProtection="1">
      <alignment horizontal="center" vertical="center" wrapText="1"/>
      <protection hidden="1"/>
    </xf>
    <xf numFmtId="170" fontId="83" fillId="20" borderId="49" xfId="0" applyNumberFormat="1" applyFont="1" applyFill="1" applyBorder="1" applyAlignment="1" applyProtection="1">
      <alignment horizontal="center" vertical="center"/>
      <protection locked="0"/>
    </xf>
    <xf numFmtId="0" fontId="57" fillId="3" borderId="104" xfId="0" applyFont="1" applyFill="1" applyBorder="1" applyAlignment="1" applyProtection="1">
      <alignment horizontal="center" vertical="center"/>
      <protection hidden="1"/>
    </xf>
    <xf numFmtId="0" fontId="57" fillId="3" borderId="1" xfId="0" applyFont="1" applyFill="1" applyBorder="1" applyAlignment="1" applyProtection="1">
      <alignment horizontal="center" vertical="center" wrapText="1"/>
      <protection hidden="1"/>
    </xf>
    <xf numFmtId="0" fontId="57" fillId="0" borderId="0" xfId="0" applyFont="1" applyAlignment="1" applyProtection="1">
      <alignment horizontal="center" vertical="center" wrapText="1"/>
      <protection hidden="1"/>
    </xf>
    <xf numFmtId="0" fontId="57" fillId="0" borderId="0" xfId="0" applyFont="1" applyAlignment="1" applyProtection="1">
      <alignment horizontal="center" vertical="center"/>
      <protection hidden="1"/>
    </xf>
    <xf numFmtId="0" fontId="109" fillId="0" borderId="0" xfId="0" applyFont="1" applyAlignment="1" applyProtection="1">
      <alignment horizontal="center" vertical="center" wrapText="1"/>
      <protection hidden="1"/>
    </xf>
    <xf numFmtId="0" fontId="110" fillId="0" borderId="0" xfId="0" applyFont="1" applyAlignment="1" applyProtection="1">
      <alignment horizontal="center" vertical="center" wrapText="1"/>
      <protection hidden="1"/>
    </xf>
    <xf numFmtId="0" fontId="108" fillId="0" borderId="0" xfId="0" applyFont="1" applyAlignment="1" applyProtection="1">
      <alignment horizontal="center" vertical="center"/>
      <protection hidden="1"/>
    </xf>
    <xf numFmtId="0" fontId="8" fillId="0" borderId="0" xfId="0" applyFont="1" applyAlignment="1">
      <alignment horizontal="left"/>
    </xf>
    <xf numFmtId="0" fontId="8" fillId="0" borderId="20" xfId="0" applyFont="1" applyBorder="1" applyAlignment="1">
      <alignment horizontal="center" vertical="center"/>
    </xf>
    <xf numFmtId="0" fontId="8" fillId="0" borderId="20" xfId="0" applyFont="1" applyBorder="1" applyAlignment="1">
      <alignment horizontal="center" vertical="center" wrapText="1"/>
    </xf>
    <xf numFmtId="0" fontId="5" fillId="0" borderId="0" xfId="0" applyFont="1" applyAlignment="1">
      <alignment horizontal="left"/>
    </xf>
    <xf numFmtId="0" fontId="91" fillId="0" borderId="0" xfId="0" applyFont="1" applyAlignment="1" applyProtection="1">
      <alignment vertical="center" wrapText="1"/>
      <protection hidden="1"/>
    </xf>
    <xf numFmtId="0" fontId="57" fillId="3" borderId="4" xfId="0" applyFont="1" applyFill="1" applyBorder="1" applyAlignment="1" applyProtection="1">
      <alignment horizontal="center" vertical="center" wrapText="1"/>
      <protection hidden="1"/>
    </xf>
    <xf numFmtId="3" fontId="98" fillId="3" borderId="104" xfId="0" applyNumberFormat="1" applyFont="1" applyFill="1" applyBorder="1" applyAlignment="1" applyProtection="1">
      <alignment horizontal="center" vertical="center"/>
      <protection hidden="1"/>
    </xf>
    <xf numFmtId="0" fontId="81" fillId="0" borderId="1" xfId="0" applyFont="1" applyBorder="1" applyAlignment="1">
      <alignment horizontal="center" vertical="center"/>
    </xf>
    <xf numFmtId="0" fontId="85" fillId="10" borderId="4" xfId="0" applyFont="1" applyFill="1" applyBorder="1" applyAlignment="1" applyProtection="1">
      <alignment horizontal="center" vertical="center"/>
      <protection locked="0"/>
    </xf>
    <xf numFmtId="0" fontId="85" fillId="18" borderId="0" xfId="0" applyFont="1" applyFill="1" applyAlignment="1" applyProtection="1">
      <alignment horizontal="center" vertical="center"/>
      <protection hidden="1"/>
    </xf>
    <xf numFmtId="0" fontId="85" fillId="18" borderId="0" xfId="0" applyFont="1" applyFill="1" applyAlignment="1" applyProtection="1">
      <alignment horizontal="left" vertical="center"/>
      <protection hidden="1"/>
    </xf>
    <xf numFmtId="0" fontId="81" fillId="18" borderId="0" xfId="0" applyFont="1" applyFill="1" applyAlignment="1" applyProtection="1">
      <alignment horizontal="left" vertical="center"/>
      <protection hidden="1"/>
    </xf>
    <xf numFmtId="0" fontId="81" fillId="3" borderId="49" xfId="0" applyFont="1" applyFill="1" applyBorder="1" applyAlignment="1" applyProtection="1">
      <alignment horizontal="center" vertical="top" wrapText="1"/>
      <protection hidden="1"/>
    </xf>
    <xf numFmtId="0" fontId="85" fillId="10" borderId="1" xfId="0" applyFont="1" applyFill="1" applyBorder="1" applyAlignment="1" applyProtection="1">
      <alignment horizontal="center" vertical="center" wrapText="1"/>
      <protection locked="0"/>
    </xf>
    <xf numFmtId="0" fontId="81" fillId="3" borderId="52" xfId="0" applyFont="1" applyFill="1" applyBorder="1" applyAlignment="1" applyProtection="1">
      <alignment horizontal="center" vertical="top" wrapText="1"/>
      <protection hidden="1"/>
    </xf>
    <xf numFmtId="0" fontId="85" fillId="20" borderId="1" xfId="4" applyNumberFormat="1" applyFont="1" applyFill="1" applyBorder="1" applyAlignment="1" applyProtection="1">
      <alignment horizontal="center" vertical="center"/>
      <protection locked="0"/>
    </xf>
    <xf numFmtId="0" fontId="85" fillId="3" borderId="1" xfId="0" applyFont="1" applyFill="1" applyBorder="1" applyAlignment="1" applyProtection="1">
      <alignment horizontal="center" vertical="center" wrapText="1"/>
      <protection hidden="1"/>
    </xf>
    <xf numFmtId="170" fontId="98" fillId="3" borderId="3" xfId="1" applyNumberFormat="1" applyFont="1" applyFill="1" applyBorder="1" applyAlignment="1" applyProtection="1">
      <alignment horizontal="center" vertical="center"/>
      <protection hidden="1"/>
    </xf>
    <xf numFmtId="170" fontId="98" fillId="3" borderId="118" xfId="1" applyNumberFormat="1" applyFont="1" applyFill="1" applyBorder="1" applyAlignment="1" applyProtection="1">
      <alignment horizontal="center" vertical="center"/>
      <protection hidden="1"/>
    </xf>
    <xf numFmtId="0" fontId="140" fillId="0" borderId="0" xfId="0" applyFont="1" applyAlignment="1">
      <alignment horizontal="center" vertical="center"/>
    </xf>
    <xf numFmtId="0" fontId="141" fillId="0" borderId="0" xfId="0" applyFont="1"/>
    <xf numFmtId="0" fontId="140" fillId="0" borderId="0" xfId="0" applyFont="1"/>
    <xf numFmtId="0" fontId="140" fillId="0" borderId="116" xfId="0" applyFont="1" applyBorder="1"/>
    <xf numFmtId="0" fontId="140" fillId="0" borderId="117" xfId="0" applyFont="1" applyBorder="1"/>
    <xf numFmtId="9" fontId="141" fillId="0" borderId="0" xfId="0" applyNumberFormat="1" applyFont="1"/>
    <xf numFmtId="0" fontId="141" fillId="0" borderId="88" xfId="0" applyFont="1" applyBorder="1" applyAlignment="1">
      <alignment horizontal="center"/>
    </xf>
    <xf numFmtId="0" fontId="141" fillId="0" borderId="93" xfId="0" applyFont="1" applyBorder="1" applyAlignment="1">
      <alignment horizontal="center"/>
    </xf>
    <xf numFmtId="9" fontId="141" fillId="0" borderId="93" xfId="0" applyNumberFormat="1" applyFont="1" applyBorder="1" applyAlignment="1">
      <alignment horizontal="center"/>
    </xf>
    <xf numFmtId="0" fontId="141" fillId="0" borderId="74" xfId="0" applyFont="1" applyBorder="1" applyAlignment="1">
      <alignment horizontal="center"/>
    </xf>
    <xf numFmtId="9" fontId="141" fillId="0" borderId="79" xfId="0" applyNumberFormat="1" applyFont="1" applyBorder="1" applyAlignment="1">
      <alignment horizontal="center"/>
    </xf>
    <xf numFmtId="9" fontId="141" fillId="0" borderId="0" xfId="2" applyFont="1"/>
    <xf numFmtId="170" fontId="141" fillId="0" borderId="0" xfId="0" applyNumberFormat="1" applyFont="1" applyAlignment="1">
      <alignment horizontal="center" vertical="center"/>
    </xf>
    <xf numFmtId="37" fontId="141" fillId="0" borderId="0" xfId="1" applyNumberFormat="1" applyFont="1" applyAlignment="1">
      <alignment horizontal="center" vertical="center"/>
    </xf>
    <xf numFmtId="9" fontId="141" fillId="0" borderId="0" xfId="0" applyNumberFormat="1" applyFont="1" applyAlignment="1">
      <alignment horizontal="center" vertical="center"/>
    </xf>
    <xf numFmtId="0" fontId="141" fillId="0" borderId="0" xfId="0" applyFont="1" applyAlignment="1">
      <alignment horizontal="center" vertical="center"/>
    </xf>
    <xf numFmtId="0" fontId="141" fillId="0" borderId="116" xfId="0" applyFont="1" applyBorder="1"/>
    <xf numFmtId="0" fontId="141" fillId="0" borderId="48" xfId="0" applyFont="1" applyBorder="1"/>
    <xf numFmtId="0" fontId="141" fillId="0" borderId="117" xfId="0" applyFont="1" applyBorder="1"/>
    <xf numFmtId="0" fontId="141" fillId="0" borderId="88" xfId="0" applyFont="1" applyBorder="1"/>
    <xf numFmtId="0" fontId="141" fillId="0" borderId="93" xfId="0" applyFont="1" applyBorder="1"/>
    <xf numFmtId="0" fontId="141" fillId="0" borderId="74" xfId="0" applyFont="1" applyBorder="1"/>
    <xf numFmtId="0" fontId="141" fillId="0" borderId="78" xfId="0" applyFont="1" applyBorder="1"/>
    <xf numFmtId="0" fontId="141" fillId="0" borderId="79" xfId="0" applyFont="1" applyBorder="1"/>
    <xf numFmtId="169" fontId="131" fillId="3" borderId="62" xfId="4" applyNumberFormat="1" applyFont="1" applyFill="1" applyBorder="1" applyAlignment="1" applyProtection="1">
      <alignment horizontal="center" vertical="center"/>
      <protection hidden="1"/>
    </xf>
    <xf numFmtId="169" fontId="53" fillId="3" borderId="1" xfId="4" applyNumberFormat="1" applyFont="1" applyFill="1" applyBorder="1" applyAlignment="1" applyProtection="1">
      <alignment horizontal="center" vertical="center"/>
      <protection locked="0"/>
    </xf>
    <xf numFmtId="0" fontId="53" fillId="3" borderId="49" xfId="0" applyFont="1" applyFill="1" applyBorder="1" applyAlignment="1" applyProtection="1">
      <alignment horizontal="center" vertical="center"/>
      <protection locked="0"/>
    </xf>
    <xf numFmtId="9" fontId="53" fillId="3" borderId="49" xfId="2" applyFont="1" applyFill="1" applyBorder="1" applyAlignment="1" applyProtection="1">
      <alignment horizontal="center" vertical="center"/>
      <protection locked="0"/>
    </xf>
    <xf numFmtId="9" fontId="53" fillId="3" borderId="1" xfId="0" applyNumberFormat="1" applyFont="1" applyFill="1" applyBorder="1" applyAlignment="1" applyProtection="1">
      <alignment horizontal="center" vertical="center"/>
      <protection hidden="1"/>
    </xf>
    <xf numFmtId="1" fontId="98" fillId="0" borderId="104" xfId="2" applyNumberFormat="1" applyFont="1" applyFill="1" applyBorder="1" applyAlignment="1" applyProtection="1">
      <alignment horizontal="center" vertical="center"/>
      <protection hidden="1"/>
    </xf>
    <xf numFmtId="1" fontId="98" fillId="0" borderId="111" xfId="2" applyNumberFormat="1" applyFont="1" applyFill="1" applyBorder="1" applyAlignment="1" applyProtection="1">
      <alignment horizontal="center" vertical="center"/>
      <protection hidden="1"/>
    </xf>
    <xf numFmtId="9" fontId="100" fillId="0" borderId="55" xfId="2" applyFont="1" applyFill="1" applyBorder="1" applyAlignment="1" applyProtection="1">
      <alignment horizontal="center" vertical="center"/>
      <protection hidden="1"/>
    </xf>
    <xf numFmtId="9" fontId="100" fillId="0" borderId="50" xfId="2" applyFont="1" applyFill="1" applyBorder="1" applyAlignment="1" applyProtection="1">
      <alignment horizontal="center" vertical="center"/>
      <protection hidden="1"/>
    </xf>
    <xf numFmtId="2" fontId="103" fillId="22" borderId="0" xfId="1" applyNumberFormat="1" applyFont="1" applyFill="1" applyBorder="1" applyAlignment="1" applyProtection="1">
      <alignment horizontal="center" vertical="center"/>
      <protection hidden="1"/>
    </xf>
    <xf numFmtId="2" fontId="105" fillId="22" borderId="0" xfId="1" applyNumberFormat="1" applyFont="1" applyFill="1" applyBorder="1" applyAlignment="1" applyProtection="1">
      <alignment horizontal="center" vertical="center"/>
      <protection hidden="1"/>
    </xf>
    <xf numFmtId="168" fontId="103" fillId="22" borderId="0" xfId="2" applyNumberFormat="1" applyFont="1" applyFill="1" applyBorder="1" applyAlignment="1" applyProtection="1">
      <alignment horizontal="center" vertical="center"/>
      <protection hidden="1"/>
    </xf>
    <xf numFmtId="168" fontId="105" fillId="22" borderId="0" xfId="2" applyNumberFormat="1" applyFont="1" applyFill="1" applyBorder="1" applyAlignment="1" applyProtection="1">
      <alignment horizontal="center" vertical="center"/>
      <protection hidden="1"/>
    </xf>
    <xf numFmtId="0" fontId="77" fillId="3" borderId="0" xfId="0" applyFont="1" applyFill="1" applyAlignment="1">
      <alignment horizontal="left" vertical="center" wrapText="1"/>
    </xf>
    <xf numFmtId="0" fontId="66" fillId="3" borderId="0" xfId="0" applyFont="1" applyFill="1" applyAlignment="1">
      <alignment horizontal="left" vertical="center" wrapText="1"/>
    </xf>
    <xf numFmtId="0" fontId="65" fillId="22" borderId="0" xfId="0" applyFont="1" applyFill="1" applyAlignment="1">
      <alignment horizontal="center" vertical="center" wrapText="1"/>
    </xf>
    <xf numFmtId="0" fontId="63" fillId="23" borderId="0" xfId="0" applyFont="1" applyFill="1" applyAlignment="1">
      <alignment horizontal="center" vertical="center" wrapText="1"/>
    </xf>
    <xf numFmtId="0" fontId="53" fillId="4" borderId="0" xfId="0" applyFont="1" applyFill="1" applyAlignment="1">
      <alignment horizontal="center" vertical="center" wrapText="1"/>
    </xf>
    <xf numFmtId="0" fontId="76" fillId="22" borderId="0" xfId="0" applyFont="1" applyFill="1" applyAlignment="1">
      <alignment horizontal="center" vertical="center" wrapText="1"/>
    </xf>
    <xf numFmtId="0" fontId="135" fillId="4" borderId="0" xfId="0" applyFont="1" applyFill="1" applyAlignment="1">
      <alignment horizontal="left" vertical="center" wrapText="1"/>
    </xf>
    <xf numFmtId="0" fontId="66" fillId="4" borderId="0" xfId="0" applyFont="1" applyFill="1" applyAlignment="1">
      <alignment horizontal="left" vertical="center" wrapText="1"/>
    </xf>
    <xf numFmtId="0" fontId="63" fillId="16" borderId="0" xfId="0" applyFont="1" applyFill="1" applyAlignment="1">
      <alignment horizontal="center" vertical="center" wrapText="1"/>
    </xf>
    <xf numFmtId="0" fontId="63" fillId="21" borderId="0" xfId="0" applyFont="1" applyFill="1" applyAlignment="1">
      <alignment horizontal="center" vertical="center" wrapText="1"/>
    </xf>
    <xf numFmtId="0" fontId="57" fillId="19" borderId="3" xfId="0" applyFont="1" applyFill="1" applyBorder="1" applyAlignment="1">
      <alignment horizontal="center" vertical="center" wrapText="1"/>
    </xf>
    <xf numFmtId="0" fontId="57" fillId="19" borderId="5" xfId="0" applyFont="1" applyFill="1" applyBorder="1" applyAlignment="1">
      <alignment horizontal="center" vertical="center" wrapText="1"/>
    </xf>
    <xf numFmtId="0" fontId="85" fillId="18" borderId="5" xfId="0" applyFont="1" applyFill="1" applyBorder="1" applyAlignment="1">
      <alignment horizontal="left" vertical="center" wrapText="1"/>
    </xf>
    <xf numFmtId="0" fontId="85" fillId="18" borderId="4" xfId="0" applyFont="1" applyFill="1" applyBorder="1" applyAlignment="1">
      <alignment horizontal="left" vertical="center" wrapText="1"/>
    </xf>
    <xf numFmtId="0" fontId="73" fillId="18" borderId="0" xfId="0" applyFont="1" applyFill="1" applyAlignment="1">
      <alignment horizontal="left" vertical="center" wrapText="1"/>
    </xf>
    <xf numFmtId="0" fontId="60" fillId="18" borderId="0" xfId="3" applyFont="1" applyFill="1" applyBorder="1" applyAlignment="1">
      <alignment horizontal="left"/>
    </xf>
    <xf numFmtId="0" fontId="57" fillId="18" borderId="0" xfId="0" applyFont="1" applyFill="1" applyAlignment="1">
      <alignment horizontal="center" vertical="center" wrapText="1"/>
    </xf>
    <xf numFmtId="0" fontId="72" fillId="18" borderId="0" xfId="0" applyFont="1" applyFill="1" applyAlignment="1">
      <alignment horizontal="left" vertical="top" wrapText="1"/>
    </xf>
    <xf numFmtId="0" fontId="72" fillId="18" borderId="56" xfId="0" applyFont="1" applyFill="1" applyBorder="1" applyAlignment="1">
      <alignment horizontal="left" vertical="top" wrapText="1"/>
    </xf>
    <xf numFmtId="0" fontId="60" fillId="18" borderId="2" xfId="3" applyFont="1" applyFill="1" applyBorder="1" applyAlignment="1">
      <alignment horizontal="left" vertical="top"/>
    </xf>
    <xf numFmtId="0" fontId="60" fillId="18" borderId="61" xfId="3" applyFont="1" applyFill="1" applyBorder="1" applyAlignment="1">
      <alignment horizontal="left" vertical="top"/>
    </xf>
    <xf numFmtId="0" fontId="57" fillId="19" borderId="52" xfId="0" applyFont="1" applyFill="1" applyBorder="1" applyAlignment="1">
      <alignment horizontal="center" vertical="center" wrapText="1"/>
    </xf>
    <xf numFmtId="0" fontId="57" fillId="19" borderId="53" xfId="0" applyFont="1" applyFill="1" applyBorder="1" applyAlignment="1">
      <alignment horizontal="center" vertical="center" wrapText="1"/>
    </xf>
    <xf numFmtId="0" fontId="57" fillId="19" borderId="55" xfId="0" applyFont="1" applyFill="1" applyBorder="1" applyAlignment="1">
      <alignment horizontal="center" vertical="center" wrapText="1"/>
    </xf>
    <xf numFmtId="0" fontId="57" fillId="19" borderId="0" xfId="0" applyFont="1" applyFill="1" applyAlignment="1">
      <alignment horizontal="center" vertical="center" wrapText="1"/>
    </xf>
    <xf numFmtId="0" fontId="57" fillId="19" borderId="57" xfId="0" applyFont="1" applyFill="1" applyBorder="1" applyAlignment="1">
      <alignment horizontal="center" vertical="center" wrapText="1"/>
    </xf>
    <xf numFmtId="0" fontId="57" fillId="19" borderId="2" xfId="0" applyFont="1" applyFill="1" applyBorder="1" applyAlignment="1">
      <alignment horizontal="center" vertical="center" wrapText="1"/>
    </xf>
    <xf numFmtId="0" fontId="55" fillId="8" borderId="0" xfId="0" applyFont="1" applyFill="1" applyAlignment="1">
      <alignment horizontal="left" vertical="center" wrapText="1"/>
    </xf>
    <xf numFmtId="0" fontId="52" fillId="3" borderId="0" xfId="0" applyFont="1" applyFill="1" applyAlignment="1">
      <alignment horizontal="center" vertical="center" wrapText="1"/>
    </xf>
    <xf numFmtId="0" fontId="64" fillId="3" borderId="0" xfId="0" applyFont="1" applyFill="1" applyAlignment="1">
      <alignment horizontal="left" vertical="center" wrapText="1"/>
    </xf>
    <xf numFmtId="0" fontId="67" fillId="8" borderId="0" xfId="0" applyFont="1" applyFill="1" applyAlignment="1">
      <alignment horizontal="left" vertical="center" wrapText="1"/>
    </xf>
    <xf numFmtId="0" fontId="54" fillId="3" borderId="0" xfId="0" applyFont="1" applyFill="1" applyAlignment="1">
      <alignment horizontal="left" vertical="center" wrapText="1"/>
    </xf>
    <xf numFmtId="0" fontId="62" fillId="3" borderId="0" xfId="0" applyFont="1" applyFill="1" applyAlignment="1">
      <alignment horizontal="left" vertical="center" wrapText="1"/>
    </xf>
    <xf numFmtId="0" fontId="75" fillId="18" borderId="56" xfId="0" applyFont="1" applyFill="1" applyBorder="1" applyAlignment="1">
      <alignment horizontal="center" vertical="center" wrapText="1"/>
    </xf>
    <xf numFmtId="0" fontId="72" fillId="18" borderId="53" xfId="0" applyFont="1" applyFill="1" applyBorder="1" applyAlignment="1">
      <alignment horizontal="left" vertical="center" wrapText="1"/>
    </xf>
    <xf numFmtId="0" fontId="72" fillId="18" borderId="54" xfId="0" applyFont="1" applyFill="1" applyBorder="1" applyAlignment="1">
      <alignment horizontal="left" vertical="center" wrapText="1"/>
    </xf>
    <xf numFmtId="0" fontId="66" fillId="18" borderId="0" xfId="0" applyFont="1" applyFill="1" applyAlignment="1">
      <alignment horizontal="left" vertical="top" wrapText="1"/>
    </xf>
    <xf numFmtId="0" fontId="66" fillId="18" borderId="56" xfId="0" applyFont="1" applyFill="1" applyBorder="1" applyAlignment="1">
      <alignment horizontal="left" vertical="top" wrapText="1"/>
    </xf>
    <xf numFmtId="0" fontId="66" fillId="18" borderId="53" xfId="0" applyFont="1" applyFill="1" applyBorder="1" applyAlignment="1">
      <alignment horizontal="left" vertical="top" wrapText="1"/>
    </xf>
    <xf numFmtId="0" fontId="66" fillId="18" borderId="54" xfId="0" applyFont="1" applyFill="1" applyBorder="1" applyAlignment="1">
      <alignment horizontal="left" vertical="top" wrapText="1"/>
    </xf>
    <xf numFmtId="0" fontId="101" fillId="18" borderId="0" xfId="0" applyFont="1" applyFill="1" applyAlignment="1">
      <alignment horizontal="left" vertical="top" wrapText="1"/>
    </xf>
    <xf numFmtId="0" fontId="53" fillId="18" borderId="0" xfId="0" applyFont="1" applyFill="1" applyAlignment="1">
      <alignment horizontal="left" vertical="top" wrapText="1"/>
    </xf>
    <xf numFmtId="0" fontId="53" fillId="18" borderId="56" xfId="0" applyFont="1" applyFill="1" applyBorder="1" applyAlignment="1">
      <alignment horizontal="left" vertical="top" wrapText="1"/>
    </xf>
    <xf numFmtId="0" fontId="101" fillId="18" borderId="2" xfId="0" applyFont="1" applyFill="1" applyBorder="1" applyAlignment="1">
      <alignment vertical="top" wrapText="1"/>
    </xf>
    <xf numFmtId="0" fontId="53" fillId="18" borderId="2" xfId="0" applyFont="1" applyFill="1" applyBorder="1" applyAlignment="1">
      <alignment vertical="top" wrapText="1"/>
    </xf>
    <xf numFmtId="0" fontId="53" fillId="18" borderId="61" xfId="0" applyFont="1" applyFill="1" applyBorder="1" applyAlignment="1">
      <alignment vertical="top" wrapText="1"/>
    </xf>
    <xf numFmtId="0" fontId="70" fillId="17" borderId="0" xfId="0" applyFont="1" applyFill="1" applyAlignment="1">
      <alignment horizontal="center" vertical="center" wrapText="1"/>
    </xf>
    <xf numFmtId="0" fontId="3" fillId="11" borderId="58" xfId="0" applyFont="1" applyFill="1" applyBorder="1" applyAlignment="1" applyProtection="1">
      <alignment horizontal="center" vertical="center" wrapText="1"/>
      <protection hidden="1"/>
    </xf>
    <xf numFmtId="0" fontId="3" fillId="11" borderId="59" xfId="0" applyFont="1" applyFill="1" applyBorder="1" applyAlignment="1" applyProtection="1">
      <alignment horizontal="center" vertical="center" wrapText="1"/>
      <protection hidden="1"/>
    </xf>
    <xf numFmtId="0" fontId="3" fillId="11" borderId="60" xfId="0" applyFont="1" applyFill="1" applyBorder="1" applyAlignment="1" applyProtection="1">
      <alignment horizontal="center" vertical="center" wrapText="1"/>
      <protection hidden="1"/>
    </xf>
    <xf numFmtId="0" fontId="3" fillId="8" borderId="3" xfId="0" applyFont="1" applyFill="1" applyBorder="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48" fillId="8" borderId="2" xfId="0" applyFont="1" applyFill="1" applyBorder="1" applyAlignment="1" applyProtection="1">
      <alignment horizontal="center" vertical="center"/>
      <protection hidden="1"/>
    </xf>
    <xf numFmtId="0" fontId="38" fillId="8" borderId="0" xfId="0" applyFont="1" applyFill="1" applyAlignment="1" applyProtection="1">
      <alignment horizontal="left" vertical="top" wrapText="1"/>
      <protection hidden="1"/>
    </xf>
    <xf numFmtId="0" fontId="21" fillId="9" borderId="52" xfId="0" applyFont="1" applyFill="1" applyBorder="1" applyAlignment="1">
      <alignment horizontal="left" vertical="top" wrapText="1"/>
    </xf>
    <xf numFmtId="0" fontId="21" fillId="9" borderId="53" xfId="0" applyFont="1" applyFill="1" applyBorder="1" applyAlignment="1">
      <alignment horizontal="left" vertical="top" wrapText="1"/>
    </xf>
    <xf numFmtId="0" fontId="21" fillId="9" borderId="54" xfId="0" applyFont="1" applyFill="1" applyBorder="1" applyAlignment="1">
      <alignment horizontal="left" vertical="top" wrapText="1"/>
    </xf>
    <xf numFmtId="0" fontId="21" fillId="9" borderId="55" xfId="0" applyFont="1" applyFill="1" applyBorder="1" applyAlignment="1">
      <alignment horizontal="left" vertical="top" wrapText="1"/>
    </xf>
    <xf numFmtId="0" fontId="21" fillId="9" borderId="0" xfId="0" applyFont="1" applyFill="1" applyAlignment="1">
      <alignment horizontal="left" vertical="top" wrapText="1"/>
    </xf>
    <xf numFmtId="0" fontId="21" fillId="9" borderId="56" xfId="0" applyFont="1" applyFill="1" applyBorder="1" applyAlignment="1">
      <alignment horizontal="left" vertical="top" wrapText="1"/>
    </xf>
    <xf numFmtId="0" fontId="21" fillId="9" borderId="57" xfId="0" applyFont="1" applyFill="1" applyBorder="1" applyAlignment="1">
      <alignment horizontal="left" vertical="top" wrapText="1"/>
    </xf>
    <xf numFmtId="0" fontId="21" fillId="9" borderId="2" xfId="0" applyFont="1" applyFill="1" applyBorder="1" applyAlignment="1">
      <alignment horizontal="left" vertical="top" wrapText="1"/>
    </xf>
    <xf numFmtId="0" fontId="21" fillId="9" borderId="61" xfId="0" applyFont="1" applyFill="1" applyBorder="1" applyAlignment="1">
      <alignment horizontal="left" vertical="top" wrapText="1"/>
    </xf>
    <xf numFmtId="0" fontId="39" fillId="3" borderId="3" xfId="0" applyFont="1" applyFill="1" applyBorder="1" applyAlignment="1" applyProtection="1">
      <alignment horizontal="center" vertical="center" wrapText="1"/>
      <protection hidden="1"/>
    </xf>
    <xf numFmtId="0" fontId="39" fillId="3" borderId="4" xfId="0" applyFont="1" applyFill="1" applyBorder="1" applyAlignment="1" applyProtection="1">
      <alignment horizontal="center" vertical="center" wrapText="1"/>
      <protection hidden="1"/>
    </xf>
    <xf numFmtId="0" fontId="28" fillId="3" borderId="3" xfId="0" applyFont="1" applyFill="1" applyBorder="1" applyAlignment="1" applyProtection="1">
      <alignment horizontal="left" vertical="center"/>
      <protection hidden="1"/>
    </xf>
    <xf numFmtId="0" fontId="28" fillId="3" borderId="5" xfId="0" applyFont="1" applyFill="1" applyBorder="1" applyAlignment="1" applyProtection="1">
      <alignment horizontal="left" vertical="center"/>
      <protection hidden="1"/>
    </xf>
    <xf numFmtId="0" fontId="28" fillId="3" borderId="4" xfId="0" applyFont="1" applyFill="1" applyBorder="1" applyAlignment="1" applyProtection="1">
      <alignment horizontal="left" vertical="center"/>
      <protection hidden="1"/>
    </xf>
    <xf numFmtId="0" fontId="21" fillId="2" borderId="58" xfId="0" applyFont="1" applyFill="1" applyBorder="1" applyAlignment="1" applyProtection="1">
      <alignment horizontal="center" vertical="center"/>
      <protection locked="0"/>
    </xf>
    <xf numFmtId="0" fontId="21" fillId="2" borderId="59" xfId="0" applyFont="1" applyFill="1" applyBorder="1" applyAlignment="1" applyProtection="1">
      <alignment horizontal="center" vertical="center"/>
      <protection locked="0"/>
    </xf>
    <xf numFmtId="0" fontId="21" fillId="2" borderId="60" xfId="0" applyFont="1" applyFill="1" applyBorder="1" applyAlignment="1" applyProtection="1">
      <alignment horizontal="center" vertical="center"/>
      <protection locked="0"/>
    </xf>
    <xf numFmtId="0" fontId="30" fillId="3" borderId="5" xfId="0" applyFont="1" applyFill="1" applyBorder="1" applyAlignment="1" applyProtection="1">
      <alignment horizontal="center" vertical="center" wrapText="1"/>
      <protection hidden="1"/>
    </xf>
    <xf numFmtId="0" fontId="30" fillId="3" borderId="4" xfId="0" applyFont="1" applyFill="1" applyBorder="1" applyAlignment="1" applyProtection="1">
      <alignment horizontal="center" vertical="center" wrapText="1"/>
      <protection hidden="1"/>
    </xf>
    <xf numFmtId="0" fontId="24" fillId="3" borderId="86" xfId="0" applyFont="1" applyFill="1" applyBorder="1" applyAlignment="1" applyProtection="1">
      <alignment horizontal="left" vertical="center" wrapText="1"/>
      <protection hidden="1"/>
    </xf>
    <xf numFmtId="0" fontId="24" fillId="3" borderId="76" xfId="0" applyFont="1" applyFill="1" applyBorder="1" applyAlignment="1" applyProtection="1">
      <alignment horizontal="left" vertical="center" wrapText="1"/>
      <protection hidden="1"/>
    </xf>
    <xf numFmtId="0" fontId="19" fillId="3" borderId="71" xfId="0" applyFont="1" applyFill="1" applyBorder="1" applyAlignment="1" applyProtection="1">
      <alignment horizontal="center" vertical="center"/>
      <protection hidden="1"/>
    </xf>
    <xf numFmtId="0" fontId="19" fillId="3" borderId="72" xfId="0" applyFont="1" applyFill="1" applyBorder="1" applyAlignment="1" applyProtection="1">
      <alignment horizontal="center" vertical="center"/>
      <protection hidden="1"/>
    </xf>
    <xf numFmtId="0" fontId="19" fillId="3" borderId="73" xfId="0" applyFont="1" applyFill="1" applyBorder="1" applyAlignment="1" applyProtection="1">
      <alignment horizontal="center" vertical="center"/>
      <protection hidden="1"/>
    </xf>
    <xf numFmtId="0" fontId="46" fillId="3" borderId="53" xfId="0" applyFont="1" applyFill="1" applyBorder="1" applyAlignment="1" applyProtection="1">
      <alignment horizontal="center" vertical="center" wrapText="1"/>
      <protection hidden="1"/>
    </xf>
    <xf numFmtId="0" fontId="46" fillId="3" borderId="54" xfId="0" applyFont="1" applyFill="1" applyBorder="1" applyAlignment="1" applyProtection="1">
      <alignment horizontal="center" vertical="center" wrapText="1"/>
      <protection hidden="1"/>
    </xf>
    <xf numFmtId="0" fontId="46" fillId="3" borderId="2" xfId="0" applyFont="1" applyFill="1" applyBorder="1" applyAlignment="1" applyProtection="1">
      <alignment horizontal="center" vertical="center" wrapText="1"/>
      <protection hidden="1"/>
    </xf>
    <xf numFmtId="0" fontId="46" fillId="3" borderId="61" xfId="0" applyFont="1" applyFill="1" applyBorder="1" applyAlignment="1" applyProtection="1">
      <alignment horizontal="center" vertical="center" wrapText="1"/>
      <protection hidden="1"/>
    </xf>
    <xf numFmtId="3" fontId="21" fillId="2" borderId="84" xfId="0" applyNumberFormat="1" applyFont="1" applyFill="1" applyBorder="1" applyAlignment="1" applyProtection="1">
      <alignment horizontal="center" vertical="center"/>
      <protection locked="0"/>
    </xf>
    <xf numFmtId="3" fontId="21" fillId="2" borderId="51" xfId="0" applyNumberFormat="1" applyFont="1" applyFill="1" applyBorder="1" applyAlignment="1" applyProtection="1">
      <alignment horizontal="center" vertical="center"/>
      <protection locked="0"/>
    </xf>
    <xf numFmtId="3" fontId="21" fillId="2" borderId="85" xfId="0" applyNumberFormat="1" applyFont="1" applyFill="1" applyBorder="1" applyAlignment="1" applyProtection="1">
      <alignment horizontal="center" vertical="center"/>
      <protection locked="0"/>
    </xf>
    <xf numFmtId="3" fontId="21" fillId="3" borderId="74" xfId="0" applyNumberFormat="1" applyFont="1" applyFill="1" applyBorder="1" applyAlignment="1" applyProtection="1">
      <alignment horizontal="center" vertical="center"/>
      <protection hidden="1"/>
    </xf>
    <xf numFmtId="3" fontId="21" fillId="3" borderId="78" xfId="0" applyNumberFormat="1" applyFont="1" applyFill="1" applyBorder="1" applyAlignment="1" applyProtection="1">
      <alignment horizontal="center" vertical="center"/>
      <protection hidden="1"/>
    </xf>
    <xf numFmtId="3" fontId="21" fillId="3" borderId="79" xfId="0" applyNumberFormat="1" applyFont="1" applyFill="1" applyBorder="1" applyAlignment="1" applyProtection="1">
      <alignment horizontal="center" vertical="center"/>
      <protection hidden="1"/>
    </xf>
    <xf numFmtId="9" fontId="21" fillId="2" borderId="58" xfId="2" applyFont="1" applyFill="1" applyBorder="1" applyAlignment="1" applyProtection="1">
      <alignment horizontal="center" vertical="center"/>
      <protection locked="0"/>
    </xf>
    <xf numFmtId="9" fontId="21" fillId="2" borderId="59" xfId="2" applyFont="1" applyFill="1" applyBorder="1" applyAlignment="1" applyProtection="1">
      <alignment horizontal="center" vertical="center"/>
      <protection locked="0"/>
    </xf>
    <xf numFmtId="9" fontId="21" fillId="2" borderId="60" xfId="2" applyFont="1" applyFill="1" applyBorder="1" applyAlignment="1" applyProtection="1">
      <alignment horizontal="center" vertical="center"/>
      <protection locked="0"/>
    </xf>
    <xf numFmtId="0" fontId="19" fillId="3" borderId="52" xfId="0" applyFont="1" applyFill="1" applyBorder="1" applyAlignment="1" applyProtection="1">
      <alignment horizontal="center" vertical="center" wrapText="1"/>
      <protection hidden="1"/>
    </xf>
    <xf numFmtId="0" fontId="19" fillId="3" borderId="53" xfId="0" applyFont="1" applyFill="1" applyBorder="1" applyAlignment="1" applyProtection="1">
      <alignment horizontal="center" vertical="center" wrapText="1"/>
      <protection hidden="1"/>
    </xf>
    <xf numFmtId="0" fontId="19" fillId="3" borderId="54" xfId="0" applyFont="1" applyFill="1" applyBorder="1" applyAlignment="1" applyProtection="1">
      <alignment horizontal="center" vertical="center" wrapText="1"/>
      <protection hidden="1"/>
    </xf>
    <xf numFmtId="0" fontId="19" fillId="3" borderId="55" xfId="0" applyFont="1" applyFill="1" applyBorder="1" applyAlignment="1" applyProtection="1">
      <alignment horizontal="center" vertical="center" wrapText="1"/>
      <protection hidden="1"/>
    </xf>
    <xf numFmtId="0" fontId="19" fillId="3" borderId="0" xfId="0" applyFont="1" applyFill="1" applyAlignment="1" applyProtection="1">
      <alignment horizontal="center" vertical="center" wrapText="1"/>
      <protection hidden="1"/>
    </xf>
    <xf numFmtId="0" fontId="19" fillId="3" borderId="56" xfId="0" applyFont="1" applyFill="1" applyBorder="1" applyAlignment="1" applyProtection="1">
      <alignment horizontal="center" vertical="center" wrapText="1"/>
      <protection hidden="1"/>
    </xf>
    <xf numFmtId="0" fontId="19" fillId="3" borderId="57" xfId="0" applyFont="1" applyFill="1" applyBorder="1" applyAlignment="1" applyProtection="1">
      <alignment horizontal="center" vertical="center" wrapText="1"/>
      <protection hidden="1"/>
    </xf>
    <xf numFmtId="0" fontId="19" fillId="3" borderId="2" xfId="0" applyFont="1" applyFill="1" applyBorder="1" applyAlignment="1" applyProtection="1">
      <alignment horizontal="center" vertical="center" wrapText="1"/>
      <protection hidden="1"/>
    </xf>
    <xf numFmtId="0" fontId="19" fillId="3" borderId="61" xfId="0" applyFont="1" applyFill="1" applyBorder="1" applyAlignment="1" applyProtection="1">
      <alignment horizontal="center" vertical="center" wrapText="1"/>
      <protection hidden="1"/>
    </xf>
    <xf numFmtId="9" fontId="31" fillId="2" borderId="10" xfId="2" applyFont="1" applyFill="1" applyBorder="1" applyAlignment="1" applyProtection="1">
      <alignment horizontal="center" vertical="center"/>
      <protection locked="0"/>
    </xf>
    <xf numFmtId="9" fontId="31" fillId="2" borderId="2" xfId="2" applyFont="1" applyFill="1" applyBorder="1" applyAlignment="1" applyProtection="1">
      <alignment horizontal="center" vertical="center"/>
      <protection locked="0"/>
    </xf>
    <xf numFmtId="0" fontId="46" fillId="3" borderId="87" xfId="0" applyFont="1" applyFill="1" applyBorder="1" applyAlignment="1" applyProtection="1">
      <alignment horizontal="center" vertical="center" wrapText="1"/>
      <protection hidden="1"/>
    </xf>
    <xf numFmtId="0" fontId="46" fillId="3" borderId="88" xfId="0" applyFont="1" applyFill="1" applyBorder="1" applyAlignment="1" applyProtection="1">
      <alignment horizontal="center" vertical="center" wrapText="1"/>
      <protection hidden="1"/>
    </xf>
    <xf numFmtId="0" fontId="46" fillId="3" borderId="56" xfId="0" applyFont="1" applyFill="1" applyBorder="1" applyAlignment="1" applyProtection="1">
      <alignment horizontal="center" vertical="center" wrapText="1"/>
      <protection hidden="1"/>
    </xf>
    <xf numFmtId="0" fontId="46" fillId="3" borderId="10" xfId="0" applyFont="1" applyFill="1" applyBorder="1" applyAlignment="1" applyProtection="1">
      <alignment horizontal="center" vertical="center" wrapText="1"/>
      <protection hidden="1"/>
    </xf>
    <xf numFmtId="9" fontId="31" fillId="2" borderId="63" xfId="2" applyFont="1" applyFill="1" applyBorder="1" applyAlignment="1" applyProtection="1">
      <alignment horizontal="center" vertical="center"/>
      <protection locked="0"/>
    </xf>
    <xf numFmtId="9" fontId="31" fillId="2" borderId="5" xfId="2" applyFont="1" applyFill="1" applyBorder="1" applyAlignment="1" applyProtection="1">
      <alignment horizontal="center" vertical="center"/>
      <protection locked="0"/>
    </xf>
    <xf numFmtId="9" fontId="31" fillId="2" borderId="65" xfId="2" applyFont="1" applyFill="1" applyBorder="1" applyAlignment="1" applyProtection="1">
      <alignment horizontal="center" vertical="center"/>
      <protection locked="0"/>
    </xf>
    <xf numFmtId="9" fontId="31" fillId="2" borderId="69" xfId="2" applyFont="1" applyFill="1" applyBorder="1" applyAlignment="1" applyProtection="1">
      <alignment horizontal="center" vertical="center"/>
      <protection locked="0"/>
    </xf>
    <xf numFmtId="0" fontId="0" fillId="0" borderId="3" xfId="0"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xf numFmtId="0" fontId="19" fillId="3" borderId="3" xfId="0" applyFont="1" applyFill="1" applyBorder="1" applyAlignment="1" applyProtection="1">
      <alignment horizontal="center" vertical="center" wrapText="1"/>
      <protection hidden="1"/>
    </xf>
    <xf numFmtId="0" fontId="19" fillId="3" borderId="5" xfId="0" applyFont="1" applyFill="1" applyBorder="1" applyAlignment="1" applyProtection="1">
      <alignment horizontal="center" vertical="center" wrapText="1"/>
      <protection hidden="1"/>
    </xf>
    <xf numFmtId="0" fontId="19" fillId="3" borderId="4" xfId="0" applyFont="1" applyFill="1" applyBorder="1" applyAlignment="1" applyProtection="1">
      <alignment horizontal="center" vertical="center" wrapText="1"/>
      <protection hidden="1"/>
    </xf>
    <xf numFmtId="0" fontId="19" fillId="8" borderId="53" xfId="0" applyFont="1" applyFill="1" applyBorder="1" applyAlignment="1" applyProtection="1">
      <alignment horizontal="center" vertical="center" wrapText="1"/>
      <protection hidden="1"/>
    </xf>
    <xf numFmtId="0" fontId="19" fillId="8" borderId="0" xfId="0" applyFont="1" applyFill="1" applyAlignment="1" applyProtection="1">
      <alignment horizontal="center" vertical="center" wrapText="1"/>
      <protection hidden="1"/>
    </xf>
    <xf numFmtId="0" fontId="28"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3" fillId="0" borderId="3"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0" fontId="3" fillId="3" borderId="52"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3" fillId="3" borderId="57" xfId="0" applyFont="1" applyFill="1" applyBorder="1" applyAlignment="1" applyProtection="1">
      <alignment horizontal="center" vertical="center"/>
      <protection hidden="1"/>
    </xf>
    <xf numFmtId="0" fontId="3" fillId="3" borderId="61" xfId="0" applyFont="1" applyFill="1" applyBorder="1" applyAlignment="1" applyProtection="1">
      <alignment horizontal="center" vertical="center"/>
      <protection hidden="1"/>
    </xf>
    <xf numFmtId="0" fontId="24" fillId="3" borderId="5" xfId="0" applyFont="1" applyFill="1" applyBorder="1" applyAlignment="1" applyProtection="1">
      <alignment horizontal="center" vertical="center" wrapText="1"/>
      <protection hidden="1"/>
    </xf>
    <xf numFmtId="0" fontId="24" fillId="3" borderId="4" xfId="0" applyFont="1" applyFill="1" applyBorder="1" applyAlignment="1" applyProtection="1">
      <alignment horizontal="center" vertical="center" wrapText="1"/>
      <protection hidden="1"/>
    </xf>
    <xf numFmtId="0" fontId="30" fillId="3" borderId="52" xfId="0" applyFont="1" applyFill="1" applyBorder="1" applyAlignment="1" applyProtection="1">
      <alignment horizontal="center" vertical="center" wrapText="1"/>
      <protection hidden="1"/>
    </xf>
    <xf numFmtId="0" fontId="30" fillId="3" borderId="54" xfId="0" applyFont="1" applyFill="1" applyBorder="1" applyAlignment="1" applyProtection="1">
      <alignment horizontal="center" vertical="center" wrapText="1"/>
      <protection hidden="1"/>
    </xf>
    <xf numFmtId="0" fontId="30" fillId="3" borderId="55" xfId="0" applyFont="1" applyFill="1" applyBorder="1" applyAlignment="1" applyProtection="1">
      <alignment horizontal="center" vertical="center" wrapText="1"/>
      <protection hidden="1"/>
    </xf>
    <xf numFmtId="0" fontId="30" fillId="3" borderId="56" xfId="0" applyFont="1" applyFill="1" applyBorder="1" applyAlignment="1" applyProtection="1">
      <alignment horizontal="center" vertical="center" wrapText="1"/>
      <protection hidden="1"/>
    </xf>
    <xf numFmtId="0" fontId="24" fillId="3" borderId="49" xfId="0" applyFont="1" applyFill="1" applyBorder="1" applyAlignment="1" applyProtection="1">
      <alignment horizontal="center" vertical="center" wrapText="1"/>
      <protection hidden="1"/>
    </xf>
    <xf numFmtId="0" fontId="24" fillId="3" borderId="51" xfId="0" applyFont="1" applyFill="1" applyBorder="1" applyAlignment="1" applyProtection="1">
      <alignment horizontal="center" vertical="center" wrapText="1"/>
      <protection hidden="1"/>
    </xf>
    <xf numFmtId="0" fontId="30" fillId="3" borderId="3" xfId="0" applyFont="1" applyFill="1" applyBorder="1" applyAlignment="1" applyProtection="1">
      <alignment horizontal="center" vertical="center" wrapText="1"/>
      <protection hidden="1"/>
    </xf>
    <xf numFmtId="0" fontId="31" fillId="3" borderId="0" xfId="0" applyFont="1" applyFill="1" applyAlignment="1" applyProtection="1">
      <alignment horizontal="center" vertical="center" wrapText="1"/>
      <protection hidden="1"/>
    </xf>
    <xf numFmtId="0" fontId="24" fillId="3" borderId="0" xfId="0" applyFont="1" applyFill="1" applyAlignment="1" applyProtection="1">
      <alignment horizontal="center" vertical="center" wrapText="1"/>
      <protection hidden="1"/>
    </xf>
    <xf numFmtId="0" fontId="15" fillId="3" borderId="57" xfId="3" applyFill="1" applyBorder="1" applyAlignment="1" applyProtection="1">
      <alignment horizontal="center" vertical="center" wrapText="1"/>
      <protection hidden="1"/>
    </xf>
    <xf numFmtId="0" fontId="15" fillId="3" borderId="61" xfId="3" applyFill="1" applyBorder="1" applyAlignment="1" applyProtection="1">
      <alignment horizontal="center" vertical="center" wrapText="1"/>
      <protection hidden="1"/>
    </xf>
    <xf numFmtId="0" fontId="30" fillId="3" borderId="57" xfId="0" applyFont="1" applyFill="1" applyBorder="1" applyAlignment="1" applyProtection="1">
      <alignment horizontal="center" vertical="center" wrapText="1"/>
      <protection hidden="1"/>
    </xf>
    <xf numFmtId="0" fontId="30" fillId="3" borderId="61" xfId="0" applyFont="1" applyFill="1" applyBorder="1" applyAlignment="1" applyProtection="1">
      <alignment horizontal="center" vertical="center" wrapText="1"/>
      <protection hidden="1"/>
    </xf>
    <xf numFmtId="0" fontId="19" fillId="3" borderId="98" xfId="0" applyFont="1" applyFill="1" applyBorder="1" applyAlignment="1" applyProtection="1">
      <alignment horizontal="center" vertical="center" wrapText="1"/>
      <protection hidden="1"/>
    </xf>
    <xf numFmtId="0" fontId="19" fillId="3" borderId="93" xfId="0" applyFont="1" applyFill="1" applyBorder="1" applyAlignment="1" applyProtection="1">
      <alignment horizontal="center" vertical="center" wrapText="1"/>
      <protection hidden="1"/>
    </xf>
    <xf numFmtId="0" fontId="19" fillId="3" borderId="75" xfId="0" applyFont="1" applyFill="1" applyBorder="1" applyAlignment="1" applyProtection="1">
      <alignment horizontal="center" vertical="center" wrapText="1"/>
      <protection hidden="1"/>
    </xf>
    <xf numFmtId="0" fontId="49" fillId="0" borderId="94" xfId="0" applyFont="1" applyBorder="1" applyAlignment="1">
      <alignment horizontal="center" wrapText="1"/>
    </xf>
    <xf numFmtId="0" fontId="49" fillId="0" borderId="8" xfId="0" applyFont="1" applyBorder="1" applyAlignment="1">
      <alignment horizontal="center" wrapText="1"/>
    </xf>
    <xf numFmtId="0" fontId="49" fillId="0" borderId="9" xfId="0" applyFont="1" applyBorder="1" applyAlignment="1">
      <alignment horizontal="center" wrapText="1"/>
    </xf>
    <xf numFmtId="0" fontId="50" fillId="3" borderId="3" xfId="0" applyFont="1" applyFill="1" applyBorder="1" applyAlignment="1" applyProtection="1">
      <alignment horizontal="center" vertical="center" wrapText="1"/>
      <protection hidden="1"/>
    </xf>
    <xf numFmtId="0" fontId="50" fillId="3" borderId="5" xfId="0" applyFont="1" applyFill="1" applyBorder="1" applyAlignment="1" applyProtection="1">
      <alignment horizontal="center" vertical="center" wrapText="1"/>
      <protection hidden="1"/>
    </xf>
    <xf numFmtId="0" fontId="50" fillId="3" borderId="64" xfId="0" applyFont="1" applyFill="1" applyBorder="1" applyAlignment="1" applyProtection="1">
      <alignment horizontal="center" vertical="center" wrapText="1"/>
      <protection hidden="1"/>
    </xf>
    <xf numFmtId="0" fontId="19" fillId="8" borderId="65" xfId="0" applyFont="1" applyFill="1" applyBorder="1" applyAlignment="1" applyProtection="1">
      <alignment horizontal="center" vertical="center" wrapText="1"/>
      <protection hidden="1"/>
    </xf>
    <xf numFmtId="0" fontId="19" fillId="8" borderId="69" xfId="0" applyFont="1" applyFill="1" applyBorder="1" applyAlignment="1" applyProtection="1">
      <alignment horizontal="center" vertical="center" wrapText="1"/>
      <protection hidden="1"/>
    </xf>
    <xf numFmtId="0" fontId="19" fillId="8" borderId="78" xfId="0" applyFont="1" applyFill="1" applyBorder="1" applyAlignment="1" applyProtection="1">
      <alignment horizontal="center" vertical="center" wrapText="1"/>
      <protection hidden="1"/>
    </xf>
    <xf numFmtId="0" fontId="3" fillId="0" borderId="94"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wrapText="1"/>
      <protection hidden="1"/>
    </xf>
    <xf numFmtId="0" fontId="3" fillId="0" borderId="95" xfId="0" applyFont="1" applyBorder="1" applyAlignment="1" applyProtection="1">
      <alignment horizontal="center" vertical="center" wrapText="1"/>
      <protection hidden="1"/>
    </xf>
    <xf numFmtId="0" fontId="3" fillId="0" borderId="90" xfId="0" applyFont="1" applyBorder="1" applyAlignment="1" applyProtection="1">
      <alignment horizontal="center" vertical="center" wrapText="1"/>
      <protection hidden="1"/>
    </xf>
    <xf numFmtId="0" fontId="3" fillId="0" borderId="92" xfId="0" applyFont="1" applyBorder="1" applyAlignment="1" applyProtection="1">
      <alignment horizontal="center" vertical="center" wrapText="1"/>
      <protection hidden="1"/>
    </xf>
    <xf numFmtId="0" fontId="3" fillId="3" borderId="53" xfId="0" applyFont="1" applyFill="1" applyBorder="1" applyAlignment="1" applyProtection="1">
      <alignment horizontal="center" vertical="center"/>
      <protection hidden="1"/>
    </xf>
    <xf numFmtId="0" fontId="3" fillId="3" borderId="2" xfId="0" applyFont="1" applyFill="1" applyBorder="1" applyAlignment="1" applyProtection="1">
      <alignment horizontal="center" vertical="center"/>
      <protection hidden="1"/>
    </xf>
    <xf numFmtId="0" fontId="46" fillId="3" borderId="5" xfId="0" applyFont="1" applyFill="1" applyBorder="1" applyAlignment="1" applyProtection="1">
      <alignment horizontal="center" vertical="center" wrapText="1"/>
      <protection hidden="1"/>
    </xf>
    <xf numFmtId="0" fontId="46" fillId="3" borderId="4" xfId="0" applyFont="1" applyFill="1" applyBorder="1" applyAlignment="1" applyProtection="1">
      <alignment horizontal="center" vertical="center" wrapText="1"/>
      <protection hidden="1"/>
    </xf>
    <xf numFmtId="0" fontId="30" fillId="3" borderId="53" xfId="0" applyFont="1" applyFill="1" applyBorder="1" applyAlignment="1" applyProtection="1">
      <alignment horizontal="center" vertical="center" wrapText="1"/>
      <protection hidden="1"/>
    </xf>
    <xf numFmtId="0" fontId="30" fillId="3" borderId="0" xfId="0" applyFont="1" applyFill="1" applyAlignment="1" applyProtection="1">
      <alignment horizontal="center" vertical="center" wrapText="1"/>
      <protection hidden="1"/>
    </xf>
    <xf numFmtId="0" fontId="15" fillId="3" borderId="2" xfId="3" applyFill="1" applyBorder="1" applyAlignment="1" applyProtection="1">
      <alignment horizontal="center" vertical="center" wrapText="1"/>
      <protection hidden="1"/>
    </xf>
    <xf numFmtId="0" fontId="30" fillId="3" borderId="2" xfId="0" applyFont="1" applyFill="1" applyBorder="1" applyAlignment="1" applyProtection="1">
      <alignment horizontal="center" vertical="center" wrapText="1"/>
      <protection hidden="1"/>
    </xf>
    <xf numFmtId="0" fontId="106" fillId="0" borderId="0" xfId="0" applyFont="1" applyAlignment="1" applyProtection="1">
      <alignment horizontal="right" vertical="center"/>
      <protection hidden="1"/>
    </xf>
    <xf numFmtId="0" fontId="60" fillId="3" borderId="57" xfId="3" applyFont="1" applyFill="1" applyBorder="1" applyAlignment="1" applyProtection="1">
      <alignment horizontal="left" vertical="center" wrapText="1"/>
      <protection hidden="1"/>
    </xf>
    <xf numFmtId="0" fontId="60" fillId="3" borderId="61" xfId="3" applyFont="1" applyFill="1" applyBorder="1" applyAlignment="1" applyProtection="1">
      <alignment horizontal="left" vertical="center" wrapText="1"/>
      <protection hidden="1"/>
    </xf>
    <xf numFmtId="0" fontId="84" fillId="3" borderId="5" xfId="0" applyFont="1" applyFill="1" applyBorder="1" applyAlignment="1" applyProtection="1">
      <alignment horizontal="left" vertical="center" wrapText="1"/>
      <protection hidden="1"/>
    </xf>
    <xf numFmtId="0" fontId="84" fillId="3" borderId="4" xfId="0" applyFont="1" applyFill="1" applyBorder="1" applyAlignment="1" applyProtection="1">
      <alignment horizontal="left" vertical="center" wrapText="1"/>
      <protection hidden="1"/>
    </xf>
    <xf numFmtId="0" fontId="84" fillId="3" borderId="2" xfId="0" applyFont="1" applyFill="1" applyBorder="1" applyAlignment="1" applyProtection="1">
      <alignment horizontal="left" vertical="center" wrapText="1"/>
      <protection hidden="1"/>
    </xf>
    <xf numFmtId="0" fontId="84" fillId="3" borderId="61" xfId="0" applyFont="1" applyFill="1" applyBorder="1" applyAlignment="1" applyProtection="1">
      <alignment horizontal="left" vertical="center" wrapText="1"/>
      <protection hidden="1"/>
    </xf>
    <xf numFmtId="0" fontId="84" fillId="3" borderId="3" xfId="0" applyFont="1" applyFill="1" applyBorder="1" applyAlignment="1" applyProtection="1">
      <alignment horizontal="left" vertical="center" wrapText="1"/>
      <protection hidden="1"/>
    </xf>
    <xf numFmtId="0" fontId="57" fillId="3" borderId="53" xfId="0" applyFont="1" applyFill="1" applyBorder="1" applyAlignment="1" applyProtection="1">
      <alignment horizontal="left" vertical="center" wrapText="1"/>
      <protection hidden="1"/>
    </xf>
    <xf numFmtId="0" fontId="57" fillId="3" borderId="54" xfId="0" applyFont="1" applyFill="1" applyBorder="1" applyAlignment="1" applyProtection="1">
      <alignment horizontal="left" vertical="center" wrapText="1"/>
      <protection hidden="1"/>
    </xf>
    <xf numFmtId="0" fontId="84" fillId="3" borderId="104" xfId="0" applyFont="1" applyFill="1" applyBorder="1" applyAlignment="1" applyProtection="1">
      <alignment horizontal="left" vertical="center" wrapText="1"/>
      <protection hidden="1"/>
    </xf>
    <xf numFmtId="0" fontId="84" fillId="3" borderId="113" xfId="0" applyFont="1" applyFill="1" applyBorder="1" applyAlignment="1" applyProtection="1">
      <alignment horizontal="left" vertical="center" wrapText="1"/>
      <protection hidden="1"/>
    </xf>
    <xf numFmtId="0" fontId="84" fillId="3" borderId="57" xfId="0" applyFont="1" applyFill="1" applyBorder="1" applyAlignment="1" applyProtection="1">
      <alignment horizontal="left" vertical="center" wrapText="1"/>
      <protection hidden="1"/>
    </xf>
    <xf numFmtId="0" fontId="84" fillId="3" borderId="52" xfId="0" applyFont="1" applyFill="1" applyBorder="1" applyAlignment="1" applyProtection="1">
      <alignment horizontal="left" vertical="center" wrapText="1"/>
      <protection hidden="1"/>
    </xf>
    <xf numFmtId="0" fontId="84" fillId="3" borderId="54" xfId="0" applyFont="1" applyFill="1" applyBorder="1" applyAlignment="1" applyProtection="1">
      <alignment horizontal="left" vertical="center" wrapText="1"/>
      <protection hidden="1"/>
    </xf>
    <xf numFmtId="0" fontId="57" fillId="3" borderId="104" xfId="0" applyFont="1" applyFill="1" applyBorder="1" applyAlignment="1" applyProtection="1">
      <alignment horizontal="center" vertical="center" wrapText="1"/>
      <protection hidden="1"/>
    </xf>
    <xf numFmtId="0" fontId="101" fillId="3" borderId="5" xfId="0" applyFont="1" applyFill="1" applyBorder="1" applyAlignment="1" applyProtection="1">
      <alignment horizontal="left" vertical="center" wrapText="1"/>
      <protection hidden="1"/>
    </xf>
    <xf numFmtId="0" fontId="101" fillId="3" borderId="4" xfId="0" applyFont="1" applyFill="1" applyBorder="1" applyAlignment="1" applyProtection="1">
      <alignment horizontal="left" vertical="center" wrapText="1"/>
      <protection hidden="1"/>
    </xf>
    <xf numFmtId="0" fontId="53" fillId="18" borderId="0" xfId="0" applyFont="1" applyFill="1" applyAlignment="1" applyProtection="1">
      <alignment horizontal="center" vertical="center" wrapText="1"/>
      <protection hidden="1"/>
    </xf>
    <xf numFmtId="0" fontId="84" fillId="3" borderId="2" xfId="0" applyFont="1" applyFill="1" applyBorder="1" applyAlignment="1" applyProtection="1">
      <alignment horizontal="center" vertical="center" wrapText="1"/>
      <protection hidden="1"/>
    </xf>
    <xf numFmtId="0" fontId="84" fillId="3" borderId="61" xfId="0" applyFont="1" applyFill="1" applyBorder="1" applyAlignment="1" applyProtection="1">
      <alignment horizontal="center" vertical="center" wrapText="1"/>
      <protection hidden="1"/>
    </xf>
    <xf numFmtId="9" fontId="85" fillId="2" borderId="10" xfId="2" applyFont="1" applyFill="1" applyBorder="1" applyAlignment="1" applyProtection="1">
      <alignment horizontal="center" vertical="center"/>
      <protection locked="0"/>
    </xf>
    <xf numFmtId="9" fontId="85" fillId="2" borderId="2" xfId="2" applyFont="1" applyFill="1" applyBorder="1" applyAlignment="1" applyProtection="1">
      <alignment horizontal="center" vertical="center"/>
      <protection locked="0"/>
    </xf>
    <xf numFmtId="0" fontId="84" fillId="3" borderId="87" xfId="0" applyFont="1" applyFill="1" applyBorder="1" applyAlignment="1" applyProtection="1">
      <alignment horizontal="center" vertical="center" wrapText="1"/>
      <protection hidden="1"/>
    </xf>
    <xf numFmtId="0" fontId="84" fillId="3" borderId="54" xfId="0" applyFont="1" applyFill="1" applyBorder="1" applyAlignment="1" applyProtection="1">
      <alignment horizontal="center" vertical="center" wrapText="1"/>
      <protection hidden="1"/>
    </xf>
    <xf numFmtId="0" fontId="84" fillId="3" borderId="88" xfId="0" applyFont="1" applyFill="1" applyBorder="1" applyAlignment="1" applyProtection="1">
      <alignment horizontal="center" vertical="center" wrapText="1"/>
      <protection hidden="1"/>
    </xf>
    <xf numFmtId="0" fontId="84" fillId="3" borderId="56" xfId="0" applyFont="1" applyFill="1" applyBorder="1" applyAlignment="1" applyProtection="1">
      <alignment horizontal="center" vertical="center" wrapText="1"/>
      <protection hidden="1"/>
    </xf>
    <xf numFmtId="0" fontId="84" fillId="3" borderId="10" xfId="0" applyFont="1" applyFill="1" applyBorder="1" applyAlignment="1" applyProtection="1">
      <alignment horizontal="center" vertical="center" wrapText="1"/>
      <protection hidden="1"/>
    </xf>
    <xf numFmtId="0" fontId="82" fillId="18" borderId="0" xfId="0" applyFont="1" applyFill="1" applyAlignment="1" applyProtection="1">
      <alignment horizontal="center" vertical="center" wrapText="1"/>
      <protection hidden="1"/>
    </xf>
    <xf numFmtId="0" fontId="82" fillId="18" borderId="0" xfId="0" applyFont="1" applyFill="1" applyAlignment="1" applyProtection="1">
      <alignment horizontal="center" vertical="center"/>
      <protection hidden="1"/>
    </xf>
    <xf numFmtId="9" fontId="83" fillId="20" borderId="104" xfId="2" applyFont="1" applyFill="1" applyBorder="1" applyAlignment="1" applyProtection="1">
      <alignment horizontal="center" vertical="center"/>
      <protection locked="0"/>
    </xf>
    <xf numFmtId="0" fontId="57" fillId="3" borderId="0" xfId="0" applyFont="1" applyFill="1" applyAlignment="1" applyProtection="1">
      <alignment horizontal="left" vertical="center"/>
      <protection hidden="1"/>
    </xf>
    <xf numFmtId="0" fontId="84" fillId="18" borderId="53" xfId="0" applyFont="1" applyFill="1" applyBorder="1" applyAlignment="1" applyProtection="1">
      <alignment horizontal="center" vertical="center" wrapText="1"/>
      <protection hidden="1"/>
    </xf>
    <xf numFmtId="0" fontId="84" fillId="18" borderId="0" xfId="0" applyFont="1" applyFill="1" applyAlignment="1" applyProtection="1">
      <alignment horizontal="center" vertical="center" wrapText="1"/>
      <protection hidden="1"/>
    </xf>
    <xf numFmtId="0" fontId="97" fillId="19" borderId="0" xfId="0" applyFont="1" applyFill="1" applyAlignment="1" applyProtection="1">
      <alignment horizontal="left" vertical="center" indent="1"/>
      <protection hidden="1"/>
    </xf>
    <xf numFmtId="9" fontId="85" fillId="2" borderId="7" xfId="2" applyFont="1" applyFill="1" applyBorder="1" applyAlignment="1" applyProtection="1">
      <alignment horizontal="center" vertical="center"/>
      <protection locked="0"/>
    </xf>
    <xf numFmtId="9" fontId="85" fillId="2" borderId="8" xfId="2" applyFont="1" applyFill="1" applyBorder="1" applyAlignment="1" applyProtection="1">
      <alignment horizontal="center" vertical="center"/>
      <protection locked="0"/>
    </xf>
    <xf numFmtId="0" fontId="53" fillId="8" borderId="0" xfId="0" applyFont="1" applyFill="1" applyAlignment="1" applyProtection="1">
      <alignment horizontal="left" vertical="top" wrapText="1"/>
      <protection hidden="1"/>
    </xf>
    <xf numFmtId="0" fontId="53" fillId="9" borderId="52" xfId="0" applyFont="1" applyFill="1" applyBorder="1" applyAlignment="1">
      <alignment horizontal="left" vertical="top" wrapText="1"/>
    </xf>
    <xf numFmtId="0" fontId="53" fillId="9" borderId="53" xfId="0" applyFont="1" applyFill="1" applyBorder="1" applyAlignment="1">
      <alignment horizontal="left" vertical="top" wrapText="1"/>
    </xf>
    <xf numFmtId="0" fontId="53" fillId="9" borderId="54" xfId="0" applyFont="1" applyFill="1" applyBorder="1" applyAlignment="1">
      <alignment horizontal="left" vertical="top" wrapText="1"/>
    </xf>
    <xf numFmtId="0" fontId="53" fillId="9" borderId="55" xfId="0" applyFont="1" applyFill="1" applyBorder="1" applyAlignment="1">
      <alignment horizontal="left" vertical="top" wrapText="1"/>
    </xf>
    <xf numFmtId="0" fontId="53" fillId="9" borderId="0" xfId="0" applyFont="1" applyFill="1" applyAlignment="1">
      <alignment horizontal="left" vertical="top" wrapText="1"/>
    </xf>
    <xf numFmtId="0" fontId="53" fillId="9" borderId="56" xfId="0" applyFont="1" applyFill="1" applyBorder="1" applyAlignment="1">
      <alignment horizontal="left" vertical="top" wrapText="1"/>
    </xf>
    <xf numFmtId="0" fontId="53" fillId="9" borderId="57" xfId="0" applyFont="1" applyFill="1" applyBorder="1" applyAlignment="1">
      <alignment horizontal="left" vertical="top" wrapText="1"/>
    </xf>
    <xf numFmtId="0" fontId="53" fillId="9" borderId="2" xfId="0" applyFont="1" applyFill="1" applyBorder="1" applyAlignment="1">
      <alignment horizontal="left" vertical="top" wrapText="1"/>
    </xf>
    <xf numFmtId="0" fontId="53" fillId="9" borderId="61" xfId="0" applyFont="1" applyFill="1" applyBorder="1" applyAlignment="1">
      <alignment horizontal="left" vertical="top" wrapText="1"/>
    </xf>
    <xf numFmtId="0" fontId="86" fillId="0" borderId="3" xfId="0" applyFont="1" applyBorder="1" applyAlignment="1">
      <alignment horizontal="left" vertical="center" wrapText="1"/>
    </xf>
    <xf numFmtId="0" fontId="85" fillId="0" borderId="5" xfId="0" applyFont="1" applyBorder="1" applyAlignment="1">
      <alignment horizontal="left" vertical="center" wrapText="1"/>
    </xf>
    <xf numFmtId="0" fontId="85" fillId="0" borderId="4" xfId="0" applyFont="1" applyBorder="1" applyAlignment="1">
      <alignment horizontal="left" vertical="center" wrapText="1"/>
    </xf>
    <xf numFmtId="0" fontId="86" fillId="3" borderId="3" xfId="0" applyFont="1" applyFill="1" applyBorder="1" applyAlignment="1" applyProtection="1">
      <alignment horizontal="left" vertical="center" wrapText="1"/>
      <protection hidden="1"/>
    </xf>
    <xf numFmtId="0" fontId="86" fillId="3" borderId="5" xfId="0" applyFont="1" applyFill="1" applyBorder="1" applyAlignment="1" applyProtection="1">
      <alignment horizontal="left" vertical="center" wrapText="1"/>
      <protection hidden="1"/>
    </xf>
    <xf numFmtId="0" fontId="86" fillId="3" borderId="4" xfId="0" applyFont="1" applyFill="1" applyBorder="1" applyAlignment="1" applyProtection="1">
      <alignment horizontal="left" vertical="center" wrapText="1"/>
      <protection hidden="1"/>
    </xf>
    <xf numFmtId="0" fontId="92" fillId="3" borderId="104" xfId="0" applyFont="1" applyFill="1" applyBorder="1" applyAlignment="1" applyProtection="1">
      <alignment horizontal="center" vertical="center" wrapText="1"/>
      <protection hidden="1"/>
    </xf>
    <xf numFmtId="0" fontId="57" fillId="19" borderId="104" xfId="0" applyFont="1" applyFill="1" applyBorder="1" applyAlignment="1" applyProtection="1">
      <alignment horizontal="center" vertical="center"/>
      <protection hidden="1"/>
    </xf>
    <xf numFmtId="0" fontId="95" fillId="25" borderId="0" xfId="0" applyFont="1" applyFill="1" applyAlignment="1" applyProtection="1">
      <alignment horizontal="center" vertical="center" wrapText="1"/>
      <protection hidden="1"/>
    </xf>
    <xf numFmtId="0" fontId="70" fillId="25" borderId="0" xfId="0" applyFont="1" applyFill="1" applyAlignment="1" applyProtection="1">
      <alignment horizontal="center" vertical="center" wrapText="1"/>
      <protection hidden="1"/>
    </xf>
    <xf numFmtId="0" fontId="98" fillId="20" borderId="104" xfId="0" applyFont="1" applyFill="1" applyBorder="1" applyAlignment="1" applyProtection="1">
      <alignment horizontal="center" vertical="center"/>
      <protection locked="0"/>
    </xf>
    <xf numFmtId="0" fontId="84" fillId="3" borderId="104" xfId="0" applyFont="1" applyFill="1" applyBorder="1" applyAlignment="1" applyProtection="1">
      <alignment horizontal="center" vertical="center" wrapText="1"/>
      <protection hidden="1"/>
    </xf>
    <xf numFmtId="0" fontId="84" fillId="3" borderId="104" xfId="0" applyFont="1" applyFill="1" applyBorder="1" applyAlignment="1" applyProtection="1">
      <alignment horizontal="center" vertical="center"/>
      <protection hidden="1"/>
    </xf>
    <xf numFmtId="3" fontId="98" fillId="3" borderId="104" xfId="0" applyNumberFormat="1" applyFont="1" applyFill="1" applyBorder="1" applyAlignment="1" applyProtection="1">
      <alignment horizontal="center" vertical="center"/>
      <protection hidden="1"/>
    </xf>
    <xf numFmtId="0" fontId="85" fillId="3" borderId="0" xfId="0" applyFont="1" applyFill="1" applyAlignment="1" applyProtection="1">
      <alignment horizontal="center" vertical="center" wrapText="1"/>
      <protection hidden="1"/>
    </xf>
    <xf numFmtId="0" fontId="57" fillId="3" borderId="0" xfId="0" applyFont="1" applyFill="1" applyAlignment="1" applyProtection="1">
      <alignment horizontal="center" vertical="center"/>
      <protection hidden="1"/>
    </xf>
    <xf numFmtId="0" fontId="57" fillId="3" borderId="0" xfId="0" applyFont="1" applyFill="1" applyAlignment="1" applyProtection="1">
      <alignment horizontal="center" vertical="center" wrapText="1"/>
      <protection hidden="1"/>
    </xf>
    <xf numFmtId="0" fontId="84" fillId="3" borderId="53" xfId="0" applyFont="1" applyFill="1" applyBorder="1" applyAlignment="1" applyProtection="1">
      <alignment horizontal="left" vertical="center" wrapText="1"/>
      <protection hidden="1"/>
    </xf>
    <xf numFmtId="0" fontId="101" fillId="3" borderId="3" xfId="0" applyFont="1" applyFill="1" applyBorder="1" applyAlignment="1" applyProtection="1">
      <alignment horizontal="left" vertical="center" wrapText="1"/>
      <protection hidden="1"/>
    </xf>
    <xf numFmtId="0" fontId="57" fillId="0" borderId="104" xfId="0" applyFont="1" applyBorder="1" applyAlignment="1" applyProtection="1">
      <alignment horizontal="center" vertical="center" wrapText="1"/>
      <protection hidden="1"/>
    </xf>
    <xf numFmtId="3" fontId="98" fillId="20" borderId="104" xfId="0" applyNumberFormat="1" applyFont="1" applyFill="1" applyBorder="1" applyAlignment="1" applyProtection="1">
      <alignment horizontal="center" vertical="center"/>
      <protection locked="0"/>
    </xf>
    <xf numFmtId="9" fontId="98" fillId="20" borderId="104" xfId="2" applyFont="1" applyFill="1" applyBorder="1" applyAlignment="1" applyProtection="1">
      <alignment horizontal="center" vertical="center"/>
      <protection locked="0"/>
    </xf>
    <xf numFmtId="0" fontId="57" fillId="3" borderId="0" xfId="0" applyFont="1" applyFill="1" applyAlignment="1" applyProtection="1">
      <alignment horizontal="left" vertical="center" indent="1"/>
      <protection hidden="1"/>
    </xf>
    <xf numFmtId="0" fontId="84" fillId="3" borderId="5" xfId="0" applyFont="1" applyFill="1" applyBorder="1" applyAlignment="1" applyProtection="1">
      <alignment horizontal="center" vertical="center" wrapText="1"/>
      <protection hidden="1"/>
    </xf>
    <xf numFmtId="0" fontId="84" fillId="3" borderId="4" xfId="0" applyFont="1" applyFill="1" applyBorder="1" applyAlignment="1" applyProtection="1">
      <alignment horizontal="center" vertical="center" wrapText="1"/>
      <protection hidden="1"/>
    </xf>
    <xf numFmtId="9" fontId="85" fillId="2" borderId="74" xfId="2" applyFont="1" applyFill="1" applyBorder="1" applyAlignment="1" applyProtection="1">
      <alignment horizontal="center" vertical="center"/>
      <protection locked="0"/>
    </xf>
    <xf numFmtId="9" fontId="85" fillId="2" borderId="78" xfId="2" applyFont="1" applyFill="1" applyBorder="1" applyAlignment="1" applyProtection="1">
      <alignment horizontal="center" vertical="center"/>
      <protection locked="0"/>
    </xf>
    <xf numFmtId="0" fontId="94" fillId="17" borderId="0" xfId="0" applyFont="1" applyFill="1" applyAlignment="1" applyProtection="1">
      <alignment horizontal="center" vertical="center"/>
      <protection hidden="1"/>
    </xf>
    <xf numFmtId="0" fontId="57" fillId="3" borderId="111" xfId="0" applyFont="1" applyFill="1" applyBorder="1" applyAlignment="1" applyProtection="1">
      <alignment horizontal="left" vertical="center" wrapText="1"/>
      <protection hidden="1"/>
    </xf>
    <xf numFmtId="0" fontId="57" fillId="3" borderId="112" xfId="0" applyFont="1" applyFill="1" applyBorder="1" applyAlignment="1" applyProtection="1">
      <alignment horizontal="left" vertical="center" wrapText="1"/>
      <protection hidden="1"/>
    </xf>
    <xf numFmtId="0" fontId="57" fillId="3" borderId="110" xfId="0" applyFont="1" applyFill="1" applyBorder="1" applyAlignment="1" applyProtection="1">
      <alignment horizontal="left" vertical="center" wrapText="1"/>
      <protection hidden="1"/>
    </xf>
    <xf numFmtId="0" fontId="138" fillId="28" borderId="2" xfId="0" applyFont="1" applyFill="1" applyBorder="1" applyAlignment="1" applyProtection="1">
      <alignment horizontal="center" vertical="center" wrapText="1"/>
      <protection hidden="1"/>
    </xf>
    <xf numFmtId="0" fontId="86" fillId="3" borderId="52" xfId="0" applyFont="1" applyFill="1" applyBorder="1" applyAlignment="1" applyProtection="1">
      <alignment horizontal="center" vertical="center" wrapText="1"/>
      <protection hidden="1"/>
    </xf>
    <xf numFmtId="0" fontId="86" fillId="3" borderId="53" xfId="0" applyFont="1" applyFill="1" applyBorder="1" applyAlignment="1" applyProtection="1">
      <alignment horizontal="center" vertical="center" wrapText="1"/>
      <protection hidden="1"/>
    </xf>
    <xf numFmtId="0" fontId="86" fillId="3" borderId="54" xfId="0" applyFont="1" applyFill="1" applyBorder="1" applyAlignment="1" applyProtection="1">
      <alignment horizontal="center" vertical="center" wrapText="1"/>
      <protection hidden="1"/>
    </xf>
    <xf numFmtId="0" fontId="86" fillId="3" borderId="55" xfId="0" applyFont="1" applyFill="1" applyBorder="1" applyAlignment="1" applyProtection="1">
      <alignment horizontal="center" vertical="center" wrapText="1"/>
      <protection hidden="1"/>
    </xf>
    <xf numFmtId="0" fontId="86" fillId="3" borderId="0" xfId="0" applyFont="1" applyFill="1" applyAlignment="1" applyProtection="1">
      <alignment horizontal="center" vertical="center" wrapText="1"/>
      <protection hidden="1"/>
    </xf>
    <xf numFmtId="0" fontId="86" fillId="3" borderId="56" xfId="0" applyFont="1" applyFill="1" applyBorder="1" applyAlignment="1" applyProtection="1">
      <alignment horizontal="center" vertical="center" wrapText="1"/>
      <protection hidden="1"/>
    </xf>
    <xf numFmtId="0" fontId="86" fillId="3" borderId="57" xfId="0" applyFont="1" applyFill="1" applyBorder="1" applyAlignment="1" applyProtection="1">
      <alignment horizontal="center" vertical="center" wrapText="1"/>
      <protection hidden="1"/>
    </xf>
    <xf numFmtId="0" fontId="86" fillId="3" borderId="2" xfId="0" applyFont="1" applyFill="1" applyBorder="1" applyAlignment="1" applyProtection="1">
      <alignment horizontal="center" vertical="center" wrapText="1"/>
      <protection hidden="1"/>
    </xf>
    <xf numFmtId="0" fontId="86" fillId="3" borderId="61" xfId="0" applyFont="1" applyFill="1" applyBorder="1" applyAlignment="1" applyProtection="1">
      <alignment horizontal="center" vertical="center" wrapText="1"/>
      <protection hidden="1"/>
    </xf>
    <xf numFmtId="0" fontId="57" fillId="3" borderId="49" xfId="0" applyFont="1" applyFill="1" applyBorder="1" applyAlignment="1" applyProtection="1">
      <alignment horizontal="center" vertical="center" wrapText="1"/>
      <protection hidden="1"/>
    </xf>
    <xf numFmtId="0" fontId="57" fillId="3" borderId="51" xfId="0" applyFont="1" applyFill="1" applyBorder="1" applyAlignment="1" applyProtection="1">
      <alignment horizontal="center" vertical="center" wrapText="1"/>
      <protection hidden="1"/>
    </xf>
    <xf numFmtId="170" fontId="83" fillId="20" borderId="49" xfId="0" applyNumberFormat="1" applyFont="1" applyFill="1" applyBorder="1" applyAlignment="1" applyProtection="1">
      <alignment horizontal="center" vertical="center"/>
      <protection locked="0"/>
    </xf>
    <xf numFmtId="170" fontId="83" fillId="20" borderId="51" xfId="0" applyNumberFormat="1" applyFont="1" applyFill="1" applyBorder="1" applyAlignment="1" applyProtection="1">
      <alignment horizontal="center" vertical="center"/>
      <protection locked="0"/>
    </xf>
    <xf numFmtId="0" fontId="57" fillId="3" borderId="104" xfId="0" applyFont="1" applyFill="1" applyBorder="1" applyAlignment="1" applyProtection="1">
      <alignment horizontal="center" vertical="center"/>
      <protection hidden="1"/>
    </xf>
    <xf numFmtId="0" fontId="86" fillId="3" borderId="3" xfId="0" applyFont="1" applyFill="1" applyBorder="1" applyAlignment="1" applyProtection="1">
      <alignment horizontal="center" vertical="center" wrapText="1"/>
      <protection hidden="1"/>
    </xf>
    <xf numFmtId="0" fontId="86" fillId="3" borderId="5" xfId="0" applyFont="1" applyFill="1" applyBorder="1" applyAlignment="1" applyProtection="1">
      <alignment horizontal="center" vertical="center" wrapText="1"/>
      <protection hidden="1"/>
    </xf>
    <xf numFmtId="0" fontId="86" fillId="3" borderId="4" xfId="0" applyFont="1" applyFill="1" applyBorder="1" applyAlignment="1" applyProtection="1">
      <alignment horizontal="center" vertical="center" wrapText="1"/>
      <protection hidden="1"/>
    </xf>
    <xf numFmtId="0" fontId="94" fillId="21" borderId="0" xfId="0" applyFont="1" applyFill="1" applyAlignment="1" applyProtection="1">
      <alignment horizontal="center" vertical="center" wrapText="1"/>
      <protection hidden="1"/>
    </xf>
    <xf numFmtId="0" fontId="106" fillId="0" borderId="0" xfId="0" applyFont="1" applyAlignment="1">
      <alignment horizontal="right"/>
    </xf>
    <xf numFmtId="0" fontId="53" fillId="22" borderId="0" xfId="0" applyFont="1" applyFill="1" applyAlignment="1">
      <alignment horizontal="center"/>
    </xf>
    <xf numFmtId="0" fontId="57" fillId="22" borderId="0" xfId="0" applyFont="1" applyFill="1" applyAlignment="1" applyProtection="1">
      <alignment horizontal="center" vertical="center"/>
      <protection hidden="1"/>
    </xf>
    <xf numFmtId="0" fontId="57" fillId="3" borderId="1" xfId="0" applyFont="1" applyFill="1" applyBorder="1" applyAlignment="1" applyProtection="1">
      <alignment horizontal="center" vertical="center" wrapText="1"/>
      <protection hidden="1"/>
    </xf>
    <xf numFmtId="0" fontId="57" fillId="22" borderId="0" xfId="0" applyFont="1" applyFill="1" applyAlignment="1" applyProtection="1">
      <alignment horizontal="left" wrapText="1"/>
      <protection hidden="1"/>
    </xf>
    <xf numFmtId="0" fontId="86" fillId="22" borderId="0" xfId="0" applyFont="1" applyFill="1" applyAlignment="1" applyProtection="1">
      <alignment horizontal="left" vertical="top" wrapText="1"/>
      <protection hidden="1"/>
    </xf>
    <xf numFmtId="0" fontId="86" fillId="22" borderId="0" xfId="0" applyFont="1" applyFill="1" applyAlignment="1">
      <alignment vertical="top"/>
    </xf>
    <xf numFmtId="0" fontId="86" fillId="22" borderId="0" xfId="0" applyFont="1" applyFill="1" applyAlignment="1" applyProtection="1">
      <alignment horizontal="left" wrapText="1"/>
      <protection hidden="1"/>
    </xf>
    <xf numFmtId="0" fontId="86" fillId="22" borderId="0" xfId="0" applyFont="1" applyFill="1"/>
    <xf numFmtId="0" fontId="52" fillId="3" borderId="3" xfId="0" applyFont="1" applyFill="1" applyBorder="1" applyAlignment="1" applyProtection="1">
      <alignment horizontal="center" vertical="center" wrapText="1"/>
      <protection hidden="1"/>
    </xf>
    <xf numFmtId="0" fontId="52" fillId="3" borderId="5" xfId="0" applyFont="1" applyFill="1" applyBorder="1" applyAlignment="1" applyProtection="1">
      <alignment horizontal="center" vertical="center" wrapText="1"/>
      <protection hidden="1"/>
    </xf>
    <xf numFmtId="0" fontId="52" fillId="3" borderId="4" xfId="0" applyFont="1" applyFill="1" applyBorder="1" applyAlignment="1" applyProtection="1">
      <alignment horizontal="center" vertical="center" wrapText="1"/>
      <protection hidden="1"/>
    </xf>
    <xf numFmtId="0" fontId="106" fillId="3" borderId="0" xfId="0" applyFont="1" applyFill="1" applyAlignment="1" applyProtection="1">
      <alignment horizontal="left" wrapText="1"/>
      <protection hidden="1"/>
    </xf>
    <xf numFmtId="0" fontId="94" fillId="23" borderId="0" xfId="0" applyFont="1" applyFill="1" applyAlignment="1" applyProtection="1">
      <alignment horizontal="center" vertical="center"/>
      <protection hidden="1"/>
    </xf>
    <xf numFmtId="0" fontId="122" fillId="23" borderId="0" xfId="0" applyFont="1" applyFill="1" applyAlignment="1" applyProtection="1">
      <alignment horizontal="center" vertical="center"/>
      <protection hidden="1"/>
    </xf>
    <xf numFmtId="0" fontId="70" fillId="26" borderId="0" xfId="0" applyFont="1" applyFill="1" applyAlignment="1" applyProtection="1">
      <alignment horizontal="center" vertical="center"/>
      <protection hidden="1"/>
    </xf>
    <xf numFmtId="0" fontId="70" fillId="26" borderId="0" xfId="0" applyFont="1" applyFill="1" applyAlignment="1" applyProtection="1">
      <alignment horizontal="center" vertical="center" wrapText="1"/>
      <protection hidden="1"/>
    </xf>
    <xf numFmtId="0" fontId="57" fillId="15" borderId="1" xfId="0" applyFont="1" applyFill="1" applyBorder="1" applyAlignment="1" applyProtection="1">
      <alignment horizontal="center" vertical="center"/>
      <protection hidden="1"/>
    </xf>
    <xf numFmtId="0" fontId="93" fillId="26" borderId="0" xfId="0" applyFont="1" applyFill="1" applyAlignment="1" applyProtection="1">
      <alignment horizontal="center" vertical="center" wrapText="1"/>
      <protection hidden="1"/>
    </xf>
    <xf numFmtId="0" fontId="58" fillId="15" borderId="1" xfId="0" applyFont="1" applyFill="1" applyBorder="1" applyAlignment="1" applyProtection="1">
      <alignment horizontal="center" vertical="center" wrapText="1"/>
      <protection hidden="1"/>
    </xf>
    <xf numFmtId="0" fontId="112" fillId="15" borderId="1" xfId="0" applyFont="1" applyFill="1" applyBorder="1" applyAlignment="1" applyProtection="1">
      <alignment horizontal="center" vertical="center" wrapText="1"/>
      <protection hidden="1"/>
    </xf>
    <xf numFmtId="0" fontId="116" fillId="15" borderId="1" xfId="0" applyFont="1" applyFill="1" applyBorder="1" applyAlignment="1" applyProtection="1">
      <alignment horizontal="center" vertical="center" wrapText="1"/>
      <protection hidden="1"/>
    </xf>
    <xf numFmtId="0" fontId="57" fillId="0" borderId="0" xfId="0" applyFont="1" applyAlignment="1" applyProtection="1">
      <alignment horizontal="center" vertical="center" wrapText="1"/>
      <protection hidden="1"/>
    </xf>
    <xf numFmtId="0" fontId="57" fillId="0" borderId="0" xfId="0" applyFont="1" applyAlignment="1" applyProtection="1">
      <alignment horizontal="center" vertical="center"/>
      <protection hidden="1"/>
    </xf>
    <xf numFmtId="0" fontId="122" fillId="23" borderId="0" xfId="0" applyFont="1" applyFill="1" applyAlignment="1" applyProtection="1">
      <alignment horizontal="center" vertical="center" wrapText="1"/>
      <protection hidden="1"/>
    </xf>
    <xf numFmtId="0" fontId="109" fillId="0" borderId="0" xfId="0" applyFont="1" applyAlignment="1" applyProtection="1">
      <alignment horizontal="center" vertical="center" wrapText="1"/>
      <protection hidden="1"/>
    </xf>
    <xf numFmtId="0" fontId="110" fillId="0" borderId="0" xfId="0" applyFont="1" applyAlignment="1" applyProtection="1">
      <alignment horizontal="center" vertical="center" wrapText="1"/>
      <protection hidden="1"/>
    </xf>
    <xf numFmtId="0" fontId="108" fillId="0" borderId="0" xfId="0" applyFont="1" applyAlignment="1" applyProtection="1">
      <alignment horizontal="center" vertical="center"/>
      <protection hidden="1"/>
    </xf>
    <xf numFmtId="0" fontId="112" fillId="0" borderId="1" xfId="0" applyFont="1" applyBorder="1" applyAlignment="1" applyProtection="1">
      <alignment horizontal="center" vertical="center" wrapText="1"/>
      <protection hidden="1"/>
    </xf>
    <xf numFmtId="0" fontId="92" fillId="0" borderId="1" xfId="0" applyFont="1" applyBorder="1" applyAlignment="1" applyProtection="1">
      <alignment horizontal="center" vertical="center" wrapText="1"/>
      <protection hidden="1"/>
    </xf>
    <xf numFmtId="0" fontId="129" fillId="0" borderId="1" xfId="0" applyFont="1" applyBorder="1" applyAlignment="1" applyProtection="1">
      <alignment horizontal="center" vertical="center" wrapText="1"/>
      <protection hidden="1"/>
    </xf>
    <xf numFmtId="0" fontId="132" fillId="26" borderId="1" xfId="0" applyFont="1" applyFill="1" applyBorder="1" applyAlignment="1" applyProtection="1">
      <alignment horizontal="center" vertical="center" wrapText="1"/>
      <protection hidden="1"/>
    </xf>
    <xf numFmtId="0" fontId="132" fillId="19" borderId="1" xfId="0" applyFont="1" applyFill="1" applyBorder="1" applyAlignment="1" applyProtection="1">
      <alignment horizontal="center" vertical="center" wrapText="1"/>
      <protection hidden="1"/>
    </xf>
    <xf numFmtId="0" fontId="132" fillId="27" borderId="1" xfId="0" applyFont="1" applyFill="1" applyBorder="1" applyAlignment="1" applyProtection="1">
      <alignment horizontal="center" vertical="center" wrapText="1"/>
      <protection hidden="1"/>
    </xf>
    <xf numFmtId="0" fontId="122" fillId="23" borderId="0" xfId="0" applyFont="1" applyFill="1" applyAlignment="1">
      <alignment horizontal="center" vertical="center"/>
    </xf>
    <xf numFmtId="0" fontId="107" fillId="0" borderId="0" xfId="0" applyFont="1" applyAlignment="1">
      <alignment horizontal="right"/>
    </xf>
    <xf numFmtId="0" fontId="26" fillId="4" borderId="58" xfId="0" applyFont="1" applyFill="1" applyBorder="1" applyAlignment="1">
      <alignment horizontal="center" vertical="center"/>
    </xf>
    <xf numFmtId="0" fontId="26" fillId="4" borderId="59" xfId="0" applyFont="1" applyFill="1" applyBorder="1" applyAlignment="1">
      <alignment horizontal="center" vertical="center"/>
    </xf>
    <xf numFmtId="0" fontId="26" fillId="4" borderId="60" xfId="0" applyFont="1" applyFill="1" applyBorder="1" applyAlignment="1">
      <alignment horizontal="center" vertical="center"/>
    </xf>
    <xf numFmtId="0" fontId="101" fillId="3" borderId="58" xfId="0" applyFont="1" applyFill="1" applyBorder="1" applyAlignment="1">
      <alignment horizontal="left" vertical="center" wrapText="1" indent="1"/>
    </xf>
    <xf numFmtId="0" fontId="101" fillId="3" borderId="59" xfId="0" applyFont="1" applyFill="1" applyBorder="1" applyAlignment="1">
      <alignment horizontal="left" vertical="center" wrapText="1" indent="1"/>
    </xf>
    <xf numFmtId="0" fontId="101" fillId="3" borderId="60" xfId="0" applyFont="1" applyFill="1" applyBorder="1" applyAlignment="1">
      <alignment horizontal="left" vertical="center" wrapText="1" indent="1"/>
    </xf>
    <xf numFmtId="0" fontId="106" fillId="0" borderId="0" xfId="0" applyFont="1" applyAlignment="1">
      <alignment horizontal="right" wrapText="1"/>
    </xf>
    <xf numFmtId="0" fontId="53" fillId="0" borderId="0" xfId="0" applyFont="1" applyAlignment="1">
      <alignment horizontal="right" wrapText="1"/>
    </xf>
    <xf numFmtId="0" fontId="122" fillId="17" borderId="0" xfId="0" applyFont="1" applyFill="1" applyAlignment="1">
      <alignment horizontal="center" vertical="center"/>
    </xf>
    <xf numFmtId="0" fontId="120" fillId="19" borderId="0" xfId="0" applyFont="1" applyFill="1" applyAlignment="1">
      <alignment horizontal="left" vertical="center" wrapText="1"/>
    </xf>
    <xf numFmtId="0" fontId="8" fillId="0" borderId="0" xfId="0" applyFont="1" applyAlignment="1">
      <alignment horizontal="left" wrapText="1"/>
    </xf>
    <xf numFmtId="0" fontId="8" fillId="0" borderId="0" xfId="0" applyFont="1" applyAlignment="1">
      <alignment horizontal="left"/>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30"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2" fontId="11" fillId="0" borderId="20" xfId="0" applyNumberFormat="1" applyFont="1" applyBorder="1" applyAlignment="1">
      <alignment horizontal="center" vertical="center"/>
    </xf>
    <xf numFmtId="2" fontId="11" fillId="0" borderId="21"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9" xfId="0" applyFont="1" applyBorder="1" applyAlignment="1">
      <alignment horizontal="center" vertical="center"/>
    </xf>
    <xf numFmtId="0" fontId="8" fillId="0" borderId="22" xfId="0" applyFont="1" applyBorder="1" applyAlignment="1">
      <alignment horizontal="center" vertic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5" fillId="0" borderId="0" xfId="0" applyFont="1" applyAlignment="1">
      <alignment horizontal="left"/>
    </xf>
    <xf numFmtId="0" fontId="8" fillId="0" borderId="0" xfId="0" applyFont="1" applyAlignment="1">
      <alignment horizontal="left" vertical="top"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6" borderId="10" xfId="0" applyFont="1" applyFill="1" applyBorder="1" applyAlignment="1">
      <alignment horizontal="center" vertical="center"/>
    </xf>
    <xf numFmtId="0" fontId="8" fillId="6" borderId="2" xfId="0" applyFont="1" applyFill="1" applyBorder="1" applyAlignment="1">
      <alignment horizontal="center" vertical="center"/>
    </xf>
  </cellXfs>
  <cellStyles count="6">
    <cellStyle name="Comma" xfId="4" builtinId="3"/>
    <cellStyle name="Currency" xfId="1" builtinId="4"/>
    <cellStyle name="Hyperlink" xfId="3" builtinId="8"/>
    <cellStyle name="Normal" xfId="0" builtinId="0"/>
    <cellStyle name="Note" xfId="5" builtinId="10"/>
    <cellStyle name="Percent" xfId="2" builtinId="5"/>
  </cellStyles>
  <dxfs count="50">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D4EBEC"/>
      <color rgb="FFE2E278"/>
      <color rgb="FF64B7C0"/>
      <color rgb="FFE8ECEB"/>
      <color rgb="FFD2F1DF"/>
      <color rgb="FF009B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200" b="1"/>
              <a:t>Coût du vaccin/des mAb</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bar"/>
        <c:grouping val="stacked"/>
        <c:varyColors val="0"/>
        <c:ser>
          <c:idx val="0"/>
          <c:order val="0"/>
          <c:spPr>
            <a:solidFill>
              <a:schemeClr val="accent1"/>
            </a:solidFill>
            <a:ln>
              <a:noFill/>
            </a:ln>
            <a:effectLst/>
          </c:spPr>
          <c:invertIfNegative val="0"/>
          <c:cat>
            <c:multiLvlStrRef>
              <c:f>Résultats!$E$8:$O$9</c:f>
              <c:multiLvlStrCache>
                <c:ptCount val="3"/>
                <c:lvl>
                  <c:pt idx="0">
                    <c:v>Abrysvo, Pfizer</c:v>
                  </c:pt>
                  <c:pt idx="1">
                    <c:v>Nirsevimab, AstraZeneca</c:v>
                  </c:pt>
                  <c:pt idx="2">
                    <c:v>les deux, total</c:v>
                  </c:pt>
                </c:lvl>
                <c:lvl>
                  <c:pt idx="0">
                    <c:v>Scénario A : 
vaccin maternel</c:v>
                  </c:pt>
                  <c:pt idx="1">
                    <c:v>Scénario B : 
mAb</c:v>
                  </c:pt>
                  <c:pt idx="2">
                    <c:v>Scénario C : 
vaccin maternel et mAb</c:v>
                  </c:pt>
                </c:lvl>
              </c:multiLvlStrCache>
            </c:multiLvlStrRef>
          </c:cat>
          <c:val>
            <c:numRef>
              <c:f>Résultats!$E$108:$M$108</c:f>
              <c:numCache>
                <c:formatCode>#,##0" $"</c:formatCode>
                <c:ptCount val="3"/>
                <c:pt idx="0">
                  <c:v>210613.66974788893</c:v>
                </c:pt>
                <c:pt idx="1">
                  <c:v>189552.54277310005</c:v>
                </c:pt>
                <c:pt idx="2">
                  <c:v>0</c:v>
                </c:pt>
              </c:numCache>
            </c:numRef>
          </c:val>
          <c:extLst>
            <c:ext xmlns:c16="http://schemas.microsoft.com/office/drawing/2014/chart" uri="{C3380CC4-5D6E-409C-BE32-E72D297353CC}">
              <c16:uniqueId val="{00000000-0EA4-41C6-AAAB-6AAC89EAB91D}"/>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88448"/>
        <c:crosses val="autoZero"/>
        <c:auto val="1"/>
        <c:lblAlgn val="ctr"/>
        <c:lblOffset val="100"/>
        <c:noMultiLvlLbl val="0"/>
      </c:catAx>
      <c:valAx>
        <c:axId val="749288448"/>
        <c:scaling>
          <c:orientation val="minMax"/>
        </c:scaling>
        <c:delete val="0"/>
        <c:axPos val="b"/>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78848"/>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Résultats!$E$108</c:f>
              <c:numCache>
                <c:formatCode>#,##0" $"</c:formatCode>
                <c:ptCount val="1"/>
                <c:pt idx="0">
                  <c:v>210613.66974788893</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6-F6B7-417D-B92A-C66DECB24D31}"/>
            </c:ext>
          </c:extLst>
        </c:ser>
        <c:ser>
          <c:idx val="1"/>
          <c:order val="1"/>
          <c:tx>
            <c:strRef>
              <c:f>'Saisie des données'!$F$78</c:f>
              <c:strCache>
                <c:ptCount val="1"/>
                <c:pt idx="0">
                  <c:v>Aucun</c:v>
                </c:pt>
              </c:strCache>
            </c:strRef>
          </c:tx>
          <c:spPr>
            <a:solidFill>
              <a:schemeClr val="accent2"/>
            </a:solidFill>
            <a:ln>
              <a:noFill/>
            </a:ln>
            <a:effectLst/>
          </c:spPr>
          <c:invertIfNegative val="0"/>
          <c:val>
            <c:numRef>
              <c:f>Résultats!$F$108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7-F6B7-417D-B92A-C66DECB24D31}"/>
            </c:ext>
          </c:extLst>
        </c:ser>
        <c:ser>
          <c:idx val="2"/>
          <c:order val="2"/>
          <c:tx>
            <c:strRef>
              <c:f>'Saisie des données'!$G$78</c:f>
              <c:strCache>
                <c:ptCount val="1"/>
                <c:pt idx="0">
                  <c:v>Aucun</c:v>
                </c:pt>
              </c:strCache>
            </c:strRef>
          </c:tx>
          <c:spPr>
            <a:solidFill>
              <a:schemeClr val="accent3"/>
            </a:solidFill>
            <a:ln>
              <a:noFill/>
            </a:ln>
            <a:effectLst/>
          </c:spPr>
          <c:invertIfNegative val="0"/>
          <c:val>
            <c:numRef>
              <c:f>Résultats!$G$108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8-F6B7-417D-B92A-C66DECB24D31}"/>
            </c:ext>
          </c:extLst>
        </c:ser>
        <c:ser>
          <c:idx val="3"/>
          <c:order val="3"/>
          <c:tx>
            <c:strRef>
              <c:f>'Saisie des données'!$H$78</c:f>
              <c:strCache>
                <c:ptCount val="1"/>
                <c:pt idx="0">
                  <c:v>Nirsevimab, AstraZeneca</c:v>
                </c:pt>
              </c:strCache>
            </c:strRef>
          </c:tx>
          <c:spPr>
            <a:solidFill>
              <a:schemeClr val="accent4"/>
            </a:solidFill>
            <a:ln>
              <a:noFill/>
            </a:ln>
            <a:effectLst/>
          </c:spPr>
          <c:invertIfNegative val="0"/>
          <c:val>
            <c:numRef>
              <c:f>Résultats!$I$108</c:f>
              <c:numCache>
                <c:formatCode>#,##0" $"</c:formatCode>
                <c:ptCount val="1"/>
                <c:pt idx="0">
                  <c:v>189552.54277310005</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9-F6B7-417D-B92A-C66DECB24D31}"/>
            </c:ext>
          </c:extLst>
        </c:ser>
        <c:ser>
          <c:idx val="4"/>
          <c:order val="4"/>
          <c:tx>
            <c:strRef>
              <c:f>'Saisie des données'!$I$78</c:f>
              <c:strCache>
                <c:ptCount val="1"/>
                <c:pt idx="0">
                  <c:v>Aucun</c:v>
                </c:pt>
              </c:strCache>
            </c:strRef>
          </c:tx>
          <c:spPr>
            <a:solidFill>
              <a:schemeClr val="accent5"/>
            </a:solidFill>
            <a:ln>
              <a:noFill/>
            </a:ln>
            <a:effectLst/>
          </c:spPr>
          <c:invertIfNegative val="0"/>
          <c:val>
            <c:numRef>
              <c:f>Résultats!$J$108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A-F6B7-417D-B92A-C66DECB24D31}"/>
            </c:ext>
          </c:extLst>
        </c:ser>
        <c:ser>
          <c:idx val="5"/>
          <c:order val="5"/>
          <c:tx>
            <c:strRef>
              <c:f>'Saisie des données'!$J$78</c:f>
              <c:strCache>
                <c:ptCount val="1"/>
                <c:pt idx="0">
                  <c:v>Aucun</c:v>
                </c:pt>
              </c:strCache>
            </c:strRef>
          </c:tx>
          <c:spPr>
            <a:solidFill>
              <a:schemeClr val="accent6"/>
            </a:solidFill>
            <a:ln>
              <a:noFill/>
            </a:ln>
            <a:effectLst/>
          </c:spPr>
          <c:invertIfNegative val="0"/>
          <c:val>
            <c:numRef>
              <c:f>Résultats!$K$108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B-F6B7-417D-B92A-C66DECB24D31}"/>
            </c:ext>
          </c:extLst>
        </c:ser>
        <c:ser>
          <c:idx val="6"/>
          <c:order val="6"/>
          <c:tx>
            <c:strRef>
              <c:f>'Saisie des données'!$K$78</c:f>
              <c:strCache>
                <c:ptCount val="1"/>
                <c:pt idx="0">
                  <c:v>Aucun</c:v>
                </c:pt>
              </c:strCache>
            </c:strRef>
          </c:tx>
          <c:spPr>
            <a:solidFill>
              <a:schemeClr val="accent1">
                <a:lumMod val="60000"/>
              </a:schemeClr>
            </a:solidFill>
            <a:ln>
              <a:noFill/>
            </a:ln>
            <a:effectLst/>
          </c:spPr>
          <c:invertIfNegative val="0"/>
          <c:val>
            <c:numRef>
              <c:f>Résultats!$N$108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C-F6B7-417D-B92A-C66DECB24D31}"/>
            </c:ext>
          </c:extLst>
        </c:ser>
        <c:ser>
          <c:idx val="7"/>
          <c:order val="7"/>
          <c:tx>
            <c:strRef>
              <c:f>'Saisie des données'!$L$78</c:f>
              <c:strCache>
                <c:ptCount val="1"/>
                <c:pt idx="0">
                  <c:v>Aucun</c:v>
                </c:pt>
              </c:strCache>
            </c:strRef>
          </c:tx>
          <c:spPr>
            <a:solidFill>
              <a:schemeClr val="accent2">
                <a:lumMod val="60000"/>
              </a:schemeClr>
            </a:solidFill>
            <a:ln>
              <a:noFill/>
            </a:ln>
            <a:effectLst/>
          </c:spPr>
          <c:invertIfNegative val="0"/>
          <c:val>
            <c:numRef>
              <c:f>Résultats!$O$108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D-F6B7-417D-B92A-C66DECB24D31}"/>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Résultats!$M$108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E-F6B7-417D-B92A-C66DECB24D31}"/>
            </c:ext>
          </c:extLst>
        </c:ser>
        <c:dLbls>
          <c:showLegendKey val="0"/>
          <c:showVal val="0"/>
          <c:showCatName val="0"/>
          <c:showSerName val="0"/>
          <c:showPercent val="0"/>
          <c:showBubbleSize val="0"/>
        </c:dLbls>
        <c:gapWidth val="182"/>
        <c:axId val="640941360"/>
        <c:axId val="640940704"/>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6.1660409612079539E-2"/>
          <c:y val="0.77658380822128203"/>
          <c:w val="0.91898687430379478"/>
          <c:h val="0.1936361595248326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863216863177199"/>
          <c:h val="0.46985152778013894"/>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Résultats!$E$117</c:f>
              <c:numCache>
                <c:formatCode>#,##0" $"</c:formatCode>
                <c:ptCount val="1"/>
                <c:pt idx="0">
                  <c:v>1253616.8254038889</c:v>
                </c:pt>
              </c:numCache>
            </c:numRef>
          </c:val>
          <c:extLst>
            <c:ext xmlns:c16="http://schemas.microsoft.com/office/drawing/2014/chart" uri="{C3380CC4-5D6E-409C-BE32-E72D297353CC}">
              <c16:uniqueId val="{00000000-28E9-45AC-9562-754FCAC6B41D}"/>
            </c:ext>
          </c:extLst>
        </c:ser>
        <c:ser>
          <c:idx val="1"/>
          <c:order val="1"/>
          <c:tx>
            <c:strRef>
              <c:f>'Saisie des données'!$F$78</c:f>
              <c:strCache>
                <c:ptCount val="1"/>
                <c:pt idx="0">
                  <c:v>Aucun</c:v>
                </c:pt>
              </c:strCache>
            </c:strRef>
          </c:tx>
          <c:spPr>
            <a:solidFill>
              <a:schemeClr val="accent2"/>
            </a:solidFill>
            <a:ln>
              <a:noFill/>
            </a:ln>
            <a:effectLst/>
          </c:spPr>
          <c:invertIfNegative val="0"/>
          <c:val>
            <c:numRef>
              <c:f>Résultats!$F$117</c:f>
            </c:numRef>
          </c:val>
          <c:extLst>
            <c:ext xmlns:c16="http://schemas.microsoft.com/office/drawing/2014/chart" uri="{C3380CC4-5D6E-409C-BE32-E72D297353CC}">
              <c16:uniqueId val="{00000009-28E9-45AC-9562-754FCAC6B41D}"/>
            </c:ext>
          </c:extLst>
        </c:ser>
        <c:ser>
          <c:idx val="2"/>
          <c:order val="2"/>
          <c:tx>
            <c:strRef>
              <c:f>'Saisie des données'!$G$78</c:f>
              <c:strCache>
                <c:ptCount val="1"/>
                <c:pt idx="0">
                  <c:v>Aucun</c:v>
                </c:pt>
              </c:strCache>
            </c:strRef>
          </c:tx>
          <c:spPr>
            <a:solidFill>
              <a:schemeClr val="accent3"/>
            </a:solidFill>
            <a:ln>
              <a:noFill/>
            </a:ln>
            <a:effectLst/>
          </c:spPr>
          <c:invertIfNegative val="0"/>
          <c:val>
            <c:numRef>
              <c:f>Résultats!$G$117</c:f>
            </c:numRef>
          </c:val>
          <c:extLst>
            <c:ext xmlns:c16="http://schemas.microsoft.com/office/drawing/2014/chart" uri="{C3380CC4-5D6E-409C-BE32-E72D297353CC}">
              <c16:uniqueId val="{0000000A-28E9-45AC-9562-754FCAC6B41D}"/>
            </c:ext>
          </c:extLst>
        </c:ser>
        <c:ser>
          <c:idx val="3"/>
          <c:order val="3"/>
          <c:tx>
            <c:strRef>
              <c:f>'Saisie des données'!$H$78</c:f>
              <c:strCache>
                <c:ptCount val="1"/>
                <c:pt idx="0">
                  <c:v>Nirsevimab, AstraZeneca</c:v>
                </c:pt>
              </c:strCache>
            </c:strRef>
          </c:tx>
          <c:spPr>
            <a:solidFill>
              <a:schemeClr val="accent4"/>
            </a:solidFill>
            <a:ln>
              <a:noFill/>
            </a:ln>
            <a:effectLst/>
          </c:spPr>
          <c:invertIfNegative val="0"/>
          <c:val>
            <c:numRef>
              <c:f>Résultats!$I$117</c:f>
              <c:numCache>
                <c:formatCode>#,##0" $"</c:formatCode>
                <c:ptCount val="1"/>
                <c:pt idx="0">
                  <c:v>1064252.9164936999</c:v>
                </c:pt>
              </c:numCache>
            </c:numRef>
          </c:val>
          <c:extLst>
            <c:ext xmlns:c16="http://schemas.microsoft.com/office/drawing/2014/chart" uri="{C3380CC4-5D6E-409C-BE32-E72D297353CC}">
              <c16:uniqueId val="{0000000B-28E9-45AC-9562-754FCAC6B41D}"/>
            </c:ext>
          </c:extLst>
        </c:ser>
        <c:ser>
          <c:idx val="4"/>
          <c:order val="4"/>
          <c:tx>
            <c:strRef>
              <c:f>'Saisie des données'!$I$78</c:f>
              <c:strCache>
                <c:ptCount val="1"/>
                <c:pt idx="0">
                  <c:v>Aucun</c:v>
                </c:pt>
              </c:strCache>
            </c:strRef>
          </c:tx>
          <c:spPr>
            <a:solidFill>
              <a:schemeClr val="accent5"/>
            </a:solidFill>
            <a:ln>
              <a:noFill/>
            </a:ln>
            <a:effectLst/>
          </c:spPr>
          <c:invertIfNegative val="0"/>
          <c:val>
            <c:numRef>
              <c:f>Résultats!$J$117</c:f>
            </c:numRef>
          </c:val>
          <c:extLst>
            <c:ext xmlns:c16="http://schemas.microsoft.com/office/drawing/2014/chart" uri="{C3380CC4-5D6E-409C-BE32-E72D297353CC}">
              <c16:uniqueId val="{0000000C-28E9-45AC-9562-754FCAC6B41D}"/>
            </c:ext>
          </c:extLst>
        </c:ser>
        <c:ser>
          <c:idx val="5"/>
          <c:order val="5"/>
          <c:tx>
            <c:strRef>
              <c:f>'Saisie des données'!$J$78</c:f>
              <c:strCache>
                <c:ptCount val="1"/>
                <c:pt idx="0">
                  <c:v>Aucun</c:v>
                </c:pt>
              </c:strCache>
            </c:strRef>
          </c:tx>
          <c:spPr>
            <a:solidFill>
              <a:schemeClr val="accent6"/>
            </a:solidFill>
            <a:ln>
              <a:noFill/>
            </a:ln>
            <a:effectLst/>
          </c:spPr>
          <c:invertIfNegative val="0"/>
          <c:val>
            <c:numRef>
              <c:f>Résultats!$K$117</c:f>
            </c:numRef>
          </c:val>
          <c:extLst>
            <c:ext xmlns:c16="http://schemas.microsoft.com/office/drawing/2014/chart" uri="{C3380CC4-5D6E-409C-BE32-E72D297353CC}">
              <c16:uniqueId val="{0000000D-28E9-45AC-9562-754FCAC6B41D}"/>
            </c:ext>
          </c:extLst>
        </c:ser>
        <c:ser>
          <c:idx val="6"/>
          <c:order val="6"/>
          <c:tx>
            <c:strRef>
              <c:f>'Saisie des données'!$K$78</c:f>
              <c:strCache>
                <c:ptCount val="1"/>
                <c:pt idx="0">
                  <c:v>Aucun</c:v>
                </c:pt>
              </c:strCache>
            </c:strRef>
          </c:tx>
          <c:spPr>
            <a:solidFill>
              <a:schemeClr val="accent1">
                <a:lumMod val="60000"/>
              </a:schemeClr>
            </a:solidFill>
            <a:ln>
              <a:noFill/>
            </a:ln>
            <a:effectLst/>
          </c:spPr>
          <c:invertIfNegative val="0"/>
          <c:val>
            <c:numRef>
              <c:f>Résultats!$N$117</c:f>
            </c:numRef>
          </c:val>
          <c:extLst>
            <c:ext xmlns:c16="http://schemas.microsoft.com/office/drawing/2014/chart" uri="{C3380CC4-5D6E-409C-BE32-E72D297353CC}">
              <c16:uniqueId val="{0000000E-28E9-45AC-9562-754FCAC6B41D}"/>
            </c:ext>
          </c:extLst>
        </c:ser>
        <c:ser>
          <c:idx val="7"/>
          <c:order val="7"/>
          <c:tx>
            <c:strRef>
              <c:f>'Saisie des données'!$L$78</c:f>
              <c:strCache>
                <c:ptCount val="1"/>
                <c:pt idx="0">
                  <c:v>Aucun</c:v>
                </c:pt>
              </c:strCache>
            </c:strRef>
          </c:tx>
          <c:spPr>
            <a:solidFill>
              <a:schemeClr val="accent2">
                <a:lumMod val="60000"/>
              </a:schemeClr>
            </a:solidFill>
            <a:ln>
              <a:noFill/>
            </a:ln>
            <a:effectLst/>
          </c:spPr>
          <c:invertIfNegative val="0"/>
          <c:val>
            <c:numRef>
              <c:f>Résultats!$O$117</c:f>
            </c:numRef>
          </c:val>
          <c:extLst>
            <c:ext xmlns:c16="http://schemas.microsoft.com/office/drawing/2014/chart" uri="{C3380CC4-5D6E-409C-BE32-E72D297353CC}">
              <c16:uniqueId val="{0000000F-28E9-45AC-9562-754FCAC6B41D}"/>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Résultats!$M$117</c:f>
              <c:numCache>
                <c:formatCode>#,##0" $"</c:formatCode>
                <c:ptCount val="1"/>
                <c:pt idx="0">
                  <c:v>0</c:v>
                </c:pt>
              </c:numCache>
            </c:numRef>
          </c:val>
          <c:extLst>
            <c:ext xmlns:c16="http://schemas.microsoft.com/office/drawing/2014/chart" uri="{C3380CC4-5D6E-409C-BE32-E72D297353CC}">
              <c16:uniqueId val="{00000010-28E9-45AC-9562-754FCAC6B41D}"/>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4.5543193030001816E-2"/>
          <c:y val="0.79519632837996035"/>
          <c:w val="0.92253044107555138"/>
          <c:h val="0.2010811675883039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barChart>
        <c:barDir val="col"/>
        <c:grouping val="clustered"/>
        <c:varyColors val="0"/>
        <c:ser>
          <c:idx val="1"/>
          <c:order val="0"/>
          <c:tx>
            <c:strRef>
              <c:f>'Saisie des données'!$E$78</c:f>
              <c:strCache>
                <c:ptCount val="1"/>
                <c:pt idx="0">
                  <c:v>Abrysvo, Pfizer</c:v>
                </c:pt>
              </c:strCache>
            </c:strRef>
          </c:tx>
          <c:spPr>
            <a:solidFill>
              <a:schemeClr val="accent2"/>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Résultats!$E$118:$E$122</c:f>
              <c:numCache>
                <c:formatCode>#,##0" $"</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C25E-4295-BEE6-9E8C87F770CB}"/>
            </c:ext>
          </c:extLst>
        </c:ser>
        <c:ser>
          <c:idx val="0"/>
          <c:order val="1"/>
          <c:tx>
            <c:strRef>
              <c:f>'Saisie des données'!$F$78</c:f>
              <c:strCache>
                <c:ptCount val="1"/>
                <c:pt idx="0">
                  <c:v>Aucun</c:v>
                </c:pt>
              </c:strCache>
            </c:strRef>
          </c:tx>
          <c:spPr>
            <a:solidFill>
              <a:schemeClr val="accent1"/>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Résultats!$F$118:$F$122</c:f>
            </c:numRef>
          </c:val>
          <c:extLst>
            <c:ext xmlns:c16="http://schemas.microsoft.com/office/drawing/2014/chart" uri="{C3380CC4-5D6E-409C-BE32-E72D297353CC}">
              <c16:uniqueId val="{00000001-C25E-4295-BEE6-9E8C87F770CB}"/>
            </c:ext>
          </c:extLst>
        </c:ser>
        <c:ser>
          <c:idx val="2"/>
          <c:order val="2"/>
          <c:tx>
            <c:strRef>
              <c:f>'Saisie des données'!$G$78</c:f>
              <c:strCache>
                <c:ptCount val="1"/>
                <c:pt idx="0">
                  <c:v>Aucun</c:v>
                </c:pt>
              </c:strCache>
            </c:strRef>
          </c:tx>
          <c:spPr>
            <a:solidFill>
              <a:schemeClr val="accent3"/>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Résultats!$G$118:$G$122</c:f>
            </c:numRef>
          </c:val>
          <c:extLst>
            <c:ext xmlns:c16="http://schemas.microsoft.com/office/drawing/2014/chart" uri="{C3380CC4-5D6E-409C-BE32-E72D297353CC}">
              <c16:uniqueId val="{00000002-C25E-4295-BEE6-9E8C87F770CB}"/>
            </c:ext>
          </c:extLst>
        </c:ser>
        <c:ser>
          <c:idx val="3"/>
          <c:order val="3"/>
          <c:tx>
            <c:strRef>
              <c:f>'Saisie des données'!$H$78</c:f>
              <c:strCache>
                <c:ptCount val="1"/>
                <c:pt idx="0">
                  <c:v>Nirsevimab, AstraZeneca</c:v>
                </c:pt>
              </c:strCache>
            </c:strRef>
          </c:tx>
          <c:spPr>
            <a:solidFill>
              <a:schemeClr val="accent4"/>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Résultats!$I$118:$I$122</c:f>
              <c:numCache>
                <c:formatCode>#,##0" $"</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C25E-4295-BEE6-9E8C87F770CB}"/>
            </c:ext>
          </c:extLst>
        </c:ser>
        <c:ser>
          <c:idx val="4"/>
          <c:order val="4"/>
          <c:tx>
            <c:strRef>
              <c:f>'Saisie des données'!$I$78</c:f>
              <c:strCache>
                <c:ptCount val="1"/>
                <c:pt idx="0">
                  <c:v>Aucun</c:v>
                </c:pt>
              </c:strCache>
            </c:strRef>
          </c:tx>
          <c:spPr>
            <a:solidFill>
              <a:schemeClr val="accent5"/>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Résultats!$J$118:$J$122</c:f>
            </c:numRef>
          </c:val>
          <c:extLst>
            <c:ext xmlns:c16="http://schemas.microsoft.com/office/drawing/2014/chart" uri="{C3380CC4-5D6E-409C-BE32-E72D297353CC}">
              <c16:uniqueId val="{00000004-C25E-4295-BEE6-9E8C87F770CB}"/>
            </c:ext>
          </c:extLst>
        </c:ser>
        <c:ser>
          <c:idx val="6"/>
          <c:order val="5"/>
          <c:tx>
            <c:strRef>
              <c:f>'Saisie des données'!$J$78</c:f>
              <c:strCache>
                <c:ptCount val="1"/>
                <c:pt idx="0">
                  <c:v>Aucun</c:v>
                </c:pt>
              </c:strCache>
            </c:strRef>
          </c:tx>
          <c:spPr>
            <a:solidFill>
              <a:schemeClr val="accent1">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Résultats!$K$118:$K$122</c:f>
            </c:numRef>
          </c:val>
          <c:extLst>
            <c:ext xmlns:c16="http://schemas.microsoft.com/office/drawing/2014/chart" uri="{C3380CC4-5D6E-409C-BE32-E72D297353CC}">
              <c16:uniqueId val="{00000005-C25E-4295-BEE6-9E8C87F770CB}"/>
            </c:ext>
          </c:extLst>
        </c:ser>
        <c:ser>
          <c:idx val="7"/>
          <c:order val="6"/>
          <c:tx>
            <c:strRef>
              <c:f>'Saisie des données'!$K$78</c:f>
              <c:strCache>
                <c:ptCount val="1"/>
                <c:pt idx="0">
                  <c:v>Aucun</c:v>
                </c:pt>
              </c:strCache>
            </c:strRef>
          </c:tx>
          <c:spPr>
            <a:solidFill>
              <a:schemeClr val="accent2">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Résultats!$N$118:$N$122</c:f>
            </c:numRef>
          </c:val>
          <c:extLst>
            <c:ext xmlns:c16="http://schemas.microsoft.com/office/drawing/2014/chart" uri="{C3380CC4-5D6E-409C-BE32-E72D297353CC}">
              <c16:uniqueId val="{00000006-C25E-4295-BEE6-9E8C87F770CB}"/>
            </c:ext>
          </c:extLst>
        </c:ser>
        <c:ser>
          <c:idx val="5"/>
          <c:order val="7"/>
          <c:tx>
            <c:strRef>
              <c:f>'Saisie des données'!$L$78</c:f>
              <c:strCache>
                <c:ptCount val="1"/>
                <c:pt idx="0">
                  <c:v>Aucun</c:v>
                </c:pt>
              </c:strCache>
            </c:strRef>
          </c:tx>
          <c:spPr>
            <a:solidFill>
              <a:schemeClr val="accent6"/>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Résultats!$O$118:$O$122</c:f>
            </c:numRef>
          </c:val>
          <c:extLst>
            <c:ext xmlns:c16="http://schemas.microsoft.com/office/drawing/2014/chart" uri="{C3380CC4-5D6E-409C-BE32-E72D297353CC}">
              <c16:uniqueId val="{00000007-C25E-4295-BEE6-9E8C87F770CB}"/>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Résultats!$M$118:$M$122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C25E-4295-BEE6-9E8C87F770CB}"/>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6.819060739423316E-2"/>
          <c:y val="0.79098386815275024"/>
          <c:w val="0.85149667163263798"/>
          <c:h val="0.2030336097619686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Résultats!$E$128</c:f>
              <c:numCache>
                <c:formatCode>#,##0" $"</c:formatCode>
                <c:ptCount val="1"/>
                <c:pt idx="0">
                  <c:v>3581419.6205880558</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0-CBC3-437E-9F0A-0BEC43C0518F}"/>
            </c:ext>
          </c:extLst>
        </c:ser>
        <c:ser>
          <c:idx val="1"/>
          <c:order val="1"/>
          <c:tx>
            <c:strRef>
              <c:f>'Saisie des données'!$F$78</c:f>
              <c:strCache>
                <c:ptCount val="1"/>
                <c:pt idx="0">
                  <c:v>Aucun</c:v>
                </c:pt>
              </c:strCache>
            </c:strRef>
          </c:tx>
          <c:spPr>
            <a:solidFill>
              <a:schemeClr val="accent2"/>
            </a:solidFill>
            <a:ln>
              <a:noFill/>
            </a:ln>
            <a:effectLst/>
          </c:spPr>
          <c:invertIfNegative val="0"/>
          <c:val>
            <c:numRef>
              <c:f>Résultats!$F$128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1-CBC3-437E-9F0A-0BEC43C0518F}"/>
            </c:ext>
          </c:extLst>
        </c:ser>
        <c:ser>
          <c:idx val="2"/>
          <c:order val="2"/>
          <c:tx>
            <c:strRef>
              <c:f>'Saisie des données'!$G$78</c:f>
              <c:strCache>
                <c:ptCount val="1"/>
                <c:pt idx="0">
                  <c:v>Aucun</c:v>
                </c:pt>
              </c:strCache>
            </c:strRef>
          </c:tx>
          <c:spPr>
            <a:solidFill>
              <a:schemeClr val="accent3"/>
            </a:solidFill>
            <a:ln>
              <a:noFill/>
            </a:ln>
            <a:effectLst/>
          </c:spPr>
          <c:invertIfNegative val="0"/>
          <c:val>
            <c:numRef>
              <c:f>Résultats!$G$128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2-CBC3-437E-9F0A-0BEC43C0518F}"/>
            </c:ext>
          </c:extLst>
        </c:ser>
        <c:ser>
          <c:idx val="3"/>
          <c:order val="3"/>
          <c:tx>
            <c:strRef>
              <c:f>'Saisie des données'!$H$78</c:f>
              <c:strCache>
                <c:ptCount val="1"/>
                <c:pt idx="0">
                  <c:v>Nirsevimab, AstraZeneca</c:v>
                </c:pt>
              </c:strCache>
            </c:strRef>
          </c:tx>
          <c:spPr>
            <a:solidFill>
              <a:schemeClr val="accent4"/>
            </a:solidFill>
            <a:ln>
              <a:noFill/>
            </a:ln>
            <a:effectLst/>
          </c:spPr>
          <c:invertIfNegative val="0"/>
          <c:val>
            <c:numRef>
              <c:f>Résultats!$I$128</c:f>
              <c:numCache>
                <c:formatCode>#,##0" $"</c:formatCode>
                <c:ptCount val="1"/>
                <c:pt idx="0">
                  <c:v>18391904.677310001</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3-CBC3-437E-9F0A-0BEC43C0518F}"/>
            </c:ext>
          </c:extLst>
        </c:ser>
        <c:ser>
          <c:idx val="4"/>
          <c:order val="4"/>
          <c:tx>
            <c:strRef>
              <c:f>'Saisie des données'!$I$78</c:f>
              <c:strCache>
                <c:ptCount val="1"/>
                <c:pt idx="0">
                  <c:v>Aucun</c:v>
                </c:pt>
              </c:strCache>
            </c:strRef>
          </c:tx>
          <c:spPr>
            <a:solidFill>
              <a:schemeClr val="accent5"/>
            </a:solidFill>
            <a:ln>
              <a:noFill/>
            </a:ln>
            <a:effectLst/>
          </c:spPr>
          <c:invertIfNegative val="0"/>
          <c:val>
            <c:numRef>
              <c:f>Résultats!$J$128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4-CBC3-437E-9F0A-0BEC43C0518F}"/>
            </c:ext>
          </c:extLst>
        </c:ser>
        <c:ser>
          <c:idx val="5"/>
          <c:order val="5"/>
          <c:tx>
            <c:strRef>
              <c:f>'Saisie des données'!$J$78</c:f>
              <c:strCache>
                <c:ptCount val="1"/>
                <c:pt idx="0">
                  <c:v>Aucun</c:v>
                </c:pt>
              </c:strCache>
            </c:strRef>
          </c:tx>
          <c:spPr>
            <a:solidFill>
              <a:schemeClr val="accent6"/>
            </a:solidFill>
            <a:ln>
              <a:noFill/>
            </a:ln>
            <a:effectLst/>
          </c:spPr>
          <c:invertIfNegative val="0"/>
          <c:val>
            <c:numRef>
              <c:f>Résultats!$K$128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5-CBC3-437E-9F0A-0BEC43C0518F}"/>
            </c:ext>
          </c:extLst>
        </c:ser>
        <c:ser>
          <c:idx val="6"/>
          <c:order val="6"/>
          <c:tx>
            <c:strRef>
              <c:f>'Saisie des données'!$K$78</c:f>
              <c:strCache>
                <c:ptCount val="1"/>
                <c:pt idx="0">
                  <c:v>Aucun</c:v>
                </c:pt>
              </c:strCache>
            </c:strRef>
          </c:tx>
          <c:spPr>
            <a:solidFill>
              <a:schemeClr val="accent1">
                <a:lumMod val="60000"/>
              </a:schemeClr>
            </a:solidFill>
            <a:ln>
              <a:noFill/>
            </a:ln>
            <a:effectLst/>
          </c:spPr>
          <c:invertIfNegative val="0"/>
          <c:val>
            <c:numRef>
              <c:f>Résultats!$N$128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7-CBC3-437E-9F0A-0BEC43C0518F}"/>
            </c:ext>
          </c:extLst>
        </c:ser>
        <c:ser>
          <c:idx val="7"/>
          <c:order val="7"/>
          <c:tx>
            <c:strRef>
              <c:f>'Saisie des données'!$L$78</c:f>
              <c:strCache>
                <c:ptCount val="1"/>
                <c:pt idx="0">
                  <c:v>Aucun</c:v>
                </c:pt>
              </c:strCache>
            </c:strRef>
          </c:tx>
          <c:spPr>
            <a:solidFill>
              <a:schemeClr val="accent2">
                <a:lumMod val="60000"/>
              </a:schemeClr>
            </a:solidFill>
            <a:ln>
              <a:noFill/>
            </a:ln>
            <a:effectLst/>
          </c:spPr>
          <c:invertIfNegative val="0"/>
          <c:val>
            <c:numRef>
              <c:f>Résultats!$O$128</c:f>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8-CBC3-437E-9F0A-0BEC43C0518F}"/>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Résultats!$M$128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6-CBC3-437E-9F0A-0BEC43C0518F}"/>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6.568971375759898E-2"/>
          <c:y val="0.81380884853863866"/>
          <c:w val="0.91697222223103525"/>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Résultats!$E$9</c:f>
              <c:strCache>
                <c:ptCount val="1"/>
                <c:pt idx="0">
                  <c:v>Abrysvo, Pfizer</c:v>
                </c:pt>
              </c:strCache>
            </c:strRef>
          </c:tx>
          <c:spPr>
            <a:solidFill>
              <a:schemeClr val="accent1"/>
            </a:solidFill>
            <a:ln>
              <a:noFill/>
            </a:ln>
            <a:effectLst/>
          </c:spPr>
          <c:invertIfNegative val="0"/>
          <c:val>
            <c:numRef>
              <c:f>Résultats!$E$137</c:f>
              <c:numCache>
                <c:formatCode>#,##0" $"</c:formatCode>
                <c:ptCount val="1"/>
                <c:pt idx="0">
                  <c:v>4789422.7762440555</c:v>
                </c:pt>
              </c:numCache>
            </c:numRef>
          </c:val>
          <c:extLst>
            <c:ext xmlns:c16="http://schemas.microsoft.com/office/drawing/2014/chart" uri="{C3380CC4-5D6E-409C-BE32-E72D297353CC}">
              <c16:uniqueId val="{00000000-589C-4AFB-9E15-602B151868E1}"/>
            </c:ext>
          </c:extLst>
        </c:ser>
        <c:ser>
          <c:idx val="1"/>
          <c:order val="1"/>
          <c:tx>
            <c:strRef>
              <c:f>Résultats!$F$9</c:f>
              <c:strCache>
                <c:ptCount val="1"/>
                <c:pt idx="0">
                  <c:v>Aucun</c:v>
                </c:pt>
              </c:strCache>
            </c:strRef>
          </c:tx>
          <c:spPr>
            <a:solidFill>
              <a:schemeClr val="accent2"/>
            </a:solidFill>
            <a:ln>
              <a:noFill/>
            </a:ln>
            <a:effectLst/>
          </c:spPr>
          <c:invertIfNegative val="0"/>
          <c:val>
            <c:numRef>
              <c:f>Résultats!$F$137</c:f>
            </c:numRef>
          </c:val>
          <c:extLst>
            <c:ext xmlns:c16="http://schemas.microsoft.com/office/drawing/2014/chart" uri="{C3380CC4-5D6E-409C-BE32-E72D297353CC}">
              <c16:uniqueId val="{00000001-589C-4AFB-9E15-602B151868E1}"/>
            </c:ext>
          </c:extLst>
        </c:ser>
        <c:ser>
          <c:idx val="2"/>
          <c:order val="2"/>
          <c:tx>
            <c:strRef>
              <c:f>Résultats!$G$9</c:f>
              <c:strCache>
                <c:ptCount val="1"/>
                <c:pt idx="0">
                  <c:v>Aucun</c:v>
                </c:pt>
              </c:strCache>
            </c:strRef>
          </c:tx>
          <c:spPr>
            <a:solidFill>
              <a:schemeClr val="accent3"/>
            </a:solidFill>
            <a:ln>
              <a:noFill/>
            </a:ln>
            <a:effectLst/>
          </c:spPr>
          <c:invertIfNegative val="0"/>
          <c:val>
            <c:numRef>
              <c:f>Résultats!$G$137</c:f>
            </c:numRef>
          </c:val>
          <c:extLst>
            <c:ext xmlns:c16="http://schemas.microsoft.com/office/drawing/2014/chart" uri="{C3380CC4-5D6E-409C-BE32-E72D297353CC}">
              <c16:uniqueId val="{00000002-589C-4AFB-9E15-602B151868E1}"/>
            </c:ext>
          </c:extLst>
        </c:ser>
        <c:ser>
          <c:idx val="3"/>
          <c:order val="3"/>
          <c:tx>
            <c:strRef>
              <c:f>Résultats!$I$9</c:f>
              <c:strCache>
                <c:ptCount val="1"/>
                <c:pt idx="0">
                  <c:v>Nirsevimab, AstraZeneca</c:v>
                </c:pt>
              </c:strCache>
            </c:strRef>
          </c:tx>
          <c:spPr>
            <a:solidFill>
              <a:schemeClr val="accent4"/>
            </a:solidFill>
            <a:ln>
              <a:noFill/>
            </a:ln>
            <a:effectLst/>
          </c:spPr>
          <c:invertIfNegative val="0"/>
          <c:val>
            <c:numRef>
              <c:f>Résultats!$I$137</c:f>
              <c:numCache>
                <c:formatCode>#,##0" $"</c:formatCode>
                <c:ptCount val="1"/>
                <c:pt idx="0">
                  <c:v>19415605.051030599</c:v>
                </c:pt>
              </c:numCache>
            </c:numRef>
          </c:val>
          <c:extLst>
            <c:ext xmlns:c16="http://schemas.microsoft.com/office/drawing/2014/chart" uri="{C3380CC4-5D6E-409C-BE32-E72D297353CC}">
              <c16:uniqueId val="{00000003-589C-4AFB-9E15-602B151868E1}"/>
            </c:ext>
          </c:extLst>
        </c:ser>
        <c:ser>
          <c:idx val="4"/>
          <c:order val="4"/>
          <c:tx>
            <c:strRef>
              <c:f>Résultats!$J$9</c:f>
              <c:strCache>
                <c:ptCount val="1"/>
                <c:pt idx="0">
                  <c:v>Aucun</c:v>
                </c:pt>
              </c:strCache>
            </c:strRef>
          </c:tx>
          <c:spPr>
            <a:solidFill>
              <a:schemeClr val="accent5"/>
            </a:solidFill>
            <a:ln>
              <a:noFill/>
            </a:ln>
            <a:effectLst/>
          </c:spPr>
          <c:invertIfNegative val="0"/>
          <c:val>
            <c:numRef>
              <c:f>Résultats!$J$137</c:f>
            </c:numRef>
          </c:val>
          <c:extLst>
            <c:ext xmlns:c16="http://schemas.microsoft.com/office/drawing/2014/chart" uri="{C3380CC4-5D6E-409C-BE32-E72D297353CC}">
              <c16:uniqueId val="{00000004-589C-4AFB-9E15-602B151868E1}"/>
            </c:ext>
          </c:extLst>
        </c:ser>
        <c:ser>
          <c:idx val="5"/>
          <c:order val="5"/>
          <c:tx>
            <c:strRef>
              <c:f>Résultats!$K$9</c:f>
              <c:strCache>
                <c:ptCount val="1"/>
                <c:pt idx="0">
                  <c:v>Aucun</c:v>
                </c:pt>
              </c:strCache>
            </c:strRef>
          </c:tx>
          <c:spPr>
            <a:solidFill>
              <a:schemeClr val="accent6"/>
            </a:solidFill>
            <a:ln>
              <a:noFill/>
            </a:ln>
            <a:effectLst/>
          </c:spPr>
          <c:invertIfNegative val="0"/>
          <c:val>
            <c:numRef>
              <c:f>Résultats!$K$137</c:f>
            </c:numRef>
          </c:val>
          <c:extLst>
            <c:ext xmlns:c16="http://schemas.microsoft.com/office/drawing/2014/chart" uri="{C3380CC4-5D6E-409C-BE32-E72D297353CC}">
              <c16:uniqueId val="{00000005-589C-4AFB-9E15-602B151868E1}"/>
            </c:ext>
          </c:extLst>
        </c:ser>
        <c:ser>
          <c:idx val="6"/>
          <c:order val="6"/>
          <c:tx>
            <c:strRef>
              <c:f>Résultats!$N$9</c:f>
              <c:strCache>
                <c:ptCount val="1"/>
                <c:pt idx="0">
                  <c:v>Aucun</c:v>
                </c:pt>
              </c:strCache>
            </c:strRef>
          </c:tx>
          <c:spPr>
            <a:solidFill>
              <a:schemeClr val="accent1">
                <a:lumMod val="60000"/>
              </a:schemeClr>
            </a:solidFill>
            <a:ln>
              <a:noFill/>
            </a:ln>
            <a:effectLst/>
          </c:spPr>
          <c:invertIfNegative val="0"/>
          <c:val>
            <c:numRef>
              <c:f>Résultats!$N$137</c:f>
            </c:numRef>
          </c:val>
          <c:extLst>
            <c:ext xmlns:c16="http://schemas.microsoft.com/office/drawing/2014/chart" uri="{C3380CC4-5D6E-409C-BE32-E72D297353CC}">
              <c16:uniqueId val="{00000007-589C-4AFB-9E15-602B151868E1}"/>
            </c:ext>
          </c:extLst>
        </c:ser>
        <c:ser>
          <c:idx val="7"/>
          <c:order val="7"/>
          <c:tx>
            <c:strRef>
              <c:f>Résultats!$O$9</c:f>
              <c:strCache>
                <c:ptCount val="1"/>
                <c:pt idx="0">
                  <c:v>Aucun</c:v>
                </c:pt>
              </c:strCache>
            </c:strRef>
          </c:tx>
          <c:spPr>
            <a:solidFill>
              <a:schemeClr val="accent2">
                <a:lumMod val="60000"/>
              </a:schemeClr>
            </a:solidFill>
            <a:ln>
              <a:noFill/>
            </a:ln>
            <a:effectLst/>
          </c:spPr>
          <c:invertIfNegative val="0"/>
          <c:val>
            <c:numRef>
              <c:f>Résultats!$O$137</c:f>
            </c:numRef>
          </c:val>
          <c:extLst>
            <c:ext xmlns:c16="http://schemas.microsoft.com/office/drawing/2014/chart" uri="{C3380CC4-5D6E-409C-BE32-E72D297353CC}">
              <c16:uniqueId val="{00000008-589C-4AFB-9E15-602B151868E1}"/>
            </c:ext>
          </c:extLst>
        </c:ser>
        <c:ser>
          <c:idx val="8"/>
          <c:order val="8"/>
          <c:tx>
            <c:strRef>
              <c:f>Résultats!$M$9</c:f>
              <c:strCache>
                <c:ptCount val="1"/>
                <c:pt idx="0">
                  <c:v>les deux, total</c:v>
                </c:pt>
              </c:strCache>
            </c:strRef>
          </c:tx>
          <c:spPr>
            <a:solidFill>
              <a:schemeClr val="accent3">
                <a:lumMod val="60000"/>
              </a:schemeClr>
            </a:solidFill>
            <a:ln>
              <a:noFill/>
            </a:ln>
            <a:effectLst/>
          </c:spPr>
          <c:invertIfNegative val="0"/>
          <c:val>
            <c:numRef>
              <c:f>Résultats!$M$137</c:f>
              <c:numCache>
                <c:formatCode>#,##0" $"</c:formatCode>
                <c:ptCount val="1"/>
                <c:pt idx="0">
                  <c:v>0</c:v>
                </c:pt>
              </c:numCache>
            </c:numRef>
          </c:val>
          <c:extLst>
            <c:ext xmlns:c16="http://schemas.microsoft.com/office/drawing/2014/chart" uri="{C3380CC4-5D6E-409C-BE32-E72D297353CC}">
              <c16:uniqueId val="{00000006-589C-4AFB-9E15-602B151868E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6.1660409612079539E-2"/>
          <c:y val="0.80169000496559539"/>
          <c:w val="0.91793181675893221"/>
          <c:h val="0.1723711427963396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barChart>
        <c:barDir val="col"/>
        <c:grouping val="clustered"/>
        <c:varyColors val="0"/>
        <c:ser>
          <c:idx val="1"/>
          <c:order val="0"/>
          <c:tx>
            <c:strRef>
              <c:f>'Saisie des données'!$E$78</c:f>
              <c:strCache>
                <c:ptCount val="1"/>
                <c:pt idx="0">
                  <c:v>Abrysvo, Pfizer</c:v>
                </c:pt>
              </c:strCache>
            </c:strRef>
          </c:tx>
          <c:spPr>
            <a:solidFill>
              <a:schemeClr val="accent2"/>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Résultats!$E$129:$E$133</c:f>
              <c:numCache>
                <c:formatCode>#,##0" $"</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3331-45B7-89A8-EF22E0FC9BA8}"/>
            </c:ext>
          </c:extLst>
        </c:ser>
        <c:ser>
          <c:idx val="0"/>
          <c:order val="1"/>
          <c:tx>
            <c:strRef>
              <c:f>'Saisie des données'!$F$78</c:f>
              <c:strCache>
                <c:ptCount val="1"/>
                <c:pt idx="0">
                  <c:v>Aucun</c:v>
                </c:pt>
              </c:strCache>
            </c:strRef>
          </c:tx>
          <c:spPr>
            <a:solidFill>
              <a:schemeClr val="accent1"/>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Résultats!$F$129:$F$133</c:f>
            </c:numRef>
          </c:val>
          <c:extLst>
            <c:ext xmlns:c16="http://schemas.microsoft.com/office/drawing/2014/chart" uri="{C3380CC4-5D6E-409C-BE32-E72D297353CC}">
              <c16:uniqueId val="{00000001-3331-45B7-89A8-EF22E0FC9BA8}"/>
            </c:ext>
          </c:extLst>
        </c:ser>
        <c:ser>
          <c:idx val="2"/>
          <c:order val="2"/>
          <c:tx>
            <c:strRef>
              <c:f>'Saisie des données'!$G$78</c:f>
              <c:strCache>
                <c:ptCount val="1"/>
                <c:pt idx="0">
                  <c:v>Aucun</c:v>
                </c:pt>
              </c:strCache>
            </c:strRef>
          </c:tx>
          <c:spPr>
            <a:solidFill>
              <a:schemeClr val="accent3"/>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Résultats!$G$129:$G$133</c:f>
            </c:numRef>
          </c:val>
          <c:extLst>
            <c:ext xmlns:c16="http://schemas.microsoft.com/office/drawing/2014/chart" uri="{C3380CC4-5D6E-409C-BE32-E72D297353CC}">
              <c16:uniqueId val="{00000002-3331-45B7-89A8-EF22E0FC9BA8}"/>
            </c:ext>
          </c:extLst>
        </c:ser>
        <c:ser>
          <c:idx val="3"/>
          <c:order val="3"/>
          <c:tx>
            <c:strRef>
              <c:f>'Saisie des données'!$H$78</c:f>
              <c:strCache>
                <c:ptCount val="1"/>
                <c:pt idx="0">
                  <c:v>Nirsevimab, AstraZeneca</c:v>
                </c:pt>
              </c:strCache>
            </c:strRef>
          </c:tx>
          <c:spPr>
            <a:solidFill>
              <a:schemeClr val="accent4"/>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Résultats!$I$129:$I$133</c:f>
              <c:numCache>
                <c:formatCode>#,##0" $"</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3331-45B7-89A8-EF22E0FC9BA8}"/>
            </c:ext>
          </c:extLst>
        </c:ser>
        <c:ser>
          <c:idx val="4"/>
          <c:order val="4"/>
          <c:tx>
            <c:strRef>
              <c:f>'Saisie des données'!$I$78</c:f>
              <c:strCache>
                <c:ptCount val="1"/>
                <c:pt idx="0">
                  <c:v>Aucun</c:v>
                </c:pt>
              </c:strCache>
            </c:strRef>
          </c:tx>
          <c:spPr>
            <a:solidFill>
              <a:schemeClr val="accent5"/>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Résultats!$J$129:$J$133</c:f>
            </c:numRef>
          </c:val>
          <c:extLst>
            <c:ext xmlns:c16="http://schemas.microsoft.com/office/drawing/2014/chart" uri="{C3380CC4-5D6E-409C-BE32-E72D297353CC}">
              <c16:uniqueId val="{00000004-3331-45B7-89A8-EF22E0FC9BA8}"/>
            </c:ext>
          </c:extLst>
        </c:ser>
        <c:ser>
          <c:idx val="6"/>
          <c:order val="5"/>
          <c:tx>
            <c:strRef>
              <c:f>'Saisie des données'!$J$78</c:f>
              <c:strCache>
                <c:ptCount val="1"/>
                <c:pt idx="0">
                  <c:v>Aucun</c:v>
                </c:pt>
              </c:strCache>
            </c:strRef>
          </c:tx>
          <c:spPr>
            <a:solidFill>
              <a:schemeClr val="accent1">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Résultats!$K$129:$K$133</c:f>
            </c:numRef>
          </c:val>
          <c:extLst>
            <c:ext xmlns:c16="http://schemas.microsoft.com/office/drawing/2014/chart" uri="{C3380CC4-5D6E-409C-BE32-E72D297353CC}">
              <c16:uniqueId val="{00000005-3331-45B7-89A8-EF22E0FC9BA8}"/>
            </c:ext>
          </c:extLst>
        </c:ser>
        <c:ser>
          <c:idx val="7"/>
          <c:order val="6"/>
          <c:tx>
            <c:strRef>
              <c:f>'Saisie des données'!$K$78</c:f>
              <c:strCache>
                <c:ptCount val="1"/>
                <c:pt idx="0">
                  <c:v>Aucun</c:v>
                </c:pt>
              </c:strCache>
            </c:strRef>
          </c:tx>
          <c:spPr>
            <a:solidFill>
              <a:schemeClr val="accent2">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Résultats!$N$129:$N$133</c:f>
            </c:numRef>
          </c:val>
          <c:extLst>
            <c:ext xmlns:c16="http://schemas.microsoft.com/office/drawing/2014/chart" uri="{C3380CC4-5D6E-409C-BE32-E72D297353CC}">
              <c16:uniqueId val="{00000006-3331-45B7-89A8-EF22E0FC9BA8}"/>
            </c:ext>
          </c:extLst>
        </c:ser>
        <c:ser>
          <c:idx val="5"/>
          <c:order val="7"/>
          <c:tx>
            <c:strRef>
              <c:f>'Saisie des données'!$L$78</c:f>
              <c:strCache>
                <c:ptCount val="1"/>
                <c:pt idx="0">
                  <c:v>Aucun</c:v>
                </c:pt>
              </c:strCache>
            </c:strRef>
          </c:tx>
          <c:spPr>
            <a:solidFill>
              <a:schemeClr val="accent6"/>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Résultats!$O$129:$O$133</c:f>
            </c:numRef>
          </c:val>
          <c:extLst>
            <c:ext xmlns:c16="http://schemas.microsoft.com/office/drawing/2014/chart" uri="{C3380CC4-5D6E-409C-BE32-E72D297353CC}">
              <c16:uniqueId val="{00000007-3331-45B7-89A8-EF22E0FC9BA8}"/>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Résultats!$M$129:$M$133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3331-45B7-89A8-EF22E0FC9BA8}"/>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0.10051581938924121"/>
          <c:y val="0.80294891232331245"/>
          <c:w val="0.87776090637858195"/>
          <c:h val="0.1820947824634848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barChart>
        <c:barDir val="col"/>
        <c:grouping val="clustered"/>
        <c:varyColors val="0"/>
        <c:ser>
          <c:idx val="1"/>
          <c:order val="0"/>
          <c:tx>
            <c:strRef>
              <c:f>'Saisie des données'!$E$78</c:f>
              <c:strCache>
                <c:ptCount val="1"/>
                <c:pt idx="0">
                  <c:v>Abrysvo, Pfizer</c:v>
                </c:pt>
              </c:strCache>
            </c:strRef>
          </c:tx>
          <c:spPr>
            <a:solidFill>
              <a:schemeClr val="accent2"/>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Résultats!$E$138:$E$142</c:f>
              <c:numCache>
                <c:formatCode>#,##0" $"</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5844-4519-B2E8-B6CFA217A6DD}"/>
            </c:ext>
          </c:extLst>
        </c:ser>
        <c:ser>
          <c:idx val="0"/>
          <c:order val="1"/>
          <c:tx>
            <c:strRef>
              <c:f>'Saisie des données'!$F$78</c:f>
              <c:strCache>
                <c:ptCount val="1"/>
                <c:pt idx="0">
                  <c:v>Aucun</c:v>
                </c:pt>
              </c:strCache>
            </c:strRef>
          </c:tx>
          <c:spPr>
            <a:solidFill>
              <a:schemeClr val="accent1"/>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Résultats!$F$138:$F$142</c:f>
            </c:numRef>
          </c:val>
          <c:extLst>
            <c:ext xmlns:c16="http://schemas.microsoft.com/office/drawing/2014/chart" uri="{C3380CC4-5D6E-409C-BE32-E72D297353CC}">
              <c16:uniqueId val="{00000001-5844-4519-B2E8-B6CFA217A6DD}"/>
            </c:ext>
          </c:extLst>
        </c:ser>
        <c:ser>
          <c:idx val="2"/>
          <c:order val="2"/>
          <c:tx>
            <c:strRef>
              <c:f>'Saisie des données'!$G$78</c:f>
              <c:strCache>
                <c:ptCount val="1"/>
                <c:pt idx="0">
                  <c:v>Aucun</c:v>
                </c:pt>
              </c:strCache>
            </c:strRef>
          </c:tx>
          <c:spPr>
            <a:solidFill>
              <a:schemeClr val="accent3"/>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Résultats!$G$138:$G$142</c:f>
            </c:numRef>
          </c:val>
          <c:extLst>
            <c:ext xmlns:c16="http://schemas.microsoft.com/office/drawing/2014/chart" uri="{C3380CC4-5D6E-409C-BE32-E72D297353CC}">
              <c16:uniqueId val="{00000002-5844-4519-B2E8-B6CFA217A6DD}"/>
            </c:ext>
          </c:extLst>
        </c:ser>
        <c:ser>
          <c:idx val="3"/>
          <c:order val="3"/>
          <c:tx>
            <c:strRef>
              <c:f>'Saisie des données'!$H$78</c:f>
              <c:strCache>
                <c:ptCount val="1"/>
                <c:pt idx="0">
                  <c:v>Nirsevimab, AstraZeneca</c:v>
                </c:pt>
              </c:strCache>
            </c:strRef>
          </c:tx>
          <c:spPr>
            <a:solidFill>
              <a:schemeClr val="accent4"/>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Résultats!$I$138:$I$142</c:f>
              <c:numCache>
                <c:formatCode>#,##0" $"</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5844-4519-B2E8-B6CFA217A6DD}"/>
            </c:ext>
          </c:extLst>
        </c:ser>
        <c:ser>
          <c:idx val="4"/>
          <c:order val="4"/>
          <c:tx>
            <c:strRef>
              <c:f>'Saisie des données'!$I$78</c:f>
              <c:strCache>
                <c:ptCount val="1"/>
                <c:pt idx="0">
                  <c:v>Aucun</c:v>
                </c:pt>
              </c:strCache>
            </c:strRef>
          </c:tx>
          <c:spPr>
            <a:solidFill>
              <a:schemeClr val="accent5"/>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Résultats!$J$138:$J$142</c:f>
            </c:numRef>
          </c:val>
          <c:extLst>
            <c:ext xmlns:c16="http://schemas.microsoft.com/office/drawing/2014/chart" uri="{C3380CC4-5D6E-409C-BE32-E72D297353CC}">
              <c16:uniqueId val="{00000004-5844-4519-B2E8-B6CFA217A6DD}"/>
            </c:ext>
          </c:extLst>
        </c:ser>
        <c:ser>
          <c:idx val="6"/>
          <c:order val="5"/>
          <c:tx>
            <c:strRef>
              <c:f>'Saisie des données'!$J$78</c:f>
              <c:strCache>
                <c:ptCount val="1"/>
                <c:pt idx="0">
                  <c:v>Aucun</c:v>
                </c:pt>
              </c:strCache>
            </c:strRef>
          </c:tx>
          <c:spPr>
            <a:solidFill>
              <a:schemeClr val="accent1">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Résultats!$K$138:$K$142</c:f>
            </c:numRef>
          </c:val>
          <c:extLst>
            <c:ext xmlns:c16="http://schemas.microsoft.com/office/drawing/2014/chart" uri="{C3380CC4-5D6E-409C-BE32-E72D297353CC}">
              <c16:uniqueId val="{00000005-5844-4519-B2E8-B6CFA217A6DD}"/>
            </c:ext>
          </c:extLst>
        </c:ser>
        <c:ser>
          <c:idx val="7"/>
          <c:order val="6"/>
          <c:tx>
            <c:strRef>
              <c:f>'Saisie des données'!$K$78</c:f>
              <c:strCache>
                <c:ptCount val="1"/>
                <c:pt idx="0">
                  <c:v>Aucun</c:v>
                </c:pt>
              </c:strCache>
            </c:strRef>
          </c:tx>
          <c:spPr>
            <a:solidFill>
              <a:schemeClr val="accent2">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Résultats!$N$138:$N$142</c:f>
            </c:numRef>
          </c:val>
          <c:extLst>
            <c:ext xmlns:c16="http://schemas.microsoft.com/office/drawing/2014/chart" uri="{C3380CC4-5D6E-409C-BE32-E72D297353CC}">
              <c16:uniqueId val="{00000006-5844-4519-B2E8-B6CFA217A6DD}"/>
            </c:ext>
          </c:extLst>
        </c:ser>
        <c:ser>
          <c:idx val="5"/>
          <c:order val="7"/>
          <c:tx>
            <c:strRef>
              <c:f>'Saisie des données'!$L$78</c:f>
              <c:strCache>
                <c:ptCount val="1"/>
                <c:pt idx="0">
                  <c:v>Aucun</c:v>
                </c:pt>
              </c:strCache>
            </c:strRef>
          </c:tx>
          <c:spPr>
            <a:solidFill>
              <a:schemeClr val="accent6"/>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Résultats!$O$138:$O$142</c:f>
            </c:numRef>
          </c:val>
          <c:extLst>
            <c:ext xmlns:c16="http://schemas.microsoft.com/office/drawing/2014/chart" uri="{C3380CC4-5D6E-409C-BE32-E72D297353CC}">
              <c16:uniqueId val="{00000007-5844-4519-B2E8-B6CFA217A6DD}"/>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Résultats!$M$138:$M$142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5844-4519-B2E8-B6CFA217A6DD}"/>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0.11465809963705723"/>
          <c:y val="0.82687900066443676"/>
          <c:w val="0.84341536863388578"/>
          <c:h val="0.1581646941223605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manualLayout>
          <c:layoutTarget val="inner"/>
          <c:xMode val="edge"/>
          <c:yMode val="edge"/>
          <c:x val="9.9024596272896698E-2"/>
          <c:y val="8.7015783730413437E-2"/>
          <c:w val="0.87875182048053524"/>
          <c:h val="0.75123660380229318"/>
        </c:manualLayout>
      </c:layout>
      <c:barChart>
        <c:barDir val="col"/>
        <c:grouping val="clustered"/>
        <c:varyColors val="0"/>
        <c:ser>
          <c:idx val="1"/>
          <c:order val="0"/>
          <c:tx>
            <c:strRef>
              <c:f>'Saisie des données'!$E$78</c:f>
              <c:strCache>
                <c:ptCount val="1"/>
                <c:pt idx="0">
                  <c:v>Abrysvo, Pfizer</c:v>
                </c:pt>
              </c:strCache>
            </c:strRef>
          </c:tx>
          <c:spPr>
            <a:solidFill>
              <a:schemeClr val="accent1"/>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Résultats!$E$109:$E$113</c:f>
              <c:numCache>
                <c:formatCode>#,##0" $"</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9D83-4CAC-968B-BE431D151CFA}"/>
            </c:ext>
          </c:extLst>
        </c:ser>
        <c:ser>
          <c:idx val="0"/>
          <c:order val="1"/>
          <c:tx>
            <c:strRef>
              <c:f>'Saisie des données'!$F$78</c:f>
              <c:strCache>
                <c:ptCount val="1"/>
                <c:pt idx="0">
                  <c:v>Aucun</c:v>
                </c:pt>
              </c:strCache>
              <c:extLst xmlns:c15="http://schemas.microsoft.com/office/drawing/2012/chart"/>
            </c:strRef>
          </c:tx>
          <c:spPr>
            <a:solidFill>
              <a:schemeClr val="accent1"/>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Résultats!$F$109:$F$113</c:f>
              <c:extLst xmlns:c15="http://schemas.microsoft.com/office/drawing/2012/chart"/>
            </c:numRef>
          </c:val>
          <c:extLst xmlns:c15="http://schemas.microsoft.com/office/drawing/2012/chart">
            <c:ext xmlns:c16="http://schemas.microsoft.com/office/drawing/2014/chart" uri="{C3380CC4-5D6E-409C-BE32-E72D297353CC}">
              <c16:uniqueId val="{00000001-9D83-4CAC-968B-BE431D151CFA}"/>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Résultats!$G$109:$G$113</c:f>
              <c:extLst xmlns:c15="http://schemas.microsoft.com/office/drawing/2012/chart"/>
            </c:numRef>
          </c:val>
          <c:extLst xmlns:c15="http://schemas.microsoft.com/office/drawing/2012/chart">
            <c:ext xmlns:c16="http://schemas.microsoft.com/office/drawing/2014/chart" uri="{C3380CC4-5D6E-409C-BE32-E72D297353CC}">
              <c16:uniqueId val="{00000002-9D83-4CAC-968B-BE431D151CFA}"/>
            </c:ext>
          </c:extLst>
        </c:ser>
        <c:ser>
          <c:idx val="3"/>
          <c:order val="3"/>
          <c:tx>
            <c:strRef>
              <c:f>'Saisie des données'!$H$78</c:f>
              <c:strCache>
                <c:ptCount val="1"/>
                <c:pt idx="0">
                  <c:v>Nirsevimab, AstraZeneca</c:v>
                </c:pt>
              </c:strCache>
            </c:strRef>
          </c:tx>
          <c:spPr>
            <a:solidFill>
              <a:schemeClr val="accent4"/>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Résultats!$I$109:$I$113</c:f>
              <c:numCache>
                <c:formatCode>#,##0" $"</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9D83-4CAC-968B-BE431D151CFA}"/>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Résultats!$J$109:$J$113</c:f>
              <c:extLst xmlns:c15="http://schemas.microsoft.com/office/drawing/2012/chart"/>
            </c:numRef>
          </c:val>
          <c:extLst xmlns:c15="http://schemas.microsoft.com/office/drawing/2012/chart">
            <c:ext xmlns:c16="http://schemas.microsoft.com/office/drawing/2014/chart" uri="{C3380CC4-5D6E-409C-BE32-E72D297353CC}">
              <c16:uniqueId val="{00000004-9D83-4CAC-968B-BE431D151CFA}"/>
            </c:ext>
          </c:extLst>
        </c:ser>
        <c:ser>
          <c:idx val="6"/>
          <c:order val="5"/>
          <c:tx>
            <c:strRef>
              <c:f>'Saisie des données'!$J$78</c:f>
              <c:strCache>
                <c:ptCount val="1"/>
                <c:pt idx="0">
                  <c:v>Aucun</c:v>
                </c:pt>
              </c:strCache>
              <c:extLst xmlns:c15="http://schemas.microsoft.com/office/drawing/2012/chart"/>
            </c:strRef>
          </c:tx>
          <c:spPr>
            <a:solidFill>
              <a:schemeClr val="accent1">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Résultats!$K$109:$K$113</c:f>
              <c:extLst xmlns:c15="http://schemas.microsoft.com/office/drawing/2012/chart"/>
            </c:numRef>
          </c:val>
          <c:extLst xmlns:c15="http://schemas.microsoft.com/office/drawing/2012/chart">
            <c:ext xmlns:c16="http://schemas.microsoft.com/office/drawing/2014/chart" uri="{C3380CC4-5D6E-409C-BE32-E72D297353CC}">
              <c16:uniqueId val="{00000005-9D83-4CAC-968B-BE431D151CFA}"/>
            </c:ext>
          </c:extLst>
        </c:ser>
        <c:ser>
          <c:idx val="7"/>
          <c:order val="6"/>
          <c:tx>
            <c:strRef>
              <c:f>'Saisie des données'!$K$78</c:f>
              <c:strCache>
                <c:ptCount val="1"/>
                <c:pt idx="0">
                  <c:v>Aucun</c:v>
                </c:pt>
              </c:strCache>
              <c:extLst xmlns:c15="http://schemas.microsoft.com/office/drawing/2012/chart"/>
            </c:strRef>
          </c:tx>
          <c:spPr>
            <a:solidFill>
              <a:schemeClr val="accent2">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Résultats!$N$109:$N$113</c:f>
              <c:extLst xmlns:c15="http://schemas.microsoft.com/office/drawing/2012/chart"/>
            </c:numRef>
          </c:val>
          <c:extLst xmlns:c15="http://schemas.microsoft.com/office/drawing/2012/chart">
            <c:ext xmlns:c16="http://schemas.microsoft.com/office/drawing/2014/chart" uri="{C3380CC4-5D6E-409C-BE32-E72D297353CC}">
              <c16:uniqueId val="{00000006-9D83-4CAC-968B-BE431D151CFA}"/>
            </c:ext>
          </c:extLst>
        </c:ser>
        <c:ser>
          <c:idx val="5"/>
          <c:order val="7"/>
          <c:tx>
            <c:strRef>
              <c:f>'Saisie des données'!$L$78</c:f>
              <c:strCache>
                <c:ptCount val="1"/>
                <c:pt idx="0">
                  <c:v>Aucun</c:v>
                </c:pt>
              </c:strCache>
              <c:extLst xmlns:c15="http://schemas.microsoft.com/office/drawing/2012/chart"/>
            </c:strRef>
          </c:tx>
          <c:spPr>
            <a:solidFill>
              <a:schemeClr val="accent6"/>
            </a:solidFill>
            <a:ln>
              <a:noFill/>
            </a:ln>
            <a:effectLst/>
          </c:spPr>
          <c:invertIfNegative val="0"/>
          <c:cat>
            <c:numRef>
              <c:f>Résultats!$D$109:$D$113</c:f>
              <c:numCache>
                <c:formatCode>General</c:formatCode>
                <c:ptCount val="5"/>
                <c:pt idx="0">
                  <c:v>2025</c:v>
                </c:pt>
                <c:pt idx="1">
                  <c:v>2026</c:v>
                </c:pt>
                <c:pt idx="2">
                  <c:v>2027</c:v>
                </c:pt>
                <c:pt idx="3">
                  <c:v>2028</c:v>
                </c:pt>
                <c:pt idx="4">
                  <c:v>2029</c:v>
                </c:pt>
              </c:numCache>
              <c:extLst xmlns:c15="http://schemas.microsoft.com/office/drawing/2012/chart"/>
            </c:numRef>
          </c:cat>
          <c:val>
            <c:numRef>
              <c:f>Résultats!$O$109:$O$113</c:f>
              <c:extLst xmlns:c15="http://schemas.microsoft.com/office/drawing/2012/chart"/>
            </c:numRef>
          </c:val>
          <c:extLst xmlns:c15="http://schemas.microsoft.com/office/drawing/2012/chart">
            <c:ext xmlns:c16="http://schemas.microsoft.com/office/drawing/2014/chart" uri="{C3380CC4-5D6E-409C-BE32-E72D297353CC}">
              <c16:uniqueId val="{00000007-9D83-4CAC-968B-BE431D151CFA}"/>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Résultats!$M$109:$M$113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9D83-4CAC-968B-BE431D151CFA}"/>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9.6475167889865196E-2"/>
          <c:y val="0.88670422151724759"/>
          <c:w val="0.85553732313201392"/>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Résultats!$E$108</c:f>
              <c:numCache>
                <c:formatCode>#,##0" $"</c:formatCode>
                <c:ptCount val="1"/>
                <c:pt idx="0">
                  <c:v>210613.66974788893</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0-CF8C-463A-9D4F-EF0BEA2123DE}"/>
            </c:ext>
          </c:extLst>
        </c:ser>
        <c:ser>
          <c:idx val="1"/>
          <c:order val="1"/>
          <c:tx>
            <c:strRef>
              <c:f>'Saisie des données'!$F$78</c:f>
              <c:strCache>
                <c:ptCount val="1"/>
                <c:pt idx="0">
                  <c:v>Aucun</c:v>
                </c:pt>
              </c:strCache>
              <c:extLst xmlns:c15="http://schemas.microsoft.com/office/drawing/2012/chart"/>
            </c:strRef>
          </c:tx>
          <c:spPr>
            <a:solidFill>
              <a:schemeClr val="accent2"/>
            </a:solidFill>
            <a:ln>
              <a:noFill/>
            </a:ln>
            <a:effectLst/>
          </c:spPr>
          <c:invertIfNegative val="0"/>
          <c:val>
            <c:numRef>
              <c:f>Résultats!$F$108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1-CF8C-463A-9D4F-EF0BEA2123DE}"/>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val>
            <c:numRef>
              <c:f>Résultats!$G$108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2-CF8C-463A-9D4F-EF0BEA2123DE}"/>
            </c:ext>
          </c:extLst>
        </c:ser>
        <c:ser>
          <c:idx val="3"/>
          <c:order val="3"/>
          <c:tx>
            <c:strRef>
              <c:f>'Saisie des données'!$H$78</c:f>
              <c:strCache>
                <c:ptCount val="1"/>
                <c:pt idx="0">
                  <c:v>Nirsevimab, AstraZeneca</c:v>
                </c:pt>
              </c:strCache>
            </c:strRef>
          </c:tx>
          <c:spPr>
            <a:solidFill>
              <a:schemeClr val="accent4"/>
            </a:solidFill>
            <a:ln>
              <a:noFill/>
            </a:ln>
            <a:effectLst/>
          </c:spPr>
          <c:invertIfNegative val="0"/>
          <c:val>
            <c:numRef>
              <c:f>Résultats!$I$108</c:f>
              <c:numCache>
                <c:formatCode>#,##0" $"</c:formatCode>
                <c:ptCount val="1"/>
                <c:pt idx="0">
                  <c:v>189552.54277310005</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3-CF8C-463A-9D4F-EF0BEA2123DE}"/>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val>
            <c:numRef>
              <c:f>Résultats!$J$108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4-CF8C-463A-9D4F-EF0BEA2123DE}"/>
            </c:ext>
          </c:extLst>
        </c:ser>
        <c:ser>
          <c:idx val="5"/>
          <c:order val="5"/>
          <c:tx>
            <c:strRef>
              <c:f>'Saisie des données'!$J$78</c:f>
              <c:strCache>
                <c:ptCount val="1"/>
                <c:pt idx="0">
                  <c:v>Aucun</c:v>
                </c:pt>
              </c:strCache>
              <c:extLst xmlns:c15="http://schemas.microsoft.com/office/drawing/2012/chart"/>
            </c:strRef>
          </c:tx>
          <c:spPr>
            <a:solidFill>
              <a:schemeClr val="accent6"/>
            </a:solidFill>
            <a:ln>
              <a:noFill/>
            </a:ln>
            <a:effectLst/>
          </c:spPr>
          <c:invertIfNegative val="0"/>
          <c:val>
            <c:numRef>
              <c:f>Résultats!$K$108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5-CF8C-463A-9D4F-EF0BEA2123DE}"/>
            </c:ext>
          </c:extLst>
        </c:ser>
        <c:ser>
          <c:idx val="6"/>
          <c:order val="6"/>
          <c:tx>
            <c:strRef>
              <c:f>'Saisie des données'!$K$78</c:f>
              <c:strCache>
                <c:ptCount val="1"/>
                <c:pt idx="0">
                  <c:v>Aucun</c:v>
                </c:pt>
              </c:strCache>
              <c:extLst xmlns:c15="http://schemas.microsoft.com/office/drawing/2012/chart"/>
            </c:strRef>
          </c:tx>
          <c:spPr>
            <a:solidFill>
              <a:schemeClr val="accent1">
                <a:lumMod val="60000"/>
              </a:schemeClr>
            </a:solidFill>
            <a:ln>
              <a:noFill/>
            </a:ln>
            <a:effectLst/>
          </c:spPr>
          <c:invertIfNegative val="0"/>
          <c:val>
            <c:numRef>
              <c:f>Résultats!$N$108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6-CF8C-463A-9D4F-EF0BEA2123DE}"/>
            </c:ext>
          </c:extLst>
        </c:ser>
        <c:ser>
          <c:idx val="7"/>
          <c:order val="7"/>
          <c:tx>
            <c:strRef>
              <c:f>'Saisie des données'!$L$78</c:f>
              <c:strCache>
                <c:ptCount val="1"/>
                <c:pt idx="0">
                  <c:v>Aucun</c:v>
                </c:pt>
              </c:strCache>
              <c:extLst xmlns:c15="http://schemas.microsoft.com/office/drawing/2012/chart"/>
            </c:strRef>
          </c:tx>
          <c:spPr>
            <a:solidFill>
              <a:schemeClr val="accent2">
                <a:lumMod val="60000"/>
              </a:schemeClr>
            </a:solidFill>
            <a:ln>
              <a:noFill/>
            </a:ln>
            <a:effectLst/>
          </c:spPr>
          <c:invertIfNegative val="0"/>
          <c:val>
            <c:numRef>
              <c:f>Résultats!$O$108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7-CF8C-463A-9D4F-EF0BEA2123DE}"/>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Résultats!$M$108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8-CF8C-463A-9D4F-EF0BEA2123D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1.9446909198461995E-2"/>
          <c:y val="0.78070027084480376"/>
          <c:w val="0.93107478674035327"/>
          <c:h val="0.1750236393661543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Résultats!$E$117</c:f>
              <c:numCache>
                <c:formatCode>#,##0" $"</c:formatCode>
                <c:ptCount val="1"/>
                <c:pt idx="0">
                  <c:v>1253616.8254038889</c:v>
                </c:pt>
              </c:numCache>
            </c:numRef>
          </c:val>
          <c:extLst>
            <c:ext xmlns:c16="http://schemas.microsoft.com/office/drawing/2014/chart" uri="{C3380CC4-5D6E-409C-BE32-E72D297353CC}">
              <c16:uniqueId val="{00000000-F176-4778-9C5F-59B94DA89B41}"/>
            </c:ext>
          </c:extLst>
        </c:ser>
        <c:ser>
          <c:idx val="1"/>
          <c:order val="1"/>
          <c:tx>
            <c:strRef>
              <c:f>'Saisie des données'!$F$78</c:f>
              <c:strCache>
                <c:ptCount val="1"/>
                <c:pt idx="0">
                  <c:v>Aucun</c:v>
                </c:pt>
              </c:strCache>
              <c:extLst xmlns:c15="http://schemas.microsoft.com/office/drawing/2012/chart"/>
            </c:strRef>
          </c:tx>
          <c:spPr>
            <a:solidFill>
              <a:schemeClr val="accent2"/>
            </a:solidFill>
            <a:ln>
              <a:noFill/>
            </a:ln>
            <a:effectLst/>
          </c:spPr>
          <c:invertIfNegative val="0"/>
          <c:val>
            <c:numRef>
              <c:f>Résultats!$F$117</c:f>
              <c:extLst xmlns:c15="http://schemas.microsoft.com/office/drawing/2012/chart"/>
            </c:numRef>
          </c:val>
          <c:extLst xmlns:c15="http://schemas.microsoft.com/office/drawing/2012/chart">
            <c:ext xmlns:c16="http://schemas.microsoft.com/office/drawing/2014/chart" uri="{C3380CC4-5D6E-409C-BE32-E72D297353CC}">
              <c16:uniqueId val="{00000001-F176-4778-9C5F-59B94DA89B41}"/>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val>
            <c:numRef>
              <c:f>Résultats!$G$117</c:f>
              <c:extLst xmlns:c15="http://schemas.microsoft.com/office/drawing/2012/chart"/>
            </c:numRef>
          </c:val>
          <c:extLst xmlns:c15="http://schemas.microsoft.com/office/drawing/2012/chart">
            <c:ext xmlns:c16="http://schemas.microsoft.com/office/drawing/2014/chart" uri="{C3380CC4-5D6E-409C-BE32-E72D297353CC}">
              <c16:uniqueId val="{00000002-F176-4778-9C5F-59B94DA89B41}"/>
            </c:ext>
          </c:extLst>
        </c:ser>
        <c:ser>
          <c:idx val="3"/>
          <c:order val="3"/>
          <c:tx>
            <c:strRef>
              <c:f>'Saisie des données'!$H$78</c:f>
              <c:strCache>
                <c:ptCount val="1"/>
                <c:pt idx="0">
                  <c:v>Nirsevimab, AstraZeneca</c:v>
                </c:pt>
              </c:strCache>
            </c:strRef>
          </c:tx>
          <c:spPr>
            <a:solidFill>
              <a:schemeClr val="accent4"/>
            </a:solidFill>
            <a:ln>
              <a:noFill/>
            </a:ln>
            <a:effectLst/>
          </c:spPr>
          <c:invertIfNegative val="0"/>
          <c:val>
            <c:numRef>
              <c:f>Résultats!$I$117</c:f>
              <c:numCache>
                <c:formatCode>#,##0" $"</c:formatCode>
                <c:ptCount val="1"/>
                <c:pt idx="0">
                  <c:v>1064252.9164936999</c:v>
                </c:pt>
              </c:numCache>
            </c:numRef>
          </c:val>
          <c:extLst>
            <c:ext xmlns:c16="http://schemas.microsoft.com/office/drawing/2014/chart" uri="{C3380CC4-5D6E-409C-BE32-E72D297353CC}">
              <c16:uniqueId val="{00000003-F176-4778-9C5F-59B94DA89B41}"/>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val>
            <c:numRef>
              <c:f>Résultats!$J$117</c:f>
              <c:extLst xmlns:c15="http://schemas.microsoft.com/office/drawing/2012/chart"/>
            </c:numRef>
          </c:val>
          <c:extLst xmlns:c15="http://schemas.microsoft.com/office/drawing/2012/chart">
            <c:ext xmlns:c16="http://schemas.microsoft.com/office/drawing/2014/chart" uri="{C3380CC4-5D6E-409C-BE32-E72D297353CC}">
              <c16:uniqueId val="{00000004-F176-4778-9C5F-59B94DA89B41}"/>
            </c:ext>
          </c:extLst>
        </c:ser>
        <c:ser>
          <c:idx val="5"/>
          <c:order val="5"/>
          <c:tx>
            <c:strRef>
              <c:f>'Saisie des données'!$J$78</c:f>
              <c:strCache>
                <c:ptCount val="1"/>
                <c:pt idx="0">
                  <c:v>Aucun</c:v>
                </c:pt>
              </c:strCache>
              <c:extLst xmlns:c15="http://schemas.microsoft.com/office/drawing/2012/chart"/>
            </c:strRef>
          </c:tx>
          <c:spPr>
            <a:solidFill>
              <a:schemeClr val="accent6"/>
            </a:solidFill>
            <a:ln>
              <a:noFill/>
            </a:ln>
            <a:effectLst/>
          </c:spPr>
          <c:invertIfNegative val="0"/>
          <c:val>
            <c:numRef>
              <c:f>Résultats!$K$117</c:f>
              <c:extLst xmlns:c15="http://schemas.microsoft.com/office/drawing/2012/chart"/>
            </c:numRef>
          </c:val>
          <c:extLst xmlns:c15="http://schemas.microsoft.com/office/drawing/2012/chart">
            <c:ext xmlns:c16="http://schemas.microsoft.com/office/drawing/2014/chart" uri="{C3380CC4-5D6E-409C-BE32-E72D297353CC}">
              <c16:uniqueId val="{00000005-F176-4778-9C5F-59B94DA89B41}"/>
            </c:ext>
          </c:extLst>
        </c:ser>
        <c:ser>
          <c:idx val="6"/>
          <c:order val="6"/>
          <c:tx>
            <c:strRef>
              <c:f>'Saisie des données'!$K$78</c:f>
              <c:strCache>
                <c:ptCount val="1"/>
                <c:pt idx="0">
                  <c:v>Aucun</c:v>
                </c:pt>
              </c:strCache>
              <c:extLst xmlns:c15="http://schemas.microsoft.com/office/drawing/2012/chart"/>
            </c:strRef>
          </c:tx>
          <c:spPr>
            <a:solidFill>
              <a:schemeClr val="accent1">
                <a:lumMod val="60000"/>
              </a:schemeClr>
            </a:solidFill>
            <a:ln>
              <a:noFill/>
            </a:ln>
            <a:effectLst/>
          </c:spPr>
          <c:invertIfNegative val="0"/>
          <c:val>
            <c:numRef>
              <c:f>Résultats!$N$117</c:f>
              <c:extLst xmlns:c15="http://schemas.microsoft.com/office/drawing/2012/chart"/>
            </c:numRef>
          </c:val>
          <c:extLst xmlns:c15="http://schemas.microsoft.com/office/drawing/2012/chart">
            <c:ext xmlns:c16="http://schemas.microsoft.com/office/drawing/2014/chart" uri="{C3380CC4-5D6E-409C-BE32-E72D297353CC}">
              <c16:uniqueId val="{00000006-F176-4778-9C5F-59B94DA89B41}"/>
            </c:ext>
          </c:extLst>
        </c:ser>
        <c:ser>
          <c:idx val="7"/>
          <c:order val="7"/>
          <c:tx>
            <c:strRef>
              <c:f>'Saisie des données'!$L$78</c:f>
              <c:strCache>
                <c:ptCount val="1"/>
                <c:pt idx="0">
                  <c:v>Aucun</c:v>
                </c:pt>
              </c:strCache>
              <c:extLst xmlns:c15="http://schemas.microsoft.com/office/drawing/2012/chart"/>
            </c:strRef>
          </c:tx>
          <c:spPr>
            <a:solidFill>
              <a:schemeClr val="accent2">
                <a:lumMod val="60000"/>
              </a:schemeClr>
            </a:solidFill>
            <a:ln>
              <a:noFill/>
            </a:ln>
            <a:effectLst/>
          </c:spPr>
          <c:invertIfNegative val="0"/>
          <c:val>
            <c:numRef>
              <c:f>Résultats!$O$117</c:f>
              <c:extLst xmlns:c15="http://schemas.microsoft.com/office/drawing/2012/chart"/>
            </c:numRef>
          </c:val>
          <c:extLst xmlns:c15="http://schemas.microsoft.com/office/drawing/2012/chart">
            <c:ext xmlns:c16="http://schemas.microsoft.com/office/drawing/2014/chart" uri="{C3380CC4-5D6E-409C-BE32-E72D297353CC}">
              <c16:uniqueId val="{00000007-F176-4778-9C5F-59B94DA89B41}"/>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Résultats!$M$117</c:f>
              <c:numCache>
                <c:formatCode>#,##0" $"</c:formatCode>
                <c:ptCount val="1"/>
                <c:pt idx="0">
                  <c:v>0</c:v>
                </c:pt>
              </c:numCache>
            </c:numRef>
          </c:val>
          <c:extLst>
            <c:ext xmlns:c16="http://schemas.microsoft.com/office/drawing/2014/chart" uri="{C3380CC4-5D6E-409C-BE32-E72D297353CC}">
              <c16:uniqueId val="{00000008-F176-4778-9C5F-59B94DA89B4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100" b="1"/>
              <a:t>Coût du programme d’immunisation</a:t>
            </a:r>
          </a:p>
          <a:p>
            <a:pPr>
              <a:defRPr sz="1100" b="1"/>
            </a:pPr>
            <a:r>
              <a:rPr lang="fr-FR" sz="1100" b="1"/>
              <a:t>Coût du vaccin/des mAb + coûts supplémentaires du système de santé</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Résultats!$E$8:$O$9</c:f>
              <c:multiLvlStrCache>
                <c:ptCount val="3"/>
                <c:lvl>
                  <c:pt idx="0">
                    <c:v>Abrysvo, Pfizer</c:v>
                  </c:pt>
                  <c:pt idx="1">
                    <c:v>Nirsevimab, AstraZeneca</c:v>
                  </c:pt>
                  <c:pt idx="2">
                    <c:v>les deux, total</c:v>
                  </c:pt>
                </c:lvl>
                <c:lvl>
                  <c:pt idx="0">
                    <c:v>Scénario A : 
vaccin maternel</c:v>
                  </c:pt>
                  <c:pt idx="1">
                    <c:v>Scénario B : 
mAb</c:v>
                  </c:pt>
                  <c:pt idx="2">
                    <c:v>Scénario C : 
vaccin maternel et mAb</c:v>
                  </c:pt>
                </c:lvl>
              </c:multiLvlStrCache>
            </c:multiLvlStrRef>
          </c:cat>
          <c:val>
            <c:numRef>
              <c:f>Résultats!$E$117:$M$117</c:f>
              <c:numCache>
                <c:formatCode>#,##0" $"</c:formatCode>
                <c:ptCount val="3"/>
                <c:pt idx="0">
                  <c:v>1253616.8254038889</c:v>
                </c:pt>
                <c:pt idx="1">
                  <c:v>1064252.9164936999</c:v>
                </c:pt>
                <c:pt idx="2">
                  <c:v>0</c:v>
                </c:pt>
              </c:numCache>
            </c:numRef>
          </c:val>
          <c:extLst>
            <c:ext xmlns:c16="http://schemas.microsoft.com/office/drawing/2014/chart" uri="{C3380CC4-5D6E-409C-BE32-E72D297353CC}">
              <c16:uniqueId val="{00000000-4A89-42CC-97D5-5DF84A8188D9}"/>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7973936"/>
        <c:crosses val="autoZero"/>
        <c:auto val="1"/>
        <c:lblAlgn val="ctr"/>
        <c:lblOffset val="100"/>
        <c:noMultiLvlLbl val="0"/>
      </c:catAx>
      <c:valAx>
        <c:axId val="1117973936"/>
        <c:scaling>
          <c:orientation val="minMax"/>
        </c:scaling>
        <c:delete val="0"/>
        <c:axPos val="b"/>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7979216"/>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layout>
        <c:manualLayout>
          <c:xMode val="edge"/>
          <c:yMode val="edge"/>
          <c:x val="0.29180702597750302"/>
          <c:y val="6.2684691559234812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manualLayout>
          <c:layoutTarget val="inner"/>
          <c:xMode val="edge"/>
          <c:yMode val="edge"/>
          <c:x val="9.9024596272896698E-2"/>
          <c:y val="0.11455045939410241"/>
          <c:w val="0.87875182048053524"/>
          <c:h val="0.7147281450106826"/>
        </c:manualLayout>
      </c:layout>
      <c:barChart>
        <c:barDir val="col"/>
        <c:grouping val="clustered"/>
        <c:varyColors val="0"/>
        <c:ser>
          <c:idx val="1"/>
          <c:order val="0"/>
          <c:tx>
            <c:strRef>
              <c:f>'Saisie des données'!$E$78</c:f>
              <c:strCache>
                <c:ptCount val="1"/>
                <c:pt idx="0">
                  <c:v>Abrysvo, Pfizer</c:v>
                </c:pt>
              </c:strCache>
            </c:strRef>
          </c:tx>
          <c:spPr>
            <a:solidFill>
              <a:schemeClr val="accent1"/>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Résultats!$E$118:$E$122</c:f>
              <c:numCache>
                <c:formatCode>#,##0" $"</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A8B9-4523-8E34-E26D02F1C9C2}"/>
            </c:ext>
          </c:extLst>
        </c:ser>
        <c:ser>
          <c:idx val="0"/>
          <c:order val="1"/>
          <c:tx>
            <c:strRef>
              <c:f>'Saisie des données'!$F$78</c:f>
              <c:strCache>
                <c:ptCount val="1"/>
                <c:pt idx="0">
                  <c:v>Aucun</c:v>
                </c:pt>
              </c:strCache>
              <c:extLst xmlns:c15="http://schemas.microsoft.com/office/drawing/2012/chart"/>
            </c:strRef>
          </c:tx>
          <c:spPr>
            <a:solidFill>
              <a:schemeClr val="accent1"/>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Résultats!$F$118:$F$122</c:f>
              <c:extLst xmlns:c15="http://schemas.microsoft.com/office/drawing/2012/chart"/>
            </c:numRef>
          </c:val>
          <c:extLst xmlns:c15="http://schemas.microsoft.com/office/drawing/2012/chart">
            <c:ext xmlns:c16="http://schemas.microsoft.com/office/drawing/2014/chart" uri="{C3380CC4-5D6E-409C-BE32-E72D297353CC}">
              <c16:uniqueId val="{00000001-A8B9-4523-8E34-E26D02F1C9C2}"/>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Résultats!$G$118:$G$122</c:f>
              <c:extLst xmlns:c15="http://schemas.microsoft.com/office/drawing/2012/chart"/>
            </c:numRef>
          </c:val>
          <c:extLst xmlns:c15="http://schemas.microsoft.com/office/drawing/2012/chart">
            <c:ext xmlns:c16="http://schemas.microsoft.com/office/drawing/2014/chart" uri="{C3380CC4-5D6E-409C-BE32-E72D297353CC}">
              <c16:uniqueId val="{00000002-A8B9-4523-8E34-E26D02F1C9C2}"/>
            </c:ext>
          </c:extLst>
        </c:ser>
        <c:ser>
          <c:idx val="3"/>
          <c:order val="3"/>
          <c:tx>
            <c:strRef>
              <c:f>'Saisie des données'!$H$78</c:f>
              <c:strCache>
                <c:ptCount val="1"/>
                <c:pt idx="0">
                  <c:v>Nirsevimab, AstraZeneca</c:v>
                </c:pt>
              </c:strCache>
            </c:strRef>
          </c:tx>
          <c:spPr>
            <a:solidFill>
              <a:schemeClr val="accent4"/>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Résultats!$I$118:$I$122</c:f>
              <c:numCache>
                <c:formatCode>#,##0" $"</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A8B9-4523-8E34-E26D02F1C9C2}"/>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Résultats!$J$118:$J$122</c:f>
              <c:extLst xmlns:c15="http://schemas.microsoft.com/office/drawing/2012/chart"/>
            </c:numRef>
          </c:val>
          <c:extLst xmlns:c15="http://schemas.microsoft.com/office/drawing/2012/chart">
            <c:ext xmlns:c16="http://schemas.microsoft.com/office/drawing/2014/chart" uri="{C3380CC4-5D6E-409C-BE32-E72D297353CC}">
              <c16:uniqueId val="{00000004-A8B9-4523-8E34-E26D02F1C9C2}"/>
            </c:ext>
          </c:extLst>
        </c:ser>
        <c:ser>
          <c:idx val="6"/>
          <c:order val="5"/>
          <c:tx>
            <c:strRef>
              <c:f>'Saisie des données'!$J$78</c:f>
              <c:strCache>
                <c:ptCount val="1"/>
                <c:pt idx="0">
                  <c:v>Aucun</c:v>
                </c:pt>
              </c:strCache>
              <c:extLst xmlns:c15="http://schemas.microsoft.com/office/drawing/2012/chart"/>
            </c:strRef>
          </c:tx>
          <c:spPr>
            <a:solidFill>
              <a:schemeClr val="accent1">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Résultats!$K$118:$K$122</c:f>
              <c:extLst xmlns:c15="http://schemas.microsoft.com/office/drawing/2012/chart"/>
            </c:numRef>
          </c:val>
          <c:extLst xmlns:c15="http://schemas.microsoft.com/office/drawing/2012/chart">
            <c:ext xmlns:c16="http://schemas.microsoft.com/office/drawing/2014/chart" uri="{C3380CC4-5D6E-409C-BE32-E72D297353CC}">
              <c16:uniqueId val="{00000005-A8B9-4523-8E34-E26D02F1C9C2}"/>
            </c:ext>
          </c:extLst>
        </c:ser>
        <c:ser>
          <c:idx val="7"/>
          <c:order val="6"/>
          <c:tx>
            <c:strRef>
              <c:f>'Saisie des données'!$K$78</c:f>
              <c:strCache>
                <c:ptCount val="1"/>
                <c:pt idx="0">
                  <c:v>Aucun</c:v>
                </c:pt>
              </c:strCache>
              <c:extLst xmlns:c15="http://schemas.microsoft.com/office/drawing/2012/chart"/>
            </c:strRef>
          </c:tx>
          <c:spPr>
            <a:solidFill>
              <a:schemeClr val="accent2">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Résultats!$N$118:$N$122</c:f>
              <c:extLst xmlns:c15="http://schemas.microsoft.com/office/drawing/2012/chart"/>
            </c:numRef>
          </c:val>
          <c:extLst xmlns:c15="http://schemas.microsoft.com/office/drawing/2012/chart">
            <c:ext xmlns:c16="http://schemas.microsoft.com/office/drawing/2014/chart" uri="{C3380CC4-5D6E-409C-BE32-E72D297353CC}">
              <c16:uniqueId val="{00000006-A8B9-4523-8E34-E26D02F1C9C2}"/>
            </c:ext>
          </c:extLst>
        </c:ser>
        <c:ser>
          <c:idx val="5"/>
          <c:order val="7"/>
          <c:tx>
            <c:strRef>
              <c:f>'Saisie des données'!$L$78</c:f>
              <c:strCache>
                <c:ptCount val="1"/>
                <c:pt idx="0">
                  <c:v>Aucun</c:v>
                </c:pt>
              </c:strCache>
              <c:extLst xmlns:c15="http://schemas.microsoft.com/office/drawing/2012/chart"/>
            </c:strRef>
          </c:tx>
          <c:spPr>
            <a:solidFill>
              <a:schemeClr val="accent6"/>
            </a:solidFill>
            <a:ln>
              <a:noFill/>
            </a:ln>
            <a:effectLst/>
          </c:spPr>
          <c:invertIfNegative val="0"/>
          <c:cat>
            <c:numRef>
              <c:f>Résultats!$D$118:$D$122</c:f>
              <c:numCache>
                <c:formatCode>General</c:formatCode>
                <c:ptCount val="5"/>
                <c:pt idx="0">
                  <c:v>2025</c:v>
                </c:pt>
                <c:pt idx="1">
                  <c:v>2026</c:v>
                </c:pt>
                <c:pt idx="2">
                  <c:v>2027</c:v>
                </c:pt>
                <c:pt idx="3">
                  <c:v>2028</c:v>
                </c:pt>
                <c:pt idx="4">
                  <c:v>2029</c:v>
                </c:pt>
              </c:numCache>
              <c:extLst xmlns:c15="http://schemas.microsoft.com/office/drawing/2012/chart"/>
            </c:numRef>
          </c:cat>
          <c:val>
            <c:numRef>
              <c:f>Résultats!$O$118:$O$122</c:f>
              <c:extLst xmlns:c15="http://schemas.microsoft.com/office/drawing/2012/chart"/>
            </c:numRef>
          </c:val>
          <c:extLst xmlns:c15="http://schemas.microsoft.com/office/drawing/2012/chart">
            <c:ext xmlns:c16="http://schemas.microsoft.com/office/drawing/2014/chart" uri="{C3380CC4-5D6E-409C-BE32-E72D297353CC}">
              <c16:uniqueId val="{00000007-A8B9-4523-8E34-E26D02F1C9C2}"/>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Résultats!$M$118:$M$122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A8B9-4523-8E34-E26D02F1C9C2}"/>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0.10455647088861722"/>
          <c:y val="0.88969548255988817"/>
          <c:w val="0.88382188362764602"/>
          <c:h val="0.1043219953548306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val>
            <c:numRef>
              <c:f>Résultats!$E$128</c:f>
              <c:numCache>
                <c:formatCode>#,##0" $"</c:formatCode>
                <c:ptCount val="1"/>
                <c:pt idx="0">
                  <c:v>3581419.6205880558</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0-A471-42FA-B100-DA757465F34E}"/>
            </c:ext>
          </c:extLst>
        </c:ser>
        <c:ser>
          <c:idx val="1"/>
          <c:order val="1"/>
          <c:tx>
            <c:strRef>
              <c:f>'Saisie des données'!$F$78</c:f>
              <c:strCache>
                <c:ptCount val="1"/>
                <c:pt idx="0">
                  <c:v>Aucun</c:v>
                </c:pt>
              </c:strCache>
              <c:extLst xmlns:c15="http://schemas.microsoft.com/office/drawing/2012/chart"/>
            </c:strRef>
          </c:tx>
          <c:spPr>
            <a:solidFill>
              <a:schemeClr val="accent2"/>
            </a:solidFill>
            <a:ln>
              <a:noFill/>
            </a:ln>
            <a:effectLst/>
          </c:spPr>
          <c:invertIfNegative val="0"/>
          <c:val>
            <c:numRef>
              <c:f>Résultats!$F$128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1-A471-42FA-B100-DA757465F34E}"/>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val>
            <c:numRef>
              <c:f>Résultats!$G$128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2-A471-42FA-B100-DA757465F34E}"/>
            </c:ext>
          </c:extLst>
        </c:ser>
        <c:ser>
          <c:idx val="3"/>
          <c:order val="3"/>
          <c:tx>
            <c:strRef>
              <c:f>'Saisie des données'!$H$78</c:f>
              <c:strCache>
                <c:ptCount val="1"/>
                <c:pt idx="0">
                  <c:v>Nirsevimab, AstraZeneca</c:v>
                </c:pt>
              </c:strCache>
            </c:strRef>
          </c:tx>
          <c:spPr>
            <a:solidFill>
              <a:schemeClr val="accent4"/>
            </a:solidFill>
            <a:ln>
              <a:noFill/>
            </a:ln>
            <a:effectLst/>
          </c:spPr>
          <c:invertIfNegative val="0"/>
          <c:val>
            <c:numRef>
              <c:f>Résultats!$I$128</c:f>
              <c:numCache>
                <c:formatCode>#,##0" $"</c:formatCode>
                <c:ptCount val="1"/>
                <c:pt idx="0">
                  <c:v>18391904.677310001</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3-A471-42FA-B100-DA757465F34E}"/>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val>
            <c:numRef>
              <c:f>Résultats!$J$128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4-A471-42FA-B100-DA757465F34E}"/>
            </c:ext>
          </c:extLst>
        </c:ser>
        <c:ser>
          <c:idx val="5"/>
          <c:order val="5"/>
          <c:tx>
            <c:strRef>
              <c:f>'Saisie des données'!$J$78</c:f>
              <c:strCache>
                <c:ptCount val="1"/>
                <c:pt idx="0">
                  <c:v>Aucun</c:v>
                </c:pt>
              </c:strCache>
              <c:extLst xmlns:c15="http://schemas.microsoft.com/office/drawing/2012/chart"/>
            </c:strRef>
          </c:tx>
          <c:spPr>
            <a:solidFill>
              <a:schemeClr val="accent6"/>
            </a:solidFill>
            <a:ln>
              <a:noFill/>
            </a:ln>
            <a:effectLst/>
          </c:spPr>
          <c:invertIfNegative val="0"/>
          <c:val>
            <c:numRef>
              <c:f>Résultats!$K$128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5-A471-42FA-B100-DA757465F34E}"/>
            </c:ext>
          </c:extLst>
        </c:ser>
        <c:ser>
          <c:idx val="6"/>
          <c:order val="6"/>
          <c:tx>
            <c:strRef>
              <c:f>'Saisie des données'!$K$78</c:f>
              <c:strCache>
                <c:ptCount val="1"/>
                <c:pt idx="0">
                  <c:v>Aucun</c:v>
                </c:pt>
              </c:strCache>
              <c:extLst xmlns:c15="http://schemas.microsoft.com/office/drawing/2012/chart"/>
            </c:strRef>
          </c:tx>
          <c:spPr>
            <a:solidFill>
              <a:schemeClr val="accent1">
                <a:lumMod val="60000"/>
              </a:schemeClr>
            </a:solidFill>
            <a:ln>
              <a:noFill/>
            </a:ln>
            <a:effectLst/>
          </c:spPr>
          <c:invertIfNegative val="0"/>
          <c:val>
            <c:numRef>
              <c:f>Résultats!$N$128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6-A471-42FA-B100-DA757465F34E}"/>
            </c:ext>
          </c:extLst>
        </c:ser>
        <c:ser>
          <c:idx val="7"/>
          <c:order val="7"/>
          <c:tx>
            <c:strRef>
              <c:f>'Saisie des données'!$L$78</c:f>
              <c:strCache>
                <c:ptCount val="1"/>
                <c:pt idx="0">
                  <c:v>Aucun</c:v>
                </c:pt>
              </c:strCache>
              <c:extLst xmlns:c15="http://schemas.microsoft.com/office/drawing/2012/chart"/>
            </c:strRef>
          </c:tx>
          <c:spPr>
            <a:solidFill>
              <a:schemeClr val="accent2">
                <a:lumMod val="60000"/>
              </a:schemeClr>
            </a:solidFill>
            <a:ln>
              <a:noFill/>
            </a:ln>
            <a:effectLst/>
          </c:spPr>
          <c:invertIfNegative val="0"/>
          <c:val>
            <c:numRef>
              <c:f>Résultats!$O$128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7-A471-42FA-B100-DA757465F34E}"/>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val>
            <c:numRef>
              <c:f>Résultats!$M$128</c:f>
              <c:numCache>
                <c:formatCode>#,##0" $"</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Résultats!$E$9:$O$9</c15:sqref>
                        </c15:formulaRef>
                      </c:ext>
                    </c:extLst>
                    <c:strCache>
                      <c:ptCount val="3"/>
                      <c:pt idx="0">
                        <c:v>Abrysvo, Pfizer</c:v>
                      </c:pt>
                      <c:pt idx="1">
                        <c:v>Nirsevimab, AstraZeneca</c:v>
                      </c:pt>
                      <c:pt idx="2">
                        <c:v>les deux, total</c:v>
                      </c:pt>
                    </c:strCache>
                  </c:strRef>
                </c15:cat>
              </c15:filteredCategoryTitle>
            </c:ext>
            <c:ext xmlns:c16="http://schemas.microsoft.com/office/drawing/2014/chart" uri="{C3380CC4-5D6E-409C-BE32-E72D297353CC}">
              <c16:uniqueId val="{00000008-A471-42FA-B100-DA757465F34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3.5469932666203234E-2"/>
          <c:y val="0.81008634450690309"/>
          <c:w val="0.93913339503139204"/>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barChart>
        <c:barDir val="col"/>
        <c:grouping val="clustered"/>
        <c:varyColors val="0"/>
        <c:ser>
          <c:idx val="1"/>
          <c:order val="0"/>
          <c:tx>
            <c:strRef>
              <c:f>'Saisie des données'!$E$78</c:f>
              <c:strCache>
                <c:ptCount val="1"/>
                <c:pt idx="0">
                  <c:v>Abrysvo, Pfizer</c:v>
                </c:pt>
              </c:strCache>
            </c:strRef>
          </c:tx>
          <c:spPr>
            <a:solidFill>
              <a:schemeClr val="accent1"/>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Résultats!$E$129:$E$133</c:f>
              <c:numCache>
                <c:formatCode>#,##0" $"</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0802-4B3D-B649-827C3F025B3B}"/>
            </c:ext>
          </c:extLst>
        </c:ser>
        <c:ser>
          <c:idx val="0"/>
          <c:order val="1"/>
          <c:tx>
            <c:strRef>
              <c:f>'Saisie des données'!$F$78</c:f>
              <c:strCache>
                <c:ptCount val="1"/>
                <c:pt idx="0">
                  <c:v>Aucun</c:v>
                </c:pt>
              </c:strCache>
              <c:extLst xmlns:c15="http://schemas.microsoft.com/office/drawing/2012/chart"/>
            </c:strRef>
          </c:tx>
          <c:spPr>
            <a:solidFill>
              <a:schemeClr val="accent1"/>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Résultats!$F$129:$F$133</c:f>
              <c:extLst xmlns:c15="http://schemas.microsoft.com/office/drawing/2012/chart"/>
            </c:numRef>
          </c:val>
          <c:extLst xmlns:c15="http://schemas.microsoft.com/office/drawing/2012/chart">
            <c:ext xmlns:c16="http://schemas.microsoft.com/office/drawing/2014/chart" uri="{C3380CC4-5D6E-409C-BE32-E72D297353CC}">
              <c16:uniqueId val="{00000001-0802-4B3D-B649-827C3F025B3B}"/>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Résultats!$G$129:$G$133</c:f>
              <c:extLst xmlns:c15="http://schemas.microsoft.com/office/drawing/2012/chart"/>
            </c:numRef>
          </c:val>
          <c:extLst xmlns:c15="http://schemas.microsoft.com/office/drawing/2012/chart">
            <c:ext xmlns:c16="http://schemas.microsoft.com/office/drawing/2014/chart" uri="{C3380CC4-5D6E-409C-BE32-E72D297353CC}">
              <c16:uniqueId val="{00000002-0802-4B3D-B649-827C3F025B3B}"/>
            </c:ext>
          </c:extLst>
        </c:ser>
        <c:ser>
          <c:idx val="3"/>
          <c:order val="3"/>
          <c:tx>
            <c:strRef>
              <c:f>'Saisie des données'!$H$78</c:f>
              <c:strCache>
                <c:ptCount val="1"/>
                <c:pt idx="0">
                  <c:v>Nirsevimab, AstraZeneca</c:v>
                </c:pt>
              </c:strCache>
            </c:strRef>
          </c:tx>
          <c:spPr>
            <a:solidFill>
              <a:schemeClr val="accent4"/>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Résultats!$I$129:$I$133</c:f>
              <c:numCache>
                <c:formatCode>#,##0" $"</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0802-4B3D-B649-827C3F025B3B}"/>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Résultats!$J$129:$J$133</c:f>
              <c:extLst xmlns:c15="http://schemas.microsoft.com/office/drawing/2012/chart"/>
            </c:numRef>
          </c:val>
          <c:extLst xmlns:c15="http://schemas.microsoft.com/office/drawing/2012/chart">
            <c:ext xmlns:c16="http://schemas.microsoft.com/office/drawing/2014/chart" uri="{C3380CC4-5D6E-409C-BE32-E72D297353CC}">
              <c16:uniqueId val="{00000004-0802-4B3D-B649-827C3F025B3B}"/>
            </c:ext>
          </c:extLst>
        </c:ser>
        <c:ser>
          <c:idx val="6"/>
          <c:order val="5"/>
          <c:tx>
            <c:strRef>
              <c:f>'Saisie des données'!$J$78</c:f>
              <c:strCache>
                <c:ptCount val="1"/>
                <c:pt idx="0">
                  <c:v>Aucun</c:v>
                </c:pt>
              </c:strCache>
              <c:extLst xmlns:c15="http://schemas.microsoft.com/office/drawing/2012/chart"/>
            </c:strRef>
          </c:tx>
          <c:spPr>
            <a:solidFill>
              <a:schemeClr val="accent1">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Résultats!$K$129:$K$133</c:f>
              <c:extLst xmlns:c15="http://schemas.microsoft.com/office/drawing/2012/chart"/>
            </c:numRef>
          </c:val>
          <c:extLst xmlns:c15="http://schemas.microsoft.com/office/drawing/2012/chart">
            <c:ext xmlns:c16="http://schemas.microsoft.com/office/drawing/2014/chart" uri="{C3380CC4-5D6E-409C-BE32-E72D297353CC}">
              <c16:uniqueId val="{00000005-0802-4B3D-B649-827C3F025B3B}"/>
            </c:ext>
          </c:extLst>
        </c:ser>
        <c:ser>
          <c:idx val="7"/>
          <c:order val="6"/>
          <c:tx>
            <c:strRef>
              <c:f>'Saisie des données'!$K$78</c:f>
              <c:strCache>
                <c:ptCount val="1"/>
                <c:pt idx="0">
                  <c:v>Aucun</c:v>
                </c:pt>
              </c:strCache>
              <c:extLst xmlns:c15="http://schemas.microsoft.com/office/drawing/2012/chart"/>
            </c:strRef>
          </c:tx>
          <c:spPr>
            <a:solidFill>
              <a:schemeClr val="accent2">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Résultats!$N$129:$N$133</c:f>
              <c:extLst xmlns:c15="http://schemas.microsoft.com/office/drawing/2012/chart"/>
            </c:numRef>
          </c:val>
          <c:extLst xmlns:c15="http://schemas.microsoft.com/office/drawing/2012/chart">
            <c:ext xmlns:c16="http://schemas.microsoft.com/office/drawing/2014/chart" uri="{C3380CC4-5D6E-409C-BE32-E72D297353CC}">
              <c16:uniqueId val="{00000006-0802-4B3D-B649-827C3F025B3B}"/>
            </c:ext>
          </c:extLst>
        </c:ser>
        <c:ser>
          <c:idx val="5"/>
          <c:order val="7"/>
          <c:tx>
            <c:strRef>
              <c:f>'Saisie des données'!$L$78</c:f>
              <c:strCache>
                <c:ptCount val="1"/>
                <c:pt idx="0">
                  <c:v>Aucun</c:v>
                </c:pt>
              </c:strCache>
              <c:extLst xmlns:c15="http://schemas.microsoft.com/office/drawing/2012/chart"/>
            </c:strRef>
          </c:tx>
          <c:spPr>
            <a:solidFill>
              <a:schemeClr val="accent6"/>
            </a:solidFill>
            <a:ln>
              <a:noFill/>
            </a:ln>
            <a:effectLst/>
          </c:spPr>
          <c:invertIfNegative val="0"/>
          <c:cat>
            <c:numRef>
              <c:f>Résultats!$D$129:$D$133</c:f>
              <c:numCache>
                <c:formatCode>General</c:formatCode>
                <c:ptCount val="5"/>
                <c:pt idx="0">
                  <c:v>2025</c:v>
                </c:pt>
                <c:pt idx="1">
                  <c:v>2026</c:v>
                </c:pt>
                <c:pt idx="2">
                  <c:v>2027</c:v>
                </c:pt>
                <c:pt idx="3">
                  <c:v>2028</c:v>
                </c:pt>
                <c:pt idx="4">
                  <c:v>2029</c:v>
                </c:pt>
              </c:numCache>
              <c:extLst xmlns:c15="http://schemas.microsoft.com/office/drawing/2012/chart"/>
            </c:numRef>
          </c:cat>
          <c:val>
            <c:numRef>
              <c:f>Résultats!$O$129:$O$133</c:f>
              <c:extLst xmlns:c15="http://schemas.microsoft.com/office/drawing/2012/chart"/>
            </c:numRef>
          </c:val>
          <c:extLst xmlns:c15="http://schemas.microsoft.com/office/drawing/2012/chart">
            <c:ext xmlns:c16="http://schemas.microsoft.com/office/drawing/2014/chart" uri="{C3380CC4-5D6E-409C-BE32-E72D297353CC}">
              <c16:uniqueId val="{00000007-0802-4B3D-B649-827C3F025B3B}"/>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Résultats!$M$129:$M$133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0802-4B3D-B649-827C3F025B3B}"/>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8.0312561892361176E-2"/>
          <c:y val="0.8717479163040448"/>
          <c:w val="0.891903186626398"/>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manualLayout>
          <c:layoutTarget val="inner"/>
          <c:xMode val="edge"/>
          <c:yMode val="edge"/>
          <c:x val="0.11071337138246068"/>
          <c:y val="0.15438125015258183"/>
          <c:w val="0.87205325068549044"/>
          <c:h val="0.70132701190397218"/>
        </c:manualLayout>
      </c:layout>
      <c:barChart>
        <c:barDir val="col"/>
        <c:grouping val="clustered"/>
        <c:varyColors val="0"/>
        <c:ser>
          <c:idx val="1"/>
          <c:order val="0"/>
          <c:tx>
            <c:strRef>
              <c:f>'Saisie des données'!$E$78</c:f>
              <c:strCache>
                <c:ptCount val="1"/>
                <c:pt idx="0">
                  <c:v>Abrysvo, Pfizer</c:v>
                </c:pt>
              </c:strCache>
            </c:strRef>
          </c:tx>
          <c:spPr>
            <a:solidFill>
              <a:schemeClr val="accent1"/>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Résultats!$E$138:$E$142</c:f>
              <c:numCache>
                <c:formatCode>#,##0" $"</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1A90-4573-A3B3-B32365DD1AE3}"/>
            </c:ext>
          </c:extLst>
        </c:ser>
        <c:ser>
          <c:idx val="0"/>
          <c:order val="1"/>
          <c:tx>
            <c:strRef>
              <c:f>'Saisie des données'!$F$78</c:f>
              <c:strCache>
                <c:ptCount val="1"/>
                <c:pt idx="0">
                  <c:v>Aucun</c:v>
                </c:pt>
              </c:strCache>
              <c:extLst xmlns:c15="http://schemas.microsoft.com/office/drawing/2012/chart"/>
            </c:strRef>
          </c:tx>
          <c:spPr>
            <a:solidFill>
              <a:schemeClr val="accent1"/>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Résultats!$F$138:$F$142</c:f>
              <c:extLst xmlns:c15="http://schemas.microsoft.com/office/drawing/2012/chart"/>
            </c:numRef>
          </c:val>
          <c:extLst xmlns:c15="http://schemas.microsoft.com/office/drawing/2012/chart">
            <c:ext xmlns:c16="http://schemas.microsoft.com/office/drawing/2014/chart" uri="{C3380CC4-5D6E-409C-BE32-E72D297353CC}">
              <c16:uniqueId val="{00000001-1A90-4573-A3B3-B32365DD1AE3}"/>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Résultats!$G$138:$G$142</c:f>
              <c:extLst xmlns:c15="http://schemas.microsoft.com/office/drawing/2012/chart"/>
            </c:numRef>
          </c:val>
          <c:extLst xmlns:c15="http://schemas.microsoft.com/office/drawing/2012/chart">
            <c:ext xmlns:c16="http://schemas.microsoft.com/office/drawing/2014/chart" uri="{C3380CC4-5D6E-409C-BE32-E72D297353CC}">
              <c16:uniqueId val="{00000002-1A90-4573-A3B3-B32365DD1AE3}"/>
            </c:ext>
          </c:extLst>
        </c:ser>
        <c:ser>
          <c:idx val="3"/>
          <c:order val="3"/>
          <c:tx>
            <c:strRef>
              <c:f>'Saisie des données'!$H$78</c:f>
              <c:strCache>
                <c:ptCount val="1"/>
                <c:pt idx="0">
                  <c:v>Nirsevimab, AstraZeneca</c:v>
                </c:pt>
              </c:strCache>
            </c:strRef>
          </c:tx>
          <c:spPr>
            <a:solidFill>
              <a:schemeClr val="accent4"/>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Résultats!$I$138:$I$142</c:f>
              <c:numCache>
                <c:formatCode>#,##0" $"</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1A90-4573-A3B3-B32365DD1AE3}"/>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Résultats!$J$138:$J$142</c:f>
              <c:extLst xmlns:c15="http://schemas.microsoft.com/office/drawing/2012/chart"/>
            </c:numRef>
          </c:val>
          <c:extLst xmlns:c15="http://schemas.microsoft.com/office/drawing/2012/chart">
            <c:ext xmlns:c16="http://schemas.microsoft.com/office/drawing/2014/chart" uri="{C3380CC4-5D6E-409C-BE32-E72D297353CC}">
              <c16:uniqueId val="{00000004-1A90-4573-A3B3-B32365DD1AE3}"/>
            </c:ext>
          </c:extLst>
        </c:ser>
        <c:ser>
          <c:idx val="6"/>
          <c:order val="5"/>
          <c:tx>
            <c:strRef>
              <c:f>'Saisie des données'!$J$78</c:f>
              <c:strCache>
                <c:ptCount val="1"/>
                <c:pt idx="0">
                  <c:v>Aucun</c:v>
                </c:pt>
              </c:strCache>
              <c:extLst xmlns:c15="http://schemas.microsoft.com/office/drawing/2012/chart"/>
            </c:strRef>
          </c:tx>
          <c:spPr>
            <a:solidFill>
              <a:schemeClr val="accent1">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Résultats!$K$138:$K$142</c:f>
              <c:extLst xmlns:c15="http://schemas.microsoft.com/office/drawing/2012/chart"/>
            </c:numRef>
          </c:val>
          <c:extLst xmlns:c15="http://schemas.microsoft.com/office/drawing/2012/chart">
            <c:ext xmlns:c16="http://schemas.microsoft.com/office/drawing/2014/chart" uri="{C3380CC4-5D6E-409C-BE32-E72D297353CC}">
              <c16:uniqueId val="{00000005-1A90-4573-A3B3-B32365DD1AE3}"/>
            </c:ext>
          </c:extLst>
        </c:ser>
        <c:ser>
          <c:idx val="7"/>
          <c:order val="6"/>
          <c:tx>
            <c:strRef>
              <c:f>'Saisie des données'!$K$78</c:f>
              <c:strCache>
                <c:ptCount val="1"/>
                <c:pt idx="0">
                  <c:v>Aucun</c:v>
                </c:pt>
              </c:strCache>
              <c:extLst xmlns:c15="http://schemas.microsoft.com/office/drawing/2012/chart"/>
            </c:strRef>
          </c:tx>
          <c:spPr>
            <a:solidFill>
              <a:schemeClr val="accent2">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Résultats!$N$138:$N$142</c:f>
              <c:extLst xmlns:c15="http://schemas.microsoft.com/office/drawing/2012/chart"/>
            </c:numRef>
          </c:val>
          <c:extLst xmlns:c15="http://schemas.microsoft.com/office/drawing/2012/chart">
            <c:ext xmlns:c16="http://schemas.microsoft.com/office/drawing/2014/chart" uri="{C3380CC4-5D6E-409C-BE32-E72D297353CC}">
              <c16:uniqueId val="{00000006-1A90-4573-A3B3-B32365DD1AE3}"/>
            </c:ext>
          </c:extLst>
        </c:ser>
        <c:ser>
          <c:idx val="5"/>
          <c:order val="7"/>
          <c:tx>
            <c:strRef>
              <c:f>'Saisie des données'!$L$78</c:f>
              <c:strCache>
                <c:ptCount val="1"/>
                <c:pt idx="0">
                  <c:v>Aucun</c:v>
                </c:pt>
              </c:strCache>
              <c:extLst xmlns:c15="http://schemas.microsoft.com/office/drawing/2012/chart"/>
            </c:strRef>
          </c:tx>
          <c:spPr>
            <a:solidFill>
              <a:schemeClr val="accent6"/>
            </a:solidFill>
            <a:ln>
              <a:noFill/>
            </a:ln>
            <a:effectLst/>
          </c:spPr>
          <c:invertIfNegative val="0"/>
          <c:cat>
            <c:numRef>
              <c:f>Résultats!$D$138:$D$142</c:f>
              <c:numCache>
                <c:formatCode>General</c:formatCode>
                <c:ptCount val="5"/>
                <c:pt idx="0">
                  <c:v>2025</c:v>
                </c:pt>
                <c:pt idx="1">
                  <c:v>2026</c:v>
                </c:pt>
                <c:pt idx="2">
                  <c:v>2027</c:v>
                </c:pt>
                <c:pt idx="3">
                  <c:v>2028</c:v>
                </c:pt>
                <c:pt idx="4">
                  <c:v>2029</c:v>
                </c:pt>
              </c:numCache>
              <c:extLst xmlns:c15="http://schemas.microsoft.com/office/drawing/2012/chart"/>
            </c:numRef>
          </c:cat>
          <c:val>
            <c:numRef>
              <c:f>Résultats!$O$138:$O$142</c:f>
              <c:extLst xmlns:c15="http://schemas.microsoft.com/office/drawing/2012/chart"/>
            </c:numRef>
          </c:val>
          <c:extLst xmlns:c15="http://schemas.microsoft.com/office/drawing/2012/chart">
            <c:ext xmlns:c16="http://schemas.microsoft.com/office/drawing/2014/chart" uri="{C3380CC4-5D6E-409C-BE32-E72D297353CC}">
              <c16:uniqueId val="{00000007-1A90-4573-A3B3-B32365DD1AE3}"/>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Résultats!$M$138:$M$142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8-1A90-4573-A3B3-B32365DD1AE3}"/>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9.8495493639553205E-2"/>
          <c:y val="0.88371296047460712"/>
          <c:w val="0.87169992912951799"/>
          <c:h val="0.1013307343121901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'Saisie des données'!$E$78</c:f>
              <c:strCache>
                <c:ptCount val="1"/>
                <c:pt idx="0">
                  <c:v>Abrysvo, Pfizer</c:v>
                </c:pt>
              </c:strCache>
            </c:strRef>
          </c:tx>
          <c:spPr>
            <a:solidFill>
              <a:schemeClr val="accent1"/>
            </a:solidFill>
            <a:ln>
              <a:noFill/>
            </a:ln>
            <a:effectLst/>
          </c:spPr>
          <c:invertIfNegative val="0"/>
          <c:cat>
            <c:multiLvlStrRef>
              <c:f>Résultats!$E$138:$M$142</c:f>
              <c:multiLvlStrCache>
                <c:ptCount val="2"/>
                <c:lvl>
                  <c:pt idx="0">
                    <c:v>1,162,398 $</c:v>
                  </c:pt>
                  <c:pt idx="1">
                    <c:v>4,820,132 $</c:v>
                  </c:pt>
                </c:lvl>
                <c:lvl>
                  <c:pt idx="0">
                    <c:v>1,005,418 $</c:v>
                  </c:pt>
                  <c:pt idx="1">
                    <c:v>4,171,438 $</c:v>
                  </c:pt>
                </c:lvl>
                <c:lvl>
                  <c:pt idx="0">
                    <c:v>836,768 $</c:v>
                  </c:pt>
                  <c:pt idx="1">
                    <c:v>3,454,474 $</c:v>
                  </c:pt>
                </c:lvl>
                <c:lvl>
                  <c:pt idx="0">
                    <c:v>831,646 $</c:v>
                  </c:pt>
                  <c:pt idx="1">
                    <c:v>3,452,858 $</c:v>
                  </c:pt>
                </c:lvl>
                <c:lvl>
                  <c:pt idx="0">
                    <c:v>953,193 $</c:v>
                  </c:pt>
                  <c:pt idx="1">
                    <c:v>3,516,704 $</c:v>
                  </c:pt>
                </c:lvl>
              </c:multiLvlStrCache>
            </c:multiLvlStrRef>
          </c:cat>
          <c:val>
            <c:numRef>
              <c:f>Résultats!$E$137</c:f>
              <c:numCache>
                <c:formatCode>#,##0" $"</c:formatCode>
                <c:ptCount val="1"/>
                <c:pt idx="0">
                  <c:v>4789422.7762440555</c:v>
                </c:pt>
              </c:numCache>
            </c:numRef>
          </c:val>
          <c:extLst>
            <c:ext xmlns:c16="http://schemas.microsoft.com/office/drawing/2014/chart" uri="{C3380CC4-5D6E-409C-BE32-E72D297353CC}">
              <c16:uniqueId val="{00000000-5572-4F1A-80A1-46046BEEB9C6}"/>
            </c:ext>
          </c:extLst>
        </c:ser>
        <c:ser>
          <c:idx val="1"/>
          <c:order val="1"/>
          <c:tx>
            <c:strRef>
              <c:f>'Saisie des données'!$F$78</c:f>
              <c:strCache>
                <c:ptCount val="1"/>
                <c:pt idx="0">
                  <c:v>Aucun</c:v>
                </c:pt>
              </c:strCache>
              <c:extLst xmlns:c15="http://schemas.microsoft.com/office/drawing/2012/chart"/>
            </c:strRef>
          </c:tx>
          <c:spPr>
            <a:solidFill>
              <a:schemeClr val="accent2"/>
            </a:solidFill>
            <a:ln>
              <a:noFill/>
            </a:ln>
            <a:effectLst/>
          </c:spPr>
          <c:invertIfNegative val="0"/>
          <c:cat>
            <c:multiLvlStrRef>
              <c:f>Résultats!$E$138:$M$142</c:f>
              <c:multiLvlStrCache>
                <c:ptCount val="2"/>
                <c:lvl>
                  <c:pt idx="0">
                    <c:v>1,162,398 $</c:v>
                  </c:pt>
                  <c:pt idx="1">
                    <c:v>4,820,132 $</c:v>
                  </c:pt>
                </c:lvl>
                <c:lvl>
                  <c:pt idx="0">
                    <c:v>1,005,418 $</c:v>
                  </c:pt>
                  <c:pt idx="1">
                    <c:v>4,171,438 $</c:v>
                  </c:pt>
                </c:lvl>
                <c:lvl>
                  <c:pt idx="0">
                    <c:v>836,768 $</c:v>
                  </c:pt>
                  <c:pt idx="1">
                    <c:v>3,454,474 $</c:v>
                  </c:pt>
                </c:lvl>
                <c:lvl>
                  <c:pt idx="0">
                    <c:v>831,646 $</c:v>
                  </c:pt>
                  <c:pt idx="1">
                    <c:v>3,452,858 $</c:v>
                  </c:pt>
                </c:lvl>
                <c:lvl>
                  <c:pt idx="0">
                    <c:v>953,193 $</c:v>
                  </c:pt>
                  <c:pt idx="1">
                    <c:v>3,516,704 $</c:v>
                  </c:pt>
                </c:lvl>
              </c:multiLvlStrCache>
            </c:multiLvlStrRef>
          </c:cat>
          <c:val>
            <c:numRef>
              <c:f>Résultats!$F$117</c:f>
              <c:extLst xmlns:c15="http://schemas.microsoft.com/office/drawing/2012/chart"/>
            </c:numRef>
          </c:val>
          <c:extLst xmlns:c15="http://schemas.microsoft.com/office/drawing/2012/chart">
            <c:ext xmlns:c16="http://schemas.microsoft.com/office/drawing/2014/chart" uri="{C3380CC4-5D6E-409C-BE32-E72D297353CC}">
              <c16:uniqueId val="{00000001-5572-4F1A-80A1-46046BEEB9C6}"/>
            </c:ext>
          </c:extLst>
        </c:ser>
        <c:ser>
          <c:idx val="2"/>
          <c:order val="2"/>
          <c:tx>
            <c:strRef>
              <c:f>'Saisie des données'!$G$78</c:f>
              <c:strCache>
                <c:ptCount val="1"/>
                <c:pt idx="0">
                  <c:v>Aucun</c:v>
                </c:pt>
              </c:strCache>
              <c:extLst xmlns:c15="http://schemas.microsoft.com/office/drawing/2012/chart"/>
            </c:strRef>
          </c:tx>
          <c:spPr>
            <a:solidFill>
              <a:schemeClr val="accent3"/>
            </a:solidFill>
            <a:ln>
              <a:noFill/>
            </a:ln>
            <a:effectLst/>
          </c:spPr>
          <c:invertIfNegative val="0"/>
          <c:cat>
            <c:multiLvlStrRef>
              <c:f>Résultats!$E$138:$M$142</c:f>
              <c:multiLvlStrCache>
                <c:ptCount val="2"/>
                <c:lvl>
                  <c:pt idx="0">
                    <c:v>1,162,398 $</c:v>
                  </c:pt>
                  <c:pt idx="1">
                    <c:v>4,820,132 $</c:v>
                  </c:pt>
                </c:lvl>
                <c:lvl>
                  <c:pt idx="0">
                    <c:v>1,005,418 $</c:v>
                  </c:pt>
                  <c:pt idx="1">
                    <c:v>4,171,438 $</c:v>
                  </c:pt>
                </c:lvl>
                <c:lvl>
                  <c:pt idx="0">
                    <c:v>836,768 $</c:v>
                  </c:pt>
                  <c:pt idx="1">
                    <c:v>3,454,474 $</c:v>
                  </c:pt>
                </c:lvl>
                <c:lvl>
                  <c:pt idx="0">
                    <c:v>831,646 $</c:v>
                  </c:pt>
                  <c:pt idx="1">
                    <c:v>3,452,858 $</c:v>
                  </c:pt>
                </c:lvl>
                <c:lvl>
                  <c:pt idx="0">
                    <c:v>953,193 $</c:v>
                  </c:pt>
                  <c:pt idx="1">
                    <c:v>3,516,704 $</c:v>
                  </c:pt>
                </c:lvl>
              </c:multiLvlStrCache>
            </c:multiLvlStrRef>
          </c:cat>
          <c:val>
            <c:numRef>
              <c:f>Résultats!$G$117</c:f>
              <c:extLst xmlns:c15="http://schemas.microsoft.com/office/drawing/2012/chart"/>
            </c:numRef>
          </c:val>
          <c:extLst xmlns:c15="http://schemas.microsoft.com/office/drawing/2012/chart">
            <c:ext xmlns:c16="http://schemas.microsoft.com/office/drawing/2014/chart" uri="{C3380CC4-5D6E-409C-BE32-E72D297353CC}">
              <c16:uniqueId val="{00000002-5572-4F1A-80A1-46046BEEB9C6}"/>
            </c:ext>
          </c:extLst>
        </c:ser>
        <c:ser>
          <c:idx val="3"/>
          <c:order val="3"/>
          <c:tx>
            <c:strRef>
              <c:f>'Saisie des données'!$H$78</c:f>
              <c:strCache>
                <c:ptCount val="1"/>
                <c:pt idx="0">
                  <c:v>Nirsevimab, AstraZeneca</c:v>
                </c:pt>
              </c:strCache>
            </c:strRef>
          </c:tx>
          <c:spPr>
            <a:solidFill>
              <a:schemeClr val="accent4"/>
            </a:solidFill>
            <a:ln>
              <a:noFill/>
            </a:ln>
            <a:effectLst/>
          </c:spPr>
          <c:invertIfNegative val="0"/>
          <c:cat>
            <c:multiLvlStrRef>
              <c:f>Résultats!$E$138:$M$142</c:f>
              <c:multiLvlStrCache>
                <c:ptCount val="2"/>
                <c:lvl>
                  <c:pt idx="0">
                    <c:v>1,162,398 $</c:v>
                  </c:pt>
                  <c:pt idx="1">
                    <c:v>4,820,132 $</c:v>
                  </c:pt>
                </c:lvl>
                <c:lvl>
                  <c:pt idx="0">
                    <c:v>1,005,418 $</c:v>
                  </c:pt>
                  <c:pt idx="1">
                    <c:v>4,171,438 $</c:v>
                  </c:pt>
                </c:lvl>
                <c:lvl>
                  <c:pt idx="0">
                    <c:v>836,768 $</c:v>
                  </c:pt>
                  <c:pt idx="1">
                    <c:v>3,454,474 $</c:v>
                  </c:pt>
                </c:lvl>
                <c:lvl>
                  <c:pt idx="0">
                    <c:v>831,646 $</c:v>
                  </c:pt>
                  <c:pt idx="1">
                    <c:v>3,452,858 $</c:v>
                  </c:pt>
                </c:lvl>
                <c:lvl>
                  <c:pt idx="0">
                    <c:v>953,193 $</c:v>
                  </c:pt>
                  <c:pt idx="1">
                    <c:v>3,516,704 $</c:v>
                  </c:pt>
                </c:lvl>
              </c:multiLvlStrCache>
            </c:multiLvlStrRef>
          </c:cat>
          <c:val>
            <c:numRef>
              <c:f>Résultats!$I$137</c:f>
              <c:numCache>
                <c:formatCode>#,##0" $"</c:formatCode>
                <c:ptCount val="1"/>
                <c:pt idx="0">
                  <c:v>19415605.051030599</c:v>
                </c:pt>
              </c:numCache>
            </c:numRef>
          </c:val>
          <c:extLst>
            <c:ext xmlns:c16="http://schemas.microsoft.com/office/drawing/2014/chart" uri="{C3380CC4-5D6E-409C-BE32-E72D297353CC}">
              <c16:uniqueId val="{00000003-5572-4F1A-80A1-46046BEEB9C6}"/>
            </c:ext>
          </c:extLst>
        </c:ser>
        <c:ser>
          <c:idx val="4"/>
          <c:order val="4"/>
          <c:tx>
            <c:strRef>
              <c:f>'Saisie des données'!$I$78</c:f>
              <c:strCache>
                <c:ptCount val="1"/>
                <c:pt idx="0">
                  <c:v>Aucun</c:v>
                </c:pt>
              </c:strCache>
              <c:extLst xmlns:c15="http://schemas.microsoft.com/office/drawing/2012/chart"/>
            </c:strRef>
          </c:tx>
          <c:spPr>
            <a:solidFill>
              <a:schemeClr val="accent5"/>
            </a:solidFill>
            <a:ln>
              <a:noFill/>
            </a:ln>
            <a:effectLst/>
          </c:spPr>
          <c:invertIfNegative val="0"/>
          <c:cat>
            <c:multiLvlStrRef>
              <c:f>Résultats!$E$138:$M$142</c:f>
              <c:multiLvlStrCache>
                <c:ptCount val="2"/>
                <c:lvl>
                  <c:pt idx="0">
                    <c:v>1,162,398 $</c:v>
                  </c:pt>
                  <c:pt idx="1">
                    <c:v>4,820,132 $</c:v>
                  </c:pt>
                </c:lvl>
                <c:lvl>
                  <c:pt idx="0">
                    <c:v>1,005,418 $</c:v>
                  </c:pt>
                  <c:pt idx="1">
                    <c:v>4,171,438 $</c:v>
                  </c:pt>
                </c:lvl>
                <c:lvl>
                  <c:pt idx="0">
                    <c:v>836,768 $</c:v>
                  </c:pt>
                  <c:pt idx="1">
                    <c:v>3,454,474 $</c:v>
                  </c:pt>
                </c:lvl>
                <c:lvl>
                  <c:pt idx="0">
                    <c:v>831,646 $</c:v>
                  </c:pt>
                  <c:pt idx="1">
                    <c:v>3,452,858 $</c:v>
                  </c:pt>
                </c:lvl>
                <c:lvl>
                  <c:pt idx="0">
                    <c:v>953,193 $</c:v>
                  </c:pt>
                  <c:pt idx="1">
                    <c:v>3,516,704 $</c:v>
                  </c:pt>
                </c:lvl>
              </c:multiLvlStrCache>
            </c:multiLvlStrRef>
          </c:cat>
          <c:val>
            <c:numRef>
              <c:f>Résultats!$J$117</c:f>
              <c:extLst xmlns:c15="http://schemas.microsoft.com/office/drawing/2012/chart"/>
            </c:numRef>
          </c:val>
          <c:extLst xmlns:c15="http://schemas.microsoft.com/office/drawing/2012/chart">
            <c:ext xmlns:c16="http://schemas.microsoft.com/office/drawing/2014/chart" uri="{C3380CC4-5D6E-409C-BE32-E72D297353CC}">
              <c16:uniqueId val="{00000004-5572-4F1A-80A1-46046BEEB9C6}"/>
            </c:ext>
          </c:extLst>
        </c:ser>
        <c:ser>
          <c:idx val="5"/>
          <c:order val="5"/>
          <c:tx>
            <c:strRef>
              <c:f>'Saisie des données'!$J$78</c:f>
              <c:strCache>
                <c:ptCount val="1"/>
                <c:pt idx="0">
                  <c:v>Aucun</c:v>
                </c:pt>
              </c:strCache>
              <c:extLst xmlns:c15="http://schemas.microsoft.com/office/drawing/2012/chart"/>
            </c:strRef>
          </c:tx>
          <c:spPr>
            <a:solidFill>
              <a:schemeClr val="accent6"/>
            </a:solidFill>
            <a:ln>
              <a:noFill/>
            </a:ln>
            <a:effectLst/>
          </c:spPr>
          <c:invertIfNegative val="0"/>
          <c:cat>
            <c:multiLvlStrRef>
              <c:f>Résultats!$E$138:$M$142</c:f>
              <c:multiLvlStrCache>
                <c:ptCount val="2"/>
                <c:lvl>
                  <c:pt idx="0">
                    <c:v>1,162,398 $</c:v>
                  </c:pt>
                  <c:pt idx="1">
                    <c:v>4,820,132 $</c:v>
                  </c:pt>
                </c:lvl>
                <c:lvl>
                  <c:pt idx="0">
                    <c:v>1,005,418 $</c:v>
                  </c:pt>
                  <c:pt idx="1">
                    <c:v>4,171,438 $</c:v>
                  </c:pt>
                </c:lvl>
                <c:lvl>
                  <c:pt idx="0">
                    <c:v>836,768 $</c:v>
                  </c:pt>
                  <c:pt idx="1">
                    <c:v>3,454,474 $</c:v>
                  </c:pt>
                </c:lvl>
                <c:lvl>
                  <c:pt idx="0">
                    <c:v>831,646 $</c:v>
                  </c:pt>
                  <c:pt idx="1">
                    <c:v>3,452,858 $</c:v>
                  </c:pt>
                </c:lvl>
                <c:lvl>
                  <c:pt idx="0">
                    <c:v>953,193 $</c:v>
                  </c:pt>
                  <c:pt idx="1">
                    <c:v>3,516,704 $</c:v>
                  </c:pt>
                </c:lvl>
              </c:multiLvlStrCache>
            </c:multiLvlStrRef>
          </c:cat>
          <c:val>
            <c:numRef>
              <c:f>Résultats!$K$117</c:f>
              <c:extLst xmlns:c15="http://schemas.microsoft.com/office/drawing/2012/chart"/>
            </c:numRef>
          </c:val>
          <c:extLst xmlns:c15="http://schemas.microsoft.com/office/drawing/2012/chart">
            <c:ext xmlns:c16="http://schemas.microsoft.com/office/drawing/2014/chart" uri="{C3380CC4-5D6E-409C-BE32-E72D297353CC}">
              <c16:uniqueId val="{00000005-5572-4F1A-80A1-46046BEEB9C6}"/>
            </c:ext>
          </c:extLst>
        </c:ser>
        <c:ser>
          <c:idx val="6"/>
          <c:order val="6"/>
          <c:tx>
            <c:strRef>
              <c:f>'Saisie des données'!$K$78</c:f>
              <c:strCache>
                <c:ptCount val="1"/>
                <c:pt idx="0">
                  <c:v>Aucun</c:v>
                </c:pt>
              </c:strCache>
              <c:extLst xmlns:c15="http://schemas.microsoft.com/office/drawing/2012/chart"/>
            </c:strRef>
          </c:tx>
          <c:spPr>
            <a:solidFill>
              <a:schemeClr val="accent1">
                <a:lumMod val="60000"/>
              </a:schemeClr>
            </a:solidFill>
            <a:ln>
              <a:noFill/>
            </a:ln>
            <a:effectLst/>
          </c:spPr>
          <c:invertIfNegative val="0"/>
          <c:cat>
            <c:multiLvlStrRef>
              <c:f>Résultats!$E$138:$M$142</c:f>
              <c:multiLvlStrCache>
                <c:ptCount val="2"/>
                <c:lvl>
                  <c:pt idx="0">
                    <c:v>1,162,398 $</c:v>
                  </c:pt>
                  <c:pt idx="1">
                    <c:v>4,820,132 $</c:v>
                  </c:pt>
                </c:lvl>
                <c:lvl>
                  <c:pt idx="0">
                    <c:v>1,005,418 $</c:v>
                  </c:pt>
                  <c:pt idx="1">
                    <c:v>4,171,438 $</c:v>
                  </c:pt>
                </c:lvl>
                <c:lvl>
                  <c:pt idx="0">
                    <c:v>836,768 $</c:v>
                  </c:pt>
                  <c:pt idx="1">
                    <c:v>3,454,474 $</c:v>
                  </c:pt>
                </c:lvl>
                <c:lvl>
                  <c:pt idx="0">
                    <c:v>831,646 $</c:v>
                  </c:pt>
                  <c:pt idx="1">
                    <c:v>3,452,858 $</c:v>
                  </c:pt>
                </c:lvl>
                <c:lvl>
                  <c:pt idx="0">
                    <c:v>953,193 $</c:v>
                  </c:pt>
                  <c:pt idx="1">
                    <c:v>3,516,704 $</c:v>
                  </c:pt>
                </c:lvl>
              </c:multiLvlStrCache>
            </c:multiLvlStrRef>
          </c:cat>
          <c:val>
            <c:numRef>
              <c:f>Résultats!$N$137</c:f>
            </c:numRef>
          </c:val>
          <c:extLst xmlns:c15="http://schemas.microsoft.com/office/drawing/2012/chart">
            <c:ext xmlns:c16="http://schemas.microsoft.com/office/drawing/2014/chart" uri="{C3380CC4-5D6E-409C-BE32-E72D297353CC}">
              <c16:uniqueId val="{00000006-5572-4F1A-80A1-46046BEEB9C6}"/>
            </c:ext>
          </c:extLst>
        </c:ser>
        <c:ser>
          <c:idx val="7"/>
          <c:order val="7"/>
          <c:tx>
            <c:strRef>
              <c:f>'Saisie des données'!$L$78</c:f>
              <c:strCache>
                <c:ptCount val="1"/>
                <c:pt idx="0">
                  <c:v>Aucun</c:v>
                </c:pt>
              </c:strCache>
              <c:extLst xmlns:c15="http://schemas.microsoft.com/office/drawing/2012/chart"/>
            </c:strRef>
          </c:tx>
          <c:spPr>
            <a:solidFill>
              <a:schemeClr val="accent2">
                <a:lumMod val="60000"/>
              </a:schemeClr>
            </a:solidFill>
            <a:ln>
              <a:noFill/>
            </a:ln>
            <a:effectLst/>
          </c:spPr>
          <c:invertIfNegative val="0"/>
          <c:cat>
            <c:multiLvlStrRef>
              <c:f>Résultats!$E$138:$M$142</c:f>
              <c:multiLvlStrCache>
                <c:ptCount val="2"/>
                <c:lvl>
                  <c:pt idx="0">
                    <c:v>1,162,398 $</c:v>
                  </c:pt>
                  <c:pt idx="1">
                    <c:v>4,820,132 $</c:v>
                  </c:pt>
                </c:lvl>
                <c:lvl>
                  <c:pt idx="0">
                    <c:v>1,005,418 $</c:v>
                  </c:pt>
                  <c:pt idx="1">
                    <c:v>4,171,438 $</c:v>
                  </c:pt>
                </c:lvl>
                <c:lvl>
                  <c:pt idx="0">
                    <c:v>836,768 $</c:v>
                  </c:pt>
                  <c:pt idx="1">
                    <c:v>3,454,474 $</c:v>
                  </c:pt>
                </c:lvl>
                <c:lvl>
                  <c:pt idx="0">
                    <c:v>831,646 $</c:v>
                  </c:pt>
                  <c:pt idx="1">
                    <c:v>3,452,858 $</c:v>
                  </c:pt>
                </c:lvl>
                <c:lvl>
                  <c:pt idx="0">
                    <c:v>953,193 $</c:v>
                  </c:pt>
                  <c:pt idx="1">
                    <c:v>3,516,704 $</c:v>
                  </c:pt>
                </c:lvl>
              </c:multiLvlStrCache>
            </c:multiLvlStrRef>
          </c:cat>
          <c:val>
            <c:numRef>
              <c:f>Résultats!$O$137</c:f>
            </c:numRef>
          </c:val>
          <c:extLst xmlns:c15="http://schemas.microsoft.com/office/drawing/2012/chart">
            <c:ext xmlns:c16="http://schemas.microsoft.com/office/drawing/2014/chart" uri="{C3380CC4-5D6E-409C-BE32-E72D297353CC}">
              <c16:uniqueId val="{00000007-5572-4F1A-80A1-46046BEEB9C6}"/>
            </c:ext>
          </c:extLst>
        </c:ser>
        <c:ser>
          <c:idx val="8"/>
          <c:order val="8"/>
          <c:tx>
            <c:strRef>
              <c:f>'Saisie des données'!$K$76:$L$76</c:f>
              <c:strCache>
                <c:ptCount val="2"/>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multiLvlStrRef>
              <c:f>Résultats!$E$138:$M$142</c:f>
              <c:multiLvlStrCache>
                <c:ptCount val="2"/>
                <c:lvl>
                  <c:pt idx="0">
                    <c:v>1,162,398 $</c:v>
                  </c:pt>
                  <c:pt idx="1">
                    <c:v>4,820,132 $</c:v>
                  </c:pt>
                </c:lvl>
                <c:lvl>
                  <c:pt idx="0">
                    <c:v>1,005,418 $</c:v>
                  </c:pt>
                  <c:pt idx="1">
                    <c:v>4,171,438 $</c:v>
                  </c:pt>
                </c:lvl>
                <c:lvl>
                  <c:pt idx="0">
                    <c:v>836,768 $</c:v>
                  </c:pt>
                  <c:pt idx="1">
                    <c:v>3,454,474 $</c:v>
                  </c:pt>
                </c:lvl>
                <c:lvl>
                  <c:pt idx="0">
                    <c:v>831,646 $</c:v>
                  </c:pt>
                  <c:pt idx="1">
                    <c:v>3,452,858 $</c:v>
                  </c:pt>
                </c:lvl>
                <c:lvl>
                  <c:pt idx="0">
                    <c:v>953,193 $</c:v>
                  </c:pt>
                  <c:pt idx="1">
                    <c:v>3,516,704 $</c:v>
                  </c:pt>
                </c:lvl>
              </c:multiLvlStrCache>
            </c:multiLvlStrRef>
          </c:cat>
          <c:val>
            <c:numRef>
              <c:f>Résultats!$M$137</c:f>
              <c:numCache>
                <c:formatCode>#,##0" $"</c:formatCode>
                <c:ptCount val="1"/>
                <c:pt idx="0">
                  <c:v>0</c:v>
                </c:pt>
              </c:numCache>
            </c:numRef>
          </c:val>
          <c:extLst>
            <c:ext xmlns:c16="http://schemas.microsoft.com/office/drawing/2014/chart" uri="{C3380CC4-5D6E-409C-BE32-E72D297353CC}">
              <c16:uniqueId val="{00000008-5572-4F1A-80A1-46046BEEB9C6}"/>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CH"/>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CH"/>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200" b="1"/>
              <a:t>Coût du vaccin/des mAb</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col"/>
        <c:grouping val="clustered"/>
        <c:varyColors val="0"/>
        <c:ser>
          <c:idx val="0"/>
          <c:order val="0"/>
          <c:tx>
            <c:strRef>
              <c:f>Résultats!$E$10:$E$11</c:f>
              <c:strCache>
                <c:ptCount val="2"/>
                <c:pt idx="0">
                  <c:v>Scénario A : vaccin maternel</c:v>
                </c:pt>
                <c:pt idx="1">
                  <c:v>Abrysvo, Pfizer</c:v>
                </c:pt>
              </c:strCache>
            </c:strRef>
          </c:tx>
          <c:spPr>
            <a:solidFill>
              <a:schemeClr val="accent1"/>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Résultats!$E$109:$E$113</c:f>
              <c:numCache>
                <c:formatCode>#,##0" $"</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1E23-46A8-AB60-3960902D2401}"/>
            </c:ext>
          </c:extLst>
        </c:ser>
        <c:ser>
          <c:idx val="1"/>
          <c:order val="1"/>
          <c:tx>
            <c:strRef>
              <c:f>Résultats!$F$10:$F$11</c:f>
              <c:strCache>
                <c:ptCount val="2"/>
                <c:pt idx="0">
                  <c:v>Scénario A : vaccin maternel</c:v>
                </c:pt>
                <c:pt idx="1">
                  <c:v>Aucun</c:v>
                </c:pt>
              </c:strCache>
            </c:strRef>
          </c:tx>
          <c:spPr>
            <a:solidFill>
              <a:schemeClr val="accent2"/>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Résultats!$F$109:$F$113</c:f>
            </c:numRef>
          </c:val>
          <c:extLst>
            <c:ext xmlns:c16="http://schemas.microsoft.com/office/drawing/2014/chart" uri="{C3380CC4-5D6E-409C-BE32-E72D297353CC}">
              <c16:uniqueId val="{00000001-1E23-46A8-AB60-3960902D2401}"/>
            </c:ext>
          </c:extLst>
        </c:ser>
        <c:ser>
          <c:idx val="2"/>
          <c:order val="2"/>
          <c:tx>
            <c:strRef>
              <c:f>Résultats!$G$10:$G$11</c:f>
              <c:strCache>
                <c:ptCount val="2"/>
                <c:pt idx="0">
                  <c:v>Scénario A : vaccin maternel</c:v>
                </c:pt>
                <c:pt idx="1">
                  <c:v>Aucun</c:v>
                </c:pt>
              </c:strCache>
            </c:strRef>
          </c:tx>
          <c:spPr>
            <a:solidFill>
              <a:schemeClr val="accent3"/>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Résultats!$G$109:$G$113</c:f>
            </c:numRef>
          </c:val>
          <c:extLst>
            <c:ext xmlns:c16="http://schemas.microsoft.com/office/drawing/2014/chart" uri="{C3380CC4-5D6E-409C-BE32-E72D297353CC}">
              <c16:uniqueId val="{00000002-1E23-46A8-AB60-3960902D2401}"/>
            </c:ext>
          </c:extLst>
        </c:ser>
        <c:ser>
          <c:idx val="3"/>
          <c:order val="3"/>
          <c:tx>
            <c:strRef>
              <c:f>Résultats!$I$10:$I$11</c:f>
              <c:strCache>
                <c:ptCount val="2"/>
                <c:pt idx="0">
                  <c:v>Scénario B : mAb</c:v>
                </c:pt>
                <c:pt idx="1">
                  <c:v>Nirsevimab, AstraZeneca</c:v>
                </c:pt>
              </c:strCache>
            </c:strRef>
          </c:tx>
          <c:spPr>
            <a:solidFill>
              <a:schemeClr val="accent4"/>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Résultats!$I$109:$I$113</c:f>
              <c:numCache>
                <c:formatCode>#,##0" $"</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1E23-46A8-AB60-3960902D2401}"/>
            </c:ext>
          </c:extLst>
        </c:ser>
        <c:ser>
          <c:idx val="4"/>
          <c:order val="4"/>
          <c:tx>
            <c:strRef>
              <c:f>Résultats!$J$10:$J$11</c:f>
              <c:strCache>
                <c:ptCount val="2"/>
                <c:pt idx="0">
                  <c:v>Scénario B : mAb</c:v>
                </c:pt>
                <c:pt idx="1">
                  <c:v>Aucun</c:v>
                </c:pt>
              </c:strCache>
            </c:strRef>
          </c:tx>
          <c:spPr>
            <a:solidFill>
              <a:schemeClr val="accent5"/>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Résultats!$J$109:$J$113</c:f>
            </c:numRef>
          </c:val>
          <c:extLst>
            <c:ext xmlns:c16="http://schemas.microsoft.com/office/drawing/2014/chart" uri="{C3380CC4-5D6E-409C-BE32-E72D297353CC}">
              <c16:uniqueId val="{00000004-1E23-46A8-AB60-3960902D2401}"/>
            </c:ext>
          </c:extLst>
        </c:ser>
        <c:ser>
          <c:idx val="5"/>
          <c:order val="5"/>
          <c:tx>
            <c:strRef>
              <c:f>Résultats!$K$10:$K$11</c:f>
              <c:strCache>
                <c:ptCount val="2"/>
                <c:pt idx="0">
                  <c:v>Scénario B : mAb</c:v>
                </c:pt>
                <c:pt idx="1">
                  <c:v>Aucun</c:v>
                </c:pt>
              </c:strCache>
            </c:strRef>
          </c:tx>
          <c:spPr>
            <a:solidFill>
              <a:schemeClr val="accent6"/>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Résultats!$K$109:$K$113</c:f>
            </c:numRef>
          </c:val>
          <c:extLst>
            <c:ext xmlns:c16="http://schemas.microsoft.com/office/drawing/2014/chart" uri="{C3380CC4-5D6E-409C-BE32-E72D297353CC}">
              <c16:uniqueId val="{00000005-1E23-46A8-AB60-3960902D2401}"/>
            </c:ext>
          </c:extLst>
        </c:ser>
        <c:ser>
          <c:idx val="6"/>
          <c:order val="6"/>
          <c:tx>
            <c:strRef>
              <c:f>Résultats!$M$10:$M$11</c:f>
              <c:strCache>
                <c:ptCount val="2"/>
                <c:pt idx="0">
                  <c:v>Scénario C : vaccin maternel et mAb</c:v>
                </c:pt>
                <c:pt idx="1">
                  <c:v>les deux, total</c:v>
                </c:pt>
              </c:strCache>
            </c:strRef>
          </c:tx>
          <c:spPr>
            <a:solidFill>
              <a:schemeClr val="accent1">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Résultats!$M$109:$M$113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6-1E23-46A8-AB60-3960902D2401}"/>
            </c:ext>
          </c:extLst>
        </c:ser>
        <c:dLbls>
          <c:showLegendKey val="0"/>
          <c:showVal val="0"/>
          <c:showCatName val="0"/>
          <c:showSerName val="0"/>
          <c:showPercent val="0"/>
          <c:showBubbleSize val="0"/>
        </c:dLbls>
        <c:gapWidth val="219"/>
        <c:overlap val="-27"/>
        <c:axId val="749296128"/>
        <c:axId val="749293728"/>
      </c:barChart>
      <c:catAx>
        <c:axId val="749296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93728"/>
        <c:crosses val="autoZero"/>
        <c:auto val="1"/>
        <c:lblAlgn val="ctr"/>
        <c:lblOffset val="100"/>
        <c:noMultiLvlLbl val="0"/>
      </c:catAx>
      <c:valAx>
        <c:axId val="749293728"/>
        <c:scaling>
          <c:orientation val="minMax"/>
        </c:scaling>
        <c:delete val="0"/>
        <c:axPos val="l"/>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96128"/>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100" b="1"/>
              <a:t>Coût du programme d’immunisation</a:t>
            </a:r>
          </a:p>
          <a:p>
            <a:pPr>
              <a:defRPr sz="1100" b="1"/>
            </a:pPr>
            <a:r>
              <a:rPr lang="fr-FR" sz="1100" b="1"/>
              <a:t>Coût du vaccin/des mAb + coûts supplémentaires du système de santé</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col"/>
        <c:grouping val="clustered"/>
        <c:varyColors val="0"/>
        <c:ser>
          <c:idx val="0"/>
          <c:order val="0"/>
          <c:tx>
            <c:strRef>
              <c:f>Résultats!$E$10:$E$11</c:f>
              <c:strCache>
                <c:ptCount val="2"/>
                <c:pt idx="0">
                  <c:v>Scénario A : vaccin maternel</c:v>
                </c:pt>
                <c:pt idx="1">
                  <c:v>Abrysvo, Pfizer</c:v>
                </c:pt>
              </c:strCache>
            </c:strRef>
          </c:tx>
          <c:spPr>
            <a:solidFill>
              <a:schemeClr val="accent1"/>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Résultats!$E$118:$E$122</c:f>
              <c:numCache>
                <c:formatCode>#,##0" $"</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59FB-4361-8807-8BFD14F4DB86}"/>
            </c:ext>
          </c:extLst>
        </c:ser>
        <c:ser>
          <c:idx val="1"/>
          <c:order val="1"/>
          <c:tx>
            <c:strRef>
              <c:f>Résultats!$F$10:$F$11</c:f>
              <c:strCache>
                <c:ptCount val="2"/>
                <c:pt idx="0">
                  <c:v>Scénario A : vaccin maternel</c:v>
                </c:pt>
                <c:pt idx="1">
                  <c:v>Aucun</c:v>
                </c:pt>
              </c:strCache>
            </c:strRef>
          </c:tx>
          <c:spPr>
            <a:solidFill>
              <a:schemeClr val="accent2"/>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Résultats!$F$118:$F$122</c:f>
            </c:numRef>
          </c:val>
          <c:extLst>
            <c:ext xmlns:c16="http://schemas.microsoft.com/office/drawing/2014/chart" uri="{C3380CC4-5D6E-409C-BE32-E72D297353CC}">
              <c16:uniqueId val="{00000001-59FB-4361-8807-8BFD14F4DB86}"/>
            </c:ext>
          </c:extLst>
        </c:ser>
        <c:ser>
          <c:idx val="2"/>
          <c:order val="2"/>
          <c:tx>
            <c:strRef>
              <c:f>Résultats!$G$10:$G$11</c:f>
              <c:strCache>
                <c:ptCount val="2"/>
                <c:pt idx="0">
                  <c:v>Scénario A : vaccin maternel</c:v>
                </c:pt>
                <c:pt idx="1">
                  <c:v>Aucun</c:v>
                </c:pt>
              </c:strCache>
            </c:strRef>
          </c:tx>
          <c:spPr>
            <a:solidFill>
              <a:schemeClr val="accent3"/>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Résultats!$G$118:$G$122</c:f>
            </c:numRef>
          </c:val>
          <c:extLst>
            <c:ext xmlns:c16="http://schemas.microsoft.com/office/drawing/2014/chart" uri="{C3380CC4-5D6E-409C-BE32-E72D297353CC}">
              <c16:uniqueId val="{00000002-59FB-4361-8807-8BFD14F4DB86}"/>
            </c:ext>
          </c:extLst>
        </c:ser>
        <c:ser>
          <c:idx val="3"/>
          <c:order val="3"/>
          <c:tx>
            <c:strRef>
              <c:f>Résultats!$I$10:$I$11</c:f>
              <c:strCache>
                <c:ptCount val="2"/>
                <c:pt idx="0">
                  <c:v>Scénario B : mAb</c:v>
                </c:pt>
                <c:pt idx="1">
                  <c:v>Nirsevimab, AstraZeneca</c:v>
                </c:pt>
              </c:strCache>
            </c:strRef>
          </c:tx>
          <c:spPr>
            <a:solidFill>
              <a:schemeClr val="accent4"/>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Résultats!$I$118:$I$122</c:f>
              <c:numCache>
                <c:formatCode>#,##0" $"</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59FB-4361-8807-8BFD14F4DB86}"/>
            </c:ext>
          </c:extLst>
        </c:ser>
        <c:ser>
          <c:idx val="4"/>
          <c:order val="4"/>
          <c:tx>
            <c:strRef>
              <c:f>Résultats!$J$10:$J$11</c:f>
              <c:strCache>
                <c:ptCount val="2"/>
                <c:pt idx="0">
                  <c:v>Scénario B : mAb</c:v>
                </c:pt>
                <c:pt idx="1">
                  <c:v>Aucun</c:v>
                </c:pt>
              </c:strCache>
            </c:strRef>
          </c:tx>
          <c:spPr>
            <a:solidFill>
              <a:schemeClr val="accent5"/>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Résultats!$J$118:$J$122</c:f>
            </c:numRef>
          </c:val>
          <c:extLst>
            <c:ext xmlns:c16="http://schemas.microsoft.com/office/drawing/2014/chart" uri="{C3380CC4-5D6E-409C-BE32-E72D297353CC}">
              <c16:uniqueId val="{00000004-59FB-4361-8807-8BFD14F4DB86}"/>
            </c:ext>
          </c:extLst>
        </c:ser>
        <c:ser>
          <c:idx val="5"/>
          <c:order val="5"/>
          <c:tx>
            <c:strRef>
              <c:f>Résultats!$K$10:$K$11</c:f>
              <c:strCache>
                <c:ptCount val="2"/>
                <c:pt idx="0">
                  <c:v>Scénario B : mAb</c:v>
                </c:pt>
                <c:pt idx="1">
                  <c:v>Aucun</c:v>
                </c:pt>
              </c:strCache>
            </c:strRef>
          </c:tx>
          <c:spPr>
            <a:solidFill>
              <a:schemeClr val="accent6"/>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Résultats!$K$118:$K$122</c:f>
            </c:numRef>
          </c:val>
          <c:extLst>
            <c:ext xmlns:c16="http://schemas.microsoft.com/office/drawing/2014/chart" uri="{C3380CC4-5D6E-409C-BE32-E72D297353CC}">
              <c16:uniqueId val="{00000005-59FB-4361-8807-8BFD14F4DB86}"/>
            </c:ext>
          </c:extLst>
        </c:ser>
        <c:ser>
          <c:idx val="6"/>
          <c:order val="6"/>
          <c:tx>
            <c:strRef>
              <c:f>Résultats!$M$10:$M$11</c:f>
              <c:strCache>
                <c:ptCount val="2"/>
                <c:pt idx="0">
                  <c:v>Scénario C : vaccin maternel et mAb</c:v>
                </c:pt>
                <c:pt idx="1">
                  <c:v>les deux, total</c:v>
                </c:pt>
              </c:strCache>
            </c:strRef>
          </c:tx>
          <c:spPr>
            <a:solidFill>
              <a:schemeClr val="accent1">
                <a:lumMod val="60000"/>
              </a:schemeClr>
            </a:solidFill>
            <a:ln>
              <a:noFill/>
            </a:ln>
            <a:effectLst/>
          </c:spPr>
          <c:invertIfNegative val="0"/>
          <c:cat>
            <c:numRef>
              <c:f>Résultats!$D$118:$D$122</c:f>
              <c:numCache>
                <c:formatCode>General</c:formatCode>
                <c:ptCount val="5"/>
                <c:pt idx="0">
                  <c:v>2025</c:v>
                </c:pt>
                <c:pt idx="1">
                  <c:v>2026</c:v>
                </c:pt>
                <c:pt idx="2">
                  <c:v>2027</c:v>
                </c:pt>
                <c:pt idx="3">
                  <c:v>2028</c:v>
                </c:pt>
                <c:pt idx="4">
                  <c:v>2029</c:v>
                </c:pt>
              </c:numCache>
            </c:numRef>
          </c:cat>
          <c:val>
            <c:numRef>
              <c:f>Résultats!$M$118:$M$122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6-59FB-4361-8807-8BFD14F4DB86}"/>
            </c:ext>
          </c:extLst>
        </c:ser>
        <c:dLbls>
          <c:showLegendKey val="0"/>
          <c:showVal val="0"/>
          <c:showCatName val="0"/>
          <c:showSerName val="0"/>
          <c:showPercent val="0"/>
          <c:showBubbleSize val="0"/>
        </c:dLbls>
        <c:gapWidth val="219"/>
        <c:overlap val="-27"/>
        <c:axId val="1110724400"/>
        <c:axId val="1110734960"/>
      </c:barChart>
      <c:catAx>
        <c:axId val="111072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0734960"/>
        <c:crosses val="autoZero"/>
        <c:auto val="1"/>
        <c:lblAlgn val="ctr"/>
        <c:lblOffset val="100"/>
        <c:noMultiLvlLbl val="0"/>
      </c:catAx>
      <c:valAx>
        <c:axId val="1110734960"/>
        <c:scaling>
          <c:orientation val="minMax"/>
        </c:scaling>
        <c:delete val="0"/>
        <c:axPos val="l"/>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0724400"/>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200" b="1"/>
              <a:t>Coût du vaccin/des mAb</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bar"/>
        <c:grouping val="stacked"/>
        <c:varyColors val="0"/>
        <c:ser>
          <c:idx val="0"/>
          <c:order val="0"/>
          <c:spPr>
            <a:solidFill>
              <a:schemeClr val="accent1"/>
            </a:solidFill>
            <a:ln>
              <a:noFill/>
            </a:ln>
            <a:effectLst/>
          </c:spPr>
          <c:invertIfNegative val="0"/>
          <c:cat>
            <c:multiLvlStrRef>
              <c:f>Résultats!$E$8:$O$9</c:f>
              <c:multiLvlStrCache>
                <c:ptCount val="3"/>
                <c:lvl>
                  <c:pt idx="0">
                    <c:v>Abrysvo, Pfizer</c:v>
                  </c:pt>
                  <c:pt idx="1">
                    <c:v>Nirsevimab, AstraZeneca</c:v>
                  </c:pt>
                  <c:pt idx="2">
                    <c:v>les deux, total</c:v>
                  </c:pt>
                </c:lvl>
                <c:lvl>
                  <c:pt idx="0">
                    <c:v>Scénario A : 
vaccin maternel</c:v>
                  </c:pt>
                  <c:pt idx="1">
                    <c:v>Scénario B : 
mAb</c:v>
                  </c:pt>
                  <c:pt idx="2">
                    <c:v>Scénario C : 
vaccin maternel et mAb</c:v>
                  </c:pt>
                </c:lvl>
              </c:multiLvlStrCache>
            </c:multiLvlStrRef>
          </c:cat>
          <c:val>
            <c:numRef>
              <c:f>Résultats!$E$128:$M$128</c:f>
              <c:numCache>
                <c:formatCode>#,##0" $"</c:formatCode>
                <c:ptCount val="3"/>
                <c:pt idx="0">
                  <c:v>3581419.6205880558</c:v>
                </c:pt>
                <c:pt idx="1">
                  <c:v>18391904.677310001</c:v>
                </c:pt>
                <c:pt idx="2">
                  <c:v>0</c:v>
                </c:pt>
              </c:numCache>
            </c:numRef>
          </c:val>
          <c:extLst>
            <c:ext xmlns:c16="http://schemas.microsoft.com/office/drawing/2014/chart" uri="{C3380CC4-5D6E-409C-BE32-E72D297353CC}">
              <c16:uniqueId val="{00000000-0953-44BC-A829-823725498DAA}"/>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88448"/>
        <c:crosses val="autoZero"/>
        <c:auto val="1"/>
        <c:lblAlgn val="ctr"/>
        <c:lblOffset val="100"/>
        <c:noMultiLvlLbl val="0"/>
      </c:catAx>
      <c:valAx>
        <c:axId val="749288448"/>
        <c:scaling>
          <c:orientation val="minMax"/>
        </c:scaling>
        <c:delete val="0"/>
        <c:axPos val="b"/>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749278848"/>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100" b="1"/>
              <a:t>Coût du programme d’immunisation</a:t>
            </a:r>
          </a:p>
          <a:p>
            <a:pPr>
              <a:defRPr sz="1100" b="1"/>
            </a:pPr>
            <a:r>
              <a:rPr lang="fr-FR" sz="1100" b="1"/>
              <a:t>Coût du vaccin/des mAb + coûts supplémentaires du système de santé</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Résultats!$E$8:$O$9</c:f>
              <c:multiLvlStrCache>
                <c:ptCount val="3"/>
                <c:lvl>
                  <c:pt idx="0">
                    <c:v>Abrysvo, Pfizer</c:v>
                  </c:pt>
                  <c:pt idx="1">
                    <c:v>Nirsevimab, AstraZeneca</c:v>
                  </c:pt>
                  <c:pt idx="2">
                    <c:v>les deux, total</c:v>
                  </c:pt>
                </c:lvl>
                <c:lvl>
                  <c:pt idx="0">
                    <c:v>Scénario A : 
vaccin maternel</c:v>
                  </c:pt>
                  <c:pt idx="1">
                    <c:v>Scénario B : 
mAb</c:v>
                  </c:pt>
                  <c:pt idx="2">
                    <c:v>Scénario C : 
vaccin maternel et mAb</c:v>
                  </c:pt>
                </c:lvl>
              </c:multiLvlStrCache>
            </c:multiLvlStrRef>
          </c:cat>
          <c:val>
            <c:numRef>
              <c:f>Résultats!$E$137:$M$137</c:f>
              <c:numCache>
                <c:formatCode>#,##0" $"</c:formatCode>
                <c:ptCount val="3"/>
                <c:pt idx="0">
                  <c:v>4789422.7762440555</c:v>
                </c:pt>
                <c:pt idx="1">
                  <c:v>19415605.051030599</c:v>
                </c:pt>
                <c:pt idx="2">
                  <c:v>0</c:v>
                </c:pt>
              </c:numCache>
            </c:numRef>
          </c:val>
          <c:extLst>
            <c:ext xmlns:c16="http://schemas.microsoft.com/office/drawing/2014/chart" uri="{C3380CC4-5D6E-409C-BE32-E72D297353CC}">
              <c16:uniqueId val="{00000000-1DBA-497A-8722-E22336373DE2}"/>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7973936"/>
        <c:crosses val="autoZero"/>
        <c:auto val="1"/>
        <c:lblAlgn val="ctr"/>
        <c:lblOffset val="100"/>
        <c:noMultiLvlLbl val="0"/>
      </c:catAx>
      <c:valAx>
        <c:axId val="1117973936"/>
        <c:scaling>
          <c:orientation val="minMax"/>
        </c:scaling>
        <c:delete val="0"/>
        <c:axPos val="b"/>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17979216"/>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200" b="1"/>
              <a:t>Coût du vaccin/des mAb</a:t>
            </a:r>
          </a:p>
        </c:rich>
      </c:tx>
      <c:layout>
        <c:manualLayout>
          <c:xMode val="edge"/>
          <c:yMode val="edge"/>
          <c:x val="0.40087175816309673"/>
          <c:y val="1.9623875715453803E-2"/>
        </c:manualLayout>
      </c:layout>
      <c:overlay val="0"/>
      <c:spPr>
        <a:noFill/>
        <a:ln>
          <a:noFill/>
        </a:ln>
        <a:effectLst/>
      </c:spPr>
      <c:txPr>
        <a:bodyPr rot="0" spcFirstLastPara="1" vertOverflow="ellipsis" vert="horz" wrap="square" anchor="ctr" anchorCtr="1"/>
        <a:lstStyle/>
        <a:p>
          <a:pPr algn="ct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col"/>
        <c:grouping val="clustered"/>
        <c:varyColors val="0"/>
        <c:ser>
          <c:idx val="0"/>
          <c:order val="0"/>
          <c:tx>
            <c:strRef>
              <c:f>Résultats!$E$10:$E$11</c:f>
              <c:strCache>
                <c:ptCount val="2"/>
                <c:pt idx="0">
                  <c:v>Scénario A : vaccin maternel</c:v>
                </c:pt>
                <c:pt idx="1">
                  <c:v>Abrysvo, Pfizer</c:v>
                </c:pt>
              </c:strCache>
            </c:strRef>
          </c:tx>
          <c:spPr>
            <a:solidFill>
              <a:schemeClr val="accent1"/>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Résultats!$E$129:$E$133</c:f>
              <c:numCache>
                <c:formatCode>#,##0" $"</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B9B2-40EE-9B93-E5C1E15CC92B}"/>
            </c:ext>
          </c:extLst>
        </c:ser>
        <c:ser>
          <c:idx val="1"/>
          <c:order val="1"/>
          <c:tx>
            <c:strRef>
              <c:f>Résultats!$F$10:$F$11</c:f>
              <c:strCache>
                <c:ptCount val="2"/>
                <c:pt idx="0">
                  <c:v>Scénario A : vaccin maternel</c:v>
                </c:pt>
                <c:pt idx="1">
                  <c:v>Aucun</c:v>
                </c:pt>
              </c:strCache>
            </c:strRef>
          </c:tx>
          <c:spPr>
            <a:solidFill>
              <a:schemeClr val="accent2"/>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Résultats!$F$129:$F$133</c:f>
            </c:numRef>
          </c:val>
          <c:extLst>
            <c:ext xmlns:c16="http://schemas.microsoft.com/office/drawing/2014/chart" uri="{C3380CC4-5D6E-409C-BE32-E72D297353CC}">
              <c16:uniqueId val="{00000001-B9B2-40EE-9B93-E5C1E15CC92B}"/>
            </c:ext>
          </c:extLst>
        </c:ser>
        <c:ser>
          <c:idx val="2"/>
          <c:order val="2"/>
          <c:tx>
            <c:strRef>
              <c:f>Résultats!$G$10:$G$11</c:f>
              <c:strCache>
                <c:ptCount val="2"/>
                <c:pt idx="0">
                  <c:v>Scénario A : vaccin maternel</c:v>
                </c:pt>
                <c:pt idx="1">
                  <c:v>Aucun</c:v>
                </c:pt>
              </c:strCache>
            </c:strRef>
          </c:tx>
          <c:spPr>
            <a:solidFill>
              <a:schemeClr val="accent3"/>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Résultats!$G$129:$G$133</c:f>
            </c:numRef>
          </c:val>
          <c:extLst>
            <c:ext xmlns:c16="http://schemas.microsoft.com/office/drawing/2014/chart" uri="{C3380CC4-5D6E-409C-BE32-E72D297353CC}">
              <c16:uniqueId val="{00000002-B9B2-40EE-9B93-E5C1E15CC92B}"/>
            </c:ext>
          </c:extLst>
        </c:ser>
        <c:ser>
          <c:idx val="3"/>
          <c:order val="3"/>
          <c:tx>
            <c:strRef>
              <c:f>Résultats!$I$10:$I$11</c:f>
              <c:strCache>
                <c:ptCount val="2"/>
                <c:pt idx="0">
                  <c:v>Scénario B : mAb</c:v>
                </c:pt>
                <c:pt idx="1">
                  <c:v>Nirsevimab, AstraZeneca</c:v>
                </c:pt>
              </c:strCache>
            </c:strRef>
          </c:tx>
          <c:spPr>
            <a:solidFill>
              <a:schemeClr val="accent4"/>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Résultats!$I$129:$I$133</c:f>
              <c:numCache>
                <c:formatCode>#,##0" $"</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B9B2-40EE-9B93-E5C1E15CC92B}"/>
            </c:ext>
          </c:extLst>
        </c:ser>
        <c:ser>
          <c:idx val="4"/>
          <c:order val="4"/>
          <c:tx>
            <c:strRef>
              <c:f>Résultats!$J$10:$J$11</c:f>
              <c:strCache>
                <c:ptCount val="2"/>
                <c:pt idx="0">
                  <c:v>Scénario B : mAb</c:v>
                </c:pt>
                <c:pt idx="1">
                  <c:v>Aucun</c:v>
                </c:pt>
              </c:strCache>
            </c:strRef>
          </c:tx>
          <c:spPr>
            <a:solidFill>
              <a:schemeClr val="accent5"/>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Résultats!$J$129:$J$133</c:f>
            </c:numRef>
          </c:val>
          <c:extLst>
            <c:ext xmlns:c16="http://schemas.microsoft.com/office/drawing/2014/chart" uri="{C3380CC4-5D6E-409C-BE32-E72D297353CC}">
              <c16:uniqueId val="{00000004-B9B2-40EE-9B93-E5C1E15CC92B}"/>
            </c:ext>
          </c:extLst>
        </c:ser>
        <c:ser>
          <c:idx val="5"/>
          <c:order val="5"/>
          <c:tx>
            <c:strRef>
              <c:f>Résultats!$K$10:$K$11</c:f>
              <c:strCache>
                <c:ptCount val="2"/>
                <c:pt idx="0">
                  <c:v>Scénario B : mAb</c:v>
                </c:pt>
                <c:pt idx="1">
                  <c:v>Aucun</c:v>
                </c:pt>
              </c:strCache>
            </c:strRef>
          </c:tx>
          <c:spPr>
            <a:solidFill>
              <a:schemeClr val="accent6"/>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Résultats!$K$129:$K$133</c:f>
            </c:numRef>
          </c:val>
          <c:extLst>
            <c:ext xmlns:c16="http://schemas.microsoft.com/office/drawing/2014/chart" uri="{C3380CC4-5D6E-409C-BE32-E72D297353CC}">
              <c16:uniqueId val="{00000005-B9B2-40EE-9B93-E5C1E15CC92B}"/>
            </c:ext>
          </c:extLst>
        </c:ser>
        <c:ser>
          <c:idx val="6"/>
          <c:order val="6"/>
          <c:tx>
            <c:strRef>
              <c:f>Résultats!$M$10:$M$11</c:f>
              <c:strCache>
                <c:ptCount val="2"/>
                <c:pt idx="0">
                  <c:v>Scénario C : vaccin maternel et mAb</c:v>
                </c:pt>
                <c:pt idx="1">
                  <c:v>les deux, total</c:v>
                </c:pt>
              </c:strCache>
            </c:strRef>
          </c:tx>
          <c:spPr>
            <a:solidFill>
              <a:schemeClr val="accent1">
                <a:lumMod val="60000"/>
              </a:schemeClr>
            </a:solidFill>
            <a:ln>
              <a:noFill/>
            </a:ln>
            <a:effectLst/>
          </c:spPr>
          <c:invertIfNegative val="0"/>
          <c:cat>
            <c:numRef>
              <c:f>Résultats!$D$129:$D$133</c:f>
              <c:numCache>
                <c:formatCode>General</c:formatCode>
                <c:ptCount val="5"/>
                <c:pt idx="0">
                  <c:v>2025</c:v>
                </c:pt>
                <c:pt idx="1">
                  <c:v>2026</c:v>
                </c:pt>
                <c:pt idx="2">
                  <c:v>2027</c:v>
                </c:pt>
                <c:pt idx="3">
                  <c:v>2028</c:v>
                </c:pt>
                <c:pt idx="4">
                  <c:v>2029</c:v>
                </c:pt>
              </c:numCache>
            </c:numRef>
          </c:cat>
          <c:val>
            <c:numRef>
              <c:f>Résultats!$M$129:$M$133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6-B9B2-40EE-9B93-E5C1E15CC92B}"/>
            </c:ext>
          </c:extLst>
        </c:ser>
        <c:dLbls>
          <c:showLegendKey val="0"/>
          <c:showVal val="0"/>
          <c:showCatName val="0"/>
          <c:showSerName val="0"/>
          <c:showPercent val="0"/>
          <c:showBubbleSize val="0"/>
        </c:dLbls>
        <c:gapWidth val="219"/>
        <c:overlap val="-27"/>
        <c:axId val="1147657952"/>
        <c:axId val="1147677632"/>
      </c:barChart>
      <c:catAx>
        <c:axId val="114765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47677632"/>
        <c:crosses val="autoZero"/>
        <c:auto val="1"/>
        <c:lblAlgn val="ctr"/>
        <c:lblOffset val="100"/>
        <c:noMultiLvlLbl val="0"/>
      </c:catAx>
      <c:valAx>
        <c:axId val="1147677632"/>
        <c:scaling>
          <c:orientation val="minMax"/>
        </c:scaling>
        <c:delete val="0"/>
        <c:axPos val="l"/>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147657952"/>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fr-FR" sz="1100" b="1"/>
              <a:t>Coût du programme d’immunisation</a:t>
            </a:r>
          </a:p>
          <a:p>
            <a:pPr>
              <a:defRPr sz="1100" b="1"/>
            </a:pPr>
            <a:r>
              <a:rPr lang="fr-FR" sz="1100" b="1"/>
              <a:t>Coût du vaccin/des mAb + coûts supplémentaires du système de santé</a:t>
            </a:r>
          </a:p>
        </c:rich>
      </c:tx>
      <c:layout>
        <c:manualLayout>
          <c:xMode val="edge"/>
          <c:yMode val="edge"/>
          <c:x val="0.29773616171460876"/>
          <c:y val="2.5457438345266509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CH"/>
        </a:p>
      </c:txPr>
    </c:title>
    <c:autoTitleDeleted val="0"/>
    <c:plotArea>
      <c:layout/>
      <c:barChart>
        <c:barDir val="col"/>
        <c:grouping val="clustered"/>
        <c:varyColors val="0"/>
        <c:ser>
          <c:idx val="0"/>
          <c:order val="0"/>
          <c:tx>
            <c:strRef>
              <c:f>Résultats!$E$10:$E$11</c:f>
              <c:strCache>
                <c:ptCount val="2"/>
                <c:pt idx="0">
                  <c:v>Scénario A : vaccin maternel</c:v>
                </c:pt>
                <c:pt idx="1">
                  <c:v>Abrysvo, Pfizer</c:v>
                </c:pt>
              </c:strCache>
            </c:strRef>
          </c:tx>
          <c:spPr>
            <a:solidFill>
              <a:schemeClr val="accent1"/>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Résultats!$E$138:$E$142</c:f>
              <c:numCache>
                <c:formatCode>#,##0" $"</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6EFB-438D-A460-188DB5238737}"/>
            </c:ext>
          </c:extLst>
        </c:ser>
        <c:ser>
          <c:idx val="1"/>
          <c:order val="1"/>
          <c:tx>
            <c:strRef>
              <c:f>Résultats!$F$10:$F$11</c:f>
              <c:strCache>
                <c:ptCount val="2"/>
                <c:pt idx="0">
                  <c:v>Scénario A : vaccin maternel</c:v>
                </c:pt>
                <c:pt idx="1">
                  <c:v>Aucun</c:v>
                </c:pt>
              </c:strCache>
            </c:strRef>
          </c:tx>
          <c:spPr>
            <a:solidFill>
              <a:schemeClr val="accent2"/>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Résultats!$F$138:$F$142</c:f>
            </c:numRef>
          </c:val>
          <c:extLst>
            <c:ext xmlns:c16="http://schemas.microsoft.com/office/drawing/2014/chart" uri="{C3380CC4-5D6E-409C-BE32-E72D297353CC}">
              <c16:uniqueId val="{00000001-6EFB-438D-A460-188DB5238737}"/>
            </c:ext>
          </c:extLst>
        </c:ser>
        <c:ser>
          <c:idx val="2"/>
          <c:order val="2"/>
          <c:tx>
            <c:strRef>
              <c:f>Résultats!$G$10:$G$11</c:f>
              <c:strCache>
                <c:ptCount val="2"/>
                <c:pt idx="0">
                  <c:v>Scénario A : vaccin maternel</c:v>
                </c:pt>
                <c:pt idx="1">
                  <c:v>Aucun</c:v>
                </c:pt>
              </c:strCache>
            </c:strRef>
          </c:tx>
          <c:spPr>
            <a:solidFill>
              <a:schemeClr val="accent3"/>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Résultats!$G$138:$G$142</c:f>
            </c:numRef>
          </c:val>
          <c:extLst>
            <c:ext xmlns:c16="http://schemas.microsoft.com/office/drawing/2014/chart" uri="{C3380CC4-5D6E-409C-BE32-E72D297353CC}">
              <c16:uniqueId val="{00000002-6EFB-438D-A460-188DB5238737}"/>
            </c:ext>
          </c:extLst>
        </c:ser>
        <c:ser>
          <c:idx val="3"/>
          <c:order val="3"/>
          <c:tx>
            <c:strRef>
              <c:f>Résultats!$I$10:$I$11</c:f>
              <c:strCache>
                <c:ptCount val="2"/>
                <c:pt idx="0">
                  <c:v>Scénario B : mAb</c:v>
                </c:pt>
                <c:pt idx="1">
                  <c:v>Nirsevimab, AstraZeneca</c:v>
                </c:pt>
              </c:strCache>
            </c:strRef>
          </c:tx>
          <c:spPr>
            <a:solidFill>
              <a:schemeClr val="accent4"/>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Résultats!$I$138:$I$142</c:f>
              <c:numCache>
                <c:formatCode>#,##0" $"</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6EFB-438D-A460-188DB5238737}"/>
            </c:ext>
          </c:extLst>
        </c:ser>
        <c:ser>
          <c:idx val="4"/>
          <c:order val="4"/>
          <c:tx>
            <c:strRef>
              <c:f>Résultats!$J$10:$J$11</c:f>
              <c:strCache>
                <c:ptCount val="2"/>
                <c:pt idx="0">
                  <c:v>Scénario B : mAb</c:v>
                </c:pt>
                <c:pt idx="1">
                  <c:v>Aucun</c:v>
                </c:pt>
              </c:strCache>
            </c:strRef>
          </c:tx>
          <c:spPr>
            <a:solidFill>
              <a:schemeClr val="accent5"/>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Résultats!$J$138:$J$142</c:f>
            </c:numRef>
          </c:val>
          <c:extLst>
            <c:ext xmlns:c16="http://schemas.microsoft.com/office/drawing/2014/chart" uri="{C3380CC4-5D6E-409C-BE32-E72D297353CC}">
              <c16:uniqueId val="{00000004-6EFB-438D-A460-188DB5238737}"/>
            </c:ext>
          </c:extLst>
        </c:ser>
        <c:ser>
          <c:idx val="5"/>
          <c:order val="5"/>
          <c:tx>
            <c:strRef>
              <c:f>Résultats!$K$10:$K$11</c:f>
              <c:strCache>
                <c:ptCount val="2"/>
                <c:pt idx="0">
                  <c:v>Scénario B : mAb</c:v>
                </c:pt>
                <c:pt idx="1">
                  <c:v>Aucun</c:v>
                </c:pt>
              </c:strCache>
            </c:strRef>
          </c:tx>
          <c:spPr>
            <a:solidFill>
              <a:schemeClr val="accent6"/>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Résultats!$K$138:$K$142</c:f>
            </c:numRef>
          </c:val>
          <c:extLst>
            <c:ext xmlns:c16="http://schemas.microsoft.com/office/drawing/2014/chart" uri="{C3380CC4-5D6E-409C-BE32-E72D297353CC}">
              <c16:uniqueId val="{00000005-6EFB-438D-A460-188DB5238737}"/>
            </c:ext>
          </c:extLst>
        </c:ser>
        <c:ser>
          <c:idx val="6"/>
          <c:order val="6"/>
          <c:tx>
            <c:strRef>
              <c:f>Résultats!$M$10:$M$11</c:f>
              <c:strCache>
                <c:ptCount val="2"/>
                <c:pt idx="0">
                  <c:v>Scénario C : vaccin maternel et mAb</c:v>
                </c:pt>
                <c:pt idx="1">
                  <c:v>les deux, total</c:v>
                </c:pt>
              </c:strCache>
            </c:strRef>
          </c:tx>
          <c:spPr>
            <a:solidFill>
              <a:schemeClr val="accent1">
                <a:lumMod val="60000"/>
              </a:schemeClr>
            </a:solidFill>
            <a:ln>
              <a:noFill/>
            </a:ln>
            <a:effectLst/>
          </c:spPr>
          <c:invertIfNegative val="0"/>
          <c:cat>
            <c:numRef>
              <c:f>Résultats!$D$138:$D$142</c:f>
              <c:numCache>
                <c:formatCode>General</c:formatCode>
                <c:ptCount val="5"/>
                <c:pt idx="0">
                  <c:v>2025</c:v>
                </c:pt>
                <c:pt idx="1">
                  <c:v>2026</c:v>
                </c:pt>
                <c:pt idx="2">
                  <c:v>2027</c:v>
                </c:pt>
                <c:pt idx="3">
                  <c:v>2028</c:v>
                </c:pt>
                <c:pt idx="4">
                  <c:v>2029</c:v>
                </c:pt>
              </c:numCache>
            </c:numRef>
          </c:cat>
          <c:val>
            <c:numRef>
              <c:f>Résultats!$M$138:$M$142</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6-6EFB-438D-A460-188DB5238737}"/>
            </c:ext>
          </c:extLst>
        </c:ser>
        <c:dLbls>
          <c:showLegendKey val="0"/>
          <c:showVal val="0"/>
          <c:showCatName val="0"/>
          <c:showSerName val="0"/>
          <c:showPercent val="0"/>
          <c:showBubbleSize val="0"/>
        </c:dLbls>
        <c:gapWidth val="219"/>
        <c:overlap val="-27"/>
        <c:axId val="1328067744"/>
        <c:axId val="1328081664"/>
      </c:barChart>
      <c:catAx>
        <c:axId val="132806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328081664"/>
        <c:crosses val="autoZero"/>
        <c:auto val="1"/>
        <c:lblAlgn val="ctr"/>
        <c:lblOffset val="100"/>
        <c:noMultiLvlLbl val="0"/>
      </c:catAx>
      <c:valAx>
        <c:axId val="1328081664"/>
        <c:scaling>
          <c:orientation val="minMax"/>
        </c:scaling>
        <c:delete val="0"/>
        <c:axPos val="l"/>
        <c:numFmt formatCode="#,##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crossAx val="1328067744"/>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CH"/>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CH"/>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H"/>
        </a:p>
      </c:txPr>
    </c:title>
    <c:autoTitleDeleted val="0"/>
    <c:plotArea>
      <c:layout/>
      <c:barChart>
        <c:barDir val="col"/>
        <c:grouping val="clustered"/>
        <c:varyColors val="0"/>
        <c:ser>
          <c:idx val="1"/>
          <c:order val="0"/>
          <c:tx>
            <c:strRef>
              <c:f>'Saisie des données'!$E$78</c:f>
              <c:strCache>
                <c:ptCount val="1"/>
                <c:pt idx="0">
                  <c:v>Abrysvo, Pfizer</c:v>
                </c:pt>
              </c:strCache>
            </c:strRef>
          </c:tx>
          <c:spPr>
            <a:solidFill>
              <a:schemeClr val="accent1"/>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Résultats!$E$109:$E$113</c:f>
              <c:numCache>
                <c:formatCode>#,##0" $"</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B014-4E57-8B2B-36EC42D0FCB2}"/>
            </c:ext>
          </c:extLst>
        </c:ser>
        <c:ser>
          <c:idx val="0"/>
          <c:order val="1"/>
          <c:tx>
            <c:strRef>
              <c:f>'Saisie des données'!$F$78</c:f>
              <c:strCache>
                <c:ptCount val="1"/>
                <c:pt idx="0">
                  <c:v>Aucun</c:v>
                </c:pt>
              </c:strCache>
            </c:strRef>
          </c:tx>
          <c:spPr>
            <a:solidFill>
              <a:schemeClr val="accent1"/>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Résultats!$F$109:$F$113</c:f>
            </c:numRef>
          </c:val>
          <c:extLst>
            <c:ext xmlns:c16="http://schemas.microsoft.com/office/drawing/2014/chart" uri="{C3380CC4-5D6E-409C-BE32-E72D297353CC}">
              <c16:uniqueId val="{00000001-B014-4E57-8B2B-36EC42D0FCB2}"/>
            </c:ext>
          </c:extLst>
        </c:ser>
        <c:ser>
          <c:idx val="2"/>
          <c:order val="2"/>
          <c:tx>
            <c:strRef>
              <c:f>'Saisie des données'!$G$78</c:f>
              <c:strCache>
                <c:ptCount val="1"/>
                <c:pt idx="0">
                  <c:v>Aucun</c:v>
                </c:pt>
              </c:strCache>
            </c:strRef>
          </c:tx>
          <c:spPr>
            <a:solidFill>
              <a:schemeClr val="accent3"/>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Résultats!$G$109:$G$113</c:f>
            </c:numRef>
          </c:val>
          <c:extLst>
            <c:ext xmlns:c16="http://schemas.microsoft.com/office/drawing/2014/chart" uri="{C3380CC4-5D6E-409C-BE32-E72D297353CC}">
              <c16:uniqueId val="{00000002-B014-4E57-8B2B-36EC42D0FCB2}"/>
            </c:ext>
          </c:extLst>
        </c:ser>
        <c:ser>
          <c:idx val="3"/>
          <c:order val="3"/>
          <c:tx>
            <c:strRef>
              <c:f>'Saisie des données'!$H$78</c:f>
              <c:strCache>
                <c:ptCount val="1"/>
                <c:pt idx="0">
                  <c:v>Nirsevimab, AstraZeneca</c:v>
                </c:pt>
              </c:strCache>
            </c:strRef>
          </c:tx>
          <c:spPr>
            <a:solidFill>
              <a:schemeClr val="accent4"/>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Résultats!$I$109:$I$113</c:f>
              <c:numCache>
                <c:formatCode>#,##0" $"</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B014-4E57-8B2B-36EC42D0FCB2}"/>
            </c:ext>
          </c:extLst>
        </c:ser>
        <c:ser>
          <c:idx val="4"/>
          <c:order val="4"/>
          <c:tx>
            <c:strRef>
              <c:f>'Saisie des données'!$I$78</c:f>
              <c:strCache>
                <c:ptCount val="1"/>
                <c:pt idx="0">
                  <c:v>Aucun</c:v>
                </c:pt>
              </c:strCache>
            </c:strRef>
          </c:tx>
          <c:spPr>
            <a:solidFill>
              <a:schemeClr val="accent5"/>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Résultats!$J$109:$J$113</c:f>
            </c:numRef>
          </c:val>
          <c:extLst>
            <c:ext xmlns:c16="http://schemas.microsoft.com/office/drawing/2014/chart" uri="{C3380CC4-5D6E-409C-BE32-E72D297353CC}">
              <c16:uniqueId val="{00000004-B014-4E57-8B2B-36EC42D0FCB2}"/>
            </c:ext>
          </c:extLst>
        </c:ser>
        <c:ser>
          <c:idx val="6"/>
          <c:order val="5"/>
          <c:tx>
            <c:strRef>
              <c:f>'Saisie des données'!$J$78</c:f>
              <c:strCache>
                <c:ptCount val="1"/>
                <c:pt idx="0">
                  <c:v>Aucun</c:v>
                </c:pt>
              </c:strCache>
            </c:strRef>
          </c:tx>
          <c:spPr>
            <a:solidFill>
              <a:schemeClr val="accent1">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Résultats!$K$109:$K$113</c:f>
            </c:numRef>
          </c:val>
          <c:extLst>
            <c:ext xmlns:c16="http://schemas.microsoft.com/office/drawing/2014/chart" uri="{C3380CC4-5D6E-409C-BE32-E72D297353CC}">
              <c16:uniqueId val="{00000007-B014-4E57-8B2B-36EC42D0FCB2}"/>
            </c:ext>
          </c:extLst>
        </c:ser>
        <c:ser>
          <c:idx val="7"/>
          <c:order val="6"/>
          <c:tx>
            <c:strRef>
              <c:f>'Saisie des données'!$K$78</c:f>
              <c:strCache>
                <c:ptCount val="1"/>
                <c:pt idx="0">
                  <c:v>Aucun</c:v>
                </c:pt>
              </c:strCache>
            </c:strRef>
          </c:tx>
          <c:spPr>
            <a:solidFill>
              <a:schemeClr val="accent2">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Résultats!$N$109:$N$113</c:f>
            </c:numRef>
          </c:val>
          <c:extLst>
            <c:ext xmlns:c16="http://schemas.microsoft.com/office/drawing/2014/chart" uri="{C3380CC4-5D6E-409C-BE32-E72D297353CC}">
              <c16:uniqueId val="{00000008-B014-4E57-8B2B-36EC42D0FCB2}"/>
            </c:ext>
          </c:extLst>
        </c:ser>
        <c:ser>
          <c:idx val="5"/>
          <c:order val="7"/>
          <c:tx>
            <c:strRef>
              <c:f>'Saisie des données'!$L$78</c:f>
              <c:strCache>
                <c:ptCount val="1"/>
                <c:pt idx="0">
                  <c:v>Aucun</c:v>
                </c:pt>
              </c:strCache>
            </c:strRef>
          </c:tx>
          <c:spPr>
            <a:solidFill>
              <a:schemeClr val="accent6"/>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Résultats!$O$109:$O$113</c:f>
            </c:numRef>
          </c:val>
          <c:extLst>
            <c:ext xmlns:c16="http://schemas.microsoft.com/office/drawing/2014/chart" uri="{C3380CC4-5D6E-409C-BE32-E72D297353CC}">
              <c16:uniqueId val="{00000005-B014-4E57-8B2B-36EC42D0FCB2}"/>
            </c:ext>
          </c:extLst>
        </c:ser>
        <c:ser>
          <c:idx val="8"/>
          <c:order val="8"/>
          <c:tx>
            <c:strRef>
              <c:f>'Saisie des données'!$K$76:$L$76</c:f>
              <c:strCache>
                <c:ptCount val="1"/>
                <c:pt idx="0">
                  <c:v>Vaccination contre le VRS des femmes enceintes et administration aux nourrissons de mAb anti-VRS (vaccin maternel et mAb)</c:v>
                </c:pt>
              </c:strCache>
            </c:strRef>
          </c:tx>
          <c:spPr>
            <a:solidFill>
              <a:schemeClr val="accent3">
                <a:lumMod val="60000"/>
              </a:schemeClr>
            </a:solidFill>
            <a:ln>
              <a:noFill/>
            </a:ln>
            <a:effectLst/>
          </c:spPr>
          <c:invertIfNegative val="0"/>
          <c:cat>
            <c:numRef>
              <c:f>Résultats!$D$109:$D$113</c:f>
              <c:numCache>
                <c:formatCode>General</c:formatCode>
                <c:ptCount val="5"/>
                <c:pt idx="0">
                  <c:v>2025</c:v>
                </c:pt>
                <c:pt idx="1">
                  <c:v>2026</c:v>
                </c:pt>
                <c:pt idx="2">
                  <c:v>2027</c:v>
                </c:pt>
                <c:pt idx="3">
                  <c:v>2028</c:v>
                </c:pt>
                <c:pt idx="4">
                  <c:v>2029</c:v>
                </c:pt>
              </c:numCache>
            </c:numRef>
          </c:cat>
          <c:val>
            <c:numRef>
              <c:f>Résultats!$M$109:$M$113</c:f>
              <c:numCache>
                <c:formatCode>#,##0" $"</c:formatCode>
                <c:ptCount val="5"/>
                <c:pt idx="0">
                  <c:v>0</c:v>
                </c:pt>
                <c:pt idx="1">
                  <c:v>0</c:v>
                </c:pt>
                <c:pt idx="2">
                  <c:v>0</c:v>
                </c:pt>
                <c:pt idx="3">
                  <c:v>0</c:v>
                </c:pt>
                <c:pt idx="4">
                  <c:v>0</c:v>
                </c:pt>
              </c:numCache>
            </c:numRef>
          </c:val>
          <c:extLst>
            <c:ext xmlns:c16="http://schemas.microsoft.com/office/drawing/2014/chart" uri="{C3380CC4-5D6E-409C-BE32-E72D297353CC}">
              <c16:uniqueId val="{00000009-B014-4E57-8B2B-36EC42D0FCB2}"/>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crossAx val="747696848"/>
        <c:crosses val="autoZero"/>
        <c:crossBetween val="between"/>
      </c:valAx>
      <c:spPr>
        <a:noFill/>
        <a:ln>
          <a:noFill/>
        </a:ln>
        <a:effectLst/>
      </c:spPr>
    </c:plotArea>
    <c:legend>
      <c:legendPos val="b"/>
      <c:layout>
        <c:manualLayout>
          <c:xMode val="edge"/>
          <c:yMode val="edge"/>
          <c:x val="6.010930439548115E-2"/>
          <c:y val="0.79995765128067187"/>
          <c:w val="0.88786253512702207"/>
          <c:h val="0.2000423487193281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CH"/>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6.xml"/><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7</xdr:col>
      <xdr:colOff>393700</xdr:colOff>
      <xdr:row>1</xdr:row>
      <xdr:rowOff>140494</xdr:rowOff>
    </xdr:from>
    <xdr:ext cx="1292506" cy="581134"/>
    <xdr:pic>
      <xdr:nvPicPr>
        <xdr:cNvPr id="2" name="Picture 1">
          <a:extLst>
            <a:ext uri="{FF2B5EF4-FFF2-40B4-BE49-F238E27FC236}">
              <a16:creationId xmlns:a16="http://schemas.microsoft.com/office/drawing/2014/main" id="{E501777C-4653-4729-9AA0-9A9A6836349A}"/>
            </a:ext>
          </a:extLst>
        </xdr:cNvPr>
        <xdr:cNvPicPr>
          <a:picLocks noChangeAspect="1"/>
        </xdr:cNvPicPr>
      </xdr:nvPicPr>
      <xdr:blipFill>
        <a:blip xmlns:r="http://schemas.openxmlformats.org/officeDocument/2006/relationships" r:embed="rId1"/>
        <a:stretch>
          <a:fillRect/>
        </a:stretch>
      </xdr:blipFill>
      <xdr:spPr>
        <a:xfrm>
          <a:off x="8318500" y="254794"/>
          <a:ext cx="1292506" cy="581134"/>
        </a:xfrm>
        <a:prstGeom prst="rect">
          <a:avLst/>
        </a:prstGeom>
      </xdr:spPr>
    </xdr:pic>
    <xdr:clientData/>
  </xdr:oneCellAnchor>
  <xdr:twoCellAnchor>
    <xdr:from>
      <xdr:col>0</xdr:col>
      <xdr:colOff>76200</xdr:colOff>
      <xdr:row>1</xdr:row>
      <xdr:rowOff>292100</xdr:rowOff>
    </xdr:from>
    <xdr:to>
      <xdr:col>3</xdr:col>
      <xdr:colOff>647700</xdr:colOff>
      <xdr:row>2</xdr:row>
      <xdr:rowOff>139700</xdr:rowOff>
    </xdr:to>
    <xdr:sp macro="" textlink="">
      <xdr:nvSpPr>
        <xdr:cNvPr id="3" name="Diamond 2">
          <a:extLst>
            <a:ext uri="{FF2B5EF4-FFF2-40B4-BE49-F238E27FC236}">
              <a16:creationId xmlns:a16="http://schemas.microsoft.com/office/drawing/2014/main" id="{A6DAF832-1BCA-8542-B88D-85171239F2B7}"/>
            </a:ext>
          </a:extLst>
        </xdr:cNvPr>
        <xdr:cNvSpPr/>
      </xdr:nvSpPr>
      <xdr:spPr>
        <a:xfrm>
          <a:off x="76200" y="406400"/>
          <a:ext cx="1397000" cy="1397000"/>
        </a:xfrm>
        <a:prstGeom prst="diamond">
          <a:avLst/>
        </a:prstGeom>
        <a:solidFill>
          <a:srgbClr val="E2E2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chorCtr="0"/>
        <a:lstStyle/>
        <a:p>
          <a:pPr algn="ctr"/>
          <a:endParaRPr/>
        </a:p>
        <a:p>
          <a:pPr algn="ctr"/>
          <a:r>
            <a:rPr lang="fr-FR" sz="1600" b="1">
              <a:solidFill>
                <a:schemeClr val="tx1"/>
              </a:solidFill>
              <a:latin typeface="Arial" panose="020B0604020202020204" pitchFamily="34" charset="0"/>
              <a:cs typeface="Arial" panose="020B0604020202020204" pitchFamily="34" charset="0"/>
            </a:rPr>
            <a:t>VRS</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1</xdr:col>
      <xdr:colOff>1130300</xdr:colOff>
      <xdr:row>1</xdr:row>
      <xdr:rowOff>38100</xdr:rowOff>
    </xdr:from>
    <xdr:to>
      <xdr:col>1</xdr:col>
      <xdr:colOff>2816074</xdr:colOff>
      <xdr:row>2</xdr:row>
      <xdr:rowOff>76200</xdr:rowOff>
    </xdr:to>
    <xdr:pic>
      <xdr:nvPicPr>
        <xdr:cNvPr id="2" name="Picture 1" descr="File:GAVI Alliance Colour Logo.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9900" y="215900"/>
          <a:ext cx="168577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249736</xdr:colOff>
      <xdr:row>7</xdr:row>
      <xdr:rowOff>712074</xdr:rowOff>
    </xdr:to>
    <xdr:pic>
      <xdr:nvPicPr>
        <xdr:cNvPr id="2" name="Picture 1">
          <a:extLst>
            <a:ext uri="{FF2B5EF4-FFF2-40B4-BE49-F238E27FC236}">
              <a16:creationId xmlns:a16="http://schemas.microsoft.com/office/drawing/2014/main" id="{82D9AFCA-C7D7-438A-9818-FD796C420275}"/>
            </a:ext>
          </a:extLst>
        </xdr:cNvPr>
        <xdr:cNvPicPr>
          <a:picLocks noChangeAspect="1"/>
        </xdr:cNvPicPr>
      </xdr:nvPicPr>
      <xdr:blipFill rotWithShape="1">
        <a:blip xmlns:r="http://schemas.openxmlformats.org/officeDocument/2006/relationships" r:embed="rId1"/>
        <a:srcRect t="2241"/>
        <a:stretch/>
      </xdr:blipFill>
      <xdr:spPr>
        <a:xfrm>
          <a:off x="793750" y="1195917"/>
          <a:ext cx="245926" cy="717154"/>
        </a:xfrm>
        <a:prstGeom prst="rect">
          <a:avLst/>
        </a:prstGeom>
      </xdr:spPr>
    </xdr:pic>
    <xdr:clientData/>
  </xdr:twoCellAnchor>
  <xdr:twoCellAnchor>
    <xdr:from>
      <xdr:col>2</xdr:col>
      <xdr:colOff>306917</xdr:colOff>
      <xdr:row>6</xdr:row>
      <xdr:rowOff>50800</xdr:rowOff>
    </xdr:from>
    <xdr:to>
      <xdr:col>3</xdr:col>
      <xdr:colOff>406400</xdr:colOff>
      <xdr:row>7</xdr:row>
      <xdr:rowOff>241300</xdr:rowOff>
    </xdr:to>
    <xdr:sp macro="" textlink="">
      <xdr:nvSpPr>
        <xdr:cNvPr id="4" name="TextBox 3">
          <a:extLst>
            <a:ext uri="{FF2B5EF4-FFF2-40B4-BE49-F238E27FC236}">
              <a16:creationId xmlns:a16="http://schemas.microsoft.com/office/drawing/2014/main" id="{ACE9F306-BCB1-46E1-8AF6-F3D6E8901C18}"/>
            </a:ext>
          </a:extLst>
        </xdr:cNvPr>
        <xdr:cNvSpPr txBox="1"/>
      </xdr:nvSpPr>
      <xdr:spPr>
        <a:xfrm>
          <a:off x="821267" y="1993900"/>
          <a:ext cx="1490133" cy="295275"/>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900">
              <a:latin typeface="Arial" panose="020B0604020202020204" pitchFamily="34" charset="0"/>
              <a:cs typeface="Arial" panose="020B0604020202020204" pitchFamily="34" charset="0"/>
            </a:rPr>
            <a:t>Volume ou coût inférieur</a:t>
          </a:r>
        </a:p>
      </xdr:txBody>
    </xdr:sp>
    <xdr:clientData/>
  </xdr:twoCellAnchor>
  <xdr:twoCellAnchor>
    <xdr:from>
      <xdr:col>2</xdr:col>
      <xdr:colOff>306917</xdr:colOff>
      <xdr:row>7</xdr:row>
      <xdr:rowOff>537633</xdr:rowOff>
    </xdr:from>
    <xdr:to>
      <xdr:col>3</xdr:col>
      <xdr:colOff>406400</xdr:colOff>
      <xdr:row>7</xdr:row>
      <xdr:rowOff>838200</xdr:rowOff>
    </xdr:to>
    <xdr:sp macro="" textlink="">
      <xdr:nvSpPr>
        <xdr:cNvPr id="3" name="TextBox 2">
          <a:extLst>
            <a:ext uri="{FF2B5EF4-FFF2-40B4-BE49-F238E27FC236}">
              <a16:creationId xmlns:a16="http://schemas.microsoft.com/office/drawing/2014/main" id="{FEB02974-3415-C94B-A10D-19B4AEAD0871}"/>
            </a:ext>
          </a:extLst>
        </xdr:cNvPr>
        <xdr:cNvSpPr txBox="1"/>
      </xdr:nvSpPr>
      <xdr:spPr>
        <a:xfrm>
          <a:off x="1157817" y="2074333"/>
          <a:ext cx="1534583" cy="300567"/>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900">
              <a:latin typeface="Arial" panose="020B0604020202020204" pitchFamily="34" charset="0"/>
              <a:cs typeface="Arial" panose="020B0604020202020204" pitchFamily="34" charset="0"/>
            </a:rPr>
            <a:t>Volume ou coût plus élevé</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273804</xdr:colOff>
      <xdr:row>6</xdr:row>
      <xdr:rowOff>977900</xdr:rowOff>
    </xdr:to>
    <xdr:pic>
      <xdr:nvPicPr>
        <xdr:cNvPr id="2" name="Picture 1">
          <a:extLst>
            <a:ext uri="{FF2B5EF4-FFF2-40B4-BE49-F238E27FC236}">
              <a16:creationId xmlns:a16="http://schemas.microsoft.com/office/drawing/2014/main" id="{66E32706-8953-4F2C-9193-447E2701AF9C}"/>
            </a:ext>
          </a:extLst>
        </xdr:cNvPr>
        <xdr:cNvPicPr>
          <a:picLocks noChangeAspect="1"/>
        </xdr:cNvPicPr>
      </xdr:nvPicPr>
      <xdr:blipFill rotWithShape="1">
        <a:blip xmlns:r="http://schemas.openxmlformats.org/officeDocument/2006/relationships" r:embed="rId1"/>
        <a:srcRect t="2241"/>
        <a:stretch/>
      </xdr:blipFill>
      <xdr:spPr>
        <a:xfrm>
          <a:off x="609600" y="1574800"/>
          <a:ext cx="273804" cy="977900"/>
        </a:xfrm>
        <a:prstGeom prst="rect">
          <a:avLst/>
        </a:prstGeom>
      </xdr:spPr>
    </xdr:pic>
    <xdr:clientData/>
  </xdr:twoCellAnchor>
  <xdr:twoCellAnchor>
    <xdr:from>
      <xdr:col>3</xdr:col>
      <xdr:colOff>312208</xdr:colOff>
      <xdr:row>5</xdr:row>
      <xdr:rowOff>115357</xdr:rowOff>
    </xdr:from>
    <xdr:to>
      <xdr:col>3</xdr:col>
      <xdr:colOff>1339849</xdr:colOff>
      <xdr:row>8</xdr:row>
      <xdr:rowOff>288925</xdr:rowOff>
    </xdr:to>
    <xdr:sp macro="" textlink="">
      <xdr:nvSpPr>
        <xdr:cNvPr id="3" name="TextBox 2">
          <a:extLst>
            <a:ext uri="{FF2B5EF4-FFF2-40B4-BE49-F238E27FC236}">
              <a16:creationId xmlns:a16="http://schemas.microsoft.com/office/drawing/2014/main" id="{2C7EB89A-7460-4836-BA5F-910F7C838A20}"/>
            </a:ext>
          </a:extLst>
        </xdr:cNvPr>
        <xdr:cNvSpPr txBox="1"/>
      </xdr:nvSpPr>
      <xdr:spPr>
        <a:xfrm>
          <a:off x="921808" y="1563157"/>
          <a:ext cx="1027641" cy="1354668"/>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900">
              <a:latin typeface="Arial" panose="020B0604020202020204" pitchFamily="34" charset="0"/>
              <a:cs typeface="Arial" panose="020B0604020202020204" pitchFamily="34" charset="0"/>
            </a:rPr>
            <a:t>Coût ou volume plus faible</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r>
            <a:rPr lang="fr-FR" sz="900">
              <a:solidFill>
                <a:schemeClr val="dk1"/>
              </a:solidFill>
              <a:effectLst/>
              <a:latin typeface="Arial" panose="020B0604020202020204" pitchFamily="34" charset="0"/>
              <a:ea typeface="+mn-ea"/>
              <a:cs typeface="Arial" panose="020B0604020202020204" pitchFamily="34" charset="0"/>
            </a:rPr>
            <a:t>Coût ou volume plus élevé</a:t>
          </a:r>
        </a:p>
        <a:p>
          <a:pPr marL="0" marR="0" lvl="0" indent="0" algn="l" defTabSz="914400" eaLnBrk="1" fontAlgn="auto" latinLnBrk="0" hangingPunct="1">
            <a:lnSpc>
              <a:spcPct val="100000"/>
            </a:lnSpc>
            <a:spcBef>
              <a:spcPts val="0"/>
            </a:spcBef>
            <a:spcAft>
              <a:spcPts val="0"/>
            </a:spcAft>
            <a:buClrTx/>
            <a:buSzTx/>
            <a:buFontTx/>
            <a:buNone/>
            <a:tabLst/>
            <a:defRPr/>
          </a:pPr>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76199</xdr:colOff>
      <xdr:row>6</xdr:row>
      <xdr:rowOff>38099</xdr:rowOff>
    </xdr:from>
    <xdr:to>
      <xdr:col>12</xdr:col>
      <xdr:colOff>457200</xdr:colOff>
      <xdr:row>23</xdr:row>
      <xdr:rowOff>28575</xdr:rowOff>
    </xdr:to>
    <xdr:graphicFrame macro="">
      <xdr:nvGraphicFramePr>
        <xdr:cNvPr id="11" name="Chart 10">
          <a:extLst>
            <a:ext uri="{FF2B5EF4-FFF2-40B4-BE49-F238E27FC236}">
              <a16:creationId xmlns:a16="http://schemas.microsoft.com/office/drawing/2014/main" id="{C79CDBCA-C8D5-42F3-83FF-B594971FF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266700</xdr:colOff>
      <xdr:row>6</xdr:row>
      <xdr:rowOff>38099</xdr:rowOff>
    </xdr:from>
    <xdr:to>
      <xdr:col>24</xdr:col>
      <xdr:colOff>476250</xdr:colOff>
      <xdr:row>23</xdr:row>
      <xdr:rowOff>57150</xdr:rowOff>
    </xdr:to>
    <xdr:graphicFrame macro="">
      <xdr:nvGraphicFramePr>
        <xdr:cNvPr id="13" name="Chart 12">
          <a:extLst>
            <a:ext uri="{FF2B5EF4-FFF2-40B4-BE49-F238E27FC236}">
              <a16:creationId xmlns:a16="http://schemas.microsoft.com/office/drawing/2014/main" id="{B9BEAFF1-E40D-4ABD-972B-A170B8B42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95248</xdr:colOff>
      <xdr:row>26</xdr:row>
      <xdr:rowOff>63499</xdr:rowOff>
    </xdr:from>
    <xdr:to>
      <xdr:col>12</xdr:col>
      <xdr:colOff>561975</xdr:colOff>
      <xdr:row>48</xdr:row>
      <xdr:rowOff>85724</xdr:rowOff>
    </xdr:to>
    <xdr:graphicFrame macro="">
      <xdr:nvGraphicFramePr>
        <xdr:cNvPr id="15" name="Chart 14">
          <a:extLst>
            <a:ext uri="{FF2B5EF4-FFF2-40B4-BE49-F238E27FC236}">
              <a16:creationId xmlns:a16="http://schemas.microsoft.com/office/drawing/2014/main" id="{65B9740D-733A-4817-9EEC-9F2EC2318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114300</xdr:colOff>
      <xdr:row>26</xdr:row>
      <xdr:rowOff>76200</xdr:rowOff>
    </xdr:from>
    <xdr:to>
      <xdr:col>24</xdr:col>
      <xdr:colOff>457200</xdr:colOff>
      <xdr:row>48</xdr:row>
      <xdr:rowOff>95250</xdr:rowOff>
    </xdr:to>
    <xdr:graphicFrame macro="">
      <xdr:nvGraphicFramePr>
        <xdr:cNvPr id="17" name="Chart 16">
          <a:extLst>
            <a:ext uri="{FF2B5EF4-FFF2-40B4-BE49-F238E27FC236}">
              <a16:creationId xmlns:a16="http://schemas.microsoft.com/office/drawing/2014/main" id="{CB41FB04-069C-49DD-A956-F5C2BCCD1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53</xdr:row>
      <xdr:rowOff>6349</xdr:rowOff>
    </xdr:from>
    <xdr:to>
      <xdr:col>12</xdr:col>
      <xdr:colOff>504825</xdr:colOff>
      <xdr:row>70</xdr:row>
      <xdr:rowOff>76199</xdr:rowOff>
    </xdr:to>
    <xdr:graphicFrame macro="">
      <xdr:nvGraphicFramePr>
        <xdr:cNvPr id="18" name="Chart 17">
          <a:extLst>
            <a:ext uri="{FF2B5EF4-FFF2-40B4-BE49-F238E27FC236}">
              <a16:creationId xmlns:a16="http://schemas.microsoft.com/office/drawing/2014/main" id="{29F1E2A4-8FAB-4629-A896-5E8B1857B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76200</xdr:colOff>
      <xdr:row>52</xdr:row>
      <xdr:rowOff>114300</xdr:rowOff>
    </xdr:from>
    <xdr:to>
      <xdr:col>24</xdr:col>
      <xdr:colOff>508000</xdr:colOff>
      <xdr:row>70</xdr:row>
      <xdr:rowOff>88900</xdr:rowOff>
    </xdr:to>
    <xdr:graphicFrame macro="">
      <xdr:nvGraphicFramePr>
        <xdr:cNvPr id="19" name="Chart 18">
          <a:extLst>
            <a:ext uri="{FF2B5EF4-FFF2-40B4-BE49-F238E27FC236}">
              <a16:creationId xmlns:a16="http://schemas.microsoft.com/office/drawing/2014/main" id="{DAAD6099-22E4-403B-8A4B-2CF9E2E4C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295274</xdr:colOff>
      <xdr:row>74</xdr:row>
      <xdr:rowOff>0</xdr:rowOff>
    </xdr:from>
    <xdr:to>
      <xdr:col>12</xdr:col>
      <xdr:colOff>619124</xdr:colOff>
      <xdr:row>96</xdr:row>
      <xdr:rowOff>0</xdr:rowOff>
    </xdr:to>
    <xdr:graphicFrame macro="">
      <xdr:nvGraphicFramePr>
        <xdr:cNvPr id="21" name="Chart 20">
          <a:extLst>
            <a:ext uri="{FF2B5EF4-FFF2-40B4-BE49-F238E27FC236}">
              <a16:creationId xmlns:a16="http://schemas.microsoft.com/office/drawing/2014/main" id="{60294334-FE3B-4B7C-A058-25972638E6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114298</xdr:colOff>
      <xdr:row>73</xdr:row>
      <xdr:rowOff>177800</xdr:rowOff>
    </xdr:from>
    <xdr:to>
      <xdr:col>24</xdr:col>
      <xdr:colOff>498474</xdr:colOff>
      <xdr:row>96</xdr:row>
      <xdr:rowOff>6350</xdr:rowOff>
    </xdr:to>
    <xdr:graphicFrame macro="">
      <xdr:nvGraphicFramePr>
        <xdr:cNvPr id="22" name="Chart 21">
          <a:extLst>
            <a:ext uri="{FF2B5EF4-FFF2-40B4-BE49-F238E27FC236}">
              <a16:creationId xmlns:a16="http://schemas.microsoft.com/office/drawing/2014/main" id="{C1A602BD-E67F-47BD-8828-3EA3E22B4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22</xdr:row>
      <xdr:rowOff>292825</xdr:rowOff>
    </xdr:from>
    <xdr:to>
      <xdr:col>11</xdr:col>
      <xdr:colOff>397933</xdr:colOff>
      <xdr:row>45</xdr:row>
      <xdr:rowOff>52251</xdr:rowOff>
    </xdr:to>
    <xdr:graphicFrame macro="">
      <xdr:nvGraphicFramePr>
        <xdr:cNvPr id="2" name="Chart 1">
          <a:extLst>
            <a:ext uri="{FF2B5EF4-FFF2-40B4-BE49-F238E27FC236}">
              <a16:creationId xmlns:a16="http://schemas.microsoft.com/office/drawing/2014/main" id="{DF276E02-5260-423E-8AD1-73E25535F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3</xdr:row>
      <xdr:rowOff>25977</xdr:rowOff>
    </xdr:from>
    <xdr:to>
      <xdr:col>11</xdr:col>
      <xdr:colOff>502227</xdr:colOff>
      <xdr:row>21</xdr:row>
      <xdr:rowOff>8659</xdr:rowOff>
    </xdr:to>
    <xdr:graphicFrame macro="">
      <xdr:nvGraphicFramePr>
        <xdr:cNvPr id="14" name="Chart 13">
          <a:extLst>
            <a:ext uri="{FF2B5EF4-FFF2-40B4-BE49-F238E27FC236}">
              <a16:creationId xmlns:a16="http://schemas.microsoft.com/office/drawing/2014/main" id="{A97667B8-9477-4AC2-9D07-36320F64D4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476250</xdr:colOff>
      <xdr:row>2</xdr:row>
      <xdr:rowOff>181841</xdr:rowOff>
    </xdr:from>
    <xdr:to>
      <xdr:col>23</xdr:col>
      <xdr:colOff>303068</xdr:colOff>
      <xdr:row>20</xdr:row>
      <xdr:rowOff>112568</xdr:rowOff>
    </xdr:to>
    <xdr:graphicFrame macro="">
      <xdr:nvGraphicFramePr>
        <xdr:cNvPr id="16" name="Chart 15">
          <a:extLst>
            <a:ext uri="{FF2B5EF4-FFF2-40B4-BE49-F238E27FC236}">
              <a16:creationId xmlns:a16="http://schemas.microsoft.com/office/drawing/2014/main" id="{5CE34D27-1768-4497-8EAD-A20BB40C3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294410</xdr:colOff>
      <xdr:row>23</xdr:row>
      <xdr:rowOff>8660</xdr:rowOff>
    </xdr:from>
    <xdr:to>
      <xdr:col>23</xdr:col>
      <xdr:colOff>103525</xdr:colOff>
      <xdr:row>45</xdr:row>
      <xdr:rowOff>63361</xdr:rowOff>
    </xdr:to>
    <xdr:graphicFrame macro="">
      <xdr:nvGraphicFramePr>
        <xdr:cNvPr id="18" name="Chart 17">
          <a:extLst>
            <a:ext uri="{FF2B5EF4-FFF2-40B4-BE49-F238E27FC236}">
              <a16:creationId xmlns:a16="http://schemas.microsoft.com/office/drawing/2014/main" id="{5E6EDAD0-C26F-4DDF-9273-DA6A3DFD5A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207818</xdr:colOff>
      <xdr:row>48</xdr:row>
      <xdr:rowOff>129886</xdr:rowOff>
    </xdr:from>
    <xdr:to>
      <xdr:col>12</xdr:col>
      <xdr:colOff>34636</xdr:colOff>
      <xdr:row>66</xdr:row>
      <xdr:rowOff>112568</xdr:rowOff>
    </xdr:to>
    <xdr:graphicFrame macro="">
      <xdr:nvGraphicFramePr>
        <xdr:cNvPr id="19" name="Chart 18">
          <a:extLst>
            <a:ext uri="{FF2B5EF4-FFF2-40B4-BE49-F238E27FC236}">
              <a16:creationId xmlns:a16="http://schemas.microsoft.com/office/drawing/2014/main" id="{EF8C22D4-F20C-402C-80E9-01FA1C54B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458931</xdr:colOff>
      <xdr:row>48</xdr:row>
      <xdr:rowOff>103909</xdr:rowOff>
    </xdr:from>
    <xdr:to>
      <xdr:col>23</xdr:col>
      <xdr:colOff>355022</xdr:colOff>
      <xdr:row>67</xdr:row>
      <xdr:rowOff>8659</xdr:rowOff>
    </xdr:to>
    <xdr:graphicFrame macro="">
      <xdr:nvGraphicFramePr>
        <xdr:cNvPr id="20" name="Chart 19">
          <a:extLst>
            <a:ext uri="{FF2B5EF4-FFF2-40B4-BE49-F238E27FC236}">
              <a16:creationId xmlns:a16="http://schemas.microsoft.com/office/drawing/2014/main" id="{4B4D4830-349F-4BDC-AC91-86336A936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69</xdr:row>
      <xdr:rowOff>0</xdr:rowOff>
    </xdr:from>
    <xdr:to>
      <xdr:col>11</xdr:col>
      <xdr:colOff>397933</xdr:colOff>
      <xdr:row>91</xdr:row>
      <xdr:rowOff>54701</xdr:rowOff>
    </xdr:to>
    <xdr:graphicFrame macro="">
      <xdr:nvGraphicFramePr>
        <xdr:cNvPr id="22" name="Chart 21">
          <a:extLst>
            <a:ext uri="{FF2B5EF4-FFF2-40B4-BE49-F238E27FC236}">
              <a16:creationId xmlns:a16="http://schemas.microsoft.com/office/drawing/2014/main" id="{BF6321B7-9DD1-471D-8E4D-61D16DF04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69</xdr:row>
      <xdr:rowOff>0</xdr:rowOff>
    </xdr:from>
    <xdr:to>
      <xdr:col>23</xdr:col>
      <xdr:colOff>397933</xdr:colOff>
      <xdr:row>91</xdr:row>
      <xdr:rowOff>54701</xdr:rowOff>
    </xdr:to>
    <xdr:graphicFrame macro="">
      <xdr:nvGraphicFramePr>
        <xdr:cNvPr id="23" name="Chart 22">
          <a:extLst>
            <a:ext uri="{FF2B5EF4-FFF2-40B4-BE49-F238E27FC236}">
              <a16:creationId xmlns:a16="http://schemas.microsoft.com/office/drawing/2014/main" id="{E3F80978-0F61-44B9-ABD9-0437428A2A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8.xml><?xml version="1.0" encoding="utf-8"?>
<xdr:wsDr xmlns:xdr="http://schemas.openxmlformats.org/drawingml/2006/spreadsheetDrawing" xmlns:a="http://schemas.openxmlformats.org/drawingml/2006/main">
  <xdr:twoCellAnchor>
    <xdr:from>
      <xdr:col>1</xdr:col>
      <xdr:colOff>0</xdr:colOff>
      <xdr:row>23</xdr:row>
      <xdr:rowOff>292825</xdr:rowOff>
    </xdr:from>
    <xdr:to>
      <xdr:col>11</xdr:col>
      <xdr:colOff>397933</xdr:colOff>
      <xdr:row>46</xdr:row>
      <xdr:rowOff>52251</xdr:rowOff>
    </xdr:to>
    <xdr:graphicFrame macro="">
      <xdr:nvGraphicFramePr>
        <xdr:cNvPr id="2" name="Chart 1">
          <a:extLst>
            <a:ext uri="{FF2B5EF4-FFF2-40B4-BE49-F238E27FC236}">
              <a16:creationId xmlns:a16="http://schemas.microsoft.com/office/drawing/2014/main" id="{5CB3E5EA-6726-4E59-9359-8E9B59E13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4</xdr:row>
      <xdr:rowOff>25977</xdr:rowOff>
    </xdr:from>
    <xdr:to>
      <xdr:col>11</xdr:col>
      <xdr:colOff>502227</xdr:colOff>
      <xdr:row>22</xdr:row>
      <xdr:rowOff>8659</xdr:rowOff>
    </xdr:to>
    <xdr:graphicFrame macro="">
      <xdr:nvGraphicFramePr>
        <xdr:cNvPr id="3" name="Chart 2">
          <a:extLst>
            <a:ext uri="{FF2B5EF4-FFF2-40B4-BE49-F238E27FC236}">
              <a16:creationId xmlns:a16="http://schemas.microsoft.com/office/drawing/2014/main" id="{5CA04475-01DE-44B6-B717-862EC52779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441613</xdr:colOff>
      <xdr:row>4</xdr:row>
      <xdr:rowOff>5482</xdr:rowOff>
    </xdr:from>
    <xdr:to>
      <xdr:col>23</xdr:col>
      <xdr:colOff>225135</xdr:colOff>
      <xdr:row>22</xdr:row>
      <xdr:rowOff>43295</xdr:rowOff>
    </xdr:to>
    <xdr:graphicFrame macro="">
      <xdr:nvGraphicFramePr>
        <xdr:cNvPr id="4" name="Chart 3">
          <a:extLst>
            <a:ext uri="{FF2B5EF4-FFF2-40B4-BE49-F238E27FC236}">
              <a16:creationId xmlns:a16="http://schemas.microsoft.com/office/drawing/2014/main" id="{BFD90BD0-1002-4D55-A515-78CFE4BCD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410153</xdr:colOff>
      <xdr:row>23</xdr:row>
      <xdr:rowOff>173182</xdr:rowOff>
    </xdr:from>
    <xdr:to>
      <xdr:col>23</xdr:col>
      <xdr:colOff>268432</xdr:colOff>
      <xdr:row>46</xdr:row>
      <xdr:rowOff>57877</xdr:rowOff>
    </xdr:to>
    <xdr:graphicFrame macro="">
      <xdr:nvGraphicFramePr>
        <xdr:cNvPr id="5" name="Chart 4">
          <a:extLst>
            <a:ext uri="{FF2B5EF4-FFF2-40B4-BE49-F238E27FC236}">
              <a16:creationId xmlns:a16="http://schemas.microsoft.com/office/drawing/2014/main" id="{B6721D2E-E15E-4A64-8CD8-83993F74CA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233795</xdr:colOff>
      <xdr:row>50</xdr:row>
      <xdr:rowOff>118052</xdr:rowOff>
    </xdr:from>
    <xdr:to>
      <xdr:col>12</xdr:col>
      <xdr:colOff>57438</xdr:colOff>
      <xdr:row>68</xdr:row>
      <xdr:rowOff>103909</xdr:rowOff>
    </xdr:to>
    <xdr:graphicFrame macro="">
      <xdr:nvGraphicFramePr>
        <xdr:cNvPr id="6" name="Chart 5">
          <a:extLst>
            <a:ext uri="{FF2B5EF4-FFF2-40B4-BE49-F238E27FC236}">
              <a16:creationId xmlns:a16="http://schemas.microsoft.com/office/drawing/2014/main" id="{DE35D1F6-C219-49F1-919A-E4D39CE28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11</xdr:col>
      <xdr:colOff>397933</xdr:colOff>
      <xdr:row>93</xdr:row>
      <xdr:rowOff>54701</xdr:rowOff>
    </xdr:to>
    <xdr:graphicFrame macro="">
      <xdr:nvGraphicFramePr>
        <xdr:cNvPr id="7" name="Chart 6">
          <a:extLst>
            <a:ext uri="{FF2B5EF4-FFF2-40B4-BE49-F238E27FC236}">
              <a16:creationId xmlns:a16="http://schemas.microsoft.com/office/drawing/2014/main" id="{2765CCB3-A13D-4753-A066-A1CF2BD3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71</xdr:row>
      <xdr:rowOff>0</xdr:rowOff>
    </xdr:from>
    <xdr:to>
      <xdr:col>23</xdr:col>
      <xdr:colOff>397933</xdr:colOff>
      <xdr:row>93</xdr:row>
      <xdr:rowOff>54701</xdr:rowOff>
    </xdr:to>
    <xdr:graphicFrame macro="">
      <xdr:nvGraphicFramePr>
        <xdr:cNvPr id="8" name="Chart 7">
          <a:extLst>
            <a:ext uri="{FF2B5EF4-FFF2-40B4-BE49-F238E27FC236}">
              <a16:creationId xmlns:a16="http://schemas.microsoft.com/office/drawing/2014/main" id="{49332BF1-4710-46FD-AF4D-553BAC822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51</xdr:row>
      <xdr:rowOff>0</xdr:rowOff>
    </xdr:from>
    <xdr:to>
      <xdr:col>23</xdr:col>
      <xdr:colOff>400627</xdr:colOff>
      <xdr:row>69</xdr:row>
      <xdr:rowOff>37813</xdr:rowOff>
    </xdr:to>
    <xdr:graphicFrame macro="">
      <xdr:nvGraphicFramePr>
        <xdr:cNvPr id="9" name="Chart 8">
          <a:extLst>
            <a:ext uri="{FF2B5EF4-FFF2-40B4-BE49-F238E27FC236}">
              <a16:creationId xmlns:a16="http://schemas.microsoft.com/office/drawing/2014/main" id="{39BE0B4E-0AA1-4D8C-8455-0B553FACC6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externalLinks/_rels/externalLink1.xml.rels><?xml version="1.0" encoding="UTF-8" standalone="yes"?>
<Relationships xmlns="http://schemas.openxmlformats.org/package/2006/relationships"><Relationship Id="rId3" Type="http://schemas.openxmlformats.org/officeDocument/2006/relationships/externalLinkPath" Target="../../../2184402064181/WOPIServiceId_TP_BOX_2/WOPIUserId_-/RSV_interventions_cost_calculator_ENG_FINAL_2026.xlsx" TargetMode="External"/><Relationship Id="rId2" Type="http://schemas.openxmlformats.org/officeDocument/2006/relationships/externalLinkPath" Target="https://api.box.com/wopi/files/2184402064181/WOPIServiceId_TP_BOX_2/WOPIUserId_-/RSV_interventions_cost_calculator_ENG_FINAL_2026.xlsx" TargetMode="External"/><Relationship Id="rId1" Type="http://schemas.openxmlformats.org/officeDocument/2006/relationships/externalLinkPath" Target="/wopi/files/2184402064181/WOPIServiceId_TP_BOX_2/WOPIUserId_-/RSV_interventions_cost_calculator_ENG_FINAL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odel inputs (2)"/>
      <sheetName val="Model inputs (3)"/>
      <sheetName val="READ ME FIRST"/>
      <sheetName val="Model Inputs"/>
      <sheetName val="Dashboard"/>
      <sheetName val="Results"/>
      <sheetName val="Charts"/>
      <sheetName val="Charts_full options"/>
      <sheetName val="Target pop calculation eg."/>
      <sheetName val="Data"/>
      <sheetName val="Sheet1"/>
      <sheetName val="Charts (2)"/>
      <sheetName val="DPP"/>
    </sheetNames>
    <sheetDataSet>
      <sheetData sheetId="0"/>
      <sheetData sheetId="1"/>
      <sheetData sheetId="2"/>
      <sheetData sheetId="3">
        <row r="64">
          <cell r="E64">
            <v>0.15</v>
          </cell>
        </row>
      </sheetData>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Rose Slavkovsky" id="{E806C41E-84E3-4CE5-B163-1AC9C2AE6B89}" userId="Rose Slavkovsky" providerId="None"/>
</personList>
</file>

<file path=xl/theme/theme1.xml><?xml version="1.0" encoding="utf-8"?>
<a:theme xmlns:a="http://schemas.openxmlformats.org/drawingml/2006/main" name="Office Theme">
  <a:themeElements>
    <a:clrScheme name="PATH - Shigella">
      <a:dk1>
        <a:srgbClr val="3F4856"/>
      </a:dk1>
      <a:lt1>
        <a:srgbClr val="FFFFFF"/>
      </a:lt1>
      <a:dk2>
        <a:srgbClr val="F65050"/>
      </a:dk2>
      <a:lt2>
        <a:srgbClr val="F5EFE9"/>
      </a:lt2>
      <a:accent1>
        <a:srgbClr val="009BA8"/>
      </a:accent1>
      <a:accent2>
        <a:srgbClr val="00602C"/>
      </a:accent2>
      <a:accent3>
        <a:srgbClr val="00AA49"/>
      </a:accent3>
      <a:accent4>
        <a:srgbClr val="FF2C3B"/>
      </a:accent4>
      <a:accent5>
        <a:srgbClr val="39339F"/>
      </a:accent5>
      <a:accent6>
        <a:srgbClr val="6863D8"/>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4-05-22T15:53:53.44" personId="{E806C41E-84E3-4CE5-B163-1AC9C2AE6B89}" id="{07851929-3E44-4D70-AF82-8295D8EEEFD8}">
    <text>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ext>
  </threadedComment>
  <threadedComment ref="N71" dT="2024-05-22T15:56:17.20" personId="{E806C41E-84E3-4CE5-B163-1AC9C2AE6B89}" id="{65D9A249-4E07-4879-A9FA-982F4AF71666}">
    <text>In this chart, labels of bars overlap with x-axis labels. Will need to be reformatted.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8" Type="http://schemas.openxmlformats.org/officeDocument/2006/relationships/hyperlink" Target="https://extranet.who.int/gavi/PQ_Web/PreviewVaccine.aspx?nav=0&amp;ID=166" TargetMode="External"/><Relationship Id="rId3" Type="http://schemas.openxmlformats.org/officeDocument/2006/relationships/hyperlink" Target="https://extranet.who.int/gavi/PQ_Web/PreviewVaccine.aspx?nav=0&amp;ID=314" TargetMode="External"/><Relationship Id="rId7" Type="http://schemas.openxmlformats.org/officeDocument/2006/relationships/hyperlink" Target="https://extranet.who.int/gavi/PQ_Web/PreviewVaccine.aspx?nav=0&amp;ID=363" TargetMode="External"/><Relationship Id="rId12" Type="http://schemas.openxmlformats.org/officeDocument/2006/relationships/comments" Target="../comments2.xml"/><Relationship Id="rId2" Type="http://schemas.openxmlformats.org/officeDocument/2006/relationships/hyperlink" Target="https://extranet.who.int/gavi/PQ_Web/PreviewVaccine.aspx?nav=0&amp;ID=62" TargetMode="External"/><Relationship Id="rId1" Type="http://schemas.openxmlformats.org/officeDocument/2006/relationships/hyperlink" Target="https://extranet.who.int/gavi/PQ_Web/PreviewVaccine.aspx?nav=0&amp;ID=173" TargetMode="External"/><Relationship Id="rId6" Type="http://schemas.openxmlformats.org/officeDocument/2006/relationships/hyperlink" Target="https://extranet.who.int/gavi/PQ_Web/PreviewVaccine.aspx?nav=0&amp;ID=343" TargetMode="External"/><Relationship Id="rId11" Type="http://schemas.openxmlformats.org/officeDocument/2006/relationships/vmlDrawing" Target="../drawings/vmlDrawing2.vml"/><Relationship Id="rId5" Type="http://schemas.openxmlformats.org/officeDocument/2006/relationships/hyperlink" Target="https://extranet.who.int/gavi/PQ_Web/PreviewVaccine.aspx?nav=0&amp;ID=323" TargetMode="External"/><Relationship Id="rId10" Type="http://schemas.openxmlformats.org/officeDocument/2006/relationships/drawing" Target="../drawings/drawing11.xml"/><Relationship Id="rId4" Type="http://schemas.openxmlformats.org/officeDocument/2006/relationships/hyperlink" Target="https://extranet.who.int/gavi/PQ_Web/PreviewVaccine.aspx?nav=0&amp;ID=355" TargetMode="External"/><Relationship Id="rId9"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avi.org/our-alliance/market-shaping/product-information-vaccines-cold-chain-equipment" TargetMode="External"/><Relationship Id="rId2" Type="http://schemas.openxmlformats.org/officeDocument/2006/relationships/hyperlink" Target="https://www.unicef.org/supply/pricing-data" TargetMode="External"/><Relationship Id="rId1" Type="http://schemas.openxmlformats.org/officeDocument/2006/relationships/hyperlink" Target="http://immunizationeconomics.org/ican-idcc"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www.unicef.org/supply/handling-fee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CF5F-5F41-4478-BA49-9492FE483312}">
  <sheetPr codeName="Sheet1"/>
  <dimension ref="A1:MM161"/>
  <sheetViews>
    <sheetView workbookViewId="0"/>
  </sheetViews>
  <sheetFormatPr defaultColWidth="8.81640625" defaultRowHeight="14.5" outlineLevelRow="1" outlineLevelCol="1"/>
  <cols>
    <col min="1" max="1" width="1.453125" style="84" customWidth="1"/>
    <col min="2" max="2" width="2.1796875" style="84" customWidth="1"/>
    <col min="3" max="3" width="40.81640625" style="85" customWidth="1"/>
    <col min="4" max="4" width="18.453125" style="85" customWidth="1"/>
    <col min="5" max="6" width="18.453125" style="85" hidden="1" customWidth="1" outlineLevel="1"/>
    <col min="7" max="7" width="18.453125" style="85" customWidth="1" collapsed="1"/>
    <col min="8" max="9" width="18.453125" style="85" hidden="1" customWidth="1" outlineLevel="1"/>
    <col min="10" max="10" width="18.453125" style="85" customWidth="1" collapsed="1"/>
    <col min="11" max="11" width="18.1796875" style="85" customWidth="1"/>
    <col min="12" max="12" width="18.453125" style="85" customWidth="1"/>
    <col min="13" max="13" width="27.453125" style="85" customWidth="1"/>
    <col min="14" max="14" width="18.453125" style="85" customWidth="1"/>
    <col min="15" max="15" width="21.81640625" style="112" customWidth="1"/>
    <col min="16" max="16" width="46.81640625" style="112" customWidth="1"/>
    <col min="17" max="17" width="25.453125" style="112" customWidth="1"/>
    <col min="18" max="18" width="4.81640625" style="112" customWidth="1"/>
    <col min="19" max="19" width="17.453125" style="85" customWidth="1"/>
    <col min="20" max="20" width="1.1796875" style="85" customWidth="1"/>
    <col min="21" max="21" width="17.453125" style="85" customWidth="1"/>
    <col min="22" max="22" width="59.1796875" style="85" customWidth="1"/>
    <col min="23" max="23" width="5.1796875" style="85" customWidth="1"/>
    <col min="24" max="24" width="25.453125" style="85" customWidth="1"/>
    <col min="25" max="25" width="19.1796875" style="85" customWidth="1"/>
    <col min="26" max="26" width="24.81640625" style="85" customWidth="1"/>
    <col min="27" max="27" width="19.1796875" style="85" customWidth="1"/>
    <col min="28" max="28" width="25" style="85" customWidth="1"/>
    <col min="29" max="29" width="19.453125" style="85" customWidth="1"/>
    <col min="30" max="30" width="15.81640625" style="85" customWidth="1"/>
    <col min="31" max="31" width="37" style="85" customWidth="1"/>
    <col min="32" max="32" width="8.81640625" style="85" customWidth="1"/>
    <col min="33" max="33" width="22.81640625" style="85" customWidth="1"/>
    <col min="34" max="34" width="15.81640625" style="85" customWidth="1"/>
    <col min="35" max="35" width="37" style="85" customWidth="1"/>
    <col min="36" max="36" width="2.81640625" style="85" customWidth="1"/>
    <col min="37" max="16384" width="8.81640625" style="85"/>
  </cols>
  <sheetData>
    <row r="1" spans="3:20" ht="12" customHeight="1">
      <c r="C1" s="120"/>
      <c r="D1" s="120"/>
      <c r="E1" s="84"/>
      <c r="F1" s="120"/>
      <c r="G1" s="120"/>
      <c r="H1" s="84"/>
      <c r="I1" s="84"/>
      <c r="J1" s="120"/>
      <c r="K1" s="84"/>
      <c r="L1" s="84"/>
      <c r="M1" s="84"/>
      <c r="P1" s="199"/>
      <c r="R1" s="200"/>
      <c r="T1" s="151"/>
    </row>
    <row r="2" spans="3:20" ht="33" customHeight="1">
      <c r="C2" s="844" t="s">
        <v>0</v>
      </c>
      <c r="D2" s="844"/>
      <c r="E2" s="844"/>
      <c r="F2" s="844"/>
      <c r="G2" s="844"/>
      <c r="H2" s="844"/>
      <c r="I2" s="844"/>
      <c r="J2" s="844"/>
      <c r="K2" s="84"/>
      <c r="L2" s="84"/>
      <c r="M2" s="84"/>
      <c r="P2" s="199"/>
      <c r="R2" s="200"/>
      <c r="T2" s="151"/>
    </row>
    <row r="3" spans="3:20" ht="39.75" customHeight="1">
      <c r="C3" s="226" t="s">
        <v>1</v>
      </c>
      <c r="D3" s="227"/>
      <c r="E3" s="227"/>
      <c r="F3" s="227"/>
      <c r="G3" s="228"/>
      <c r="H3" s="228"/>
      <c r="I3" s="228"/>
      <c r="J3" s="229"/>
      <c r="K3" s="228"/>
      <c r="L3" s="228"/>
      <c r="M3" s="193"/>
      <c r="Q3" s="201"/>
      <c r="R3" s="201"/>
      <c r="S3" s="150"/>
    </row>
    <row r="4" spans="3:20" ht="26.25" hidden="1" customHeight="1">
      <c r="C4" s="84"/>
      <c r="D4" s="84"/>
      <c r="E4" s="84"/>
      <c r="F4" s="84"/>
      <c r="G4" s="84"/>
      <c r="H4" s="84"/>
      <c r="I4" s="84"/>
      <c r="J4" s="845"/>
      <c r="K4" s="845"/>
      <c r="L4" s="84"/>
      <c r="M4" s="84"/>
      <c r="Q4" s="201"/>
      <c r="R4" s="201"/>
      <c r="S4" s="150"/>
    </row>
    <row r="5" spans="3:20" ht="14.25" hidden="1" customHeight="1">
      <c r="C5" s="84"/>
      <c r="D5" s="84"/>
      <c r="E5" s="84"/>
      <c r="F5" s="84"/>
      <c r="G5" s="84"/>
      <c r="H5" s="84"/>
      <c r="I5" s="84"/>
      <c r="J5" s="845"/>
      <c r="K5" s="845"/>
      <c r="L5" s="84"/>
      <c r="M5" s="84"/>
      <c r="Q5" s="201"/>
      <c r="R5" s="201"/>
      <c r="S5" s="150"/>
    </row>
    <row r="6" spans="3:20" ht="14.25" hidden="1" customHeight="1">
      <c r="C6" s="84"/>
      <c r="D6" s="84"/>
      <c r="E6" s="84"/>
      <c r="F6" s="84"/>
      <c r="G6" s="84"/>
      <c r="H6" s="84"/>
      <c r="I6" s="84"/>
      <c r="J6" s="84"/>
      <c r="K6" s="84"/>
      <c r="L6" s="107"/>
      <c r="M6" s="84"/>
      <c r="P6" s="202"/>
      <c r="Q6" s="201"/>
      <c r="R6" s="201"/>
      <c r="S6" s="150"/>
    </row>
    <row r="7" spans="3:20" ht="20.25" hidden="1" customHeight="1">
      <c r="C7" s="846" t="s">
        <v>2</v>
      </c>
      <c r="D7" s="847"/>
      <c r="E7" s="847"/>
      <c r="F7" s="847"/>
      <c r="G7" s="847"/>
      <c r="H7" s="847"/>
      <c r="I7" s="847"/>
      <c r="J7" s="847"/>
      <c r="K7" s="847"/>
      <c r="L7" s="847"/>
      <c r="M7" s="848"/>
      <c r="O7" s="187"/>
      <c r="P7" s="187"/>
      <c r="Q7" s="187"/>
      <c r="R7" s="187"/>
      <c r="S7" s="150"/>
    </row>
    <row r="8" spans="3:20" ht="20.25" hidden="1" customHeight="1">
      <c r="C8" s="849"/>
      <c r="D8" s="850"/>
      <c r="E8" s="850"/>
      <c r="F8" s="850"/>
      <c r="G8" s="850"/>
      <c r="H8" s="850"/>
      <c r="I8" s="850"/>
      <c r="J8" s="850"/>
      <c r="K8" s="850"/>
      <c r="L8" s="850"/>
      <c r="M8" s="851"/>
      <c r="O8" s="187"/>
      <c r="P8" s="187"/>
      <c r="Q8" s="187"/>
      <c r="R8" s="187"/>
      <c r="S8" s="150"/>
    </row>
    <row r="9" spans="3:20" ht="20.25" hidden="1" customHeight="1">
      <c r="C9" s="849"/>
      <c r="D9" s="850"/>
      <c r="E9" s="850"/>
      <c r="F9" s="850"/>
      <c r="G9" s="850"/>
      <c r="H9" s="850"/>
      <c r="I9" s="850"/>
      <c r="J9" s="850"/>
      <c r="K9" s="850"/>
      <c r="L9" s="850"/>
      <c r="M9" s="851"/>
      <c r="O9" s="187"/>
      <c r="P9" s="187"/>
      <c r="Q9" s="187"/>
      <c r="R9" s="187"/>
      <c r="S9" s="150"/>
    </row>
    <row r="10" spans="3:20" ht="27.25" hidden="1" customHeight="1">
      <c r="C10" s="852"/>
      <c r="D10" s="853"/>
      <c r="E10" s="853"/>
      <c r="F10" s="853"/>
      <c r="G10" s="853"/>
      <c r="H10" s="853"/>
      <c r="I10" s="853"/>
      <c r="J10" s="853"/>
      <c r="K10" s="853"/>
      <c r="L10" s="853"/>
      <c r="M10" s="854"/>
      <c r="O10" s="187"/>
      <c r="P10" s="187"/>
      <c r="Q10" s="187"/>
      <c r="R10" s="187"/>
      <c r="S10" s="150"/>
    </row>
    <row r="11" spans="3:20" ht="12" customHeight="1">
      <c r="C11" s="84"/>
      <c r="D11" s="84"/>
      <c r="E11" s="84"/>
      <c r="F11" s="84"/>
      <c r="G11" s="84"/>
      <c r="H11" s="84"/>
      <c r="I11" s="84"/>
      <c r="J11" s="120"/>
      <c r="K11" s="84"/>
      <c r="L11" s="84"/>
      <c r="M11" s="84"/>
      <c r="P11" s="199"/>
      <c r="R11" s="200"/>
      <c r="T11" s="151"/>
    </row>
    <row r="12" spans="3:20" ht="26.25" customHeight="1">
      <c r="C12" s="855" t="s">
        <v>3</v>
      </c>
      <c r="D12" s="856"/>
      <c r="E12" s="84"/>
      <c r="F12" s="84"/>
      <c r="G12" s="84"/>
      <c r="H12" s="84"/>
      <c r="I12" s="84"/>
      <c r="J12" s="84"/>
      <c r="K12" s="84"/>
      <c r="L12" s="107"/>
      <c r="M12" s="84"/>
      <c r="P12" s="199"/>
      <c r="Q12" s="201"/>
      <c r="R12" s="201"/>
      <c r="S12" s="150"/>
    </row>
    <row r="13" spans="3:20" ht="12" customHeight="1">
      <c r="E13" s="84"/>
      <c r="F13" s="84"/>
      <c r="G13" s="84"/>
      <c r="H13" s="84"/>
      <c r="I13" s="84"/>
      <c r="J13" s="120"/>
      <c r="K13" s="84"/>
      <c r="L13" s="84"/>
      <c r="M13" s="84"/>
      <c r="P13" s="199"/>
      <c r="R13" s="200"/>
      <c r="T13" s="151"/>
    </row>
    <row r="14" spans="3:20" ht="25.5" customHeight="1">
      <c r="C14" s="153" t="s">
        <v>4</v>
      </c>
      <c r="D14" s="153"/>
      <c r="E14" s="84"/>
      <c r="F14" s="84"/>
      <c r="G14" s="84"/>
      <c r="H14" s="84"/>
      <c r="I14" s="84"/>
      <c r="J14" s="84"/>
      <c r="K14" s="84"/>
      <c r="L14" s="84"/>
      <c r="M14" s="84"/>
      <c r="P14" s="199"/>
      <c r="R14" s="200"/>
      <c r="T14" s="151"/>
    </row>
    <row r="15" spans="3:20" ht="12" customHeight="1">
      <c r="E15" s="84"/>
      <c r="F15" s="84"/>
      <c r="G15" s="84"/>
      <c r="H15" s="84"/>
      <c r="I15" s="84"/>
      <c r="J15" s="84"/>
      <c r="K15" s="84"/>
      <c r="L15" s="84"/>
      <c r="M15" s="84"/>
      <c r="P15" s="199"/>
      <c r="R15" s="200"/>
      <c r="T15" s="151"/>
    </row>
    <row r="16" spans="3:20" ht="42.75" customHeight="1">
      <c r="C16" s="179" t="s">
        <v>5</v>
      </c>
      <c r="D16" s="704" t="s">
        <v>6</v>
      </c>
      <c r="E16" s="84"/>
      <c r="F16" s="84"/>
      <c r="G16" s="84"/>
      <c r="H16" s="84"/>
      <c r="I16" s="84"/>
      <c r="J16" s="84"/>
      <c r="K16" s="84"/>
      <c r="L16" s="84"/>
      <c r="M16" s="84"/>
      <c r="P16" s="199"/>
      <c r="R16" s="200"/>
      <c r="T16" s="151"/>
    </row>
    <row r="17" spans="3:20" ht="33" customHeight="1">
      <c r="C17" s="157" t="s">
        <v>7</v>
      </c>
      <c r="D17" s="154" t="s">
        <v>8</v>
      </c>
      <c r="E17" s="84"/>
      <c r="F17" s="84"/>
      <c r="G17" s="84"/>
      <c r="H17" s="84"/>
      <c r="I17" s="84"/>
      <c r="J17" s="120"/>
      <c r="K17" s="84"/>
      <c r="L17" s="84"/>
      <c r="M17" s="84"/>
      <c r="P17" s="199"/>
      <c r="R17" s="200"/>
      <c r="T17" s="151"/>
    </row>
    <row r="18" spans="3:20" ht="7.5" customHeight="1">
      <c r="C18" s="157"/>
      <c r="D18" s="156"/>
      <c r="E18" s="120"/>
      <c r="F18" s="84"/>
      <c r="G18" s="84"/>
      <c r="H18" s="84"/>
      <c r="I18" s="84"/>
      <c r="J18" s="120"/>
      <c r="K18" s="84"/>
      <c r="L18" s="84"/>
      <c r="M18" s="84"/>
      <c r="P18" s="199"/>
      <c r="R18" s="200"/>
      <c r="T18" s="151"/>
    </row>
    <row r="19" spans="3:20" ht="33" customHeight="1">
      <c r="C19" s="157" t="s">
        <v>9</v>
      </c>
      <c r="D19" s="154" t="s">
        <v>8</v>
      </c>
      <c r="E19" s="84"/>
      <c r="F19" s="84"/>
      <c r="G19" s="84"/>
      <c r="H19" s="84"/>
      <c r="I19" s="84"/>
      <c r="J19" s="120"/>
      <c r="K19" s="84"/>
      <c r="L19" s="84"/>
      <c r="M19" s="84"/>
      <c r="P19" s="199"/>
      <c r="R19" s="200"/>
      <c r="T19" s="151"/>
    </row>
    <row r="20" spans="3:20" ht="7.5" customHeight="1">
      <c r="C20" s="157"/>
      <c r="D20" s="156"/>
      <c r="E20" s="120"/>
      <c r="F20" s="84"/>
      <c r="G20" s="84"/>
      <c r="H20" s="84"/>
      <c r="I20" s="84"/>
      <c r="J20" s="120"/>
      <c r="K20" s="84"/>
      <c r="L20" s="84"/>
      <c r="M20" s="84"/>
      <c r="P20" s="199"/>
      <c r="R20" s="200"/>
      <c r="T20" s="151"/>
    </row>
    <row r="21" spans="3:20" ht="33" customHeight="1">
      <c r="C21" s="178" t="s">
        <v>10</v>
      </c>
      <c r="D21" s="155" t="s">
        <v>8</v>
      </c>
      <c r="E21" s="84"/>
      <c r="F21" s="84"/>
      <c r="G21" s="84"/>
      <c r="H21" s="84"/>
      <c r="I21" s="84"/>
      <c r="J21" s="120"/>
      <c r="K21" s="84"/>
      <c r="L21" s="84"/>
      <c r="M21" s="84"/>
      <c r="P21" s="199"/>
      <c r="R21" s="200"/>
      <c r="T21" s="151"/>
    </row>
    <row r="22" spans="3:20" ht="12" customHeight="1">
      <c r="C22" s="84"/>
      <c r="D22" s="84"/>
      <c r="E22" s="84"/>
      <c r="F22" s="84"/>
      <c r="G22" s="84"/>
      <c r="H22" s="84"/>
      <c r="I22" s="84"/>
      <c r="J22" s="120"/>
      <c r="K22" s="84"/>
      <c r="L22" s="84"/>
      <c r="M22" s="84"/>
      <c r="P22" s="199"/>
      <c r="R22" s="200"/>
      <c r="T22" s="151"/>
    </row>
    <row r="23" spans="3:20" ht="25.5" customHeight="1">
      <c r="C23" s="857" t="s">
        <v>11</v>
      </c>
      <c r="D23" s="858"/>
      <c r="E23" s="858"/>
      <c r="F23" s="858"/>
      <c r="G23" s="858"/>
      <c r="H23" s="858"/>
      <c r="I23" s="858"/>
      <c r="J23" s="858"/>
      <c r="K23" s="858"/>
      <c r="L23" s="858"/>
      <c r="M23" s="859"/>
      <c r="N23" s="700"/>
      <c r="O23" s="203"/>
      <c r="R23" s="204"/>
      <c r="S23" s="145"/>
      <c r="T23" s="146"/>
    </row>
    <row r="24" spans="3:20" ht="12" customHeight="1" thickBot="1">
      <c r="C24" s="84"/>
      <c r="D24" s="84"/>
      <c r="E24" s="84"/>
      <c r="F24" s="84"/>
      <c r="G24" s="84"/>
      <c r="H24" s="84"/>
      <c r="I24" s="84"/>
      <c r="J24" s="120"/>
      <c r="K24" s="84"/>
      <c r="L24" s="84"/>
      <c r="M24" s="84"/>
      <c r="P24" s="199"/>
      <c r="R24" s="200"/>
      <c r="T24" s="151"/>
    </row>
    <row r="25" spans="3:20" ht="119.5" customHeight="1" thickBot="1">
      <c r="C25" s="264" t="s">
        <v>12</v>
      </c>
      <c r="D25" s="839" t="s">
        <v>13</v>
      </c>
      <c r="E25" s="840"/>
      <c r="F25" s="841"/>
      <c r="G25" s="839" t="s">
        <v>14</v>
      </c>
      <c r="H25" s="840"/>
      <c r="I25" s="841"/>
      <c r="J25" s="839" t="s">
        <v>15</v>
      </c>
      <c r="K25" s="840"/>
      <c r="L25" s="842" t="s">
        <v>16</v>
      </c>
      <c r="M25" s="843"/>
      <c r="N25" s="701"/>
      <c r="O25" s="181"/>
      <c r="P25" s="205"/>
      <c r="R25" s="204"/>
      <c r="S25" s="145"/>
    </row>
    <row r="26" spans="3:20" ht="12" customHeight="1" thickBot="1">
      <c r="C26" s="84"/>
      <c r="D26" s="84"/>
      <c r="E26" s="84"/>
      <c r="F26" s="84"/>
      <c r="G26" s="84"/>
      <c r="H26" s="84"/>
      <c r="I26" s="84"/>
      <c r="J26" s="120"/>
      <c r="K26" s="84"/>
      <c r="L26" s="84"/>
      <c r="M26" s="84"/>
      <c r="P26" s="199"/>
      <c r="R26" s="200"/>
      <c r="T26" s="151"/>
    </row>
    <row r="27" spans="3:20" ht="25.5" customHeight="1" thickBot="1">
      <c r="C27" s="237" t="s">
        <v>17</v>
      </c>
      <c r="D27" s="860">
        <v>2026</v>
      </c>
      <c r="E27" s="861"/>
      <c r="F27" s="861"/>
      <c r="G27" s="861"/>
      <c r="H27" s="861"/>
      <c r="I27" s="861"/>
      <c r="J27" s="861"/>
      <c r="K27" s="862"/>
      <c r="L27" s="863" t="s">
        <v>18</v>
      </c>
      <c r="M27" s="864"/>
      <c r="N27" s="710"/>
      <c r="O27" s="206"/>
      <c r="R27" s="180"/>
      <c r="T27" s="136"/>
    </row>
    <row r="28" spans="3:20" ht="12" customHeight="1" thickBot="1">
      <c r="C28" s="84"/>
      <c r="D28" s="84"/>
      <c r="E28" s="84"/>
      <c r="F28" s="84"/>
      <c r="G28" s="84"/>
      <c r="H28" s="84"/>
      <c r="I28" s="84"/>
      <c r="J28" s="120"/>
      <c r="K28" s="84"/>
      <c r="L28" s="84"/>
      <c r="M28" s="84"/>
      <c r="P28" s="199"/>
      <c r="R28" s="200"/>
      <c r="T28" s="151"/>
    </row>
    <row r="29" spans="3:20" ht="12" hidden="1" customHeight="1" thickBot="1">
      <c r="C29" s="84"/>
      <c r="D29" s="84"/>
      <c r="E29" s="84"/>
      <c r="F29" s="84"/>
      <c r="G29" s="84"/>
      <c r="H29" s="84"/>
      <c r="I29" s="84"/>
      <c r="J29" s="120"/>
      <c r="K29" s="84"/>
      <c r="L29" s="84"/>
      <c r="M29" s="84"/>
      <c r="P29" s="199"/>
      <c r="R29" s="200"/>
      <c r="T29" s="151"/>
    </row>
    <row r="30" spans="3:20" ht="20.5" customHeight="1" thickBot="1">
      <c r="C30" s="865" t="s">
        <v>5</v>
      </c>
      <c r="D30" s="867" t="s">
        <v>7</v>
      </c>
      <c r="E30" s="868"/>
      <c r="F30" s="869"/>
      <c r="G30" s="867" t="s">
        <v>19</v>
      </c>
      <c r="H30" s="868"/>
      <c r="I30" s="869"/>
      <c r="J30" s="259" t="s">
        <v>7</v>
      </c>
      <c r="K30" s="260" t="s">
        <v>19</v>
      </c>
      <c r="L30" s="870" t="s">
        <v>20</v>
      </c>
      <c r="M30" s="871"/>
      <c r="N30" s="710"/>
      <c r="O30" s="206"/>
      <c r="R30" s="207"/>
      <c r="T30" s="147"/>
    </row>
    <row r="31" spans="3:20" ht="24.75" customHeight="1" thickBot="1">
      <c r="C31" s="866"/>
      <c r="D31" s="874">
        <v>150000</v>
      </c>
      <c r="E31" s="875"/>
      <c r="F31" s="876"/>
      <c r="G31" s="874">
        <v>140000</v>
      </c>
      <c r="H31" s="875"/>
      <c r="I31" s="876"/>
      <c r="J31" s="257">
        <f>IF($D$21="Yes",D$31,IF($D$21="No",0))</f>
        <v>150000</v>
      </c>
      <c r="K31" s="258">
        <f>J31-(J31*J38)</f>
        <v>75000</v>
      </c>
      <c r="L31" s="872"/>
      <c r="M31" s="873"/>
      <c r="N31" s="710"/>
      <c r="O31" s="206"/>
      <c r="R31" s="207"/>
      <c r="T31" s="147"/>
    </row>
    <row r="32" spans="3:20" ht="30" hidden="1" customHeight="1">
      <c r="C32" s="250" t="s">
        <v>21</v>
      </c>
      <c r="D32" s="252">
        <v>12</v>
      </c>
      <c r="E32" s="248"/>
      <c r="F32" s="253"/>
      <c r="G32" s="252">
        <v>6</v>
      </c>
      <c r="H32" s="248"/>
      <c r="I32" s="253"/>
      <c r="J32" s="232">
        <f>D32</f>
        <v>12</v>
      </c>
      <c r="K32" s="235">
        <f>G32</f>
        <v>6</v>
      </c>
      <c r="L32" s="870" t="s">
        <v>22</v>
      </c>
      <c r="M32" s="871"/>
      <c r="N32" s="710"/>
      <c r="O32" s="206"/>
      <c r="R32" s="207"/>
      <c r="T32" s="147"/>
    </row>
    <row r="33" spans="3:20" ht="32.25" hidden="1" customHeight="1" thickBot="1">
      <c r="C33" s="251" t="s">
        <v>23</v>
      </c>
      <c r="D33" s="254">
        <v>0.7</v>
      </c>
      <c r="E33" s="249"/>
      <c r="F33" s="255"/>
      <c r="G33" s="254">
        <v>1</v>
      </c>
      <c r="H33" s="249"/>
      <c r="I33" s="255"/>
      <c r="J33" s="256">
        <f>D33</f>
        <v>0.7</v>
      </c>
      <c r="K33" s="234">
        <f>G33</f>
        <v>1</v>
      </c>
      <c r="L33" s="870" t="s">
        <v>24</v>
      </c>
      <c r="M33" s="871"/>
      <c r="N33" s="710"/>
      <c r="O33" s="206"/>
      <c r="R33" s="207"/>
      <c r="T33" s="147"/>
    </row>
    <row r="34" spans="3:20" ht="25.5" hidden="1" customHeight="1" thickBot="1">
      <c r="C34" s="246" t="s">
        <v>25</v>
      </c>
      <c r="D34" s="877">
        <f>D31*(D32/12)*D33</f>
        <v>105000</v>
      </c>
      <c r="E34" s="878"/>
      <c r="F34" s="879"/>
      <c r="G34" s="877">
        <f t="shared" ref="G34" si="0">G31*(G32/12)*G33</f>
        <v>70000</v>
      </c>
      <c r="H34" s="878"/>
      <c r="I34" s="879"/>
      <c r="J34" s="247">
        <f>J31*(J32/12)*J33</f>
        <v>105000</v>
      </c>
      <c r="K34" s="247">
        <f>K31*(K32/12)*K33</f>
        <v>37500</v>
      </c>
      <c r="L34" s="245"/>
      <c r="M34" s="244"/>
      <c r="N34" s="710"/>
      <c r="O34" s="206"/>
      <c r="R34" s="208"/>
      <c r="T34" s="148"/>
    </row>
    <row r="35" spans="3:20" ht="25.5" customHeight="1" thickBot="1">
      <c r="C35" s="239" t="s">
        <v>26</v>
      </c>
      <c r="D35" s="880">
        <v>0.02</v>
      </c>
      <c r="E35" s="881"/>
      <c r="F35" s="881"/>
      <c r="G35" s="880">
        <v>0.02</v>
      </c>
      <c r="H35" s="881"/>
      <c r="I35" s="882"/>
      <c r="J35" s="238">
        <v>0.02</v>
      </c>
      <c r="K35" s="238">
        <v>0.02</v>
      </c>
      <c r="L35" s="863" t="s">
        <v>27</v>
      </c>
      <c r="M35" s="864"/>
      <c r="N35" s="710"/>
      <c r="O35" s="206"/>
      <c r="R35" s="208"/>
      <c r="T35" s="148"/>
    </row>
    <row r="36" spans="3:20" ht="12" customHeight="1" thickBot="1">
      <c r="C36" s="84"/>
      <c r="D36" s="84"/>
      <c r="E36" s="84"/>
      <c r="F36" s="84"/>
      <c r="G36" s="84"/>
      <c r="H36" s="84"/>
      <c r="I36" s="84"/>
      <c r="J36" s="120"/>
      <c r="K36" s="84"/>
      <c r="L36" s="84"/>
      <c r="M36" s="84"/>
      <c r="P36" s="199"/>
      <c r="R36" s="200"/>
      <c r="T36" s="151"/>
    </row>
    <row r="37" spans="3:20" ht="25.5" customHeight="1" thickBot="1">
      <c r="C37" s="261" t="s">
        <v>28</v>
      </c>
      <c r="D37" s="241"/>
      <c r="E37" s="241"/>
      <c r="F37" s="241"/>
      <c r="G37" s="241"/>
      <c r="H37" s="241"/>
      <c r="I37" s="241"/>
      <c r="J37" s="241"/>
      <c r="K37" s="242"/>
      <c r="L37" s="863" t="s">
        <v>29</v>
      </c>
      <c r="M37" s="864"/>
      <c r="N37" s="710"/>
      <c r="O37" s="206"/>
      <c r="R37" s="208"/>
      <c r="T37" s="148"/>
    </row>
    <row r="38" spans="3:20" ht="24.75" customHeight="1">
      <c r="C38" s="236">
        <v>2026</v>
      </c>
      <c r="D38" s="892">
        <v>0.5</v>
      </c>
      <c r="E38" s="893"/>
      <c r="F38" s="893"/>
      <c r="G38" s="892">
        <v>0.5</v>
      </c>
      <c r="H38" s="893"/>
      <c r="I38" s="893"/>
      <c r="J38" s="240">
        <v>0.5</v>
      </c>
      <c r="K38" s="233">
        <v>0.5</v>
      </c>
      <c r="L38" s="894" t="s">
        <v>30</v>
      </c>
      <c r="M38" s="871"/>
      <c r="N38" s="177"/>
      <c r="O38" s="231"/>
      <c r="R38" s="208"/>
      <c r="T38" s="148"/>
    </row>
    <row r="39" spans="3:20" ht="25.5" customHeight="1">
      <c r="C39" s="164">
        <v>2027</v>
      </c>
      <c r="D39" s="898">
        <v>0.55000000000000004</v>
      </c>
      <c r="E39" s="899"/>
      <c r="F39" s="899"/>
      <c r="G39" s="898">
        <v>0.55000000000000004</v>
      </c>
      <c r="H39" s="899"/>
      <c r="I39" s="899"/>
      <c r="J39" s="162">
        <v>0.55000000000000004</v>
      </c>
      <c r="K39" s="161">
        <v>0.55000000000000004</v>
      </c>
      <c r="L39" s="895"/>
      <c r="M39" s="896"/>
      <c r="N39" s="177"/>
      <c r="O39" s="243"/>
      <c r="R39" s="208"/>
      <c r="T39" s="148"/>
    </row>
    <row r="40" spans="3:20" ht="24" customHeight="1">
      <c r="C40" s="164">
        <v>2028</v>
      </c>
      <c r="D40" s="898">
        <v>0.78</v>
      </c>
      <c r="E40" s="899"/>
      <c r="F40" s="899"/>
      <c r="G40" s="898">
        <v>0.78</v>
      </c>
      <c r="H40" s="899"/>
      <c r="I40" s="899"/>
      <c r="J40" s="162">
        <v>0.78</v>
      </c>
      <c r="K40" s="161">
        <v>0.78</v>
      </c>
      <c r="L40" s="895"/>
      <c r="M40" s="896"/>
      <c r="N40" s="177"/>
      <c r="O40" s="209"/>
      <c r="R40" s="208"/>
      <c r="T40" s="148"/>
    </row>
    <row r="41" spans="3:20" ht="24" customHeight="1">
      <c r="C41" s="164">
        <v>2029</v>
      </c>
      <c r="D41" s="898">
        <v>0.85</v>
      </c>
      <c r="E41" s="899"/>
      <c r="F41" s="899"/>
      <c r="G41" s="898">
        <v>0.85</v>
      </c>
      <c r="H41" s="899"/>
      <c r="I41" s="899"/>
      <c r="J41" s="162">
        <v>0.85</v>
      </c>
      <c r="K41" s="161">
        <v>0.85</v>
      </c>
      <c r="L41" s="895"/>
      <c r="M41" s="896"/>
      <c r="N41" s="177"/>
      <c r="O41" s="209"/>
      <c r="R41" s="208"/>
      <c r="T41" s="148"/>
    </row>
    <row r="42" spans="3:20" ht="24" customHeight="1" thickBot="1">
      <c r="C42" s="165">
        <v>2030</v>
      </c>
      <c r="D42" s="900">
        <v>0.9</v>
      </c>
      <c r="E42" s="901"/>
      <c r="F42" s="901"/>
      <c r="G42" s="900">
        <v>0.9</v>
      </c>
      <c r="H42" s="901"/>
      <c r="I42" s="901"/>
      <c r="J42" s="163">
        <v>0.9</v>
      </c>
      <c r="K42" s="166">
        <v>0.9</v>
      </c>
      <c r="L42" s="897"/>
      <c r="M42" s="873"/>
      <c r="N42" s="177"/>
      <c r="O42" s="209"/>
      <c r="R42" s="208"/>
      <c r="T42" s="148"/>
    </row>
    <row r="43" spans="3:20" ht="12" customHeight="1">
      <c r="C43" s="84"/>
      <c r="D43" s="84"/>
      <c r="E43" s="84"/>
      <c r="F43" s="84"/>
      <c r="G43" s="84"/>
      <c r="H43" s="84"/>
      <c r="I43" s="84"/>
      <c r="J43" s="120"/>
      <c r="K43" s="84"/>
      <c r="L43" s="84"/>
      <c r="M43" s="84"/>
      <c r="P43" s="199"/>
      <c r="R43" s="200"/>
      <c r="T43" s="151"/>
    </row>
    <row r="44" spans="3:20" ht="25.5" customHeight="1">
      <c r="C44" s="857" t="s">
        <v>31</v>
      </c>
      <c r="D44" s="858"/>
      <c r="E44" s="858"/>
      <c r="F44" s="858"/>
      <c r="G44" s="858"/>
      <c r="H44" s="858"/>
      <c r="I44" s="858"/>
      <c r="J44" s="858"/>
      <c r="K44" s="858"/>
      <c r="L44" s="858"/>
      <c r="M44" s="859"/>
      <c r="N44" s="700"/>
      <c r="O44" s="203"/>
      <c r="P44" s="199"/>
      <c r="R44" s="200"/>
      <c r="T44" s="151"/>
    </row>
    <row r="45" spans="3:20" ht="12" customHeight="1">
      <c r="C45" s="84"/>
      <c r="D45" s="84"/>
      <c r="E45" s="84"/>
      <c r="F45" s="84"/>
      <c r="G45" s="84"/>
      <c r="H45" s="84"/>
      <c r="I45" s="84"/>
      <c r="J45" s="120"/>
      <c r="K45" s="84"/>
      <c r="L45" s="84"/>
      <c r="M45" s="84"/>
      <c r="P45" s="199"/>
      <c r="R45" s="200"/>
      <c r="T45" s="151"/>
    </row>
    <row r="46" spans="3:20" ht="32.25" customHeight="1">
      <c r="C46" s="183" t="s">
        <v>32</v>
      </c>
      <c r="D46" s="167" t="s">
        <v>8</v>
      </c>
      <c r="E46" s="902" t="s">
        <v>33</v>
      </c>
      <c r="F46" s="903"/>
      <c r="G46" s="903"/>
      <c r="H46" s="903"/>
      <c r="I46" s="903"/>
      <c r="J46" s="903"/>
      <c r="K46" s="903"/>
      <c r="L46" s="903"/>
      <c r="M46" s="904"/>
      <c r="N46" s="224"/>
      <c r="O46" s="210"/>
      <c r="P46" s="199"/>
      <c r="R46" s="200"/>
      <c r="T46" s="151"/>
    </row>
    <row r="47" spans="3:20" ht="12" customHeight="1">
      <c r="C47" s="84"/>
      <c r="D47" s="84"/>
      <c r="E47" s="84"/>
      <c r="F47" s="84"/>
      <c r="G47" s="84"/>
      <c r="H47" s="84"/>
      <c r="I47" s="84"/>
      <c r="J47" s="120"/>
      <c r="K47" s="84"/>
      <c r="L47" s="84"/>
      <c r="M47" s="84"/>
      <c r="P47" s="199"/>
      <c r="R47" s="200"/>
      <c r="T47" s="151"/>
    </row>
    <row r="48" spans="3:20" ht="57" customHeight="1">
      <c r="C48" s="169" t="s">
        <v>34</v>
      </c>
      <c r="D48" s="168" t="s">
        <v>35</v>
      </c>
      <c r="E48" s="905" t="s">
        <v>36</v>
      </c>
      <c r="F48" s="906"/>
      <c r="G48" s="906"/>
      <c r="H48" s="906"/>
      <c r="I48" s="906"/>
      <c r="J48" s="906"/>
      <c r="K48" s="906"/>
      <c r="L48" s="906"/>
      <c r="M48" s="907"/>
      <c r="N48" s="699"/>
      <c r="O48" s="211"/>
      <c r="P48" s="199"/>
      <c r="R48" s="200"/>
      <c r="T48" s="151"/>
    </row>
    <row r="49" spans="1:35" ht="25.5" customHeight="1">
      <c r="C49" s="179" t="s">
        <v>37</v>
      </c>
      <c r="D49" s="703"/>
      <c r="E49" s="708"/>
      <c r="F49" s="708"/>
      <c r="G49" s="708"/>
      <c r="H49" s="708"/>
      <c r="I49" s="708"/>
      <c r="J49" s="708"/>
      <c r="K49" s="708"/>
      <c r="L49" s="708"/>
      <c r="M49" s="708"/>
      <c r="P49" s="199"/>
      <c r="R49" s="200"/>
      <c r="T49" s="151"/>
    </row>
    <row r="50" spans="1:35" ht="25.5" customHeight="1">
      <c r="C50" s="170">
        <f>D27</f>
        <v>2026</v>
      </c>
      <c r="D50" s="188">
        <v>0.2</v>
      </c>
      <c r="E50" s="883" t="s">
        <v>38</v>
      </c>
      <c r="F50" s="884"/>
      <c r="G50" s="884"/>
      <c r="H50" s="884"/>
      <c r="I50" s="884"/>
      <c r="J50" s="884"/>
      <c r="K50" s="884"/>
      <c r="L50" s="884"/>
      <c r="M50" s="885"/>
      <c r="N50" s="699"/>
      <c r="O50" s="211"/>
      <c r="P50" s="199"/>
      <c r="R50" s="200"/>
      <c r="T50" s="151"/>
    </row>
    <row r="51" spans="1:35" ht="25.5" customHeight="1">
      <c r="C51" s="149">
        <f>$D$27+1</f>
        <v>2027</v>
      </c>
      <c r="D51" s="188">
        <v>0.25</v>
      </c>
      <c r="E51" s="886"/>
      <c r="F51" s="887"/>
      <c r="G51" s="887"/>
      <c r="H51" s="887"/>
      <c r="I51" s="887"/>
      <c r="J51" s="887"/>
      <c r="K51" s="887"/>
      <c r="L51" s="887"/>
      <c r="M51" s="888"/>
      <c r="N51" s="699"/>
      <c r="O51" s="211"/>
      <c r="P51" s="199"/>
      <c r="R51" s="200"/>
      <c r="T51" s="151"/>
    </row>
    <row r="52" spans="1:35" ht="25.5" customHeight="1">
      <c r="C52" s="149">
        <f>$D$27+2</f>
        <v>2028</v>
      </c>
      <c r="D52" s="188">
        <v>0.3</v>
      </c>
      <c r="E52" s="886"/>
      <c r="F52" s="887"/>
      <c r="G52" s="887"/>
      <c r="H52" s="887"/>
      <c r="I52" s="887"/>
      <c r="J52" s="887"/>
      <c r="K52" s="887"/>
      <c r="L52" s="887"/>
      <c r="M52" s="888"/>
      <c r="N52" s="699"/>
      <c r="O52" s="211"/>
      <c r="P52" s="199"/>
      <c r="R52" s="200"/>
      <c r="T52" s="151"/>
    </row>
    <row r="53" spans="1:35" ht="25.5" customHeight="1">
      <c r="C53" s="149">
        <f>$D$27+3</f>
        <v>2029</v>
      </c>
      <c r="D53" s="188">
        <v>0.35</v>
      </c>
      <c r="E53" s="886"/>
      <c r="F53" s="887"/>
      <c r="G53" s="887"/>
      <c r="H53" s="887"/>
      <c r="I53" s="887"/>
      <c r="J53" s="887"/>
      <c r="K53" s="887"/>
      <c r="L53" s="887"/>
      <c r="M53" s="888"/>
      <c r="N53" s="699"/>
      <c r="O53" s="211"/>
      <c r="P53" s="199"/>
      <c r="R53" s="200"/>
      <c r="T53" s="151"/>
    </row>
    <row r="54" spans="1:35" ht="25.5" customHeight="1">
      <c r="C54" s="149">
        <f>$D$27+4</f>
        <v>2030</v>
      </c>
      <c r="D54" s="188">
        <v>0.45</v>
      </c>
      <c r="E54" s="889"/>
      <c r="F54" s="890"/>
      <c r="G54" s="890"/>
      <c r="H54" s="890"/>
      <c r="I54" s="890"/>
      <c r="J54" s="890"/>
      <c r="K54" s="890"/>
      <c r="L54" s="890"/>
      <c r="M54" s="891"/>
      <c r="N54" s="699"/>
      <c r="O54" s="211"/>
      <c r="P54" s="199"/>
      <c r="R54" s="200"/>
      <c r="T54" s="151"/>
    </row>
    <row r="55" spans="1:35" ht="46.5" customHeight="1">
      <c r="C55" s="908" t="s">
        <v>39</v>
      </c>
      <c r="D55" s="908"/>
      <c r="E55" s="909"/>
      <c r="F55" s="909"/>
      <c r="G55" s="909"/>
      <c r="H55" s="909"/>
      <c r="I55" s="909"/>
      <c r="J55" s="909"/>
      <c r="K55" s="909"/>
      <c r="L55" s="84"/>
      <c r="M55" s="84"/>
      <c r="O55" s="230"/>
      <c r="P55" s="199"/>
      <c r="R55" s="200"/>
      <c r="T55" s="151"/>
    </row>
    <row r="56" spans="1:35" ht="12" customHeight="1">
      <c r="C56" s="84"/>
      <c r="D56" s="84"/>
      <c r="E56" s="84"/>
      <c r="F56" s="84"/>
      <c r="G56" s="84"/>
      <c r="H56" s="84"/>
      <c r="I56" s="84"/>
      <c r="J56" s="120"/>
      <c r="K56" s="84"/>
      <c r="L56" s="84"/>
      <c r="M56" s="84"/>
      <c r="P56" s="199"/>
      <c r="R56" s="200"/>
      <c r="T56" s="151"/>
    </row>
    <row r="57" spans="1:35" ht="25.5" customHeight="1">
      <c r="C57" s="189" t="s">
        <v>40</v>
      </c>
      <c r="D57" s="158"/>
      <c r="E57" s="158"/>
      <c r="F57" s="158"/>
      <c r="G57" s="158"/>
      <c r="H57" s="158"/>
      <c r="I57" s="158"/>
      <c r="J57" s="158"/>
      <c r="K57" s="158"/>
      <c r="L57" s="158"/>
      <c r="M57" s="159"/>
      <c r="N57" s="146"/>
      <c r="O57" s="212"/>
      <c r="P57" s="212"/>
      <c r="Q57" s="212"/>
      <c r="R57" s="212"/>
      <c r="S57" s="145"/>
      <c r="T57" s="145"/>
      <c r="U57" s="145"/>
      <c r="V57" s="145"/>
      <c r="W57" s="145"/>
      <c r="Y57" s="910"/>
      <c r="Z57" s="910"/>
      <c r="AA57" s="910"/>
      <c r="AB57" s="910"/>
      <c r="AC57" s="910"/>
      <c r="AD57" s="910"/>
      <c r="AE57" s="910"/>
      <c r="AF57" s="910"/>
      <c r="AG57" s="910"/>
      <c r="AH57" s="910"/>
      <c r="AI57" s="910"/>
    </row>
    <row r="58" spans="1:35">
      <c r="C58" s="105" t="s">
        <v>41</v>
      </c>
      <c r="D58" s="84"/>
      <c r="E58" s="84"/>
      <c r="F58" s="84"/>
      <c r="G58" s="106" t="s">
        <v>42</v>
      </c>
      <c r="H58" s="106"/>
      <c r="I58" s="106"/>
      <c r="J58" s="84"/>
      <c r="K58" s="84"/>
      <c r="L58" s="84"/>
      <c r="M58" s="84"/>
      <c r="N58" s="160" t="s">
        <v>43</v>
      </c>
    </row>
    <row r="59" spans="1:35">
      <c r="C59" s="105"/>
      <c r="D59" s="84"/>
      <c r="E59" s="84"/>
      <c r="F59" s="84"/>
      <c r="G59" s="84"/>
      <c r="H59" s="84"/>
      <c r="I59" s="84"/>
      <c r="J59" s="84"/>
      <c r="K59" s="84"/>
      <c r="L59" s="84"/>
      <c r="M59" s="84"/>
    </row>
    <row r="60" spans="1:35" ht="25.5" customHeight="1">
      <c r="C60" s="184" t="s">
        <v>44</v>
      </c>
      <c r="D60" s="185"/>
      <c r="E60" s="185"/>
      <c r="F60" s="185"/>
      <c r="G60" s="185"/>
      <c r="H60" s="185"/>
      <c r="I60" s="185"/>
      <c r="J60" s="185"/>
      <c r="K60" s="185"/>
      <c r="L60" s="185"/>
      <c r="M60" s="186"/>
      <c r="N60" s="190"/>
      <c r="O60" s="175"/>
      <c r="P60" s="175"/>
      <c r="Q60" s="175"/>
      <c r="R60" s="181"/>
      <c r="S60" s="701"/>
      <c r="T60" s="701"/>
      <c r="U60" s="701"/>
      <c r="V60" s="701"/>
      <c r="W60" s="701"/>
      <c r="Y60" s="911"/>
      <c r="Z60" s="911"/>
      <c r="AA60" s="911"/>
      <c r="AB60" s="911"/>
      <c r="AC60" s="911"/>
      <c r="AD60" s="911"/>
      <c r="AE60" s="911"/>
      <c r="AF60" s="911"/>
      <c r="AG60" s="911"/>
      <c r="AH60" s="911"/>
      <c r="AI60" s="911"/>
    </row>
    <row r="61" spans="1:35" ht="7.5" customHeight="1">
      <c r="C61" s="105"/>
      <c r="D61" s="84"/>
      <c r="E61" s="84"/>
      <c r="F61" s="84"/>
      <c r="G61" s="84"/>
      <c r="H61" s="84"/>
      <c r="I61" s="84"/>
      <c r="J61" s="84"/>
      <c r="K61" s="84"/>
      <c r="L61" s="84"/>
      <c r="M61" s="84"/>
    </row>
    <row r="62" spans="1:35" s="112" customFormat="1" ht="75.75" customHeight="1">
      <c r="A62" s="84"/>
      <c r="B62" s="84"/>
      <c r="C62" s="173" t="s">
        <v>45</v>
      </c>
      <c r="D62" s="912" t="s">
        <v>46</v>
      </c>
      <c r="E62" s="913"/>
      <c r="F62" s="913"/>
      <c r="G62" s="912" t="s">
        <v>47</v>
      </c>
      <c r="H62" s="913"/>
      <c r="I62" s="914"/>
      <c r="J62" s="915" t="s">
        <v>48</v>
      </c>
      <c r="K62" s="915"/>
      <c r="L62" s="916" t="s">
        <v>16</v>
      </c>
      <c r="M62" s="917"/>
      <c r="N62" s="85"/>
      <c r="R62" s="174"/>
      <c r="S62" s="181"/>
      <c r="T62" s="174"/>
      <c r="U62" s="181"/>
      <c r="W62" s="181"/>
      <c r="X62" s="174"/>
      <c r="Y62" s="174"/>
      <c r="Z62" s="181"/>
      <c r="AA62" s="181"/>
      <c r="AC62" s="175"/>
    </row>
    <row r="63" spans="1:35" s="112" customFormat="1" ht="56.25" hidden="1" customHeight="1">
      <c r="A63" s="84"/>
      <c r="B63" s="84"/>
      <c r="C63" s="173"/>
      <c r="D63" s="702" t="s">
        <v>49</v>
      </c>
      <c r="E63" s="702" t="s">
        <v>50</v>
      </c>
      <c r="F63" s="702" t="s">
        <v>51</v>
      </c>
      <c r="G63" s="99"/>
      <c r="H63" s="702"/>
      <c r="I63" s="702"/>
      <c r="J63" s="702"/>
      <c r="K63" s="702"/>
      <c r="L63" s="918"/>
      <c r="M63" s="919"/>
      <c r="N63" s="85"/>
      <c r="R63" s="174"/>
      <c r="S63" s="181"/>
      <c r="T63" s="174"/>
      <c r="U63" s="181"/>
      <c r="W63" s="181"/>
      <c r="X63" s="174"/>
      <c r="Y63" s="174"/>
      <c r="Z63" s="181"/>
      <c r="AA63" s="181"/>
      <c r="AC63" s="175"/>
    </row>
    <row r="64" spans="1:35" ht="36.75" customHeight="1">
      <c r="C64" s="179" t="s">
        <v>52</v>
      </c>
      <c r="D64" s="168" t="s">
        <v>53</v>
      </c>
      <c r="E64" s="168" t="s">
        <v>54</v>
      </c>
      <c r="F64" s="168" t="s">
        <v>55</v>
      </c>
      <c r="G64" s="168" t="s">
        <v>56</v>
      </c>
      <c r="H64" s="168" t="s">
        <v>57</v>
      </c>
      <c r="I64" s="168" t="s">
        <v>58</v>
      </c>
      <c r="J64" s="168" t="s">
        <v>53</v>
      </c>
      <c r="K64" s="168" t="s">
        <v>56</v>
      </c>
      <c r="L64" s="920"/>
      <c r="M64" s="921"/>
      <c r="R64" s="213"/>
      <c r="S64" s="135"/>
      <c r="T64" s="136"/>
      <c r="U64" s="136"/>
      <c r="W64" s="701"/>
      <c r="X64" s="708"/>
      <c r="Z64" s="708"/>
      <c r="AB64" s="708"/>
    </row>
    <row r="65" spans="1:351" ht="48.75" customHeight="1">
      <c r="C65" s="87"/>
      <c r="D65" s="119" t="str">
        <f>IF(D64=Data!$A$13, "! This product is not available for Gavi countries !"," ")</f>
        <v xml:space="preserve"> </v>
      </c>
      <c r="E65" s="119" t="str">
        <f>IF(E64=Data!$A$13, "! This product is not available for Gavi countries !"," ")</f>
        <v xml:space="preserve"> </v>
      </c>
      <c r="F65" s="119" t="str">
        <f>IF(F64=Data!$A$13, "! This product is not available for Gavi countries !"," ")</f>
        <v xml:space="preserve"> </v>
      </c>
      <c r="G65" s="119" t="str">
        <f>IF(G64=Data!$A$13, "! This product is not available for Gavi countries !"," ")</f>
        <v xml:space="preserve"> </v>
      </c>
      <c r="H65" s="119" t="str">
        <f>IF(H64=Data!$A$13, "! This product is not available for Gavi countries !"," ")</f>
        <v xml:space="preserve"> </v>
      </c>
      <c r="I65" s="119" t="str">
        <f>IF(I64=Data!$A$13, "! This product is not available for Gavi countries !"," ")</f>
        <v xml:space="preserve"> </v>
      </c>
      <c r="J65" s="119"/>
      <c r="K65" s="119"/>
      <c r="L65" s="84"/>
      <c r="M65" s="84"/>
      <c r="N65" s="160"/>
      <c r="R65" s="176"/>
      <c r="S65" s="129"/>
      <c r="T65" s="137"/>
      <c r="U65" s="135"/>
      <c r="X65" s="708"/>
      <c r="Z65" s="708"/>
      <c r="AB65" s="708"/>
    </row>
    <row r="66" spans="1:351" ht="20.25" customHeight="1">
      <c r="C66" s="706" t="s">
        <v>59</v>
      </c>
      <c r="D66" s="268">
        <v>3</v>
      </c>
      <c r="E66" s="96" t="s">
        <v>60</v>
      </c>
      <c r="F66" s="269"/>
      <c r="G66" s="267">
        <v>3</v>
      </c>
      <c r="H66" s="96"/>
      <c r="I66" s="269"/>
      <c r="J66" s="96">
        <v>3</v>
      </c>
      <c r="K66" s="269">
        <v>3</v>
      </c>
      <c r="L66" s="863"/>
      <c r="M66" s="864"/>
      <c r="N66" s="160" t="s">
        <v>61</v>
      </c>
      <c r="R66" s="214"/>
      <c r="S66" s="130"/>
      <c r="T66" s="129"/>
      <c r="U66" s="129"/>
      <c r="W66" s="710"/>
      <c r="X66" s="708"/>
      <c r="Z66" s="708"/>
      <c r="AB66" s="708"/>
    </row>
    <row r="67" spans="1:351" ht="20.25" customHeight="1">
      <c r="C67" s="274" t="s">
        <v>62</v>
      </c>
      <c r="D67" s="271">
        <f>IFERROR(INDEX(Data!$A$2:$E$9,MATCH(D64,Data!$A$2:$A$9,0),2),"-")</f>
        <v>3.5</v>
      </c>
      <c r="E67" s="275" t="str">
        <f>IFERROR(INDEX(Data!$A$2:$E$9,MATCH(E64,Data!$A$2:$A$9,0),2),"-")</f>
        <v>-</v>
      </c>
      <c r="F67" s="272" t="str">
        <f>IFERROR(INDEX(Data!$A$2:$E$9,MATCH(F64,Data!$A$2:$A$9,0),2),"-")</f>
        <v>-</v>
      </c>
      <c r="G67" s="270">
        <f>IFERROR(INDEX(Data!$A$2:$E$9,MATCH(G64,Data!$A$2:$A$9,0),2),"-")</f>
        <v>20</v>
      </c>
      <c r="H67" s="275" t="str">
        <f>IFERROR(INDEX(Data!$A$2:$E$9,MATCH(H64,Data!$A$2:$A$9,0),2),"-")</f>
        <v>-</v>
      </c>
      <c r="I67" s="272" t="str">
        <f>IFERROR(INDEX(Data!$A$2:$E$9,MATCH(I64,Data!$A$2:$A$9,0),2),"-")</f>
        <v>-</v>
      </c>
      <c r="J67" s="275">
        <f>IFERROR(INDEX(Data!$A$2:$E$9,MATCH(J64,Data!$A$2:$A$9,0),2),"-")</f>
        <v>3.5</v>
      </c>
      <c r="K67" s="272">
        <f>IFERROR(INDEX(Data!$A$2:$E$9,MATCH(K64,Data!$A$2:$A$9,0),2),"-")</f>
        <v>20</v>
      </c>
      <c r="L67" s="863"/>
      <c r="M67" s="864"/>
      <c r="N67" s="160"/>
      <c r="R67" s="214"/>
      <c r="S67" s="130"/>
      <c r="T67" s="129"/>
      <c r="U67" s="129"/>
      <c r="W67" s="710"/>
      <c r="X67" s="708"/>
      <c r="Z67" s="708"/>
      <c r="AB67" s="708"/>
    </row>
    <row r="68" spans="1:351" ht="15.75" customHeight="1" outlineLevel="1">
      <c r="C68" s="273" t="s">
        <v>63</v>
      </c>
      <c r="D68" s="266"/>
      <c r="E68" s="266"/>
      <c r="F68" s="266"/>
      <c r="G68" s="266"/>
      <c r="H68" s="266"/>
      <c r="I68" s="266"/>
      <c r="J68" s="266"/>
      <c r="K68" s="266"/>
      <c r="L68" s="922"/>
      <c r="M68" s="923"/>
      <c r="N68" s="262" t="s">
        <v>64</v>
      </c>
      <c r="R68" s="214"/>
      <c r="S68" s="131"/>
      <c r="T68" s="129"/>
      <c r="U68" s="130"/>
      <c r="W68" s="102"/>
      <c r="X68" s="102"/>
      <c r="Z68" s="102"/>
      <c r="AB68" s="102"/>
    </row>
    <row r="69" spans="1:351" ht="15.5" outlineLevel="1">
      <c r="C69" s="191">
        <f>$D$27</f>
        <v>2026</v>
      </c>
      <c r="D69" s="192">
        <f t="shared" ref="D69:K73" si="1">IFERROR(IF($D$46="No",D$66,IF($D$48="Other transition phase",$D50*D$66,IF(AND(D$74 =3,$D$48 = "Initial self-financing phase"),0.13,0.2))),"-")</f>
        <v>0.60000000000000009</v>
      </c>
      <c r="E69" s="192" t="str">
        <f t="shared" si="1"/>
        <v>-</v>
      </c>
      <c r="F69" s="192">
        <f t="shared" si="1"/>
        <v>0</v>
      </c>
      <c r="G69" s="192">
        <f t="shared" si="1"/>
        <v>0.60000000000000009</v>
      </c>
      <c r="H69" s="192">
        <f t="shared" si="1"/>
        <v>0</v>
      </c>
      <c r="I69" s="192">
        <f t="shared" si="1"/>
        <v>0</v>
      </c>
      <c r="J69" s="192">
        <f t="shared" si="1"/>
        <v>0.60000000000000009</v>
      </c>
      <c r="K69" s="192">
        <f t="shared" si="1"/>
        <v>0.60000000000000009</v>
      </c>
      <c r="L69" s="924"/>
      <c r="M69" s="925"/>
      <c r="R69" s="215"/>
      <c r="S69" s="131"/>
      <c r="T69" s="131"/>
      <c r="U69" s="131"/>
      <c r="W69" s="710"/>
      <c r="X69" s="103"/>
      <c r="Z69" s="103"/>
      <c r="AB69" s="103"/>
    </row>
    <row r="70" spans="1:351" ht="15.5" outlineLevel="1">
      <c r="C70" s="86">
        <f>$D$27+1</f>
        <v>2027</v>
      </c>
      <c r="D70" s="121">
        <f t="shared" si="1"/>
        <v>0.75</v>
      </c>
      <c r="E70" s="121" t="str">
        <f t="shared" si="1"/>
        <v>-</v>
      </c>
      <c r="F70" s="121">
        <f t="shared" si="1"/>
        <v>0</v>
      </c>
      <c r="G70" s="121">
        <f t="shared" si="1"/>
        <v>0.75</v>
      </c>
      <c r="H70" s="121">
        <f t="shared" si="1"/>
        <v>0</v>
      </c>
      <c r="I70" s="121">
        <f t="shared" si="1"/>
        <v>0</v>
      </c>
      <c r="J70" s="121">
        <f t="shared" si="1"/>
        <v>0.75</v>
      </c>
      <c r="K70" s="121">
        <f t="shared" si="1"/>
        <v>0.75</v>
      </c>
      <c r="L70" s="926"/>
      <c r="M70" s="927"/>
      <c r="R70" s="215"/>
      <c r="S70" s="131"/>
      <c r="T70" s="131"/>
      <c r="U70" s="131"/>
      <c r="W70" s="710"/>
      <c r="X70" s="103"/>
      <c r="Z70" s="103"/>
      <c r="AB70" s="103"/>
    </row>
    <row r="71" spans="1:351" ht="15.5" outlineLevel="1">
      <c r="C71" s="86">
        <f>$D$27+2</f>
        <v>2028</v>
      </c>
      <c r="D71" s="121">
        <f t="shared" si="1"/>
        <v>0.89999999999999991</v>
      </c>
      <c r="E71" s="121" t="str">
        <f t="shared" si="1"/>
        <v>-</v>
      </c>
      <c r="F71" s="121">
        <f t="shared" si="1"/>
        <v>0</v>
      </c>
      <c r="G71" s="121">
        <f t="shared" si="1"/>
        <v>0.89999999999999991</v>
      </c>
      <c r="H71" s="121">
        <f t="shared" si="1"/>
        <v>0</v>
      </c>
      <c r="I71" s="121">
        <f t="shared" si="1"/>
        <v>0</v>
      </c>
      <c r="J71" s="121">
        <f t="shared" si="1"/>
        <v>0.89999999999999991</v>
      </c>
      <c r="K71" s="121">
        <f t="shared" si="1"/>
        <v>0.89999999999999991</v>
      </c>
      <c r="L71" s="926"/>
      <c r="M71" s="927"/>
      <c r="R71" s="215"/>
      <c r="S71" s="131"/>
      <c r="T71" s="131"/>
      <c r="U71" s="131"/>
      <c r="W71" s="710"/>
      <c r="X71" s="103"/>
      <c r="Z71" s="103"/>
      <c r="AB71" s="103"/>
    </row>
    <row r="72" spans="1:351" ht="15.5" outlineLevel="1">
      <c r="C72" s="86">
        <f>$D$27+3</f>
        <v>2029</v>
      </c>
      <c r="D72" s="121">
        <f t="shared" si="1"/>
        <v>1.0499999999999998</v>
      </c>
      <c r="E72" s="121" t="str">
        <f t="shared" si="1"/>
        <v>-</v>
      </c>
      <c r="F72" s="121">
        <f t="shared" si="1"/>
        <v>0</v>
      </c>
      <c r="G72" s="121">
        <f t="shared" si="1"/>
        <v>1.0499999999999998</v>
      </c>
      <c r="H72" s="121">
        <f t="shared" si="1"/>
        <v>0</v>
      </c>
      <c r="I72" s="121">
        <f t="shared" si="1"/>
        <v>0</v>
      </c>
      <c r="J72" s="121">
        <f t="shared" si="1"/>
        <v>1.0499999999999998</v>
      </c>
      <c r="K72" s="121">
        <f t="shared" si="1"/>
        <v>1.0499999999999998</v>
      </c>
      <c r="L72" s="926"/>
      <c r="M72" s="927"/>
      <c r="R72" s="215"/>
      <c r="S72" s="131"/>
      <c r="T72" s="131"/>
      <c r="U72" s="131"/>
      <c r="W72" s="710"/>
      <c r="X72" s="103"/>
      <c r="Z72" s="103"/>
      <c r="AB72" s="103"/>
    </row>
    <row r="73" spans="1:351" ht="15.5" outlineLevel="1">
      <c r="C73" s="86">
        <f>$D$27+4</f>
        <v>2030</v>
      </c>
      <c r="D73" s="121">
        <f t="shared" si="1"/>
        <v>1.35</v>
      </c>
      <c r="E73" s="121" t="str">
        <f t="shared" si="1"/>
        <v>-</v>
      </c>
      <c r="F73" s="121">
        <f t="shared" si="1"/>
        <v>0</v>
      </c>
      <c r="G73" s="121">
        <f t="shared" si="1"/>
        <v>1.35</v>
      </c>
      <c r="H73" s="121">
        <f t="shared" si="1"/>
        <v>0</v>
      </c>
      <c r="I73" s="121">
        <f t="shared" si="1"/>
        <v>0</v>
      </c>
      <c r="J73" s="121">
        <f t="shared" si="1"/>
        <v>1.35</v>
      </c>
      <c r="K73" s="121">
        <f t="shared" si="1"/>
        <v>1.35</v>
      </c>
      <c r="L73" s="926"/>
      <c r="M73" s="927"/>
      <c r="R73" s="215"/>
      <c r="S73" s="132"/>
      <c r="T73" s="131"/>
      <c r="U73" s="131"/>
      <c r="W73" s="710"/>
      <c r="X73" s="103"/>
      <c r="Z73" s="103"/>
      <c r="AB73" s="103"/>
    </row>
    <row r="74" spans="1:351" ht="15.5">
      <c r="C74" s="99" t="s">
        <v>65</v>
      </c>
      <c r="D74" s="182">
        <v>1</v>
      </c>
      <c r="E74" s="182">
        <v>1</v>
      </c>
      <c r="F74" s="182">
        <v>1</v>
      </c>
      <c r="G74" s="182">
        <v>1</v>
      </c>
      <c r="H74" s="182">
        <v>1</v>
      </c>
      <c r="I74" s="182">
        <v>1</v>
      </c>
      <c r="J74" s="182">
        <v>1</v>
      </c>
      <c r="K74" s="194">
        <v>1</v>
      </c>
      <c r="L74" s="705"/>
      <c r="M74" s="195"/>
      <c r="R74" s="216"/>
      <c r="S74" s="133"/>
      <c r="T74" s="132"/>
      <c r="U74" s="132"/>
      <c r="W74" s="710"/>
      <c r="X74" s="708"/>
      <c r="Z74" s="708"/>
      <c r="AB74" s="708"/>
    </row>
    <row r="75" spans="1:351" ht="34.5" customHeight="1">
      <c r="C75" s="99" t="s">
        <v>66</v>
      </c>
      <c r="D75" s="122">
        <f>IFERROR(INDEX(Data!$A$2:$E$9,MATCH(D64,Data!$A$2:$A$9,0),5),"-")</f>
        <v>6.06</v>
      </c>
      <c r="E75" s="97" t="str">
        <f>IFERROR(INDEX(Data!$A$2:$E$9,MATCH(E64,Data!$A$2:$A$9,0),5),"-")</f>
        <v>-</v>
      </c>
      <c r="F75" s="97" t="str">
        <f>IFERROR(INDEX(Data!$A$2:$E$9,MATCH(F64,Data!$A$2:$A$9,0),5),"-")</f>
        <v>-</v>
      </c>
      <c r="G75" s="97">
        <f>IFERROR(INDEX(Data!$A$2:$E$9,MATCH(G64,Data!$A$2:$A$9,0),5),"-")</f>
        <v>17.12</v>
      </c>
      <c r="H75" s="97" t="str">
        <f>IFERROR(INDEX(Data!$A$2:$E$9,MATCH(H64,Data!$A$2:$A$9,0),5),"-")</f>
        <v>-</v>
      </c>
      <c r="I75" s="97" t="str">
        <f>IFERROR(INDEX(Data!$A$2:$E$9,MATCH(I64,Data!$A$2:$A$9,0),5),"-")</f>
        <v>-</v>
      </c>
      <c r="J75" s="97">
        <f>IFERROR(INDEX(Data!$A$2:$E$9,MATCH(J64,Data!$A$2:$A$9,0),5),"-")</f>
        <v>6.06</v>
      </c>
      <c r="K75" s="122">
        <f>IFERROR(INDEX(Data!$A$2:$E$9,MATCH(K64,Data!$A$2:$A$9,0),5),"-")</f>
        <v>17.12</v>
      </c>
      <c r="L75" s="705"/>
      <c r="M75" s="195"/>
      <c r="R75" s="217"/>
      <c r="S75" s="117"/>
      <c r="T75" s="133"/>
      <c r="U75" s="133"/>
      <c r="W75" s="710"/>
      <c r="X75" s="708"/>
      <c r="Z75" s="708"/>
      <c r="AB75" s="708"/>
    </row>
    <row r="76" spans="1:351" ht="28.5" customHeight="1">
      <c r="C76" s="928" t="s">
        <v>67</v>
      </c>
      <c r="D76" s="123">
        <v>0.1</v>
      </c>
      <c r="E76" s="98">
        <v>0.1</v>
      </c>
      <c r="F76" s="98">
        <v>0.1</v>
      </c>
      <c r="G76" s="98">
        <v>0.1</v>
      </c>
      <c r="H76" s="98">
        <v>0.1</v>
      </c>
      <c r="I76" s="123">
        <v>0.1</v>
      </c>
      <c r="J76" s="123">
        <v>0.1</v>
      </c>
      <c r="K76" s="123">
        <v>0.1</v>
      </c>
      <c r="L76" s="930"/>
      <c r="M76" s="864"/>
      <c r="N76" s="160" t="s">
        <v>68</v>
      </c>
      <c r="R76" s="218"/>
      <c r="S76" s="138"/>
      <c r="T76" s="115"/>
      <c r="U76" s="117"/>
      <c r="W76" s="118"/>
      <c r="X76" s="932"/>
      <c r="Z76" s="932"/>
      <c r="AB76" s="932"/>
    </row>
    <row r="77" spans="1:351" s="111" customFormat="1" ht="20.25" customHeight="1">
      <c r="A77" s="84"/>
      <c r="B77" s="84"/>
      <c r="C77" s="929"/>
      <c r="D77" s="171">
        <f>IFERROR(INDEX(Data!$A$2:$E$9,MATCH(D64,Data!$A$2:$A$9,0),4),"-")</f>
        <v>0.1</v>
      </c>
      <c r="E77" s="172" t="str">
        <f>IFERROR(INDEX(Data!$A$2:$E$9,MATCH(E64,Data!$A$2:$A$9,0),4),"-")</f>
        <v>-</v>
      </c>
      <c r="F77" s="172" t="str">
        <f>IFERROR(INDEX(Data!$A$2:$E$9,MATCH(F64,Data!$A$2:$A$9,0),4),"-")</f>
        <v>-</v>
      </c>
      <c r="G77" s="172">
        <f>IFERROR(INDEX(Data!$A$2:$E$9,MATCH(G64,Data!$A$2:$A$9,0),4),"-")</f>
        <v>0.1</v>
      </c>
      <c r="H77" s="172" t="str">
        <f>IFERROR(INDEX(Data!$A$2:$E$9,MATCH(H64,Data!$A$2:$A$9,0),4),"-")</f>
        <v>-</v>
      </c>
      <c r="I77" s="171" t="str">
        <f>IFERROR(INDEX(Data!$A$2:$E$9,MATCH(I64,Data!$A$2:$A$9,0),4),"-")</f>
        <v>-</v>
      </c>
      <c r="J77" s="171">
        <f>IFERROR(INDEX(Data!$A$2:$E$9,MATCH(J64,Data!$A$2:$A$9,0),4),"-")</f>
        <v>0.1</v>
      </c>
      <c r="K77" s="171">
        <f>IFERROR(INDEX(Data!$A$2:$E$9,MATCH(K64,Data!$A$2:$A$9,0),4),"-")</f>
        <v>0.1</v>
      </c>
      <c r="L77" s="196" t="s">
        <v>69</v>
      </c>
      <c r="M77" s="197"/>
      <c r="N77" s="85"/>
      <c r="O77" s="112"/>
      <c r="P77" s="112"/>
      <c r="Q77" s="205"/>
      <c r="R77" s="219"/>
      <c r="S77" s="134"/>
      <c r="T77" s="138"/>
      <c r="U77" s="138"/>
      <c r="V77" s="85"/>
      <c r="W77" s="139"/>
      <c r="X77" s="932"/>
      <c r="Y77" s="85"/>
      <c r="Z77" s="932"/>
      <c r="AA77" s="85"/>
      <c r="AB77" s="932"/>
      <c r="AC77" s="85"/>
      <c r="AD77" s="85"/>
      <c r="AE77" s="85"/>
      <c r="AF77" s="85"/>
      <c r="AG77" s="85"/>
      <c r="AH77" s="85"/>
      <c r="AI77" s="85"/>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2"/>
      <c r="BG77" s="112"/>
      <c r="BH77" s="112"/>
      <c r="BI77" s="112"/>
      <c r="BJ77" s="112"/>
      <c r="BK77" s="112"/>
      <c r="BL77" s="112"/>
      <c r="BM77" s="112"/>
      <c r="BN77" s="112"/>
      <c r="BO77" s="112"/>
      <c r="BP77" s="112"/>
      <c r="BQ77" s="112"/>
      <c r="BR77" s="112"/>
      <c r="BS77" s="112"/>
      <c r="BT77" s="112"/>
      <c r="BU77" s="112"/>
      <c r="BV77" s="112"/>
      <c r="BW77" s="112"/>
      <c r="BX77" s="112"/>
      <c r="BY77" s="112"/>
      <c r="BZ77" s="112"/>
      <c r="CA77" s="112"/>
      <c r="CB77" s="112"/>
      <c r="CC77" s="112"/>
      <c r="CD77" s="112"/>
      <c r="CE77" s="112"/>
      <c r="CF77" s="112"/>
      <c r="CG77" s="112"/>
      <c r="CH77" s="112"/>
      <c r="CI77" s="112"/>
      <c r="CJ77" s="112"/>
      <c r="CK77" s="112"/>
      <c r="CL77" s="112"/>
      <c r="CM77" s="112"/>
      <c r="CN77" s="112"/>
      <c r="CO77" s="112"/>
      <c r="CP77" s="112"/>
      <c r="CQ77" s="112"/>
      <c r="CR77" s="112"/>
      <c r="CS77" s="112"/>
      <c r="CT77" s="112"/>
      <c r="CU77" s="112"/>
      <c r="CV77" s="112"/>
      <c r="CW77" s="112"/>
      <c r="CX77" s="112"/>
      <c r="CY77" s="112"/>
      <c r="CZ77" s="112"/>
      <c r="DA77" s="112"/>
      <c r="DB77" s="112"/>
      <c r="DC77" s="112"/>
      <c r="DD77" s="112"/>
      <c r="DE77" s="112"/>
      <c r="DF77" s="112"/>
      <c r="DG77" s="112"/>
      <c r="DH77" s="112"/>
      <c r="DI77" s="112"/>
      <c r="DJ77" s="112"/>
      <c r="DK77" s="112"/>
      <c r="DL77" s="112"/>
      <c r="DM77" s="112"/>
      <c r="DN77" s="112"/>
      <c r="DO77" s="112"/>
      <c r="DP77" s="112"/>
      <c r="DQ77" s="112"/>
      <c r="DR77" s="112"/>
      <c r="DS77" s="112"/>
      <c r="DT77" s="112"/>
      <c r="DU77" s="112"/>
      <c r="DV77" s="112"/>
      <c r="DW77" s="112"/>
      <c r="DX77" s="112"/>
      <c r="DY77" s="112"/>
      <c r="DZ77" s="112"/>
      <c r="EA77" s="112"/>
      <c r="EB77" s="112"/>
      <c r="EC77" s="112"/>
      <c r="ED77" s="112"/>
      <c r="EE77" s="112"/>
      <c r="EF77" s="112"/>
      <c r="EG77" s="112"/>
      <c r="EH77" s="112"/>
      <c r="EI77" s="112"/>
      <c r="EJ77" s="112"/>
      <c r="EK77" s="112"/>
      <c r="EL77" s="112"/>
      <c r="EM77" s="112"/>
      <c r="EN77" s="112"/>
      <c r="EO77" s="112"/>
      <c r="EP77" s="112"/>
      <c r="EQ77" s="112"/>
      <c r="ER77" s="112"/>
      <c r="ES77" s="112"/>
      <c r="ET77" s="112"/>
      <c r="EU77" s="112"/>
      <c r="EV77" s="112"/>
      <c r="EW77" s="112"/>
      <c r="EX77" s="112"/>
      <c r="EY77" s="112"/>
      <c r="EZ77" s="112"/>
      <c r="FA77" s="112"/>
      <c r="FB77" s="112"/>
      <c r="FC77" s="112"/>
      <c r="FD77" s="112"/>
      <c r="FE77" s="112"/>
      <c r="FF77" s="112"/>
      <c r="FG77" s="112"/>
      <c r="FH77" s="112"/>
      <c r="FI77" s="112"/>
      <c r="FJ77" s="112"/>
      <c r="FK77" s="112"/>
      <c r="FL77" s="112"/>
      <c r="FM77" s="112"/>
      <c r="FN77" s="112"/>
      <c r="FO77" s="112"/>
      <c r="FP77" s="112"/>
      <c r="FQ77" s="112"/>
      <c r="FR77" s="112"/>
      <c r="FS77" s="112"/>
      <c r="FT77" s="112"/>
      <c r="FU77" s="112"/>
      <c r="FV77" s="112"/>
      <c r="FW77" s="112"/>
      <c r="FX77" s="112"/>
      <c r="FY77" s="112"/>
      <c r="FZ77" s="112"/>
      <c r="GA77" s="112"/>
      <c r="GB77" s="112"/>
      <c r="GC77" s="112"/>
      <c r="GD77" s="112"/>
      <c r="GE77" s="112"/>
      <c r="GF77" s="112"/>
      <c r="GG77" s="112"/>
      <c r="GH77" s="112"/>
      <c r="GI77" s="112"/>
      <c r="GJ77" s="112"/>
      <c r="GK77" s="112"/>
      <c r="GL77" s="112"/>
      <c r="GM77" s="112"/>
      <c r="GN77" s="112"/>
      <c r="GO77" s="112"/>
      <c r="GP77" s="112"/>
      <c r="GQ77" s="112"/>
      <c r="GR77" s="112"/>
      <c r="GS77" s="112"/>
      <c r="GT77" s="112"/>
      <c r="GU77" s="112"/>
      <c r="GV77" s="112"/>
      <c r="GW77" s="112"/>
      <c r="GX77" s="112"/>
      <c r="GY77" s="112"/>
      <c r="GZ77" s="112"/>
      <c r="HA77" s="112"/>
      <c r="HB77" s="112"/>
      <c r="HC77" s="112"/>
      <c r="HD77" s="112"/>
      <c r="HE77" s="112"/>
      <c r="HF77" s="112"/>
      <c r="HG77" s="112"/>
      <c r="HH77" s="112"/>
      <c r="HI77" s="112"/>
      <c r="HJ77" s="112"/>
      <c r="HK77" s="112"/>
      <c r="HL77" s="112"/>
      <c r="HM77" s="112"/>
      <c r="HN77" s="112"/>
      <c r="HO77" s="112"/>
      <c r="HP77" s="112"/>
      <c r="HQ77" s="112"/>
      <c r="HR77" s="112"/>
      <c r="HS77" s="112"/>
      <c r="HT77" s="112"/>
      <c r="HU77" s="112"/>
      <c r="HV77" s="112"/>
      <c r="HW77" s="112"/>
      <c r="HX77" s="112"/>
      <c r="HY77" s="112"/>
      <c r="HZ77" s="112"/>
      <c r="IA77" s="112"/>
      <c r="IB77" s="112"/>
      <c r="IC77" s="112"/>
      <c r="ID77" s="112"/>
      <c r="IE77" s="112"/>
      <c r="IF77" s="112"/>
      <c r="IG77" s="112"/>
      <c r="IH77" s="112"/>
      <c r="II77" s="112"/>
      <c r="IJ77" s="112"/>
      <c r="IK77" s="112"/>
      <c r="IL77" s="112"/>
      <c r="IM77" s="112"/>
      <c r="IN77" s="112"/>
      <c r="IO77" s="112"/>
      <c r="IP77" s="112"/>
      <c r="IQ77" s="112"/>
      <c r="IR77" s="112"/>
      <c r="IS77" s="112"/>
      <c r="IT77" s="112"/>
      <c r="IU77" s="112"/>
      <c r="IV77" s="112"/>
      <c r="IW77" s="112"/>
      <c r="IX77" s="112"/>
      <c r="IY77" s="112"/>
      <c r="IZ77" s="112"/>
      <c r="JA77" s="112"/>
      <c r="JB77" s="112"/>
      <c r="JC77" s="112"/>
      <c r="JD77" s="112"/>
      <c r="JE77" s="112"/>
      <c r="JF77" s="112"/>
      <c r="JG77" s="112"/>
      <c r="JH77" s="112"/>
      <c r="JI77" s="112"/>
      <c r="JJ77" s="112"/>
      <c r="JK77" s="112"/>
      <c r="JL77" s="112"/>
      <c r="JM77" s="112"/>
      <c r="JN77" s="112"/>
      <c r="JO77" s="112"/>
      <c r="JP77" s="112"/>
      <c r="JQ77" s="112"/>
      <c r="JR77" s="112"/>
      <c r="JS77" s="112"/>
      <c r="JT77" s="112"/>
      <c r="JU77" s="112"/>
      <c r="JV77" s="112"/>
      <c r="JW77" s="112"/>
      <c r="JX77" s="112"/>
      <c r="JY77" s="112"/>
      <c r="JZ77" s="112"/>
      <c r="KA77" s="112"/>
      <c r="KB77" s="112"/>
      <c r="KC77" s="112"/>
      <c r="KD77" s="112"/>
      <c r="KE77" s="112"/>
      <c r="KF77" s="112"/>
      <c r="KG77" s="112"/>
      <c r="KH77" s="112"/>
      <c r="KI77" s="112"/>
      <c r="KJ77" s="112"/>
      <c r="KK77" s="112"/>
      <c r="KL77" s="112"/>
      <c r="KM77" s="112"/>
      <c r="KN77" s="112"/>
      <c r="KO77" s="112"/>
      <c r="KP77" s="112"/>
      <c r="KQ77" s="112"/>
      <c r="KR77" s="112"/>
      <c r="KS77" s="112"/>
      <c r="KT77" s="112"/>
      <c r="KU77" s="112"/>
      <c r="KV77" s="112"/>
      <c r="KW77" s="112"/>
      <c r="KX77" s="112"/>
      <c r="KY77" s="112"/>
      <c r="KZ77" s="112"/>
      <c r="LA77" s="112"/>
      <c r="LB77" s="112"/>
      <c r="LC77" s="112"/>
      <c r="LD77" s="112"/>
      <c r="LE77" s="112"/>
      <c r="LF77" s="112"/>
      <c r="LG77" s="112"/>
      <c r="LH77" s="112"/>
      <c r="LI77" s="112"/>
      <c r="LJ77" s="112"/>
      <c r="LK77" s="112"/>
      <c r="LL77" s="112"/>
      <c r="LM77" s="112"/>
      <c r="LN77" s="112"/>
      <c r="LO77" s="112"/>
      <c r="LP77" s="112"/>
      <c r="LQ77" s="112"/>
      <c r="LR77" s="112"/>
      <c r="LS77" s="112"/>
      <c r="LT77" s="112"/>
      <c r="LU77" s="112"/>
      <c r="LV77" s="112"/>
      <c r="LW77" s="112"/>
      <c r="LX77" s="112"/>
      <c r="LY77" s="112"/>
      <c r="LZ77" s="112"/>
      <c r="MA77" s="112"/>
      <c r="MB77" s="112"/>
      <c r="MC77" s="112"/>
      <c r="MD77" s="112"/>
      <c r="ME77" s="112"/>
      <c r="MF77" s="112"/>
      <c r="MG77" s="112"/>
      <c r="MH77" s="112"/>
      <c r="MI77" s="112"/>
      <c r="MJ77" s="112"/>
      <c r="MK77" s="112"/>
      <c r="ML77" s="112"/>
      <c r="MM77" s="112"/>
    </row>
    <row r="78" spans="1:351" ht="20.25" customHeight="1">
      <c r="C78" s="99" t="s">
        <v>70</v>
      </c>
      <c r="D78" s="124">
        <f t="shared" ref="D78:K78" si="2">(1/(1-D76))</f>
        <v>1.1111111111111112</v>
      </c>
      <c r="E78" s="124">
        <f t="shared" si="2"/>
        <v>1.1111111111111112</v>
      </c>
      <c r="F78" s="110">
        <f t="shared" si="2"/>
        <v>1.1111111111111112</v>
      </c>
      <c r="G78" s="110">
        <f t="shared" si="2"/>
        <v>1.1111111111111112</v>
      </c>
      <c r="H78" s="110">
        <f t="shared" si="2"/>
        <v>1.1111111111111112</v>
      </c>
      <c r="I78" s="124">
        <f t="shared" si="2"/>
        <v>1.1111111111111112</v>
      </c>
      <c r="J78" s="124">
        <f t="shared" si="2"/>
        <v>1.1111111111111112</v>
      </c>
      <c r="K78" s="124">
        <f t="shared" si="2"/>
        <v>1.1111111111111112</v>
      </c>
      <c r="L78" s="924" t="s">
        <v>71</v>
      </c>
      <c r="M78" s="925"/>
      <c r="Q78" s="205"/>
      <c r="R78" s="220"/>
      <c r="S78" s="116"/>
      <c r="T78" s="134"/>
      <c r="U78" s="134"/>
      <c r="W78" s="710"/>
      <c r="X78" s="708"/>
      <c r="Z78" s="708"/>
      <c r="AB78" s="708"/>
    </row>
    <row r="79" spans="1:351" ht="20.25" customHeight="1">
      <c r="C79" s="99" t="s">
        <v>72</v>
      </c>
      <c r="D79" s="123">
        <v>0.25</v>
      </c>
      <c r="E79" s="123">
        <v>0.25</v>
      </c>
      <c r="F79" s="123">
        <v>0.25</v>
      </c>
      <c r="G79" s="123">
        <v>0.25</v>
      </c>
      <c r="H79" s="123">
        <v>0.25</v>
      </c>
      <c r="I79" s="123">
        <v>0.25</v>
      </c>
      <c r="J79" s="123">
        <v>0.25</v>
      </c>
      <c r="K79" s="123">
        <v>0.25</v>
      </c>
      <c r="L79" s="930" t="s">
        <v>73</v>
      </c>
      <c r="M79" s="864"/>
      <c r="Q79" s="205"/>
      <c r="R79" s="220"/>
      <c r="S79" s="116"/>
      <c r="T79" s="134"/>
      <c r="U79" s="134"/>
      <c r="W79" s="710"/>
      <c r="X79" s="708"/>
      <c r="Z79" s="708"/>
      <c r="AB79" s="708"/>
    </row>
    <row r="80" spans="1:351" ht="20.25" customHeight="1">
      <c r="C80" s="99" t="s">
        <v>74</v>
      </c>
      <c r="D80" s="125">
        <v>0.03</v>
      </c>
      <c r="E80" s="125">
        <v>0.03</v>
      </c>
      <c r="F80" s="125">
        <v>0.03</v>
      </c>
      <c r="G80" s="92">
        <v>0.03</v>
      </c>
      <c r="H80" s="125">
        <v>0.03</v>
      </c>
      <c r="I80" s="125">
        <v>0.03</v>
      </c>
      <c r="J80" s="92">
        <v>0.03</v>
      </c>
      <c r="K80" s="92">
        <v>0.03</v>
      </c>
      <c r="L80" s="930" t="s">
        <v>75</v>
      </c>
      <c r="M80" s="864"/>
      <c r="Q80" s="205"/>
      <c r="R80" s="221"/>
      <c r="S80" s="115"/>
      <c r="T80" s="116"/>
      <c r="U80" s="116"/>
      <c r="W80" s="710"/>
      <c r="X80" s="708"/>
      <c r="Z80" s="708"/>
      <c r="AB80" s="708"/>
    </row>
    <row r="81" spans="3:35" ht="19.75" customHeight="1">
      <c r="C81" s="99" t="s">
        <v>76</v>
      </c>
      <c r="D81" s="126">
        <v>7.0000000000000007E-2</v>
      </c>
      <c r="E81" s="126">
        <v>7.0000000000000007E-2</v>
      </c>
      <c r="F81" s="126">
        <v>7.0000000000000007E-2</v>
      </c>
      <c r="G81" s="91">
        <v>7.0000000000000007E-2</v>
      </c>
      <c r="H81" s="126">
        <v>7.0000000000000007E-2</v>
      </c>
      <c r="I81" s="126">
        <v>7.0000000000000007E-2</v>
      </c>
      <c r="J81" s="91">
        <v>7.0000000000000007E-2</v>
      </c>
      <c r="K81" s="91">
        <v>7.0000000000000007E-2</v>
      </c>
      <c r="L81" s="930" t="s">
        <v>75</v>
      </c>
      <c r="M81" s="864"/>
      <c r="Q81" s="205"/>
      <c r="R81" s="218"/>
      <c r="S81" s="140"/>
      <c r="T81" s="115"/>
      <c r="U81" s="115"/>
      <c r="W81" s="710"/>
      <c r="X81" s="708"/>
      <c r="Z81" s="708"/>
      <c r="AB81" s="708"/>
    </row>
    <row r="82" spans="3:35" ht="20.25" customHeight="1">
      <c r="C82" s="99" t="s">
        <v>77</v>
      </c>
      <c r="D82" s="127">
        <v>0.8</v>
      </c>
      <c r="E82" s="127">
        <v>0.8</v>
      </c>
      <c r="F82" s="127">
        <v>0.8</v>
      </c>
      <c r="G82" s="93">
        <v>0.8</v>
      </c>
      <c r="H82" s="127">
        <v>0.8</v>
      </c>
      <c r="I82" s="127">
        <v>0.8</v>
      </c>
      <c r="J82" s="93">
        <v>0.8</v>
      </c>
      <c r="K82" s="93">
        <v>0.8</v>
      </c>
      <c r="L82" s="930" t="s">
        <v>78</v>
      </c>
      <c r="M82" s="864"/>
      <c r="Q82" s="205"/>
      <c r="R82" s="222"/>
      <c r="S82" s="141"/>
      <c r="T82" s="140"/>
      <c r="U82" s="140"/>
      <c r="W82" s="710"/>
      <c r="X82" s="708"/>
      <c r="Z82" s="708"/>
      <c r="AB82" s="708"/>
    </row>
    <row r="83" spans="3:35" ht="20.25" customHeight="1">
      <c r="C83" s="99" t="s">
        <v>79</v>
      </c>
      <c r="D83" s="128">
        <v>100</v>
      </c>
      <c r="E83" s="128">
        <v>100</v>
      </c>
      <c r="F83" s="128">
        <v>100</v>
      </c>
      <c r="G83" s="94">
        <v>100</v>
      </c>
      <c r="H83" s="128">
        <v>100</v>
      </c>
      <c r="I83" s="128">
        <v>100</v>
      </c>
      <c r="J83" s="94">
        <v>100</v>
      </c>
      <c r="K83" s="94">
        <v>100</v>
      </c>
      <c r="L83" s="935" t="s">
        <v>80</v>
      </c>
      <c r="M83" s="936"/>
      <c r="Q83" s="205"/>
      <c r="R83" s="223"/>
      <c r="S83" s="108"/>
      <c r="T83" s="141"/>
      <c r="U83" s="141"/>
      <c r="W83" s="710"/>
      <c r="X83" s="708"/>
      <c r="Z83" s="708"/>
      <c r="AB83" s="708"/>
    </row>
    <row r="84" spans="3:35" ht="15" customHeight="1">
      <c r="C84" s="88"/>
      <c r="D84" s="84"/>
      <c r="E84" s="84"/>
      <c r="F84" s="84"/>
      <c r="G84" s="84"/>
      <c r="H84" s="88"/>
      <c r="I84" s="84"/>
      <c r="J84" s="84"/>
      <c r="K84" s="84"/>
      <c r="L84" s="198"/>
      <c r="M84" s="198"/>
      <c r="S84" s="701"/>
      <c r="W84" s="710"/>
      <c r="Y84" s="108"/>
      <c r="AC84" s="108"/>
      <c r="AG84" s="108"/>
    </row>
    <row r="85" spans="3:35" ht="25.5" customHeight="1">
      <c r="C85" s="184" t="s">
        <v>81</v>
      </c>
      <c r="D85" s="185"/>
      <c r="E85" s="185"/>
      <c r="F85" s="185"/>
      <c r="G85" s="185"/>
      <c r="H85" s="185"/>
      <c r="I85" s="185"/>
      <c r="J85" s="185"/>
      <c r="K85" s="185"/>
      <c r="L85" s="185"/>
      <c r="M85" s="193"/>
      <c r="R85" s="181"/>
      <c r="S85" s="701"/>
      <c r="T85" s="701"/>
      <c r="U85" s="701"/>
      <c r="W85" s="701"/>
      <c r="Y85" s="911"/>
      <c r="Z85" s="911"/>
      <c r="AA85" s="911"/>
      <c r="AB85" s="911"/>
      <c r="AC85" s="911"/>
      <c r="AD85" s="911"/>
      <c r="AE85" s="911"/>
      <c r="AF85" s="911"/>
      <c r="AG85" s="911"/>
      <c r="AH85" s="911"/>
      <c r="AI85" s="911"/>
    </row>
    <row r="86" spans="3:35" ht="5.5" customHeight="1">
      <c r="C86" s="89"/>
      <c r="D86" s="89"/>
      <c r="E86" s="89"/>
      <c r="F86" s="89"/>
      <c r="G86" s="84"/>
      <c r="H86" s="89"/>
      <c r="I86" s="89"/>
      <c r="J86" s="89"/>
      <c r="K86" s="89"/>
      <c r="L86" s="198"/>
      <c r="M86" s="198"/>
      <c r="R86" s="181"/>
      <c r="S86" s="142"/>
      <c r="T86" s="701"/>
      <c r="U86" s="701"/>
      <c r="W86" s="710"/>
      <c r="Y86" s="701"/>
      <c r="Z86" s="701"/>
      <c r="AA86" s="701"/>
      <c r="AC86" s="701"/>
      <c r="AD86" s="701"/>
      <c r="AE86" s="701"/>
      <c r="AG86" s="701"/>
      <c r="AH86" s="701"/>
      <c r="AI86" s="701"/>
    </row>
    <row r="87" spans="3:35" ht="40.5" customHeight="1">
      <c r="C87" s="265" t="s">
        <v>82</v>
      </c>
      <c r="D87" s="100">
        <v>0</v>
      </c>
      <c r="E87" s="95">
        <v>0</v>
      </c>
      <c r="F87" s="100">
        <v>0</v>
      </c>
      <c r="G87" s="95">
        <v>0</v>
      </c>
      <c r="H87" s="95">
        <v>0</v>
      </c>
      <c r="I87" s="100">
        <v>0</v>
      </c>
      <c r="J87" s="100">
        <v>0</v>
      </c>
      <c r="K87" s="100">
        <v>0</v>
      </c>
      <c r="L87" s="930" t="s">
        <v>83</v>
      </c>
      <c r="M87" s="864"/>
      <c r="R87" s="113"/>
      <c r="S87" s="143"/>
      <c r="T87" s="142"/>
      <c r="U87" s="142"/>
      <c r="W87" s="710"/>
      <c r="X87" s="710"/>
      <c r="Y87" s="931"/>
      <c r="Z87" s="931"/>
      <c r="AA87" s="931"/>
      <c r="AB87" s="931"/>
      <c r="AC87" s="931"/>
      <c r="AD87" s="931"/>
      <c r="AE87" s="931"/>
      <c r="AF87" s="931"/>
      <c r="AG87" s="931"/>
      <c r="AH87" s="931"/>
      <c r="AI87" s="931"/>
    </row>
    <row r="88" spans="3:35" ht="49.5" customHeight="1">
      <c r="C88" s="706" t="s">
        <v>84</v>
      </c>
      <c r="D88" s="96">
        <v>1.32</v>
      </c>
      <c r="E88" s="96">
        <v>1.32</v>
      </c>
      <c r="F88" s="96">
        <v>1.32</v>
      </c>
      <c r="G88" s="96">
        <v>1.23</v>
      </c>
      <c r="H88" s="96">
        <v>1.23</v>
      </c>
      <c r="I88" s="96">
        <v>1.23</v>
      </c>
      <c r="J88" s="96">
        <v>1.32</v>
      </c>
      <c r="K88" s="96">
        <v>1.23</v>
      </c>
      <c r="L88" s="924" t="s">
        <v>85</v>
      </c>
      <c r="M88" s="925"/>
      <c r="N88" s="225"/>
      <c r="R88" s="114"/>
      <c r="S88" s="144"/>
      <c r="T88" s="143"/>
      <c r="U88" s="143"/>
      <c r="W88" s="710"/>
      <c r="X88" s="710"/>
      <c r="Y88" s="109"/>
      <c r="Z88" s="109"/>
      <c r="AA88" s="109"/>
      <c r="AB88" s="109"/>
      <c r="AC88" s="109"/>
      <c r="AD88" s="109"/>
      <c r="AE88" s="109"/>
      <c r="AF88" s="109"/>
      <c r="AG88" s="109"/>
      <c r="AH88" s="109"/>
      <c r="AI88" s="109"/>
    </row>
    <row r="89" spans="3:35" ht="20.25" customHeight="1">
      <c r="C89" s="707"/>
      <c r="D89" s="101"/>
      <c r="E89" s="90"/>
      <c r="F89" s="101"/>
      <c r="G89" s="90"/>
      <c r="H89" s="90"/>
      <c r="I89" s="90"/>
      <c r="J89" s="90"/>
      <c r="K89" s="90"/>
      <c r="L89" s="933" t="s">
        <v>86</v>
      </c>
      <c r="M89" s="934"/>
      <c r="R89" s="114"/>
      <c r="T89" s="143"/>
      <c r="U89" s="144"/>
      <c r="W89" s="104"/>
      <c r="X89" s="104"/>
      <c r="AA89" s="710"/>
    </row>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0.25" customHeight="1" outlineLevel="1"/>
    <row r="101" ht="29.25" customHeight="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20.25" customHeight="1" outlineLevel="1"/>
    <row r="112" ht="18" customHeight="1"/>
    <row r="113" ht="25.5" customHeight="1"/>
    <row r="114" ht="18" customHeight="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5"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6" ht="20.25" customHeight="1" outlineLevel="1"/>
    <row r="138" ht="25.5" customHeight="1"/>
    <row r="140" ht="36" customHeight="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0"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row r="161" ht="20.25" customHeight="1" outlineLevel="1"/>
  </sheetData>
  <sheetProtection formatCells="0" formatColumns="0" formatRows="0" insertColumns="0" insertRows="0" insertHyperlinks="0" deleteColumns="0" deleteRows="0" sort="0" autoFilter="0" pivotTables="0"/>
  <mergeCells count="67">
    <mergeCell ref="L88:M88"/>
    <mergeCell ref="L89:M89"/>
    <mergeCell ref="L81:M81"/>
    <mergeCell ref="L82:M82"/>
    <mergeCell ref="L83:M83"/>
    <mergeCell ref="Y85:AI85"/>
    <mergeCell ref="L87:M87"/>
    <mergeCell ref="Y87:AI87"/>
    <mergeCell ref="X76:X77"/>
    <mergeCell ref="Z76:Z77"/>
    <mergeCell ref="AB76:AB77"/>
    <mergeCell ref="L78:M78"/>
    <mergeCell ref="L79:M79"/>
    <mergeCell ref="L80:M80"/>
    <mergeCell ref="L66:M66"/>
    <mergeCell ref="L67:M67"/>
    <mergeCell ref="L68:M68"/>
    <mergeCell ref="L69:M73"/>
    <mergeCell ref="C76:C77"/>
    <mergeCell ref="L76:M76"/>
    <mergeCell ref="C55:K55"/>
    <mergeCell ref="Y57:AI57"/>
    <mergeCell ref="Y60:AI60"/>
    <mergeCell ref="D62:F62"/>
    <mergeCell ref="G62:I62"/>
    <mergeCell ref="J62:K62"/>
    <mergeCell ref="L62:M64"/>
    <mergeCell ref="E50:M54"/>
    <mergeCell ref="L37:M37"/>
    <mergeCell ref="D38:F38"/>
    <mergeCell ref="G38:I38"/>
    <mergeCell ref="L38:M42"/>
    <mergeCell ref="D39:F39"/>
    <mergeCell ref="G39:I39"/>
    <mergeCell ref="D40:F40"/>
    <mergeCell ref="G40:I40"/>
    <mergeCell ref="D41:F41"/>
    <mergeCell ref="G41:I41"/>
    <mergeCell ref="D42:F42"/>
    <mergeCell ref="G42:I42"/>
    <mergeCell ref="C44:M44"/>
    <mergeCell ref="E46:M46"/>
    <mergeCell ref="E48:M48"/>
    <mergeCell ref="L32:M32"/>
    <mergeCell ref="L33:M33"/>
    <mergeCell ref="D34:F34"/>
    <mergeCell ref="G34:I34"/>
    <mergeCell ref="D35:F35"/>
    <mergeCell ref="G35:I35"/>
    <mergeCell ref="L35:M35"/>
    <mergeCell ref="D27:K27"/>
    <mergeCell ref="L27:M27"/>
    <mergeCell ref="C30:C31"/>
    <mergeCell ref="D30:F30"/>
    <mergeCell ref="G30:I30"/>
    <mergeCell ref="L30:M31"/>
    <mergeCell ref="D31:F31"/>
    <mergeCell ref="G31:I31"/>
    <mergeCell ref="D25:F25"/>
    <mergeCell ref="G25:I25"/>
    <mergeCell ref="J25:K25"/>
    <mergeCell ref="L25:M25"/>
    <mergeCell ref="C2:J2"/>
    <mergeCell ref="J4:K5"/>
    <mergeCell ref="C7:M10"/>
    <mergeCell ref="C12:D12"/>
    <mergeCell ref="C23:M23"/>
  </mergeCells>
  <dataValidations count="2">
    <dataValidation type="list" allowBlank="1" showInputMessage="1" showErrorMessage="1" sqref="D48" xr:uid="{80AEEA53-5A97-47C5-A569-2A656CDECF6B}">
      <formula1>"Initial self-financing phase, Other transition phase"</formula1>
    </dataValidation>
    <dataValidation type="list" allowBlank="1" showInputMessage="1" showErrorMessage="1" sqref="D21 D17 D19 D46" xr:uid="{CCF51C1A-69A3-40A0-9F23-09DC965F0B9D}">
      <formula1>"Yes, No"</formula1>
    </dataValidation>
  </dataValidations>
  <hyperlinks>
    <hyperlink ref="G58" r:id="rId1" xr:uid="{07EB4624-FFFC-484E-AA7B-C4A0CB8509AD}"/>
    <hyperlink ref="L89" r:id="rId2" xr:uid="{D24A9908-630D-431E-A8CB-EF537D9D6E76}"/>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9"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4B09D5FE-008F-46F7-9716-04D6CB8D1D54}">
          <x14:formula1>
            <xm:f>Data!$A$2:$A$9</xm:f>
          </x14:formula1>
          <xm:sqref>X64</xm:sqref>
        </x14:dataValidation>
        <x14:dataValidation type="list" allowBlank="1" showInputMessage="1" showErrorMessage="1" xr:uid="{2869E24E-D6E0-4FAB-AF5C-5D6F534FC01F}">
          <x14:formula1>
            <xm:f>Data!$A$2:$A$9</xm:f>
          </x14:formula1>
          <xm:sqref>T64 D64:K64 R64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H42"/>
  <sheetViews>
    <sheetView zoomScaleNormal="100" workbookViewId="0">
      <selection activeCell="E8" sqref="E8"/>
    </sheetView>
  </sheetViews>
  <sheetFormatPr defaultColWidth="8.81640625" defaultRowHeight="14.5"/>
  <cols>
    <col min="1" max="1" width="52" customWidth="1"/>
    <col min="2" max="4" width="20.81640625" customWidth="1"/>
    <col min="5" max="5" width="40.26953125" bestFit="1" customWidth="1"/>
    <col min="6" max="28" width="20.81640625" customWidth="1"/>
  </cols>
  <sheetData>
    <row r="1" spans="1:8" ht="16.5">
      <c r="A1" s="3" t="s">
        <v>289</v>
      </c>
      <c r="B1" s="3" t="s">
        <v>290</v>
      </c>
      <c r="C1" s="3" t="s">
        <v>291</v>
      </c>
      <c r="D1" s="3" t="s">
        <v>292</v>
      </c>
      <c r="E1" s="3" t="s">
        <v>293</v>
      </c>
      <c r="F1" s="755" t="s">
        <v>465</v>
      </c>
    </row>
    <row r="2" spans="1:8">
      <c r="A2" t="s">
        <v>53</v>
      </c>
      <c r="B2" s="698">
        <v>3.5</v>
      </c>
      <c r="C2" s="4">
        <v>1</v>
      </c>
      <c r="D2" s="2">
        <v>0.1</v>
      </c>
      <c r="E2" s="1">
        <v>6.06</v>
      </c>
      <c r="F2" t="s">
        <v>507</v>
      </c>
    </row>
    <row r="3" spans="1:8">
      <c r="A3" t="s">
        <v>188</v>
      </c>
      <c r="B3" s="698">
        <v>3</v>
      </c>
      <c r="C3" s="4">
        <v>2</v>
      </c>
      <c r="D3" s="2">
        <v>0.1</v>
      </c>
      <c r="E3" s="1">
        <v>17.12</v>
      </c>
      <c r="F3" t="s">
        <v>507</v>
      </c>
    </row>
    <row r="4" spans="1:8">
      <c r="A4" t="s">
        <v>294</v>
      </c>
      <c r="B4" s="698">
        <v>3</v>
      </c>
      <c r="C4" s="4">
        <v>1</v>
      </c>
      <c r="D4" s="2">
        <v>0.1</v>
      </c>
      <c r="E4" s="1">
        <v>17.12</v>
      </c>
      <c r="F4" t="s">
        <v>507</v>
      </c>
    </row>
    <row r="5" spans="1:8">
      <c r="A5" t="s">
        <v>189</v>
      </c>
      <c r="B5" s="698" t="s">
        <v>295</v>
      </c>
      <c r="C5" s="4" t="s">
        <v>295</v>
      </c>
      <c r="D5" s="2">
        <v>0.1</v>
      </c>
      <c r="E5" s="1">
        <v>17.12</v>
      </c>
      <c r="F5" t="s">
        <v>507</v>
      </c>
    </row>
    <row r="6" spans="1:8">
      <c r="A6" t="s">
        <v>56</v>
      </c>
      <c r="B6" s="698">
        <v>20</v>
      </c>
      <c r="C6" s="4">
        <v>1</v>
      </c>
      <c r="D6" s="2">
        <v>0.1</v>
      </c>
      <c r="E6" s="1">
        <v>17.12</v>
      </c>
      <c r="F6" t="s">
        <v>507</v>
      </c>
    </row>
    <row r="7" spans="1:8">
      <c r="A7" t="s">
        <v>296</v>
      </c>
      <c r="B7" s="698">
        <v>20</v>
      </c>
      <c r="C7" s="4">
        <v>2</v>
      </c>
      <c r="D7" s="2">
        <v>0.1</v>
      </c>
      <c r="E7" s="1">
        <v>17.12</v>
      </c>
      <c r="F7" t="s">
        <v>507</v>
      </c>
    </row>
    <row r="8" spans="1:8">
      <c r="A8" t="s">
        <v>297</v>
      </c>
      <c r="B8" s="698">
        <v>50</v>
      </c>
      <c r="C8" s="4">
        <v>3</v>
      </c>
      <c r="D8" s="2">
        <v>0.1</v>
      </c>
      <c r="E8" s="1">
        <v>17.12</v>
      </c>
      <c r="F8" t="s">
        <v>507</v>
      </c>
    </row>
    <row r="9" spans="1:8">
      <c r="A9" t="s">
        <v>189</v>
      </c>
      <c r="B9" s="767" t="s">
        <v>295</v>
      </c>
      <c r="C9" s="768" t="s">
        <v>295</v>
      </c>
      <c r="D9" s="769">
        <v>0.1</v>
      </c>
      <c r="E9" s="770">
        <v>17.12</v>
      </c>
      <c r="F9" s="756" t="s">
        <v>507</v>
      </c>
      <c r="G9" s="756"/>
      <c r="H9" s="756"/>
    </row>
    <row r="10" spans="1:8" ht="15" thickBot="1">
      <c r="B10" s="767"/>
      <c r="C10" s="768"/>
      <c r="D10" s="769"/>
      <c r="E10" s="770"/>
      <c r="F10" s="756"/>
      <c r="G10" s="756"/>
      <c r="H10" s="756"/>
    </row>
    <row r="11" spans="1:8">
      <c r="A11" s="152" t="s">
        <v>300</v>
      </c>
      <c r="B11" s="756"/>
      <c r="C11" s="771" t="s">
        <v>466</v>
      </c>
      <c r="D11" s="772"/>
      <c r="E11" s="772"/>
      <c r="F11" s="773"/>
      <c r="G11" s="756"/>
      <c r="H11" s="756"/>
    </row>
    <row r="12" spans="1:8">
      <c r="A12" t="s">
        <v>53</v>
      </c>
      <c r="B12" s="756"/>
      <c r="C12" s="774" t="s">
        <v>467</v>
      </c>
      <c r="D12" s="756"/>
      <c r="E12" s="756"/>
      <c r="F12" s="775" t="s">
        <v>468</v>
      </c>
      <c r="G12" s="756"/>
      <c r="H12" s="756"/>
    </row>
    <row r="13" spans="1:8" ht="15" thickBot="1">
      <c r="A13" t="s">
        <v>188</v>
      </c>
      <c r="B13" s="756"/>
      <c r="C13" s="776" t="s">
        <v>469</v>
      </c>
      <c r="D13" s="777" t="s">
        <v>470</v>
      </c>
      <c r="E13" s="777"/>
      <c r="F13" s="778" t="s">
        <v>471</v>
      </c>
      <c r="G13" s="756"/>
      <c r="H13" s="756"/>
    </row>
    <row r="14" spans="1:8">
      <c r="A14" t="s">
        <v>294</v>
      </c>
      <c r="B14" s="756"/>
      <c r="C14" s="756"/>
      <c r="D14" s="756"/>
      <c r="E14" s="756"/>
      <c r="F14" s="756">
        <f>(86*86*41)/1000</f>
        <v>303.23599999999999</v>
      </c>
      <c r="G14" s="756"/>
      <c r="H14" s="756"/>
    </row>
    <row r="15" spans="1:8">
      <c r="A15" t="s">
        <v>189</v>
      </c>
      <c r="B15" s="756"/>
      <c r="C15" s="756"/>
      <c r="D15" s="756"/>
      <c r="E15" s="756"/>
      <c r="F15" s="756">
        <f>F14/50</f>
        <v>6.0647199999999994</v>
      </c>
      <c r="G15" s="756"/>
      <c r="H15" s="756"/>
    </row>
    <row r="16" spans="1:8">
      <c r="A16" t="s">
        <v>56</v>
      </c>
      <c r="B16" s="756"/>
      <c r="C16" s="756"/>
      <c r="D16" s="756"/>
      <c r="E16" s="756"/>
      <c r="F16" s="756"/>
      <c r="G16" s="756"/>
      <c r="H16" s="756"/>
    </row>
    <row r="17" spans="1:8">
      <c r="A17" t="s">
        <v>296</v>
      </c>
      <c r="B17" s="756"/>
      <c r="C17" s="756"/>
      <c r="D17" s="756"/>
      <c r="E17" s="756"/>
      <c r="F17" s="756"/>
      <c r="G17" s="756"/>
      <c r="H17" s="756"/>
    </row>
    <row r="18" spans="1:8">
      <c r="A18" t="s">
        <v>297</v>
      </c>
    </row>
    <row r="19" spans="1:8">
      <c r="A19" t="s">
        <v>189</v>
      </c>
    </row>
    <row r="21" spans="1:8">
      <c r="A21" s="755" t="s">
        <v>298</v>
      </c>
      <c r="B21" s="756"/>
      <c r="C21" s="756"/>
      <c r="D21" s="756"/>
      <c r="E21" s="756"/>
      <c r="F21" s="756"/>
      <c r="G21" s="756"/>
    </row>
    <row r="22" spans="1:8" ht="15" thickBot="1">
      <c r="A22" s="756" t="s">
        <v>299</v>
      </c>
      <c r="B22" s="756"/>
      <c r="C22" s="756"/>
      <c r="D22" s="756"/>
      <c r="E22" s="757" t="s">
        <v>477</v>
      </c>
      <c r="F22" s="756"/>
      <c r="G22" s="756"/>
    </row>
    <row r="23" spans="1:8">
      <c r="A23" s="756" t="s">
        <v>472</v>
      </c>
      <c r="B23" s="756"/>
      <c r="C23" s="756" t="s">
        <v>478</v>
      </c>
      <c r="D23" s="756"/>
      <c r="E23" s="758" t="s">
        <v>479</v>
      </c>
      <c r="F23" s="759" t="s">
        <v>480</v>
      </c>
      <c r="G23" s="756"/>
    </row>
    <row r="24" spans="1:8">
      <c r="A24" s="756" t="s">
        <v>473</v>
      </c>
      <c r="B24" s="756">
        <v>1</v>
      </c>
      <c r="C24" s="760">
        <f>'[1]Model Inputs'!E64</f>
        <v>0.15</v>
      </c>
      <c r="D24" s="756"/>
      <c r="E24" s="761">
        <v>1</v>
      </c>
      <c r="F24" s="762" t="s">
        <v>481</v>
      </c>
      <c r="G24" s="756"/>
    </row>
    <row r="25" spans="1:8">
      <c r="A25" s="756" t="s">
        <v>295</v>
      </c>
      <c r="B25" s="756">
        <v>2</v>
      </c>
      <c r="C25" s="760">
        <v>0.4</v>
      </c>
      <c r="D25" s="756"/>
      <c r="E25" s="761">
        <v>2</v>
      </c>
      <c r="F25" s="763">
        <v>0.4</v>
      </c>
      <c r="G25" s="756"/>
    </row>
    <row r="26" spans="1:8">
      <c r="A26" s="755" t="s">
        <v>474</v>
      </c>
      <c r="B26" s="756">
        <v>3</v>
      </c>
      <c r="C26" s="760">
        <v>0.5</v>
      </c>
      <c r="D26" s="756"/>
      <c r="E26" s="761">
        <v>3</v>
      </c>
      <c r="F26" s="763">
        <v>0.5</v>
      </c>
      <c r="G26" s="756"/>
    </row>
    <row r="27" spans="1:8">
      <c r="A27" s="756" t="s">
        <v>475</v>
      </c>
      <c r="B27" s="756">
        <v>4</v>
      </c>
      <c r="C27" s="760">
        <v>0.6</v>
      </c>
      <c r="D27" s="756"/>
      <c r="E27" s="761">
        <v>4</v>
      </c>
      <c r="F27" s="763">
        <v>0.6</v>
      </c>
      <c r="G27" s="756"/>
    </row>
    <row r="28" spans="1:8">
      <c r="A28" s="756" t="s">
        <v>476</v>
      </c>
      <c r="B28" s="756">
        <v>5</v>
      </c>
      <c r="C28" s="760">
        <v>0.7</v>
      </c>
      <c r="D28" s="756"/>
      <c r="E28" s="761">
        <v>5</v>
      </c>
      <c r="F28" s="763">
        <v>0.7</v>
      </c>
      <c r="G28" s="756"/>
    </row>
    <row r="29" spans="1:8">
      <c r="A29" s="756"/>
      <c r="B29" s="756">
        <v>6</v>
      </c>
      <c r="C29" s="760">
        <v>0.8</v>
      </c>
      <c r="D29" s="756"/>
      <c r="E29" s="761">
        <v>6</v>
      </c>
      <c r="F29" s="763">
        <v>0.8</v>
      </c>
      <c r="G29" s="756"/>
    </row>
    <row r="30" spans="1:8">
      <c r="A30" s="756"/>
      <c r="B30" s="756">
        <v>7</v>
      </c>
      <c r="C30" s="760">
        <v>0.9</v>
      </c>
      <c r="D30" s="756"/>
      <c r="E30" s="761" t="s">
        <v>482</v>
      </c>
      <c r="F30" s="763">
        <v>0.9</v>
      </c>
      <c r="G30" s="756"/>
    </row>
    <row r="31" spans="1:8" ht="15" thickBot="1">
      <c r="A31" s="756"/>
      <c r="B31" s="756">
        <v>8</v>
      </c>
      <c r="C31" s="760">
        <v>0.9</v>
      </c>
      <c r="D31" s="756"/>
      <c r="E31" s="764" t="s">
        <v>483</v>
      </c>
      <c r="F31" s="765">
        <v>1</v>
      </c>
      <c r="G31" s="756"/>
    </row>
    <row r="32" spans="1:8">
      <c r="A32" s="756"/>
      <c r="B32" s="756">
        <f>'Saisie des données'!D65</f>
        <v>2025</v>
      </c>
      <c r="C32" s="766" cm="1">
        <f t="array" ref="C32">IF('Saisie des données'!$E$60=A27,INDEX($C$24:$C$31,MATCH('Saisie des données'!$E$61,$B$24:$B$31),0),'Saisie des données'!E64)</f>
        <v>0.5</v>
      </c>
      <c r="D32" s="756" t="s">
        <v>484</v>
      </c>
      <c r="E32" s="756"/>
      <c r="F32" s="756"/>
      <c r="G32" s="756"/>
    </row>
    <row r="33" spans="1:7">
      <c r="A33" s="756"/>
      <c r="B33" s="756">
        <f>'Saisie des données'!D66</f>
        <v>2026</v>
      </c>
      <c r="C33" s="766">
        <f>MIN(1,C32+(1-$C$32)/(9-'Saisie des données'!$E$61))</f>
        <v>0.58333333333333337</v>
      </c>
      <c r="D33" s="766" t="s">
        <v>485</v>
      </c>
      <c r="E33" s="756"/>
      <c r="F33" s="756"/>
      <c r="G33" s="756"/>
    </row>
    <row r="34" spans="1:7">
      <c r="A34" s="756"/>
      <c r="B34" s="756">
        <f>'Saisie des données'!D67</f>
        <v>2027</v>
      </c>
      <c r="C34" s="766">
        <f>MIN(1,C33+(1-$C$32)/(9-'Saisie des données'!$E$61))</f>
        <v>0.66666666666666674</v>
      </c>
      <c r="D34" s="756" t="s">
        <v>486</v>
      </c>
      <c r="E34" s="756"/>
      <c r="F34" s="756"/>
      <c r="G34" s="756"/>
    </row>
    <row r="35" spans="1:7">
      <c r="A35" s="756"/>
      <c r="B35" s="756">
        <f>'Saisie des données'!D68</f>
        <v>2028</v>
      </c>
      <c r="C35" s="766">
        <f>MIN(1,C34+(1-$C$32)/(9-'Saisie des données'!$E$61))</f>
        <v>0.75000000000000011</v>
      </c>
      <c r="D35" s="766" t="s">
        <v>487</v>
      </c>
      <c r="E35" s="756"/>
      <c r="F35" s="756"/>
      <c r="G35" s="756"/>
    </row>
    <row r="36" spans="1:7">
      <c r="A36" s="756"/>
      <c r="B36" s="756">
        <f>'Saisie des données'!D69</f>
        <v>2029</v>
      </c>
      <c r="C36" s="766">
        <f>MIN(1,C35+(1-$C$32)/(9-'Saisie des données'!$E$61))</f>
        <v>0.83333333333333348</v>
      </c>
      <c r="D36" s="756" t="s">
        <v>488</v>
      </c>
      <c r="E36" s="756"/>
      <c r="F36" s="756"/>
      <c r="G36" s="756"/>
    </row>
    <row r="37" spans="1:7">
      <c r="A37" s="756"/>
      <c r="B37" s="756"/>
      <c r="C37" s="766">
        <f>MIN(1,C36+(1-$C$32)/(9-'Saisie des données'!$E$61))</f>
        <v>0.91666666666666685</v>
      </c>
      <c r="D37" s="766" t="s">
        <v>489</v>
      </c>
      <c r="E37" s="756"/>
      <c r="F37" s="756"/>
      <c r="G37" s="756"/>
    </row>
    <row r="38" spans="1:7">
      <c r="A38" s="756"/>
      <c r="B38" s="756"/>
      <c r="C38" s="766">
        <f>MIN(1,C37+(1-$C$32)/(9-'Saisie des données'!$E$61))</f>
        <v>1</v>
      </c>
      <c r="D38" s="756" t="s">
        <v>490</v>
      </c>
      <c r="E38" s="756"/>
      <c r="F38" s="756"/>
      <c r="G38" s="756"/>
    </row>
    <row r="39" spans="1:7">
      <c r="A39" s="756"/>
      <c r="B39" s="756"/>
      <c r="C39" s="766">
        <f>MIN(1,C38+(1-$C$32)/(9-'Saisie des données'!$E$61))</f>
        <v>1</v>
      </c>
      <c r="D39" s="766" t="s">
        <v>491</v>
      </c>
      <c r="E39" s="756"/>
      <c r="F39" s="756"/>
      <c r="G39" s="756"/>
    </row>
    <row r="40" spans="1:7">
      <c r="A40" s="756"/>
      <c r="B40" s="756"/>
      <c r="C40" s="766">
        <f>MIN(1,C39+(1-$C$32)/(9-'Saisie des données'!$E$61))</f>
        <v>1</v>
      </c>
      <c r="D40" s="756" t="s">
        <v>492</v>
      </c>
      <c r="E40" s="756"/>
      <c r="F40" s="756"/>
      <c r="G40" s="756"/>
    </row>
    <row r="41" spans="1:7">
      <c r="A41" s="756"/>
      <c r="B41" s="756"/>
      <c r="C41" s="756"/>
      <c r="D41" s="756"/>
      <c r="E41" s="756"/>
      <c r="F41" s="756"/>
      <c r="G41" s="756"/>
    </row>
    <row r="42" spans="1:7">
      <c r="A42" s="756"/>
      <c r="B42" s="756"/>
      <c r="C42" s="756"/>
      <c r="D42" s="756"/>
      <c r="E42" s="756"/>
      <c r="F42" s="756"/>
      <c r="G42" s="756"/>
    </row>
  </sheetData>
  <sheetProtection algorithmName="SHA-512" hashValue="KvngvbrPHLxEpq+H5/YK4RlyCKcG3szY4fybM3OXL+xWWcCXIwzXzSbFjT6Q7KDvMuT7PLQRAZu2TjTkWrYUWA==" saltValue="VvwwVQyaNLsCe4Y70e7j0w==" spinCount="100000" sheet="1" objects="1" scenarios="1"/>
  <phoneticPr fontId="41" type="noConversion"/>
  <pageMargins left="0.7" right="0.7" top="0.75" bottom="0.75" header="0.3" footer="0.3"/>
  <pageSetup paperSize="9" orientation="portrait" r:id="rId1"/>
  <headerFooter>
    <oddHeader>&amp;L&amp;&amp;"Calibri"&amp;10&amp;K000000Classé comme Interne&amp;K000000&amp;1#</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55D85-F239-4D5C-9489-9CED94304D77}">
  <sheetPr codeName="Sheet12"/>
  <dimension ref="B1:U71"/>
  <sheetViews>
    <sheetView workbookViewId="0">
      <selection activeCell="Z22" sqref="Z22"/>
    </sheetView>
  </sheetViews>
  <sheetFormatPr defaultColWidth="8.81640625" defaultRowHeight="14.5"/>
  <cols>
    <col min="1" max="1" width="4.1796875" style="81" customWidth="1"/>
    <col min="2" max="16384" width="8.81640625" style="81"/>
  </cols>
  <sheetData>
    <row r="1" spans="2:21" ht="15" thickBot="1"/>
    <row r="2" spans="2:21" ht="24" thickBot="1">
      <c r="B2" s="80"/>
      <c r="D2" s="1095" t="s">
        <v>267</v>
      </c>
      <c r="E2" s="1096"/>
      <c r="F2" s="1096"/>
      <c r="G2" s="1096"/>
      <c r="H2" s="1096"/>
      <c r="I2" s="1096"/>
      <c r="J2" s="1096"/>
      <c r="K2" s="1096"/>
      <c r="L2" s="1096"/>
      <c r="M2" s="1096"/>
      <c r="N2" s="1096"/>
      <c r="O2" s="1096"/>
      <c r="P2" s="1096"/>
      <c r="Q2" s="1096"/>
      <c r="R2" s="1096"/>
      <c r="S2" s="1096"/>
      <c r="T2" s="1096"/>
      <c r="U2" s="1097"/>
    </row>
    <row r="3" spans="2:21" ht="18.5">
      <c r="B3" s="83" t="s">
        <v>268</v>
      </c>
    </row>
    <row r="4" spans="2:21">
      <c r="B4" s="263" t="s">
        <v>301</v>
      </c>
    </row>
    <row r="23" spans="2:2" ht="18.5">
      <c r="B23" s="83" t="s">
        <v>269</v>
      </c>
    </row>
    <row r="24" spans="2:2">
      <c r="B24" s="263" t="s">
        <v>301</v>
      </c>
    </row>
    <row r="47" spans="4:21" ht="15" thickBot="1"/>
    <row r="48" spans="4:21" ht="19" thickBot="1">
      <c r="D48" s="1095" t="s">
        <v>302</v>
      </c>
      <c r="E48" s="1096"/>
      <c r="F48" s="1096"/>
      <c r="G48" s="1096"/>
      <c r="H48" s="1096"/>
      <c r="I48" s="1096"/>
      <c r="J48" s="1096"/>
      <c r="K48" s="1096"/>
      <c r="L48" s="1096"/>
      <c r="M48" s="1096"/>
      <c r="N48" s="1096"/>
      <c r="O48" s="1096"/>
      <c r="P48" s="1096"/>
      <c r="Q48" s="1096"/>
      <c r="R48" s="1096"/>
      <c r="S48" s="1096"/>
      <c r="T48" s="1096"/>
      <c r="U48" s="1097"/>
    </row>
    <row r="49" spans="2:2" ht="18.5">
      <c r="B49" s="83" t="s">
        <v>268</v>
      </c>
    </row>
    <row r="50" spans="2:2">
      <c r="B50" s="263" t="s">
        <v>301</v>
      </c>
    </row>
    <row r="51" spans="2:2" ht="10.5" customHeight="1"/>
    <row r="70" spans="2:14" ht="18.5">
      <c r="B70" s="83" t="s">
        <v>269</v>
      </c>
    </row>
    <row r="71" spans="2:14">
      <c r="B71" s="263" t="s">
        <v>301</v>
      </c>
    </row>
  </sheetData>
  <sheetProtection formatCells="0" formatColumns="0" formatRows="0" insertColumns="0" insertRows="0" insertHyperlinks="0" deleteColumns="0" deleteRows="0" sort="0" autoFilter="0" pivotTables="0"/>
  <mergeCells count="2">
    <mergeCell ref="D2:U2"/>
    <mergeCell ref="D48:U48"/>
  </mergeCells>
  <pageMargins left="0.7" right="0.7" top="0.75" bottom="0.75" header="0.3" footer="0.3"/>
  <pageSetup paperSize="9" orientation="portrait" r:id="rId1"/>
  <headerFooter>
    <oddHeader>&amp;L&amp;"Calibri"&amp;10&amp;K000000Classified as Internal&amp;1#</oddHead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B2:U57"/>
  <sheetViews>
    <sheetView workbookViewId="0"/>
  </sheetViews>
  <sheetFormatPr defaultColWidth="8.81640625" defaultRowHeight="14.5"/>
  <cols>
    <col min="1" max="1" width="8.81640625" style="9"/>
    <col min="2" max="2" width="78.1796875" style="9" customWidth="1"/>
    <col min="3" max="3" width="55.453125" style="8" customWidth="1"/>
    <col min="4" max="4" width="50.81640625" style="8" customWidth="1"/>
    <col min="5" max="8" width="46.453125" style="9" customWidth="1"/>
    <col min="9" max="9" width="54.453125" style="9" customWidth="1"/>
    <col min="10" max="10" width="60.1796875" style="9" customWidth="1"/>
    <col min="11" max="11" width="59.453125" style="9" customWidth="1"/>
    <col min="12" max="12" width="41.81640625" style="9" customWidth="1"/>
    <col min="13" max="13" width="8.81640625" style="79"/>
    <col min="14" max="14" width="9.453125" style="9" customWidth="1"/>
    <col min="15" max="15" width="76.1796875" style="9" customWidth="1"/>
    <col min="16" max="16" width="62.1796875" style="9" customWidth="1"/>
    <col min="17" max="17" width="71.1796875" style="8" bestFit="1" customWidth="1"/>
    <col min="18" max="21" width="8.81640625" style="8"/>
    <col min="22" max="16384" width="8.81640625" style="9"/>
  </cols>
  <sheetData>
    <row r="2" spans="2:17" ht="47.25" customHeight="1">
      <c r="B2" s="1142" t="s">
        <v>303</v>
      </c>
      <c r="C2" s="1142"/>
      <c r="D2" s="1142"/>
      <c r="E2" s="739"/>
      <c r="F2" s="739"/>
      <c r="G2" s="739"/>
      <c r="H2" s="739"/>
      <c r="I2" s="739"/>
      <c r="J2" s="739"/>
      <c r="K2" s="739"/>
      <c r="L2" s="5"/>
      <c r="M2" s="6"/>
      <c r="N2" s="5"/>
      <c r="O2" s="7" t="s">
        <v>304</v>
      </c>
      <c r="P2" s="7"/>
    </row>
    <row r="3" spans="2:17" ht="15" customHeight="1">
      <c r="B3" s="10"/>
      <c r="C3" s="11"/>
      <c r="D3" s="11"/>
      <c r="E3" s="10"/>
      <c r="F3" s="10"/>
      <c r="G3" s="10"/>
      <c r="H3" s="10"/>
      <c r="I3" s="10"/>
      <c r="J3" s="10"/>
      <c r="K3" s="10"/>
      <c r="L3" s="10"/>
      <c r="M3" s="12"/>
      <c r="N3" s="10"/>
      <c r="O3" s="1143" t="s">
        <v>305</v>
      </c>
      <c r="P3" s="1143"/>
    </row>
    <row r="4" spans="2:17" ht="31.5" customHeight="1">
      <c r="B4" s="1143" t="s">
        <v>306</v>
      </c>
      <c r="C4" s="13"/>
      <c r="D4" s="11"/>
      <c r="E4" s="10"/>
      <c r="F4" s="10"/>
      <c r="G4" s="10"/>
      <c r="H4" s="10"/>
      <c r="I4" s="10"/>
      <c r="J4" s="10"/>
      <c r="K4" s="10"/>
      <c r="L4" s="10"/>
      <c r="M4" s="12"/>
      <c r="N4" s="10"/>
      <c r="O4" s="1143"/>
      <c r="P4" s="1143"/>
    </row>
    <row r="5" spans="2:17" ht="18.5">
      <c r="B5" s="1143"/>
      <c r="C5" s="13"/>
      <c r="D5" s="14"/>
      <c r="E5" s="15"/>
      <c r="F5" s="15"/>
      <c r="G5" s="15"/>
      <c r="H5" s="15"/>
      <c r="I5" s="15"/>
      <c r="J5" s="15"/>
      <c r="K5" s="15"/>
      <c r="L5" s="10"/>
      <c r="M5" s="12"/>
      <c r="N5" s="10"/>
      <c r="O5" s="1143"/>
      <c r="P5" s="1143"/>
    </row>
    <row r="6" spans="2:17" ht="19" thickBot="1">
      <c r="B6" s="10"/>
      <c r="C6" s="14"/>
      <c r="D6" s="14"/>
      <c r="E6" s="15"/>
      <c r="F6" s="15"/>
      <c r="G6" s="15"/>
      <c r="H6" s="15"/>
      <c r="I6" s="15"/>
      <c r="J6" s="15"/>
      <c r="K6" s="15"/>
      <c r="L6" s="10"/>
      <c r="M6" s="12"/>
      <c r="N6" s="10"/>
      <c r="O6" s="10"/>
      <c r="P6" s="10"/>
    </row>
    <row r="7" spans="2:17" ht="21">
      <c r="B7" s="16" t="s">
        <v>307</v>
      </c>
      <c r="C7" s="1144" t="s">
        <v>308</v>
      </c>
      <c r="D7" s="1145"/>
      <c r="E7" s="1145"/>
      <c r="F7" s="1145"/>
      <c r="G7" s="1145"/>
      <c r="H7" s="1145"/>
      <c r="I7" s="1145"/>
      <c r="J7" s="1145"/>
      <c r="K7" s="1146"/>
      <c r="L7" s="10"/>
      <c r="M7" s="12"/>
      <c r="N7" s="10"/>
      <c r="O7" s="17" t="s">
        <v>307</v>
      </c>
      <c r="P7" s="1147" t="s">
        <v>308</v>
      </c>
      <c r="Q7" s="1148"/>
    </row>
    <row r="8" spans="2:17" ht="46.5" customHeight="1">
      <c r="B8" s="18" t="s">
        <v>309</v>
      </c>
      <c r="C8" s="1136" t="s">
        <v>310</v>
      </c>
      <c r="D8" s="1137"/>
      <c r="E8" s="1136" t="s">
        <v>310</v>
      </c>
      <c r="F8" s="1138"/>
      <c r="G8" s="1138"/>
      <c r="H8" s="1138"/>
      <c r="I8" s="1139" t="s">
        <v>311</v>
      </c>
      <c r="J8" s="1140"/>
      <c r="K8" s="1141"/>
      <c r="L8" s="10"/>
      <c r="M8" s="12"/>
      <c r="N8" s="10"/>
      <c r="O8" s="19" t="s">
        <v>309</v>
      </c>
      <c r="P8" s="20" t="s">
        <v>310</v>
      </c>
      <c r="Q8" s="21" t="s">
        <v>312</v>
      </c>
    </row>
    <row r="9" spans="2:17" ht="21">
      <c r="B9" s="18" t="s">
        <v>313</v>
      </c>
      <c r="C9" s="1107" t="s">
        <v>314</v>
      </c>
      <c r="D9" s="1108"/>
      <c r="E9" s="1107" t="s">
        <v>315</v>
      </c>
      <c r="F9" s="1128"/>
      <c r="G9" s="1128"/>
      <c r="H9" s="1128"/>
      <c r="I9" s="1110" t="s">
        <v>316</v>
      </c>
      <c r="J9" s="1111"/>
      <c r="K9" s="1112"/>
      <c r="L9" s="10"/>
      <c r="M9" s="12"/>
      <c r="N9" s="10"/>
      <c r="O9" s="19" t="s">
        <v>313</v>
      </c>
      <c r="P9" s="22" t="s">
        <v>314</v>
      </c>
      <c r="Q9" s="22" t="s">
        <v>317</v>
      </c>
    </row>
    <row r="10" spans="2:17" ht="50.25" customHeight="1">
      <c r="B10" s="23" t="s">
        <v>318</v>
      </c>
      <c r="C10" s="1129" t="s">
        <v>319</v>
      </c>
      <c r="D10" s="1130"/>
      <c r="E10" s="1131" t="s">
        <v>320</v>
      </c>
      <c r="F10" s="1132"/>
      <c r="G10" s="1132"/>
      <c r="H10" s="1132"/>
      <c r="I10" s="1133" t="s">
        <v>320</v>
      </c>
      <c r="J10" s="1134"/>
      <c r="K10" s="1135"/>
      <c r="L10" s="10"/>
      <c r="M10" s="12"/>
      <c r="N10" s="10"/>
      <c r="O10" s="24" t="s">
        <v>318</v>
      </c>
      <c r="P10" s="25" t="s">
        <v>319</v>
      </c>
      <c r="Q10" s="25" t="s">
        <v>320</v>
      </c>
    </row>
    <row r="11" spans="2:17" ht="21">
      <c r="B11" s="26" t="s">
        <v>321</v>
      </c>
      <c r="C11" s="1118" t="s">
        <v>322</v>
      </c>
      <c r="D11" s="1119"/>
      <c r="E11" s="1120" t="s">
        <v>323</v>
      </c>
      <c r="F11" s="1121"/>
      <c r="G11" s="1121"/>
      <c r="H11" s="1121"/>
      <c r="I11" s="1122" t="s">
        <v>324</v>
      </c>
      <c r="J11" s="1123"/>
      <c r="K11" s="1124"/>
      <c r="L11" s="10"/>
      <c r="M11" s="12"/>
      <c r="N11" s="10"/>
      <c r="O11" s="27" t="s">
        <v>321</v>
      </c>
      <c r="P11" s="28" t="s">
        <v>322</v>
      </c>
      <c r="Q11" s="28" t="s">
        <v>325</v>
      </c>
    </row>
    <row r="12" spans="2:17" ht="21" customHeight="1">
      <c r="B12" s="26" t="s">
        <v>326</v>
      </c>
      <c r="C12" s="1125" t="s">
        <v>327</v>
      </c>
      <c r="D12" s="1126"/>
      <c r="E12" s="1127" t="s">
        <v>328</v>
      </c>
      <c r="F12" s="1127"/>
      <c r="G12" s="1127" t="s">
        <v>329</v>
      </c>
      <c r="H12" s="1127"/>
      <c r="I12" s="1122" t="s">
        <v>330</v>
      </c>
      <c r="J12" s="1123"/>
      <c r="K12" s="1124"/>
      <c r="L12" s="10"/>
      <c r="M12" s="12"/>
      <c r="N12" s="10"/>
      <c r="O12" s="27" t="s">
        <v>326</v>
      </c>
      <c r="P12" s="29" t="s">
        <v>331</v>
      </c>
      <c r="Q12" s="29" t="s">
        <v>332</v>
      </c>
    </row>
    <row r="13" spans="2:17" ht="21">
      <c r="B13" s="18" t="s">
        <v>333</v>
      </c>
      <c r="C13" s="1107" t="s">
        <v>334</v>
      </c>
      <c r="D13" s="1108"/>
      <c r="E13" s="1109" t="s">
        <v>335</v>
      </c>
      <c r="F13" s="1109"/>
      <c r="G13" s="1109" t="s">
        <v>335</v>
      </c>
      <c r="H13" s="1109"/>
      <c r="I13" s="1110" t="s">
        <v>335</v>
      </c>
      <c r="J13" s="1111"/>
      <c r="K13" s="1112"/>
      <c r="L13" s="10"/>
      <c r="M13" s="12"/>
      <c r="N13" s="10"/>
      <c r="O13" s="19" t="s">
        <v>333</v>
      </c>
      <c r="P13" s="22" t="s">
        <v>334</v>
      </c>
      <c r="Q13" s="22" t="s">
        <v>336</v>
      </c>
    </row>
    <row r="14" spans="2:17" ht="21">
      <c r="B14" s="18" t="s">
        <v>337</v>
      </c>
      <c r="C14" s="1113" t="s">
        <v>338</v>
      </c>
      <c r="D14" s="1114"/>
      <c r="E14" s="1115" t="s">
        <v>339</v>
      </c>
      <c r="F14" s="1116"/>
      <c r="G14" s="1115" t="s">
        <v>339</v>
      </c>
      <c r="H14" s="1116"/>
      <c r="I14" s="1115" t="s">
        <v>340</v>
      </c>
      <c r="J14" s="1117"/>
      <c r="K14" s="1116"/>
      <c r="L14" s="10"/>
      <c r="M14" s="12"/>
      <c r="N14" s="10"/>
      <c r="O14" s="19" t="s">
        <v>337</v>
      </c>
      <c r="P14" s="22" t="s">
        <v>338</v>
      </c>
      <c r="Q14" s="22" t="s">
        <v>341</v>
      </c>
    </row>
    <row r="15" spans="2:17" ht="55.5">
      <c r="B15" s="30" t="s">
        <v>342</v>
      </c>
      <c r="C15" s="31" t="s">
        <v>343</v>
      </c>
      <c r="D15" s="32" t="s">
        <v>344</v>
      </c>
      <c r="E15" s="32" t="s">
        <v>345</v>
      </c>
      <c r="F15" s="32" t="s">
        <v>346</v>
      </c>
      <c r="G15" s="32" t="s">
        <v>347</v>
      </c>
      <c r="H15" s="32" t="s">
        <v>348</v>
      </c>
      <c r="I15" s="32" t="s">
        <v>349</v>
      </c>
      <c r="J15" s="32" t="s">
        <v>350</v>
      </c>
      <c r="K15" s="32" t="s">
        <v>351</v>
      </c>
      <c r="L15" s="10"/>
      <c r="M15" s="12"/>
      <c r="N15" s="10"/>
      <c r="O15" s="33" t="s">
        <v>342</v>
      </c>
      <c r="P15" s="34" t="s">
        <v>352</v>
      </c>
      <c r="Q15" s="34" t="s">
        <v>353</v>
      </c>
    </row>
    <row r="16" spans="2:17" ht="21">
      <c r="B16" s="23" t="s">
        <v>354</v>
      </c>
      <c r="C16" s="35" t="s">
        <v>355</v>
      </c>
      <c r="D16" s="36" t="s">
        <v>356</v>
      </c>
      <c r="E16" s="738" t="s">
        <v>355</v>
      </c>
      <c r="F16" s="738" t="s">
        <v>355</v>
      </c>
      <c r="G16" s="738" t="s">
        <v>357</v>
      </c>
      <c r="H16" s="738" t="s">
        <v>357</v>
      </c>
      <c r="I16" s="738" t="s">
        <v>355</v>
      </c>
      <c r="J16" s="37" t="s">
        <v>355</v>
      </c>
      <c r="K16" s="37" t="s">
        <v>357</v>
      </c>
      <c r="L16" s="10"/>
      <c r="M16" s="12"/>
      <c r="N16" s="10"/>
      <c r="O16" s="24" t="s">
        <v>354</v>
      </c>
      <c r="P16" s="22" t="s">
        <v>358</v>
      </c>
      <c r="Q16" s="22" t="s">
        <v>358</v>
      </c>
    </row>
    <row r="17" spans="2:17" ht="18.5">
      <c r="B17" s="38" t="s">
        <v>359</v>
      </c>
      <c r="C17" s="737" t="s">
        <v>360</v>
      </c>
      <c r="D17" s="737" t="s">
        <v>360</v>
      </c>
      <c r="E17" s="737" t="s">
        <v>360</v>
      </c>
      <c r="F17" s="737" t="s">
        <v>360</v>
      </c>
      <c r="G17" s="737" t="s">
        <v>360</v>
      </c>
      <c r="H17" s="737" t="s">
        <v>360</v>
      </c>
      <c r="I17" s="737" t="s">
        <v>360</v>
      </c>
      <c r="J17" s="39" t="s">
        <v>360</v>
      </c>
      <c r="K17" s="39" t="s">
        <v>360</v>
      </c>
      <c r="L17" s="10"/>
      <c r="M17" s="12"/>
      <c r="N17" s="10"/>
      <c r="O17" s="40" t="s">
        <v>359</v>
      </c>
      <c r="P17" s="22" t="s">
        <v>358</v>
      </c>
      <c r="Q17" s="22" t="s">
        <v>358</v>
      </c>
    </row>
    <row r="18" spans="2:17" ht="21">
      <c r="B18" s="41" t="s">
        <v>361</v>
      </c>
      <c r="C18" s="42">
        <f>1.88*1.218</f>
        <v>2.2898399999999999</v>
      </c>
      <c r="D18" s="42">
        <f>1.88*1.218</f>
        <v>2.2898399999999999</v>
      </c>
      <c r="E18" s="43">
        <v>0.85</v>
      </c>
      <c r="F18" s="43">
        <v>0.85</v>
      </c>
      <c r="G18" s="44">
        <v>1.58</v>
      </c>
      <c r="H18" s="44">
        <v>1.1399999999999999</v>
      </c>
      <c r="I18" s="43">
        <v>1.55</v>
      </c>
      <c r="J18" s="43">
        <v>0.95</v>
      </c>
      <c r="K18" s="43">
        <v>1.55</v>
      </c>
      <c r="L18" s="10"/>
      <c r="M18" s="12"/>
      <c r="N18" s="10"/>
      <c r="O18" s="45" t="s">
        <v>362</v>
      </c>
      <c r="P18" s="46" t="s">
        <v>358</v>
      </c>
      <c r="Q18" s="46" t="s">
        <v>358</v>
      </c>
    </row>
    <row r="19" spans="2:17" ht="18.5">
      <c r="B19" s="41" t="s">
        <v>363</v>
      </c>
      <c r="C19" s="47">
        <v>2</v>
      </c>
      <c r="D19" s="47">
        <v>2</v>
      </c>
      <c r="E19" s="39">
        <v>3</v>
      </c>
      <c r="F19" s="39">
        <v>3</v>
      </c>
      <c r="G19" s="39">
        <v>3</v>
      </c>
      <c r="H19" s="39">
        <v>3</v>
      </c>
      <c r="I19" s="39">
        <v>3</v>
      </c>
      <c r="J19" s="39">
        <v>3</v>
      </c>
      <c r="K19" s="39">
        <v>3</v>
      </c>
      <c r="L19" s="10"/>
      <c r="M19" s="12"/>
      <c r="N19" s="10"/>
      <c r="O19" s="45" t="s">
        <v>363</v>
      </c>
      <c r="P19" s="48">
        <v>2</v>
      </c>
      <c r="Q19" s="48">
        <v>3</v>
      </c>
    </row>
    <row r="20" spans="2:17" ht="21">
      <c r="B20" s="49" t="s">
        <v>364</v>
      </c>
      <c r="C20" s="42">
        <f>C18*2</f>
        <v>4.5796799999999998</v>
      </c>
      <c r="D20" s="42">
        <f>D18*2</f>
        <v>4.5796799999999998</v>
      </c>
      <c r="E20" s="43">
        <f t="shared" ref="E20:K20" si="0">E18*E19</f>
        <v>2.5499999999999998</v>
      </c>
      <c r="F20" s="43">
        <f t="shared" si="0"/>
        <v>2.5499999999999998</v>
      </c>
      <c r="G20" s="43">
        <f t="shared" si="0"/>
        <v>4.74</v>
      </c>
      <c r="H20" s="43">
        <f t="shared" si="0"/>
        <v>3.42</v>
      </c>
      <c r="I20" s="43">
        <f t="shared" si="0"/>
        <v>4.6500000000000004</v>
      </c>
      <c r="J20" s="43">
        <f t="shared" si="0"/>
        <v>2.8499999999999996</v>
      </c>
      <c r="K20" s="43">
        <f t="shared" si="0"/>
        <v>4.6500000000000004</v>
      </c>
      <c r="L20" s="10"/>
      <c r="M20" s="12"/>
      <c r="N20" s="10"/>
      <c r="O20" s="50" t="s">
        <v>364</v>
      </c>
      <c r="P20" s="46" t="s">
        <v>358</v>
      </c>
      <c r="Q20" s="46" t="s">
        <v>358</v>
      </c>
    </row>
    <row r="21" spans="2:17" ht="21.5" thickBot="1">
      <c r="B21" s="49" t="s">
        <v>365</v>
      </c>
      <c r="C21" s="51">
        <v>0.04</v>
      </c>
      <c r="D21" s="51">
        <v>0.04</v>
      </c>
      <c r="E21" s="52">
        <v>0.23</v>
      </c>
      <c r="F21" s="52">
        <v>0.41</v>
      </c>
      <c r="G21" s="52">
        <v>0.04</v>
      </c>
      <c r="H21" s="52">
        <v>0.1</v>
      </c>
      <c r="I21" s="52">
        <v>0.04</v>
      </c>
      <c r="J21" s="52">
        <v>0.1</v>
      </c>
      <c r="K21" s="52">
        <v>0.04</v>
      </c>
      <c r="L21" s="10"/>
      <c r="M21" s="12"/>
      <c r="N21" s="10"/>
      <c r="O21" s="50" t="s">
        <v>365</v>
      </c>
      <c r="P21" s="46" t="s">
        <v>358</v>
      </c>
      <c r="Q21" s="46" t="s">
        <v>358</v>
      </c>
    </row>
    <row r="22" spans="2:17" ht="21.5" thickBot="1">
      <c r="B22" s="49" t="s">
        <v>366</v>
      </c>
      <c r="C22" s="53">
        <v>0.04</v>
      </c>
      <c r="D22" s="53">
        <v>0.04</v>
      </c>
      <c r="E22" s="54">
        <v>0.23</v>
      </c>
      <c r="F22" s="54">
        <v>0.41</v>
      </c>
      <c r="G22" s="54">
        <v>0.04</v>
      </c>
      <c r="H22" s="54">
        <v>0.1</v>
      </c>
      <c r="I22" s="54">
        <v>0.04</v>
      </c>
      <c r="J22" s="54">
        <v>0.1</v>
      </c>
      <c r="K22" s="54">
        <v>0.04</v>
      </c>
      <c r="L22" s="10"/>
      <c r="M22" s="12"/>
      <c r="N22" s="10"/>
      <c r="O22" s="50" t="s">
        <v>366</v>
      </c>
      <c r="P22" s="55" t="s">
        <v>358</v>
      </c>
      <c r="Q22" s="55" t="s">
        <v>358</v>
      </c>
    </row>
    <row r="23" spans="2:17" ht="21">
      <c r="B23" s="49" t="s">
        <v>367</v>
      </c>
      <c r="C23" s="56">
        <f>C20/(1-C22)</f>
        <v>4.7705000000000002</v>
      </c>
      <c r="D23" s="56">
        <f>D20/(1-D22)</f>
        <v>4.7705000000000002</v>
      </c>
      <c r="E23" s="43">
        <f t="shared" ref="E23:K23" si="1">E20/(1-E22)</f>
        <v>3.3116883116883113</v>
      </c>
      <c r="F23" s="43">
        <f t="shared" si="1"/>
        <v>4.3220338983050839</v>
      </c>
      <c r="G23" s="43">
        <f t="shared" si="1"/>
        <v>4.9375</v>
      </c>
      <c r="H23" s="43">
        <f t="shared" si="1"/>
        <v>3.8</v>
      </c>
      <c r="I23" s="43">
        <f t="shared" si="1"/>
        <v>4.8437500000000009</v>
      </c>
      <c r="J23" s="43">
        <f t="shared" si="1"/>
        <v>3.1666666666666661</v>
      </c>
      <c r="K23" s="43">
        <f t="shared" si="1"/>
        <v>4.8437500000000009</v>
      </c>
      <c r="L23" s="10"/>
      <c r="M23" s="12"/>
      <c r="N23" s="10"/>
      <c r="O23" s="50" t="s">
        <v>368</v>
      </c>
      <c r="P23" s="57" t="s">
        <v>358</v>
      </c>
      <c r="Q23" s="57" t="s">
        <v>358</v>
      </c>
    </row>
    <row r="24" spans="2:17" ht="21">
      <c r="B24" s="18" t="s">
        <v>369</v>
      </c>
      <c r="C24" s="58">
        <v>39884</v>
      </c>
      <c r="D24" s="59">
        <v>43510</v>
      </c>
      <c r="E24" s="60">
        <v>43105</v>
      </c>
      <c r="F24" s="60">
        <v>43105</v>
      </c>
      <c r="G24" s="60" t="s">
        <v>370</v>
      </c>
      <c r="H24" s="60" t="s">
        <v>370</v>
      </c>
      <c r="I24" s="60">
        <v>43364</v>
      </c>
      <c r="J24" s="61">
        <v>43364</v>
      </c>
      <c r="K24" s="61" t="s">
        <v>371</v>
      </c>
      <c r="L24" s="10"/>
      <c r="M24" s="12"/>
      <c r="N24" s="10"/>
      <c r="O24" s="19" t="s">
        <v>369</v>
      </c>
      <c r="P24" s="62">
        <v>39884</v>
      </c>
      <c r="Q24" s="62">
        <v>39728</v>
      </c>
    </row>
    <row r="25" spans="2:17" ht="21">
      <c r="B25" s="18" t="s">
        <v>372</v>
      </c>
      <c r="C25" s="63" t="s">
        <v>373</v>
      </c>
      <c r="D25" s="63" t="s">
        <v>373</v>
      </c>
      <c r="E25" s="39" t="s">
        <v>373</v>
      </c>
      <c r="F25" s="39" t="s">
        <v>373</v>
      </c>
      <c r="G25" s="39" t="s">
        <v>373</v>
      </c>
      <c r="H25" s="39" t="s">
        <v>373</v>
      </c>
      <c r="I25" s="39" t="s">
        <v>373</v>
      </c>
      <c r="J25" s="39" t="s">
        <v>373</v>
      </c>
      <c r="K25" s="39" t="s">
        <v>373</v>
      </c>
      <c r="L25" s="10"/>
      <c r="M25" s="12"/>
      <c r="N25" s="10"/>
      <c r="O25" s="19" t="s">
        <v>372</v>
      </c>
      <c r="P25" s="22" t="s">
        <v>374</v>
      </c>
      <c r="Q25" s="22" t="s">
        <v>373</v>
      </c>
    </row>
    <row r="26" spans="2:17" ht="42" customHeight="1">
      <c r="B26" s="18" t="s">
        <v>375</v>
      </c>
      <c r="C26" s="63" t="s">
        <v>376</v>
      </c>
      <c r="D26" s="64" t="s">
        <v>377</v>
      </c>
      <c r="E26" s="39" t="s">
        <v>378</v>
      </c>
      <c r="F26" s="39" t="s">
        <v>379</v>
      </c>
      <c r="G26" s="39" t="s">
        <v>380</v>
      </c>
      <c r="H26" s="39" t="s">
        <v>378</v>
      </c>
      <c r="I26" s="37" t="s">
        <v>381</v>
      </c>
      <c r="J26" s="37" t="s">
        <v>382</v>
      </c>
      <c r="K26" s="37" t="s">
        <v>383</v>
      </c>
      <c r="L26" s="10"/>
      <c r="M26" s="12"/>
      <c r="N26" s="10"/>
      <c r="O26" s="19" t="s">
        <v>375</v>
      </c>
      <c r="P26" s="22" t="s">
        <v>384</v>
      </c>
      <c r="Q26" s="22" t="s">
        <v>385</v>
      </c>
    </row>
    <row r="27" spans="2:17" ht="64.5" customHeight="1">
      <c r="B27" s="18" t="s">
        <v>386</v>
      </c>
      <c r="C27" s="737" t="s">
        <v>387</v>
      </c>
      <c r="D27" s="737" t="s">
        <v>387</v>
      </c>
      <c r="E27" s="37" t="s">
        <v>388</v>
      </c>
      <c r="F27" s="37" t="s">
        <v>388</v>
      </c>
      <c r="G27" s="39" t="s">
        <v>389</v>
      </c>
      <c r="H27" s="39" t="s">
        <v>389</v>
      </c>
      <c r="I27" s="37" t="s">
        <v>390</v>
      </c>
      <c r="J27" s="37" t="s">
        <v>390</v>
      </c>
      <c r="K27" s="37" t="s">
        <v>391</v>
      </c>
      <c r="L27" s="10"/>
      <c r="M27" s="12"/>
      <c r="N27" s="10"/>
      <c r="O27" s="19" t="s">
        <v>386</v>
      </c>
      <c r="P27" s="22" t="s">
        <v>392</v>
      </c>
      <c r="Q27" s="22" t="s">
        <v>387</v>
      </c>
    </row>
    <row r="28" spans="2:17" ht="99.25" customHeight="1">
      <c r="B28" s="18" t="s">
        <v>393</v>
      </c>
      <c r="C28" s="738" t="s">
        <v>394</v>
      </c>
      <c r="D28" s="37" t="s">
        <v>395</v>
      </c>
      <c r="E28" s="37" t="s">
        <v>396</v>
      </c>
      <c r="F28" s="37" t="s">
        <v>397</v>
      </c>
      <c r="G28" s="37" t="s">
        <v>398</v>
      </c>
      <c r="H28" s="37" t="s">
        <v>396</v>
      </c>
      <c r="I28" s="37" t="s">
        <v>399</v>
      </c>
      <c r="J28" s="37" t="s">
        <v>400</v>
      </c>
      <c r="K28" s="37" t="s">
        <v>401</v>
      </c>
      <c r="L28" s="10"/>
      <c r="M28" s="12"/>
      <c r="N28" s="10"/>
      <c r="O28" s="19" t="s">
        <v>393</v>
      </c>
      <c r="P28" s="65" t="s">
        <v>402</v>
      </c>
      <c r="Q28" s="65" t="s">
        <v>403</v>
      </c>
    </row>
    <row r="29" spans="2:17" ht="99.25" customHeight="1">
      <c r="B29" s="18" t="s">
        <v>404</v>
      </c>
      <c r="C29" s="738" t="s">
        <v>405</v>
      </c>
      <c r="D29" s="37" t="s">
        <v>406</v>
      </c>
      <c r="E29" s="37" t="s">
        <v>407</v>
      </c>
      <c r="F29" s="37" t="s">
        <v>408</v>
      </c>
      <c r="G29" s="37" t="s">
        <v>409</v>
      </c>
      <c r="H29" s="37" t="s">
        <v>407</v>
      </c>
      <c r="I29" s="37" t="s">
        <v>410</v>
      </c>
      <c r="J29" s="37" t="s">
        <v>411</v>
      </c>
      <c r="K29" s="37" t="s">
        <v>412</v>
      </c>
      <c r="L29" s="10"/>
      <c r="M29" s="12"/>
      <c r="N29" s="10"/>
      <c r="O29" s="19" t="s">
        <v>413</v>
      </c>
      <c r="P29" s="65" t="s">
        <v>414</v>
      </c>
      <c r="Q29" s="65" t="s">
        <v>415</v>
      </c>
    </row>
    <row r="30" spans="2:17" ht="99.25" customHeight="1">
      <c r="B30" s="23" t="s">
        <v>416</v>
      </c>
      <c r="C30" s="738" t="s">
        <v>417</v>
      </c>
      <c r="D30" s="37" t="s">
        <v>418</v>
      </c>
      <c r="E30" s="37" t="s">
        <v>419</v>
      </c>
      <c r="F30" s="37" t="s">
        <v>420</v>
      </c>
      <c r="G30" s="37" t="s">
        <v>421</v>
      </c>
      <c r="H30" s="66" t="s">
        <v>422</v>
      </c>
      <c r="I30" s="37" t="s">
        <v>423</v>
      </c>
      <c r="J30" s="37" t="s">
        <v>424</v>
      </c>
      <c r="K30" s="37" t="s">
        <v>425</v>
      </c>
      <c r="L30" s="10"/>
      <c r="M30" s="12"/>
      <c r="N30" s="10"/>
      <c r="O30" s="19" t="s">
        <v>426</v>
      </c>
      <c r="P30" s="65" t="s">
        <v>358</v>
      </c>
      <c r="Q30" s="65" t="s">
        <v>427</v>
      </c>
    </row>
    <row r="31" spans="2:17" ht="93" customHeight="1">
      <c r="B31" s="18" t="s">
        <v>428</v>
      </c>
      <c r="C31" s="737" t="s">
        <v>429</v>
      </c>
      <c r="D31" s="737" t="s">
        <v>429</v>
      </c>
      <c r="E31" s="39" t="s">
        <v>430</v>
      </c>
      <c r="F31" s="39" t="s">
        <v>430</v>
      </c>
      <c r="G31" s="39" t="s">
        <v>429</v>
      </c>
      <c r="H31" s="39" t="s">
        <v>429</v>
      </c>
      <c r="I31" s="39" t="s">
        <v>431</v>
      </c>
      <c r="J31" s="39" t="s">
        <v>431</v>
      </c>
      <c r="K31" s="39" t="s">
        <v>429</v>
      </c>
      <c r="L31" s="10"/>
      <c r="M31" s="12"/>
      <c r="N31" s="10"/>
      <c r="O31" s="19" t="s">
        <v>428</v>
      </c>
      <c r="P31" s="22" t="s">
        <v>432</v>
      </c>
      <c r="Q31" s="22" t="s">
        <v>433</v>
      </c>
    </row>
    <row r="32" spans="2:17" ht="92.5">
      <c r="B32" s="18" t="s">
        <v>434</v>
      </c>
      <c r="C32" s="738" t="s">
        <v>358</v>
      </c>
      <c r="D32" s="738" t="s">
        <v>358</v>
      </c>
      <c r="E32" s="37" t="s">
        <v>435</v>
      </c>
      <c r="F32" s="37" t="s">
        <v>436</v>
      </c>
      <c r="G32" s="39" t="s">
        <v>358</v>
      </c>
      <c r="H32" s="37" t="s">
        <v>437</v>
      </c>
      <c r="I32" s="37" t="s">
        <v>358</v>
      </c>
      <c r="J32" s="37" t="s">
        <v>436</v>
      </c>
      <c r="K32" s="37" t="s">
        <v>358</v>
      </c>
      <c r="L32" s="10"/>
      <c r="M32" s="12"/>
      <c r="N32" s="10"/>
      <c r="O32" s="19" t="s">
        <v>434</v>
      </c>
      <c r="P32" s="65" t="s">
        <v>358</v>
      </c>
      <c r="Q32" s="65" t="s">
        <v>358</v>
      </c>
    </row>
    <row r="33" spans="2:17" ht="48.75" customHeight="1">
      <c r="B33" s="18" t="s">
        <v>438</v>
      </c>
      <c r="C33" s="738" t="s">
        <v>358</v>
      </c>
      <c r="D33" s="738" t="s">
        <v>358</v>
      </c>
      <c r="E33" s="37" t="s">
        <v>358</v>
      </c>
      <c r="F33" s="37" t="s">
        <v>358</v>
      </c>
      <c r="G33" s="39" t="s">
        <v>357</v>
      </c>
      <c r="H33" s="39" t="s">
        <v>357</v>
      </c>
      <c r="I33" s="37" t="s">
        <v>358</v>
      </c>
      <c r="J33" s="37" t="s">
        <v>358</v>
      </c>
      <c r="K33" s="37" t="s">
        <v>358</v>
      </c>
      <c r="L33" s="10"/>
      <c r="M33" s="12"/>
      <c r="N33" s="10"/>
      <c r="O33" s="19" t="s">
        <v>438</v>
      </c>
      <c r="P33" s="65" t="s">
        <v>358</v>
      </c>
      <c r="Q33" s="65" t="s">
        <v>358</v>
      </c>
    </row>
    <row r="34" spans="2:17" ht="30" customHeight="1">
      <c r="B34" s="23" t="s">
        <v>439</v>
      </c>
      <c r="C34" s="67" t="s">
        <v>440</v>
      </c>
      <c r="D34" s="68" t="s">
        <v>441</v>
      </c>
      <c r="E34" s="68" t="s">
        <v>442</v>
      </c>
      <c r="F34" s="68" t="s">
        <v>443</v>
      </c>
      <c r="G34" s="39" t="s">
        <v>357</v>
      </c>
      <c r="H34" s="39" t="s">
        <v>357</v>
      </c>
      <c r="I34" s="68" t="s">
        <v>444</v>
      </c>
      <c r="J34" s="68" t="s">
        <v>445</v>
      </c>
      <c r="K34" s="37" t="s">
        <v>357</v>
      </c>
      <c r="L34" s="10"/>
      <c r="M34" s="12"/>
      <c r="N34" s="10"/>
      <c r="O34" s="24" t="s">
        <v>439</v>
      </c>
      <c r="P34" s="69" t="s">
        <v>446</v>
      </c>
      <c r="Q34" s="69" t="s">
        <v>447</v>
      </c>
    </row>
    <row r="35" spans="2:17" ht="111">
      <c r="B35" s="23" t="s">
        <v>448</v>
      </c>
      <c r="C35" s="738" t="s">
        <v>358</v>
      </c>
      <c r="D35" s="738" t="s">
        <v>358</v>
      </c>
      <c r="E35" s="37" t="s">
        <v>449</v>
      </c>
      <c r="F35" s="37" t="s">
        <v>450</v>
      </c>
      <c r="G35" s="39" t="s">
        <v>357</v>
      </c>
      <c r="H35" s="39" t="s">
        <v>357</v>
      </c>
      <c r="I35" s="37" t="s">
        <v>358</v>
      </c>
      <c r="J35" s="37" t="s">
        <v>358</v>
      </c>
      <c r="K35" s="37" t="s">
        <v>357</v>
      </c>
      <c r="L35" s="10"/>
      <c r="M35" s="12"/>
      <c r="N35" s="10"/>
      <c r="O35" s="24" t="s">
        <v>448</v>
      </c>
      <c r="P35" s="65" t="s">
        <v>358</v>
      </c>
      <c r="Q35" s="65" t="s">
        <v>358</v>
      </c>
    </row>
    <row r="36" spans="2:17" ht="165.75" customHeight="1" thickBot="1">
      <c r="B36" s="70" t="s">
        <v>451</v>
      </c>
      <c r="C36" s="71" t="s">
        <v>358</v>
      </c>
      <c r="D36" s="71" t="s">
        <v>358</v>
      </c>
      <c r="E36" s="72" t="s">
        <v>452</v>
      </c>
      <c r="F36" s="72" t="s">
        <v>452</v>
      </c>
      <c r="G36" s="72" t="s">
        <v>357</v>
      </c>
      <c r="H36" s="72" t="s">
        <v>357</v>
      </c>
      <c r="I36" s="72" t="s">
        <v>453</v>
      </c>
      <c r="J36" s="72" t="s">
        <v>454</v>
      </c>
      <c r="K36" s="72" t="s">
        <v>357</v>
      </c>
      <c r="L36" s="10"/>
      <c r="M36" s="12"/>
      <c r="N36" s="10"/>
      <c r="O36" s="73" t="s">
        <v>451</v>
      </c>
      <c r="P36" s="74" t="s">
        <v>358</v>
      </c>
      <c r="Q36" s="74" t="s">
        <v>358</v>
      </c>
    </row>
    <row r="37" spans="2:17" ht="26.25" customHeight="1">
      <c r="B37" s="10" t="s">
        <v>455</v>
      </c>
      <c r="C37" s="11"/>
      <c r="D37" s="11"/>
      <c r="E37" s="10"/>
      <c r="F37" s="10"/>
      <c r="G37" s="10"/>
      <c r="H37" s="10"/>
      <c r="I37" s="10"/>
      <c r="J37" s="10"/>
      <c r="K37" s="10"/>
      <c r="L37" s="10"/>
      <c r="M37" s="12"/>
      <c r="N37" s="10"/>
      <c r="O37" s="75" t="str">
        <f>B37</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v>
      </c>
      <c r="P37" s="10"/>
    </row>
    <row r="38" spans="2:17" ht="18.5">
      <c r="B38" s="10" t="s">
        <v>456</v>
      </c>
      <c r="C38" s="11"/>
      <c r="D38" s="11"/>
      <c r="E38" s="10"/>
      <c r="F38" s="10"/>
      <c r="G38" s="10"/>
      <c r="H38" s="10"/>
      <c r="I38" s="10"/>
      <c r="J38" s="10"/>
      <c r="K38" s="10"/>
      <c r="L38" s="10"/>
      <c r="M38" s="12"/>
      <c r="N38" s="10"/>
      <c r="O38" s="10" t="str">
        <f>B38</f>
        <v>2 Source: UNICEF PRODUCT MENU FOR VACCINES SUPPLIED BY UNICEF FOR GAVI, THE VACCINE ALLIANCE (https://www.unicef.org/supply/files/Product_Menu_08_January_2018.pdf)</v>
      </c>
      <c r="P38" s="10"/>
    </row>
    <row r="39" spans="2:17" ht="18.5">
      <c r="B39" s="76" t="s">
        <v>457</v>
      </c>
      <c r="C39" s="11"/>
      <c r="D39" s="11"/>
      <c r="E39" s="10"/>
      <c r="F39" s="10"/>
      <c r="G39" s="10"/>
      <c r="H39" s="10"/>
      <c r="I39" s="10"/>
      <c r="J39" s="10"/>
      <c r="K39" s="10"/>
      <c r="L39" s="10"/>
      <c r="M39" s="12"/>
      <c r="N39" s="10"/>
      <c r="O39" s="1105" t="str">
        <f>B39</f>
        <v>3 Source: WHO position paper: http://www.who.int/immunization/documents/positionpapers/en/</v>
      </c>
      <c r="P39" s="1106"/>
    </row>
    <row r="40" spans="2:17" ht="18.5">
      <c r="B40" s="10" t="s">
        <v>458</v>
      </c>
      <c r="C40" s="11"/>
      <c r="D40" s="11"/>
      <c r="E40" s="10"/>
      <c r="F40" s="10"/>
      <c r="G40" s="10"/>
      <c r="H40" s="10"/>
      <c r="I40" s="10"/>
      <c r="J40" s="10"/>
      <c r="K40" s="10"/>
      <c r="L40" s="10"/>
      <c r="M40" s="12"/>
      <c r="N40" s="10"/>
      <c r="O40" s="10" t="str">
        <f>B40</f>
        <v xml:space="preserve">4 Source: Gavi Secretariat, see definitions tab for details </v>
      </c>
      <c r="P40" s="10"/>
    </row>
    <row r="41" spans="2:17" ht="18.5">
      <c r="B41" s="10" t="s">
        <v>459</v>
      </c>
      <c r="C41" s="11"/>
      <c r="D41" s="11"/>
      <c r="E41" s="10"/>
      <c r="F41" s="10"/>
      <c r="G41" s="10"/>
      <c r="H41" s="10"/>
      <c r="I41" s="10"/>
      <c r="J41" s="10"/>
      <c r="K41" s="10"/>
      <c r="L41" s="10"/>
      <c r="M41" s="12"/>
      <c r="N41" s="10"/>
      <c r="O41" s="10" t="str">
        <f>B41</f>
        <v>5 Source: Review of WHO indicative vaccine wastage rate assumptions, 2017</v>
      </c>
      <c r="P41" s="10"/>
    </row>
    <row r="42" spans="2:17" ht="18.5">
      <c r="B42" s="10" t="s">
        <v>460</v>
      </c>
      <c r="C42" s="11"/>
      <c r="D42" s="11"/>
      <c r="E42" s="10"/>
      <c r="F42" s="10"/>
      <c r="G42" s="10"/>
      <c r="H42" s="10"/>
      <c r="I42" s="10"/>
      <c r="J42" s="10"/>
      <c r="K42" s="10"/>
      <c r="L42" s="10"/>
      <c r="M42" s="12"/>
      <c r="N42" s="10"/>
      <c r="O42" s="10"/>
      <c r="P42" s="10"/>
    </row>
    <row r="43" spans="2:17" ht="18.5">
      <c r="B43" s="77" t="s">
        <v>461</v>
      </c>
      <c r="E43" s="736"/>
      <c r="F43" s="736"/>
      <c r="G43" s="736"/>
      <c r="H43" s="736"/>
      <c r="I43" s="736"/>
      <c r="J43" s="736"/>
      <c r="K43" s="736"/>
      <c r="L43" s="10"/>
      <c r="M43" s="12"/>
      <c r="N43" s="10"/>
      <c r="O43" s="10"/>
      <c r="P43" s="10"/>
    </row>
    <row r="44" spans="2:17" ht="18.5">
      <c r="B44" s="736" t="s">
        <v>462</v>
      </c>
      <c r="E44" s="736"/>
      <c r="F44" s="736"/>
      <c r="G44" s="736"/>
      <c r="H44" s="736"/>
      <c r="I44" s="736"/>
      <c r="J44" s="736"/>
      <c r="K44" s="736"/>
      <c r="L44" s="10"/>
      <c r="M44" s="12"/>
      <c r="N44" s="10"/>
      <c r="O44" s="10"/>
      <c r="P44" s="10"/>
    </row>
    <row r="45" spans="2:17" ht="18.5">
      <c r="B45" s="736" t="s">
        <v>463</v>
      </c>
      <c r="E45" s="736"/>
      <c r="F45" s="736"/>
      <c r="G45" s="736"/>
      <c r="H45" s="736"/>
      <c r="I45" s="736"/>
      <c r="J45" s="736"/>
      <c r="K45" s="736"/>
      <c r="L45" s="10"/>
      <c r="M45" s="12"/>
      <c r="N45" s="10"/>
      <c r="O45" s="10"/>
      <c r="P45" s="10"/>
    </row>
    <row r="46" spans="2:17" ht="18.5">
      <c r="B46" s="1106" t="s">
        <v>464</v>
      </c>
      <c r="C46" s="1106"/>
      <c r="D46" s="1106"/>
      <c r="E46" s="10"/>
      <c r="F46" s="10"/>
      <c r="G46" s="10"/>
      <c r="H46" s="10"/>
      <c r="I46" s="10"/>
      <c r="J46" s="10"/>
      <c r="K46" s="10"/>
      <c r="L46" s="10"/>
      <c r="M46" s="12"/>
      <c r="N46" s="10"/>
      <c r="O46" s="10"/>
      <c r="P46" s="10"/>
    </row>
    <row r="47" spans="2:17" ht="18.5">
      <c r="B47" s="10"/>
      <c r="C47" s="11"/>
      <c r="D47" s="11"/>
      <c r="E47" s="10"/>
      <c r="F47" s="10"/>
      <c r="G47" s="10"/>
      <c r="H47" s="10"/>
      <c r="I47" s="10"/>
      <c r="J47" s="10"/>
      <c r="K47" s="10"/>
      <c r="L47" s="10"/>
      <c r="M47" s="12"/>
      <c r="N47" s="10"/>
      <c r="O47" s="10"/>
      <c r="P47" s="10"/>
    </row>
    <row r="48" spans="2:17" ht="18.5">
      <c r="B48" s="10"/>
      <c r="C48" s="11"/>
      <c r="D48" s="11"/>
      <c r="E48" s="10"/>
      <c r="F48" s="10"/>
      <c r="G48" s="10"/>
      <c r="H48" s="10"/>
      <c r="I48" s="10"/>
      <c r="J48" s="10"/>
      <c r="K48" s="10"/>
      <c r="L48" s="10"/>
      <c r="M48" s="12"/>
      <c r="N48" s="10"/>
      <c r="O48" s="10"/>
      <c r="P48" s="10"/>
    </row>
    <row r="49" spans="2:16" ht="18.5">
      <c r="B49" s="10"/>
      <c r="C49" s="11"/>
      <c r="D49" s="11"/>
      <c r="E49" s="10"/>
      <c r="F49" s="10"/>
      <c r="G49" s="10"/>
      <c r="H49" s="10"/>
      <c r="I49" s="10"/>
      <c r="J49" s="10"/>
      <c r="K49" s="10"/>
      <c r="L49" s="10"/>
      <c r="M49" s="12"/>
      <c r="N49" s="10"/>
      <c r="O49" s="10"/>
      <c r="P49" s="10"/>
    </row>
    <row r="50" spans="2:16" ht="18.5">
      <c r="B50" s="10"/>
      <c r="C50" s="11"/>
      <c r="D50" s="11"/>
      <c r="E50" s="10"/>
      <c r="F50" s="10"/>
      <c r="G50" s="10"/>
      <c r="H50" s="10"/>
      <c r="I50" s="10"/>
      <c r="J50" s="10"/>
      <c r="K50" s="10"/>
      <c r="L50" s="10"/>
      <c r="M50" s="12"/>
      <c r="N50" s="10"/>
      <c r="O50" s="10"/>
      <c r="P50" s="10"/>
    </row>
    <row r="51" spans="2:16" ht="18.5">
      <c r="B51" s="10"/>
      <c r="C51" s="11"/>
      <c r="D51" s="11"/>
      <c r="E51" s="10"/>
      <c r="F51" s="10"/>
      <c r="G51" s="10"/>
      <c r="H51" s="10"/>
      <c r="I51" s="10"/>
      <c r="J51" s="10"/>
      <c r="K51" s="10"/>
      <c r="L51" s="10"/>
      <c r="M51" s="12"/>
      <c r="N51" s="10"/>
      <c r="O51" s="10"/>
      <c r="P51" s="10"/>
    </row>
    <row r="57" spans="2:16">
      <c r="C57" s="78"/>
    </row>
  </sheetData>
  <mergeCells count="31">
    <mergeCell ref="C8:D8"/>
    <mergeCell ref="E8:H8"/>
    <mergeCell ref="I8:K8"/>
    <mergeCell ref="B2:D2"/>
    <mergeCell ref="O3:P5"/>
    <mergeCell ref="B4:B5"/>
    <mergeCell ref="C7:K7"/>
    <mergeCell ref="P7:Q7"/>
    <mergeCell ref="C9:D9"/>
    <mergeCell ref="E9:H9"/>
    <mergeCell ref="I9:K9"/>
    <mergeCell ref="C10:D10"/>
    <mergeCell ref="E10:H10"/>
    <mergeCell ref="I10:K10"/>
    <mergeCell ref="C11:D11"/>
    <mergeCell ref="E11:H11"/>
    <mergeCell ref="I11:K11"/>
    <mergeCell ref="C12:D12"/>
    <mergeCell ref="E12:F12"/>
    <mergeCell ref="G12:H12"/>
    <mergeCell ref="I12:K12"/>
    <mergeCell ref="O39:P39"/>
    <mergeCell ref="B46:D46"/>
    <mergeCell ref="C13:D13"/>
    <mergeCell ref="E13:F13"/>
    <mergeCell ref="G13:H13"/>
    <mergeCell ref="I13:K13"/>
    <mergeCell ref="C14:D14"/>
    <mergeCell ref="E14:F14"/>
    <mergeCell ref="G14:H14"/>
    <mergeCell ref="I14:K14"/>
  </mergeCells>
  <hyperlinks>
    <hyperlink ref="P34" r:id="rId1" xr:uid="{00000000-0004-0000-0500-000000000000}"/>
    <hyperlink ref="C34" r:id="rId2" xr:uid="{00000000-0004-0000-0500-000001000000}"/>
    <hyperlink ref="E34" r:id="rId3" xr:uid="{00000000-0004-0000-0500-000002000000}"/>
    <hyperlink ref="J34" r:id="rId4" xr:uid="{00000000-0004-0000-0500-000003000000}"/>
    <hyperlink ref="I34" r:id="rId5" xr:uid="{00000000-0004-0000-0500-000004000000}"/>
    <hyperlink ref="F34" r:id="rId6" xr:uid="{00000000-0004-0000-0500-000005000000}"/>
    <hyperlink ref="D34" r:id="rId7" xr:uid="{00000000-0004-0000-0500-000006000000}"/>
    <hyperlink ref="Q34" r:id="rId8" xr:uid="{00000000-0004-0000-0500-000007000000}"/>
  </hyperlinks>
  <pageMargins left="0.7" right="0.7" top="0.75" bottom="0.75" header="0.3" footer="0.3"/>
  <pageSetup paperSize="9" orientation="portrait" r:id="rId9"/>
  <headerFooter>
    <oddHeader>&amp;L&amp;"Calibri"&amp;10&amp;K000000Classified as Internal&amp;1#</oddHeader>
  </headerFooter>
  <drawing r:id="rId10"/>
  <legacy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3326-17B7-4AEA-A25C-8A452A039AAA}">
  <sheetPr codeName="Sheet5"/>
  <dimension ref="A1:MM160"/>
  <sheetViews>
    <sheetView workbookViewId="0"/>
  </sheetViews>
  <sheetFormatPr defaultColWidth="8.81640625" defaultRowHeight="14.5" outlineLevelRow="1" outlineLevelCol="1"/>
  <cols>
    <col min="1" max="1" width="1.453125" style="84" customWidth="1"/>
    <col min="2" max="2" width="2.1796875" style="84" customWidth="1"/>
    <col min="3" max="3" width="37.453125" style="85" customWidth="1"/>
    <col min="4" max="4" width="18.453125" style="85" customWidth="1"/>
    <col min="5" max="6" width="18.453125" style="85" hidden="1" customWidth="1" outlineLevel="1"/>
    <col min="7" max="7" width="18.453125" style="85" customWidth="1" collapsed="1"/>
    <col min="8" max="9" width="18.453125" style="85" hidden="1" customWidth="1" outlineLevel="1"/>
    <col min="10" max="10" width="18.453125" style="85" customWidth="1" collapsed="1"/>
    <col min="11" max="11" width="18.1796875" style="85" customWidth="1"/>
    <col min="12" max="12" width="18.453125" style="85" customWidth="1"/>
    <col min="13" max="13" width="27.1796875" style="85" customWidth="1"/>
    <col min="14" max="14" width="18.453125" style="85" customWidth="1"/>
    <col min="15" max="15" width="21.81640625" style="112" customWidth="1"/>
    <col min="16" max="16" width="46.81640625" style="112" customWidth="1"/>
    <col min="17" max="17" width="25.453125" style="112" customWidth="1"/>
    <col min="18" max="18" width="4.81640625" style="112" customWidth="1"/>
    <col min="19" max="19" width="17.453125" style="85" customWidth="1"/>
    <col min="20" max="20" width="1.1796875" style="85" customWidth="1"/>
    <col min="21" max="21" width="17.453125" style="85" customWidth="1"/>
    <col min="22" max="22" width="59.1796875" style="85" customWidth="1"/>
    <col min="23" max="23" width="5.1796875" style="85" customWidth="1"/>
    <col min="24" max="24" width="25.453125" style="85" customWidth="1"/>
    <col min="25" max="25" width="19.1796875" style="85" customWidth="1"/>
    <col min="26" max="26" width="24.81640625" style="85" customWidth="1"/>
    <col min="27" max="27" width="19.1796875" style="85" customWidth="1"/>
    <col min="28" max="28" width="25" style="85" customWidth="1"/>
    <col min="29" max="29" width="19.453125" style="85" customWidth="1"/>
    <col min="30" max="30" width="15.81640625" style="85" customWidth="1"/>
    <col min="31" max="31" width="37" style="85" customWidth="1"/>
    <col min="32" max="32" width="8.81640625" style="85" customWidth="1"/>
    <col min="33" max="33" width="22.81640625" style="85" customWidth="1"/>
    <col min="34" max="34" width="15.81640625" style="85" customWidth="1"/>
    <col min="35" max="35" width="37" style="85" customWidth="1"/>
    <col min="36" max="36" width="2.81640625" style="85" customWidth="1"/>
    <col min="37" max="16384" width="8.81640625" style="85"/>
  </cols>
  <sheetData>
    <row r="1" spans="3:20" ht="12" customHeight="1">
      <c r="C1" s="120"/>
      <c r="D1" s="120"/>
      <c r="E1" s="84"/>
      <c r="F1" s="120"/>
      <c r="G1" s="120"/>
      <c r="H1" s="84"/>
      <c r="I1" s="84"/>
      <c r="J1" s="120"/>
      <c r="K1" s="84"/>
      <c r="L1" s="84"/>
      <c r="M1" s="84"/>
      <c r="P1" s="199"/>
      <c r="R1" s="200"/>
      <c r="T1" s="151"/>
    </row>
    <row r="2" spans="3:20" ht="39.75" customHeight="1">
      <c r="C2" s="226" t="s">
        <v>87</v>
      </c>
      <c r="D2" s="227"/>
      <c r="E2" s="227"/>
      <c r="F2" s="227"/>
      <c r="G2" s="228"/>
      <c r="H2" s="228"/>
      <c r="I2" s="228"/>
      <c r="J2" s="229"/>
      <c r="K2" s="228"/>
      <c r="L2" s="228"/>
      <c r="M2" s="193"/>
      <c r="Q2" s="201"/>
      <c r="R2" s="201"/>
      <c r="S2" s="150"/>
    </row>
    <row r="3" spans="3:20" ht="26.25" hidden="1" customHeight="1">
      <c r="C3" s="84"/>
      <c r="D3" s="84"/>
      <c r="E3" s="84"/>
      <c r="F3" s="84"/>
      <c r="G3" s="84"/>
      <c r="H3" s="84"/>
      <c r="I3" s="84"/>
      <c r="J3" s="845"/>
      <c r="K3" s="845"/>
      <c r="L3" s="84"/>
      <c r="M3" s="84"/>
      <c r="Q3" s="201"/>
      <c r="R3" s="201"/>
      <c r="S3" s="150"/>
    </row>
    <row r="4" spans="3:20" ht="14.25" hidden="1" customHeight="1">
      <c r="C4" s="84"/>
      <c r="D4" s="84"/>
      <c r="E4" s="84"/>
      <c r="F4" s="84"/>
      <c r="G4" s="84"/>
      <c r="H4" s="84"/>
      <c r="I4" s="84"/>
      <c r="J4" s="845"/>
      <c r="K4" s="845"/>
      <c r="L4" s="84"/>
      <c r="M4" s="84"/>
      <c r="Q4" s="201"/>
      <c r="R4" s="201"/>
      <c r="S4" s="150"/>
    </row>
    <row r="5" spans="3:20" ht="14.25" hidden="1" customHeight="1">
      <c r="C5" s="84"/>
      <c r="D5" s="84"/>
      <c r="E5" s="84"/>
      <c r="F5" s="84"/>
      <c r="G5" s="84"/>
      <c r="H5" s="84"/>
      <c r="I5" s="84"/>
      <c r="J5" s="84"/>
      <c r="K5" s="84"/>
      <c r="L5" s="107"/>
      <c r="M5" s="84"/>
      <c r="P5" s="202"/>
      <c r="Q5" s="201"/>
      <c r="R5" s="201"/>
      <c r="S5" s="150"/>
    </row>
    <row r="6" spans="3:20" ht="20.25" hidden="1" customHeight="1">
      <c r="C6" s="846" t="s">
        <v>2</v>
      </c>
      <c r="D6" s="847"/>
      <c r="E6" s="847"/>
      <c r="F6" s="847"/>
      <c r="G6" s="847"/>
      <c r="H6" s="847"/>
      <c r="I6" s="847"/>
      <c r="J6" s="847"/>
      <c r="K6" s="847"/>
      <c r="L6" s="847"/>
      <c r="M6" s="848"/>
      <c r="O6" s="187"/>
      <c r="P6" s="187"/>
      <c r="Q6" s="187"/>
      <c r="R6" s="187"/>
      <c r="S6" s="150"/>
    </row>
    <row r="7" spans="3:20" ht="20.25" hidden="1" customHeight="1">
      <c r="C7" s="849"/>
      <c r="D7" s="850"/>
      <c r="E7" s="850"/>
      <c r="F7" s="850"/>
      <c r="G7" s="850"/>
      <c r="H7" s="850"/>
      <c r="I7" s="850"/>
      <c r="J7" s="850"/>
      <c r="K7" s="850"/>
      <c r="L7" s="850"/>
      <c r="M7" s="851"/>
      <c r="O7" s="187"/>
      <c r="P7" s="187"/>
      <c r="Q7" s="187"/>
      <c r="R7" s="187"/>
      <c r="S7" s="150"/>
    </row>
    <row r="8" spans="3:20" ht="20.25" hidden="1" customHeight="1">
      <c r="C8" s="849"/>
      <c r="D8" s="850"/>
      <c r="E8" s="850"/>
      <c r="F8" s="850"/>
      <c r="G8" s="850"/>
      <c r="H8" s="850"/>
      <c r="I8" s="850"/>
      <c r="J8" s="850"/>
      <c r="K8" s="850"/>
      <c r="L8" s="850"/>
      <c r="M8" s="851"/>
      <c r="O8" s="187"/>
      <c r="P8" s="187"/>
      <c r="Q8" s="187"/>
      <c r="R8" s="187"/>
      <c r="S8" s="150"/>
    </row>
    <row r="9" spans="3:20" ht="27.25" hidden="1" customHeight="1">
      <c r="C9" s="852"/>
      <c r="D9" s="853"/>
      <c r="E9" s="853"/>
      <c r="F9" s="853"/>
      <c r="G9" s="853"/>
      <c r="H9" s="853"/>
      <c r="I9" s="853"/>
      <c r="J9" s="853"/>
      <c r="K9" s="853"/>
      <c r="L9" s="853"/>
      <c r="M9" s="854"/>
      <c r="O9" s="187"/>
      <c r="P9" s="187"/>
      <c r="Q9" s="187"/>
      <c r="R9" s="187"/>
      <c r="S9" s="150"/>
    </row>
    <row r="10" spans="3:20" ht="12" customHeight="1">
      <c r="C10" s="84"/>
      <c r="D10" s="84"/>
      <c r="E10" s="84"/>
      <c r="F10" s="84"/>
      <c r="G10" s="84"/>
      <c r="H10" s="84"/>
      <c r="I10" s="84"/>
      <c r="J10" s="120"/>
      <c r="K10" s="84"/>
      <c r="L10" s="84"/>
      <c r="M10" s="84"/>
      <c r="P10" s="199"/>
      <c r="R10" s="200"/>
      <c r="T10" s="151"/>
    </row>
    <row r="11" spans="3:20" ht="26.25" customHeight="1">
      <c r="C11" s="855" t="s">
        <v>3</v>
      </c>
      <c r="D11" s="856"/>
      <c r="E11" s="84"/>
      <c r="F11" s="84"/>
      <c r="G11" s="84"/>
      <c r="H11" s="84"/>
      <c r="I11" s="84"/>
      <c r="J11" s="84"/>
      <c r="K11" s="84"/>
      <c r="L11" s="107"/>
      <c r="M11" s="84"/>
      <c r="P11" s="199"/>
      <c r="Q11" s="201"/>
      <c r="R11" s="201"/>
      <c r="S11" s="150"/>
    </row>
    <row r="12" spans="3:20" ht="12" customHeight="1">
      <c r="E12" s="84"/>
      <c r="F12" s="84"/>
      <c r="G12" s="84"/>
      <c r="H12" s="84"/>
      <c r="I12" s="84"/>
      <c r="J12" s="120"/>
      <c r="K12" s="84"/>
      <c r="L12" s="84"/>
      <c r="M12" s="84"/>
      <c r="P12" s="199"/>
      <c r="R12" s="200"/>
      <c r="T12" s="151"/>
    </row>
    <row r="13" spans="3:20" ht="25.5" customHeight="1">
      <c r="C13" s="153" t="s">
        <v>4</v>
      </c>
      <c r="D13" s="153"/>
      <c r="E13" s="84"/>
      <c r="F13" s="84"/>
      <c r="G13" s="84"/>
      <c r="H13" s="84"/>
      <c r="I13" s="84"/>
      <c r="J13" s="84"/>
      <c r="K13" s="84"/>
      <c r="L13" s="84"/>
      <c r="M13" s="84"/>
      <c r="P13" s="199"/>
      <c r="R13" s="200"/>
      <c r="T13" s="151"/>
    </row>
    <row r="14" spans="3:20" ht="12" customHeight="1" thickBot="1">
      <c r="E14" s="84"/>
      <c r="F14" s="84"/>
      <c r="G14" s="84"/>
      <c r="H14" s="84"/>
      <c r="I14" s="84"/>
      <c r="J14" s="84"/>
      <c r="K14" s="84"/>
      <c r="L14" s="84"/>
      <c r="M14" s="84"/>
      <c r="P14" s="199"/>
      <c r="R14" s="200"/>
      <c r="T14" s="151"/>
    </row>
    <row r="15" spans="3:20" ht="42.75" customHeight="1">
      <c r="C15" s="279" t="s">
        <v>5</v>
      </c>
      <c r="D15" s="280" t="s">
        <v>6</v>
      </c>
      <c r="E15" s="84"/>
      <c r="F15" s="84"/>
      <c r="G15" s="84"/>
      <c r="H15" s="84"/>
      <c r="I15" s="84"/>
      <c r="J15" s="84"/>
      <c r="K15" s="84"/>
      <c r="L15" s="84"/>
      <c r="M15" s="84"/>
      <c r="P15" s="199"/>
      <c r="R15" s="200"/>
      <c r="T15" s="151"/>
    </row>
    <row r="16" spans="3:20" ht="33" customHeight="1">
      <c r="C16" s="277" t="s">
        <v>7</v>
      </c>
      <c r="D16" s="281" t="s">
        <v>8</v>
      </c>
      <c r="E16" s="84"/>
      <c r="F16" s="84"/>
      <c r="G16" s="84"/>
      <c r="H16" s="84"/>
      <c r="I16" s="84"/>
      <c r="J16" s="120"/>
      <c r="K16" s="84"/>
      <c r="L16" s="84"/>
      <c r="M16" s="84"/>
      <c r="P16" s="199"/>
      <c r="R16" s="200"/>
      <c r="T16" s="151"/>
    </row>
    <row r="17" spans="3:20" ht="7.5" customHeight="1">
      <c r="C17" s="277"/>
      <c r="D17" s="282"/>
      <c r="E17" s="120"/>
      <c r="F17" s="84"/>
      <c r="G17" s="84"/>
      <c r="H17" s="84"/>
      <c r="I17" s="84"/>
      <c r="J17" s="120"/>
      <c r="K17" s="84"/>
      <c r="L17" s="84"/>
      <c r="M17" s="84"/>
      <c r="P17" s="199"/>
      <c r="R17" s="200"/>
      <c r="T17" s="151"/>
    </row>
    <row r="18" spans="3:20" ht="33" customHeight="1">
      <c r="C18" s="277" t="s">
        <v>19</v>
      </c>
      <c r="D18" s="281" t="s">
        <v>8</v>
      </c>
      <c r="E18" s="84"/>
      <c r="F18" s="84"/>
      <c r="G18" s="84"/>
      <c r="H18" s="84"/>
      <c r="I18" s="84"/>
      <c r="J18" s="120"/>
      <c r="K18" s="84"/>
      <c r="L18" s="84"/>
      <c r="M18" s="84"/>
      <c r="P18" s="199"/>
      <c r="R18" s="200"/>
      <c r="T18" s="151"/>
    </row>
    <row r="19" spans="3:20" ht="7.5" customHeight="1">
      <c r="C19" s="277"/>
      <c r="D19" s="282"/>
      <c r="E19" s="120"/>
      <c r="F19" s="84"/>
      <c r="G19" s="84"/>
      <c r="H19" s="84"/>
      <c r="I19" s="84"/>
      <c r="J19" s="120"/>
      <c r="K19" s="84"/>
      <c r="L19" s="84"/>
      <c r="M19" s="84"/>
      <c r="P19" s="199"/>
      <c r="R19" s="200"/>
      <c r="T19" s="151"/>
    </row>
    <row r="20" spans="3:20" ht="33" customHeight="1" thickBot="1">
      <c r="C20" s="283" t="s">
        <v>88</v>
      </c>
      <c r="D20" s="284" t="s">
        <v>8</v>
      </c>
      <c r="E20" s="84"/>
      <c r="F20" s="84"/>
      <c r="G20" s="84"/>
      <c r="H20" s="84"/>
      <c r="I20" s="84"/>
      <c r="J20" s="120"/>
      <c r="K20" s="84"/>
      <c r="L20" s="84"/>
      <c r="M20" s="84"/>
      <c r="P20" s="199"/>
      <c r="R20" s="200"/>
      <c r="T20" s="151"/>
    </row>
    <row r="21" spans="3:20" ht="12" customHeight="1">
      <c r="C21" s="84"/>
      <c r="D21" s="84"/>
      <c r="E21" s="84"/>
      <c r="F21" s="84"/>
      <c r="G21" s="84"/>
      <c r="H21" s="84"/>
      <c r="I21" s="84"/>
      <c r="J21" s="120"/>
      <c r="K21" s="84"/>
      <c r="L21" s="84"/>
      <c r="M21" s="84"/>
      <c r="P21" s="199"/>
      <c r="R21" s="200"/>
      <c r="T21" s="151"/>
    </row>
    <row r="22" spans="3:20" ht="25.5" customHeight="1">
      <c r="C22" s="857" t="s">
        <v>11</v>
      </c>
      <c r="D22" s="858"/>
      <c r="E22" s="858"/>
      <c r="F22" s="858"/>
      <c r="G22" s="858"/>
      <c r="H22" s="858"/>
      <c r="I22" s="858"/>
      <c r="J22" s="858"/>
      <c r="K22" s="858"/>
      <c r="L22" s="858"/>
      <c r="M22" s="859"/>
      <c r="N22" s="700"/>
      <c r="O22" s="203"/>
      <c r="R22" s="204"/>
      <c r="S22" s="145"/>
      <c r="T22" s="146"/>
    </row>
    <row r="23" spans="3:20" ht="12" customHeight="1" thickBot="1">
      <c r="C23" s="84"/>
      <c r="D23" s="84"/>
      <c r="E23" s="84"/>
      <c r="F23" s="84"/>
      <c r="G23" s="84"/>
      <c r="H23" s="84"/>
      <c r="I23" s="84"/>
      <c r="J23" s="120"/>
      <c r="K23" s="84"/>
      <c r="L23" s="84"/>
      <c r="M23" s="84"/>
      <c r="P23" s="199"/>
      <c r="R23" s="200"/>
      <c r="T23" s="151"/>
    </row>
    <row r="24" spans="3:20" ht="119.5" customHeight="1" thickBot="1">
      <c r="C24" s="264" t="s">
        <v>12</v>
      </c>
      <c r="D24" s="839" t="s">
        <v>13</v>
      </c>
      <c r="E24" s="840"/>
      <c r="F24" s="841"/>
      <c r="G24" s="839" t="s">
        <v>14</v>
      </c>
      <c r="H24" s="840"/>
      <c r="I24" s="841"/>
      <c r="J24" s="839" t="s">
        <v>15</v>
      </c>
      <c r="K24" s="840"/>
      <c r="L24" s="842" t="s">
        <v>16</v>
      </c>
      <c r="M24" s="843"/>
      <c r="N24" s="701"/>
      <c r="O24" s="181"/>
      <c r="P24" s="205"/>
      <c r="R24" s="204"/>
      <c r="S24" s="145"/>
    </row>
    <row r="25" spans="3:20" ht="12" customHeight="1" thickBot="1">
      <c r="C25" s="84"/>
      <c r="D25" s="84"/>
      <c r="E25" s="84"/>
      <c r="F25" s="84"/>
      <c r="G25" s="84"/>
      <c r="H25" s="84"/>
      <c r="I25" s="84"/>
      <c r="J25" s="120"/>
      <c r="K25" s="84"/>
      <c r="L25" s="84"/>
      <c r="M25" s="84"/>
      <c r="P25" s="199"/>
      <c r="R25" s="200"/>
      <c r="T25" s="151"/>
    </row>
    <row r="26" spans="3:20" ht="25.5" customHeight="1" thickBot="1">
      <c r="C26" s="237" t="s">
        <v>17</v>
      </c>
      <c r="D26" s="860">
        <v>2026</v>
      </c>
      <c r="E26" s="861"/>
      <c r="F26" s="861"/>
      <c r="G26" s="861"/>
      <c r="H26" s="861"/>
      <c r="I26" s="861"/>
      <c r="J26" s="861"/>
      <c r="K26" s="862"/>
      <c r="L26" s="863" t="s">
        <v>18</v>
      </c>
      <c r="M26" s="864"/>
      <c r="N26" s="710"/>
      <c r="O26" s="206"/>
      <c r="R26" s="180"/>
      <c r="T26" s="136"/>
    </row>
    <row r="27" spans="3:20" ht="12" customHeight="1" thickBot="1">
      <c r="C27" s="84"/>
      <c r="D27" s="84"/>
      <c r="E27" s="84"/>
      <c r="F27" s="84"/>
      <c r="G27" s="84"/>
      <c r="H27" s="84"/>
      <c r="I27" s="84"/>
      <c r="J27" s="120"/>
      <c r="K27" s="84"/>
      <c r="L27" s="84"/>
      <c r="M27" s="84"/>
      <c r="P27" s="199"/>
      <c r="R27" s="200"/>
      <c r="T27" s="151"/>
    </row>
    <row r="28" spans="3:20" ht="12" hidden="1" customHeight="1" thickBot="1">
      <c r="C28" s="84"/>
      <c r="D28" s="84"/>
      <c r="E28" s="84"/>
      <c r="F28" s="84"/>
      <c r="G28" s="84"/>
      <c r="H28" s="84"/>
      <c r="I28" s="84"/>
      <c r="J28" s="120"/>
      <c r="K28" s="84"/>
      <c r="L28" s="84"/>
      <c r="M28" s="84"/>
      <c r="P28" s="199"/>
      <c r="R28" s="200"/>
      <c r="T28" s="151"/>
    </row>
    <row r="29" spans="3:20" ht="27.75" customHeight="1" thickBot="1">
      <c r="C29" s="865" t="s">
        <v>5</v>
      </c>
      <c r="D29" s="867" t="s">
        <v>7</v>
      </c>
      <c r="E29" s="868"/>
      <c r="F29" s="869"/>
      <c r="G29" s="867" t="s">
        <v>19</v>
      </c>
      <c r="H29" s="868"/>
      <c r="I29" s="869"/>
      <c r="J29" s="259" t="s">
        <v>7</v>
      </c>
      <c r="K29" s="260" t="s">
        <v>19</v>
      </c>
      <c r="L29" s="870" t="s">
        <v>89</v>
      </c>
      <c r="M29" s="871"/>
      <c r="N29" s="710"/>
      <c r="O29" s="206"/>
      <c r="R29" s="207"/>
      <c r="T29" s="147"/>
    </row>
    <row r="30" spans="3:20" ht="24.75" customHeight="1" thickBot="1">
      <c r="C30" s="866"/>
      <c r="D30" s="874">
        <v>150000</v>
      </c>
      <c r="E30" s="875"/>
      <c r="F30" s="876"/>
      <c r="G30" s="874">
        <v>140000</v>
      </c>
      <c r="H30" s="875"/>
      <c r="I30" s="876"/>
      <c r="J30" s="257">
        <f>IF($D$20="Yes",D$30,IF($D$20="No",0))</f>
        <v>150000</v>
      </c>
      <c r="K30" s="258">
        <f>J30-(J30*J37)</f>
        <v>75000</v>
      </c>
      <c r="L30" s="872"/>
      <c r="M30" s="873"/>
      <c r="N30" s="710"/>
      <c r="O30" s="206"/>
      <c r="R30" s="207"/>
      <c r="T30" s="147"/>
    </row>
    <row r="31" spans="3:20" ht="30" hidden="1" customHeight="1">
      <c r="C31" s="250" t="s">
        <v>21</v>
      </c>
      <c r="D31" s="252">
        <v>12</v>
      </c>
      <c r="E31" s="248"/>
      <c r="F31" s="253"/>
      <c r="G31" s="252">
        <v>6</v>
      </c>
      <c r="H31" s="248"/>
      <c r="I31" s="253"/>
      <c r="J31" s="232">
        <f>D31</f>
        <v>12</v>
      </c>
      <c r="K31" s="235">
        <f>G31</f>
        <v>6</v>
      </c>
      <c r="L31" s="870" t="s">
        <v>22</v>
      </c>
      <c r="M31" s="871"/>
      <c r="N31" s="710"/>
      <c r="O31" s="206"/>
      <c r="R31" s="207"/>
      <c r="T31" s="147"/>
    </row>
    <row r="32" spans="3:20" ht="32.25" hidden="1" customHeight="1" thickBot="1">
      <c r="C32" s="251" t="s">
        <v>23</v>
      </c>
      <c r="D32" s="254">
        <v>0.7</v>
      </c>
      <c r="E32" s="249"/>
      <c r="F32" s="255"/>
      <c r="G32" s="254">
        <v>1</v>
      </c>
      <c r="H32" s="249"/>
      <c r="I32" s="255"/>
      <c r="J32" s="256">
        <f>D32</f>
        <v>0.7</v>
      </c>
      <c r="K32" s="234">
        <f>G32</f>
        <v>1</v>
      </c>
      <c r="L32" s="870" t="s">
        <v>24</v>
      </c>
      <c r="M32" s="871"/>
      <c r="N32" s="710"/>
      <c r="O32" s="206"/>
      <c r="R32" s="207"/>
      <c r="T32" s="147"/>
    </row>
    <row r="33" spans="3:20" ht="25.5" hidden="1" customHeight="1" thickBot="1">
      <c r="C33" s="246" t="s">
        <v>25</v>
      </c>
      <c r="D33" s="877">
        <f>D30*(D31/12)*D32</f>
        <v>105000</v>
      </c>
      <c r="E33" s="878"/>
      <c r="F33" s="879"/>
      <c r="G33" s="877">
        <f t="shared" ref="G33" si="0">G30*(G31/12)*G32</f>
        <v>70000</v>
      </c>
      <c r="H33" s="878"/>
      <c r="I33" s="879"/>
      <c r="J33" s="247">
        <f>J30*(J31/12)*J32</f>
        <v>105000</v>
      </c>
      <c r="K33" s="247">
        <f>K30*(K31/12)*K32</f>
        <v>37500</v>
      </c>
      <c r="L33" s="245"/>
      <c r="M33" s="244"/>
      <c r="N33" s="710"/>
      <c r="O33" s="206"/>
      <c r="R33" s="208"/>
      <c r="T33" s="148"/>
    </row>
    <row r="34" spans="3:20" ht="25.5" customHeight="1" thickBot="1">
      <c r="C34" s="239" t="s">
        <v>26</v>
      </c>
      <c r="D34" s="880">
        <v>0.02</v>
      </c>
      <c r="E34" s="881"/>
      <c r="F34" s="881"/>
      <c r="G34" s="880">
        <v>0.02</v>
      </c>
      <c r="H34" s="881"/>
      <c r="I34" s="882"/>
      <c r="J34" s="238">
        <v>0.02</v>
      </c>
      <c r="K34" s="238">
        <v>0.02</v>
      </c>
      <c r="L34" s="863" t="s">
        <v>27</v>
      </c>
      <c r="M34" s="864"/>
      <c r="N34" s="710"/>
      <c r="O34" s="206"/>
      <c r="R34" s="208"/>
      <c r="T34" s="148"/>
    </row>
    <row r="35" spans="3:20" ht="12" customHeight="1" thickBot="1">
      <c r="C35" s="84"/>
      <c r="D35" s="84"/>
      <c r="E35" s="84"/>
      <c r="F35" s="84"/>
      <c r="G35" s="84"/>
      <c r="H35" s="84"/>
      <c r="I35" s="84"/>
      <c r="J35" s="120"/>
      <c r="K35" s="84"/>
      <c r="L35" s="84"/>
      <c r="M35" s="84"/>
      <c r="P35" s="199"/>
      <c r="R35" s="200"/>
      <c r="T35" s="151"/>
    </row>
    <row r="36" spans="3:20" ht="25.5" customHeight="1" thickBot="1">
      <c r="C36" s="261" t="s">
        <v>28</v>
      </c>
      <c r="D36" s="241"/>
      <c r="E36" s="241"/>
      <c r="F36" s="241"/>
      <c r="G36" s="241"/>
      <c r="H36" s="241"/>
      <c r="I36" s="241"/>
      <c r="J36" s="241"/>
      <c r="K36" s="242"/>
      <c r="L36" s="863" t="s">
        <v>29</v>
      </c>
      <c r="M36" s="864"/>
      <c r="N36" s="710"/>
      <c r="O36" s="206"/>
      <c r="R36" s="208"/>
      <c r="T36" s="148"/>
    </row>
    <row r="37" spans="3:20" ht="24.75" customHeight="1">
      <c r="C37" s="236">
        <v>2026</v>
      </c>
      <c r="D37" s="892">
        <v>0.5</v>
      </c>
      <c r="E37" s="893"/>
      <c r="F37" s="893"/>
      <c r="G37" s="892">
        <v>0.5</v>
      </c>
      <c r="H37" s="893"/>
      <c r="I37" s="893"/>
      <c r="J37" s="240">
        <v>0.5</v>
      </c>
      <c r="K37" s="233">
        <v>0.5</v>
      </c>
      <c r="L37" s="894" t="s">
        <v>30</v>
      </c>
      <c r="M37" s="871"/>
      <c r="N37" s="177"/>
      <c r="O37" s="231"/>
      <c r="R37" s="208"/>
      <c r="T37" s="148"/>
    </row>
    <row r="38" spans="3:20" ht="25.5" customHeight="1">
      <c r="C38" s="164">
        <v>2027</v>
      </c>
      <c r="D38" s="898">
        <v>0.55000000000000004</v>
      </c>
      <c r="E38" s="899"/>
      <c r="F38" s="899"/>
      <c r="G38" s="898">
        <v>0.55000000000000004</v>
      </c>
      <c r="H38" s="899"/>
      <c r="I38" s="899"/>
      <c r="J38" s="162">
        <v>0.55000000000000004</v>
      </c>
      <c r="K38" s="161">
        <v>0.55000000000000004</v>
      </c>
      <c r="L38" s="895"/>
      <c r="M38" s="896"/>
      <c r="N38" s="177"/>
      <c r="O38" s="243"/>
      <c r="R38" s="208"/>
      <c r="T38" s="148"/>
    </row>
    <row r="39" spans="3:20" ht="24" customHeight="1">
      <c r="C39" s="164">
        <v>2028</v>
      </c>
      <c r="D39" s="898">
        <v>0.78</v>
      </c>
      <c r="E39" s="899"/>
      <c r="F39" s="899"/>
      <c r="G39" s="898">
        <v>0.78</v>
      </c>
      <c r="H39" s="899"/>
      <c r="I39" s="899"/>
      <c r="J39" s="162">
        <v>0.78</v>
      </c>
      <c r="K39" s="161">
        <v>0.78</v>
      </c>
      <c r="L39" s="895"/>
      <c r="M39" s="896"/>
      <c r="N39" s="177"/>
      <c r="O39" s="209"/>
      <c r="R39" s="208"/>
      <c r="T39" s="148"/>
    </row>
    <row r="40" spans="3:20" ht="24" customHeight="1">
      <c r="C40" s="164">
        <v>2029</v>
      </c>
      <c r="D40" s="898">
        <v>0.85</v>
      </c>
      <c r="E40" s="899"/>
      <c r="F40" s="899"/>
      <c r="G40" s="898">
        <v>0.85</v>
      </c>
      <c r="H40" s="899"/>
      <c r="I40" s="899"/>
      <c r="J40" s="162">
        <v>0.85</v>
      </c>
      <c r="K40" s="161">
        <v>0.85</v>
      </c>
      <c r="L40" s="895"/>
      <c r="M40" s="896"/>
      <c r="N40" s="177"/>
      <c r="O40" s="209"/>
      <c r="R40" s="208"/>
      <c r="T40" s="148"/>
    </row>
    <row r="41" spans="3:20" ht="24" customHeight="1" thickBot="1">
      <c r="C41" s="165">
        <v>2030</v>
      </c>
      <c r="D41" s="900">
        <v>0.9</v>
      </c>
      <c r="E41" s="901"/>
      <c r="F41" s="901"/>
      <c r="G41" s="900">
        <v>0.9</v>
      </c>
      <c r="H41" s="901"/>
      <c r="I41" s="901"/>
      <c r="J41" s="163">
        <v>0.9</v>
      </c>
      <c r="K41" s="166">
        <v>0.9</v>
      </c>
      <c r="L41" s="897"/>
      <c r="M41" s="873"/>
      <c r="N41" s="177"/>
      <c r="O41" s="209"/>
      <c r="R41" s="208"/>
      <c r="T41" s="148"/>
    </row>
    <row r="42" spans="3:20" ht="12" customHeight="1">
      <c r="C42" s="84"/>
      <c r="D42" s="84"/>
      <c r="E42" s="84"/>
      <c r="F42" s="84"/>
      <c r="G42" s="84"/>
      <c r="H42" s="84"/>
      <c r="I42" s="84"/>
      <c r="J42" s="120"/>
      <c r="K42" s="84"/>
      <c r="L42" s="84"/>
      <c r="M42" s="84"/>
      <c r="P42" s="199"/>
      <c r="R42" s="200"/>
      <c r="T42" s="151"/>
    </row>
    <row r="43" spans="3:20" ht="25.5" customHeight="1">
      <c r="C43" s="857" t="s">
        <v>31</v>
      </c>
      <c r="D43" s="858"/>
      <c r="E43" s="858"/>
      <c r="F43" s="858"/>
      <c r="G43" s="858"/>
      <c r="H43" s="858"/>
      <c r="I43" s="858"/>
      <c r="J43" s="858"/>
      <c r="K43" s="858"/>
      <c r="L43" s="858"/>
      <c r="M43" s="859"/>
      <c r="N43" s="700"/>
      <c r="O43" s="203"/>
      <c r="P43" s="199"/>
      <c r="R43" s="200"/>
      <c r="T43" s="151"/>
    </row>
    <row r="44" spans="3:20" ht="12" customHeight="1" thickBot="1">
      <c r="C44" s="84"/>
      <c r="D44" s="84"/>
      <c r="E44" s="84"/>
      <c r="F44" s="84"/>
      <c r="G44" s="84"/>
      <c r="H44" s="84"/>
      <c r="I44" s="84"/>
      <c r="J44" s="120"/>
      <c r="K44" s="84"/>
      <c r="L44" s="84"/>
      <c r="M44" s="84"/>
      <c r="P44" s="199"/>
      <c r="R44" s="200"/>
      <c r="T44" s="151"/>
    </row>
    <row r="45" spans="3:20" ht="32.25" customHeight="1">
      <c r="C45" s="285" t="s">
        <v>32</v>
      </c>
      <c r="D45" s="286" t="s">
        <v>8</v>
      </c>
      <c r="E45" s="940" t="s">
        <v>33</v>
      </c>
      <c r="F45" s="941"/>
      <c r="G45" s="941"/>
      <c r="H45" s="941"/>
      <c r="I45" s="941"/>
      <c r="J45" s="941"/>
      <c r="K45" s="941"/>
      <c r="L45" s="941"/>
      <c r="M45" s="942"/>
      <c r="N45" s="224"/>
      <c r="O45" s="210"/>
      <c r="P45" s="199"/>
      <c r="R45" s="200"/>
      <c r="T45" s="151"/>
    </row>
    <row r="46" spans="3:20" ht="12" customHeight="1">
      <c r="C46" s="287"/>
      <c r="D46" s="84"/>
      <c r="E46" s="84"/>
      <c r="F46" s="84"/>
      <c r="G46" s="84"/>
      <c r="H46" s="84"/>
      <c r="I46" s="84"/>
      <c r="J46" s="120"/>
      <c r="K46" s="84"/>
      <c r="L46" s="84"/>
      <c r="M46" s="288"/>
      <c r="P46" s="199"/>
      <c r="R46" s="200"/>
      <c r="T46" s="151"/>
    </row>
    <row r="47" spans="3:20" ht="57" customHeight="1">
      <c r="C47" s="289" t="s">
        <v>34</v>
      </c>
      <c r="D47" s="168" t="s">
        <v>35</v>
      </c>
      <c r="E47" s="943" t="s">
        <v>36</v>
      </c>
      <c r="F47" s="944"/>
      <c r="G47" s="944"/>
      <c r="H47" s="944"/>
      <c r="I47" s="944"/>
      <c r="J47" s="944"/>
      <c r="K47" s="944"/>
      <c r="L47" s="944"/>
      <c r="M47" s="945"/>
      <c r="N47" s="699"/>
      <c r="O47" s="211"/>
      <c r="P47" s="199"/>
      <c r="R47" s="200"/>
      <c r="T47" s="151"/>
    </row>
    <row r="48" spans="3:20" ht="25.5" customHeight="1">
      <c r="C48" s="290" t="s">
        <v>37</v>
      </c>
      <c r="D48" s="703"/>
      <c r="E48" s="703"/>
      <c r="F48" s="703"/>
      <c r="G48" s="703"/>
      <c r="H48" s="703"/>
      <c r="I48" s="703"/>
      <c r="J48" s="703"/>
      <c r="K48" s="703"/>
      <c r="L48" s="703"/>
      <c r="M48" s="291"/>
      <c r="P48" s="199"/>
      <c r="R48" s="200"/>
      <c r="T48" s="151"/>
    </row>
    <row r="49" spans="1:35" ht="25.5" customHeight="1">
      <c r="C49" s="292">
        <f>D26</f>
        <v>2026</v>
      </c>
      <c r="D49" s="188">
        <v>0.2</v>
      </c>
      <c r="E49" s="883" t="s">
        <v>38</v>
      </c>
      <c r="F49" s="884"/>
      <c r="G49" s="884"/>
      <c r="H49" s="884"/>
      <c r="I49" s="884"/>
      <c r="J49" s="884"/>
      <c r="K49" s="884"/>
      <c r="L49" s="884"/>
      <c r="M49" s="937"/>
      <c r="N49" s="699"/>
      <c r="O49" s="211"/>
      <c r="P49" s="199"/>
      <c r="R49" s="200"/>
      <c r="T49" s="151"/>
    </row>
    <row r="50" spans="1:35" ht="25.5" customHeight="1">
      <c r="C50" s="250">
        <f>$D$26+1</f>
        <v>2027</v>
      </c>
      <c r="D50" s="188">
        <v>0.25</v>
      </c>
      <c r="E50" s="886"/>
      <c r="F50" s="887"/>
      <c r="G50" s="887"/>
      <c r="H50" s="887"/>
      <c r="I50" s="887"/>
      <c r="J50" s="887"/>
      <c r="K50" s="887"/>
      <c r="L50" s="887"/>
      <c r="M50" s="938"/>
      <c r="N50" s="699"/>
      <c r="O50" s="211"/>
      <c r="P50" s="199"/>
      <c r="R50" s="200"/>
      <c r="T50" s="151"/>
    </row>
    <row r="51" spans="1:35" ht="25.5" customHeight="1">
      <c r="C51" s="250">
        <f>$D$26+2</f>
        <v>2028</v>
      </c>
      <c r="D51" s="188">
        <v>0.3</v>
      </c>
      <c r="E51" s="886"/>
      <c r="F51" s="887"/>
      <c r="G51" s="887"/>
      <c r="H51" s="887"/>
      <c r="I51" s="887"/>
      <c r="J51" s="887"/>
      <c r="K51" s="887"/>
      <c r="L51" s="887"/>
      <c r="M51" s="938"/>
      <c r="N51" s="699"/>
      <c r="O51" s="211"/>
      <c r="P51" s="199"/>
      <c r="R51" s="200"/>
      <c r="T51" s="151"/>
    </row>
    <row r="52" spans="1:35" ht="25.5" customHeight="1">
      <c r="C52" s="250">
        <f>$D$26+3</f>
        <v>2029</v>
      </c>
      <c r="D52" s="188">
        <v>0.35</v>
      </c>
      <c r="E52" s="886"/>
      <c r="F52" s="887"/>
      <c r="G52" s="887"/>
      <c r="H52" s="887"/>
      <c r="I52" s="887"/>
      <c r="J52" s="887"/>
      <c r="K52" s="887"/>
      <c r="L52" s="887"/>
      <c r="M52" s="938"/>
      <c r="N52" s="699"/>
      <c r="O52" s="211"/>
      <c r="P52" s="199"/>
      <c r="R52" s="200"/>
      <c r="T52" s="151"/>
    </row>
    <row r="53" spans="1:35" ht="25.5" customHeight="1">
      <c r="C53" s="250">
        <f>$D$26+4</f>
        <v>2030</v>
      </c>
      <c r="D53" s="188">
        <v>0.45</v>
      </c>
      <c r="E53" s="889"/>
      <c r="F53" s="890"/>
      <c r="G53" s="890"/>
      <c r="H53" s="890"/>
      <c r="I53" s="890"/>
      <c r="J53" s="890"/>
      <c r="K53" s="890"/>
      <c r="L53" s="890"/>
      <c r="M53" s="939"/>
      <c r="N53" s="699"/>
      <c r="O53" s="211"/>
      <c r="P53" s="199"/>
      <c r="R53" s="200"/>
      <c r="T53" s="151"/>
    </row>
    <row r="54" spans="1:35" ht="46.5" customHeight="1" thickBot="1">
      <c r="C54" s="946" t="s">
        <v>39</v>
      </c>
      <c r="D54" s="947"/>
      <c r="E54" s="948"/>
      <c r="F54" s="948"/>
      <c r="G54" s="948"/>
      <c r="H54" s="948"/>
      <c r="I54" s="948"/>
      <c r="J54" s="948"/>
      <c r="K54" s="948"/>
      <c r="L54" s="293"/>
      <c r="M54" s="294"/>
      <c r="O54" s="230"/>
      <c r="P54" s="199"/>
      <c r="R54" s="200"/>
      <c r="T54" s="151"/>
    </row>
    <row r="55" spans="1:35" ht="12" customHeight="1">
      <c r="C55" s="84"/>
      <c r="D55" s="84"/>
      <c r="E55" s="84"/>
      <c r="F55" s="84"/>
      <c r="G55" s="84"/>
      <c r="H55" s="84"/>
      <c r="I55" s="84"/>
      <c r="J55" s="120"/>
      <c r="K55" s="84"/>
      <c r="L55" s="84"/>
      <c r="M55" s="84"/>
      <c r="P55" s="199"/>
      <c r="R55" s="200"/>
      <c r="T55" s="151"/>
    </row>
    <row r="56" spans="1:35" ht="25.5" customHeight="1">
      <c r="C56" s="189" t="s">
        <v>40</v>
      </c>
      <c r="D56" s="158"/>
      <c r="E56" s="158"/>
      <c r="F56" s="158"/>
      <c r="G56" s="158"/>
      <c r="H56" s="158"/>
      <c r="I56" s="158"/>
      <c r="J56" s="158"/>
      <c r="K56" s="158"/>
      <c r="L56" s="158"/>
      <c r="M56" s="159"/>
      <c r="N56" s="146"/>
      <c r="O56" s="212"/>
      <c r="P56" s="212"/>
      <c r="Q56" s="212"/>
      <c r="R56" s="212"/>
      <c r="S56" s="145"/>
      <c r="T56" s="145"/>
      <c r="U56" s="145"/>
      <c r="V56" s="145"/>
      <c r="W56" s="145"/>
      <c r="Y56" s="910"/>
      <c r="Z56" s="910"/>
      <c r="AA56" s="910"/>
      <c r="AB56" s="910"/>
      <c r="AC56" s="910"/>
      <c r="AD56" s="910"/>
      <c r="AE56" s="910"/>
      <c r="AF56" s="910"/>
      <c r="AG56" s="910"/>
      <c r="AH56" s="910"/>
      <c r="AI56" s="910"/>
    </row>
    <row r="57" spans="1:35">
      <c r="C57" s="105" t="s">
        <v>41</v>
      </c>
      <c r="D57" s="84"/>
      <c r="E57" s="84"/>
      <c r="F57" s="84"/>
      <c r="G57" s="106" t="s">
        <v>42</v>
      </c>
      <c r="H57" s="106"/>
      <c r="I57" s="106"/>
      <c r="J57" s="84"/>
      <c r="K57" s="84"/>
      <c r="L57" s="84"/>
      <c r="M57" s="84"/>
      <c r="N57" s="160" t="s">
        <v>43</v>
      </c>
    </row>
    <row r="58" spans="1:35">
      <c r="C58" s="105"/>
      <c r="D58" s="84"/>
      <c r="E58" s="84"/>
      <c r="F58" s="84"/>
      <c r="G58" s="84"/>
      <c r="H58" s="84"/>
      <c r="I58" s="84"/>
      <c r="J58" s="84"/>
      <c r="K58" s="84"/>
      <c r="L58" s="84"/>
      <c r="M58" s="84"/>
    </row>
    <row r="59" spans="1:35" ht="25.5" customHeight="1">
      <c r="C59" s="184" t="s">
        <v>44</v>
      </c>
      <c r="D59" s="185"/>
      <c r="E59" s="185"/>
      <c r="F59" s="185"/>
      <c r="G59" s="185"/>
      <c r="H59" s="185"/>
      <c r="I59" s="185"/>
      <c r="J59" s="185"/>
      <c r="K59" s="185"/>
      <c r="L59" s="185"/>
      <c r="M59" s="186"/>
      <c r="N59" s="190"/>
      <c r="O59" s="175"/>
      <c r="P59" s="175"/>
      <c r="Q59" s="175"/>
      <c r="R59" s="181"/>
      <c r="S59" s="701"/>
      <c r="T59" s="701"/>
      <c r="U59" s="701"/>
      <c r="V59" s="701"/>
      <c r="W59" s="701"/>
      <c r="Y59" s="911"/>
      <c r="Z59" s="911"/>
      <c r="AA59" s="911"/>
      <c r="AB59" s="911"/>
      <c r="AC59" s="911"/>
      <c r="AD59" s="911"/>
      <c r="AE59" s="911"/>
      <c r="AF59" s="911"/>
      <c r="AG59" s="911"/>
      <c r="AH59" s="911"/>
      <c r="AI59" s="911"/>
    </row>
    <row r="60" spans="1:35" ht="7.5" customHeight="1" thickBot="1">
      <c r="C60" s="105"/>
      <c r="D60" s="84"/>
      <c r="E60" s="84"/>
      <c r="F60" s="84"/>
      <c r="G60" s="84"/>
      <c r="H60" s="84"/>
      <c r="I60" s="84"/>
      <c r="J60" s="84"/>
      <c r="K60" s="84"/>
      <c r="L60" s="84"/>
      <c r="M60" s="84"/>
    </row>
    <row r="61" spans="1:35" s="112" customFormat="1" ht="108.75" customHeight="1">
      <c r="A61" s="84"/>
      <c r="B61" s="84"/>
      <c r="C61" s="295" t="s">
        <v>45</v>
      </c>
      <c r="D61" s="949" t="s">
        <v>90</v>
      </c>
      <c r="E61" s="950"/>
      <c r="F61" s="950"/>
      <c r="G61" s="949" t="s">
        <v>91</v>
      </c>
      <c r="H61" s="950"/>
      <c r="I61" s="951"/>
      <c r="J61" s="952" t="s">
        <v>48</v>
      </c>
      <c r="K61" s="953"/>
      <c r="L61" s="954" t="s">
        <v>16</v>
      </c>
      <c r="M61" s="917"/>
      <c r="N61" s="85"/>
      <c r="R61" s="174"/>
      <c r="S61" s="181"/>
      <c r="T61" s="174"/>
      <c r="U61" s="181"/>
      <c r="W61" s="181"/>
      <c r="X61" s="174"/>
      <c r="Y61" s="174"/>
      <c r="Z61" s="181"/>
      <c r="AA61" s="181"/>
      <c r="AC61" s="175"/>
    </row>
    <row r="62" spans="1:35" s="112" customFormat="1" ht="56.25" hidden="1" customHeight="1">
      <c r="A62" s="84"/>
      <c r="B62" s="84"/>
      <c r="C62" s="296"/>
      <c r="D62" s="702" t="s">
        <v>49</v>
      </c>
      <c r="E62" s="702" t="s">
        <v>50</v>
      </c>
      <c r="F62" s="702" t="s">
        <v>51</v>
      </c>
      <c r="G62" s="99"/>
      <c r="H62" s="702"/>
      <c r="I62" s="702"/>
      <c r="J62" s="702"/>
      <c r="K62" s="297"/>
      <c r="L62" s="911"/>
      <c r="M62" s="919"/>
      <c r="N62" s="85"/>
      <c r="R62" s="174"/>
      <c r="S62" s="181"/>
      <c r="T62" s="174"/>
      <c r="U62" s="181"/>
      <c r="W62" s="181"/>
      <c r="X62" s="174"/>
      <c r="Y62" s="174"/>
      <c r="Z62" s="181"/>
      <c r="AA62" s="181"/>
      <c r="AC62" s="175"/>
    </row>
    <row r="63" spans="1:35" ht="36.75" customHeight="1">
      <c r="C63" s="290" t="s">
        <v>52</v>
      </c>
      <c r="D63" s="168" t="s">
        <v>53</v>
      </c>
      <c r="E63" s="168" t="s">
        <v>55</v>
      </c>
      <c r="F63" s="168" t="s">
        <v>55</v>
      </c>
      <c r="G63" s="168" t="s">
        <v>56</v>
      </c>
      <c r="H63" s="168" t="s">
        <v>57</v>
      </c>
      <c r="I63" s="168" t="s">
        <v>58</v>
      </c>
      <c r="J63" s="168" t="s">
        <v>53</v>
      </c>
      <c r="K63" s="298" t="s">
        <v>56</v>
      </c>
      <c r="L63" s="955"/>
      <c r="M63" s="921"/>
      <c r="R63" s="213"/>
      <c r="S63" s="135"/>
      <c r="T63" s="136"/>
      <c r="U63" s="136"/>
      <c r="W63" s="701"/>
      <c r="X63" s="708"/>
      <c r="Z63" s="708"/>
      <c r="AB63" s="708"/>
    </row>
    <row r="64" spans="1:35" ht="48.75" customHeight="1">
      <c r="C64" s="299"/>
      <c r="D64" s="119" t="str">
        <f>IF(D63=Data!$A$13, "! This product is not available for Gavi countries !"," ")</f>
        <v xml:space="preserve"> </v>
      </c>
      <c r="E64" s="119" t="str">
        <f>IF(E63=Data!$A$13, "! This product is not available for Gavi countries !"," ")</f>
        <v xml:space="preserve"> </v>
      </c>
      <c r="F64" s="119" t="str">
        <f>IF(F63=Data!$A$13, "! This product is not available for Gavi countries !"," ")</f>
        <v xml:space="preserve"> </v>
      </c>
      <c r="G64" s="119" t="str">
        <f>IF(G63=Data!$A$13, "! This product is not available for Gavi countries !"," ")</f>
        <v xml:space="preserve"> </v>
      </c>
      <c r="H64" s="119" t="str">
        <f>IF(H63=Data!$A$13, "! This product is not available for Gavi countries !"," ")</f>
        <v xml:space="preserve"> </v>
      </c>
      <c r="I64" s="119" t="str">
        <f>IF(I63=Data!$A$13, "! This product is not available for Gavi countries !"," ")</f>
        <v xml:space="preserve"> </v>
      </c>
      <c r="J64" s="119"/>
      <c r="K64" s="300"/>
      <c r="L64" s="84"/>
      <c r="M64" s="84"/>
      <c r="N64" s="160"/>
      <c r="R64" s="176"/>
      <c r="S64" s="129"/>
      <c r="T64" s="137"/>
      <c r="U64" s="135"/>
      <c r="X64" s="708"/>
      <c r="Z64" s="708"/>
      <c r="AB64" s="708"/>
    </row>
    <row r="65" spans="1:351" ht="20.25" customHeight="1">
      <c r="C65" s="301" t="s">
        <v>59</v>
      </c>
      <c r="D65" s="268">
        <v>3</v>
      </c>
      <c r="E65" s="96" t="s">
        <v>60</v>
      </c>
      <c r="F65" s="269" t="s">
        <v>60</v>
      </c>
      <c r="G65" s="267">
        <v>3</v>
      </c>
      <c r="H65" s="96" t="s">
        <v>60</v>
      </c>
      <c r="I65" s="269" t="s">
        <v>60</v>
      </c>
      <c r="J65" s="96">
        <v>3</v>
      </c>
      <c r="K65" s="302">
        <v>3</v>
      </c>
      <c r="L65" s="956" t="s">
        <v>92</v>
      </c>
      <c r="M65" s="957"/>
      <c r="N65" s="160"/>
      <c r="R65" s="214"/>
      <c r="S65" s="130"/>
      <c r="T65" s="129"/>
      <c r="U65" s="129"/>
      <c r="W65" s="710"/>
      <c r="X65" s="708"/>
      <c r="Z65" s="708"/>
      <c r="AB65" s="708"/>
    </row>
    <row r="66" spans="1:351" ht="20.25" customHeight="1">
      <c r="C66" s="303" t="s">
        <v>62</v>
      </c>
      <c r="D66" s="271">
        <f>IFERROR(INDEX(Data!$A$2:$E$9,MATCH(D63,Data!$A$2:$A$9,0),2),"-")</f>
        <v>3.5</v>
      </c>
      <c r="E66" s="275" t="str">
        <f>IFERROR(INDEX(Data!$A$2:$E$9,MATCH(E63,Data!$A$2:$A$9,0),2),"-")</f>
        <v>-</v>
      </c>
      <c r="F66" s="272" t="str">
        <f>IFERROR(INDEX(Data!$A$2:$E$9,MATCH(F63,Data!$A$2:$A$9,0),2),"-")</f>
        <v>-</v>
      </c>
      <c r="G66" s="270">
        <f>IFERROR(INDEX(Data!$A$2:$E$9,MATCH(G63,Data!$A$2:$A$9,0),2),"-")</f>
        <v>20</v>
      </c>
      <c r="H66" s="275" t="str">
        <f>IFERROR(INDEX(Data!$A$2:$E$9,MATCH(H63,Data!$A$2:$A$9,0),2),"-")</f>
        <v>-</v>
      </c>
      <c r="I66" s="272" t="str">
        <f>IFERROR(INDEX(Data!$A$2:$E$9,MATCH(I63,Data!$A$2:$A$9,0),2),"-")</f>
        <v>-</v>
      </c>
      <c r="J66" s="275">
        <f>IFERROR(INDEX(Data!$A$2:$E$9,MATCH(J63,Data!$A$2:$A$9,0),2),"-")</f>
        <v>3.5</v>
      </c>
      <c r="K66" s="304">
        <f>IFERROR(INDEX(Data!$A$2:$E$9,MATCH(K63,Data!$A$2:$A$9,0),2),"-")</f>
        <v>20</v>
      </c>
      <c r="L66" s="956" t="s">
        <v>93</v>
      </c>
      <c r="M66" s="957"/>
      <c r="N66" s="160"/>
      <c r="R66" s="214"/>
      <c r="S66" s="130"/>
      <c r="T66" s="129"/>
      <c r="U66" s="129"/>
      <c r="W66" s="710"/>
      <c r="X66" s="708"/>
      <c r="Z66" s="708"/>
      <c r="AB66" s="708"/>
    </row>
    <row r="67" spans="1:351" ht="15.75" customHeight="1" outlineLevel="1">
      <c r="C67" s="305" t="s">
        <v>63</v>
      </c>
      <c r="D67" s="266"/>
      <c r="E67" s="266"/>
      <c r="F67" s="266"/>
      <c r="G67" s="266"/>
      <c r="H67" s="266"/>
      <c r="I67" s="266"/>
      <c r="J67" s="266"/>
      <c r="K67" s="306"/>
      <c r="L67" s="922"/>
      <c r="M67" s="923"/>
      <c r="R67" s="214"/>
      <c r="S67" s="131"/>
      <c r="T67" s="129"/>
      <c r="U67" s="130"/>
      <c r="W67" s="102"/>
      <c r="X67" s="102"/>
      <c r="Z67" s="102"/>
      <c r="AB67" s="102"/>
    </row>
    <row r="68" spans="1:351" ht="15.5" outlineLevel="1">
      <c r="C68" s="307">
        <f>$D$26</f>
        <v>2026</v>
      </c>
      <c r="D68" s="192">
        <f t="shared" ref="D68:K72" si="1">IFERROR(IF($D$45="No",D$65,IF($D$47="Other transition phase",$D49*D$65,IF(AND(D$73 =3,$D$47 = "Initial self-financing phase"),0.13,0.2))),"-")</f>
        <v>0.60000000000000009</v>
      </c>
      <c r="E68" s="192" t="str">
        <f t="shared" si="1"/>
        <v>-</v>
      </c>
      <c r="F68" s="192" t="str">
        <f t="shared" si="1"/>
        <v>-</v>
      </c>
      <c r="G68" s="192">
        <f t="shared" si="1"/>
        <v>0.60000000000000009</v>
      </c>
      <c r="H68" s="192" t="str">
        <f t="shared" si="1"/>
        <v>-</v>
      </c>
      <c r="I68" s="192" t="str">
        <f t="shared" si="1"/>
        <v>-</v>
      </c>
      <c r="J68" s="192">
        <f t="shared" si="1"/>
        <v>0.60000000000000009</v>
      </c>
      <c r="K68" s="308">
        <f t="shared" si="1"/>
        <v>0.60000000000000009</v>
      </c>
      <c r="L68" s="958"/>
      <c r="M68" s="925"/>
      <c r="R68" s="215"/>
      <c r="S68" s="131"/>
      <c r="T68" s="131"/>
      <c r="U68" s="131"/>
      <c r="W68" s="710"/>
      <c r="X68" s="103"/>
      <c r="Z68" s="103"/>
      <c r="AB68" s="103"/>
    </row>
    <row r="69" spans="1:351" ht="15.5" outlineLevel="1">
      <c r="C69" s="309">
        <f>$D$26+1</f>
        <v>2027</v>
      </c>
      <c r="D69" s="121">
        <f t="shared" si="1"/>
        <v>0.75</v>
      </c>
      <c r="E69" s="121" t="str">
        <f t="shared" si="1"/>
        <v>-</v>
      </c>
      <c r="F69" s="121" t="str">
        <f t="shared" si="1"/>
        <v>-</v>
      </c>
      <c r="G69" s="121">
        <f t="shared" si="1"/>
        <v>0.75</v>
      </c>
      <c r="H69" s="121" t="str">
        <f t="shared" si="1"/>
        <v>-</v>
      </c>
      <c r="I69" s="121" t="str">
        <f t="shared" si="1"/>
        <v>-</v>
      </c>
      <c r="J69" s="121">
        <f t="shared" si="1"/>
        <v>0.75</v>
      </c>
      <c r="K69" s="310">
        <f t="shared" si="1"/>
        <v>0.75</v>
      </c>
      <c r="L69" s="959"/>
      <c r="M69" s="927"/>
      <c r="R69" s="215"/>
      <c r="S69" s="131"/>
      <c r="T69" s="131"/>
      <c r="U69" s="131"/>
      <c r="W69" s="710"/>
      <c r="X69" s="103"/>
      <c r="Z69" s="103"/>
      <c r="AB69" s="103"/>
    </row>
    <row r="70" spans="1:351" ht="15.5" outlineLevel="1">
      <c r="C70" s="309">
        <f>$D$26+2</f>
        <v>2028</v>
      </c>
      <c r="D70" s="121">
        <f t="shared" si="1"/>
        <v>0.89999999999999991</v>
      </c>
      <c r="E70" s="121" t="str">
        <f t="shared" si="1"/>
        <v>-</v>
      </c>
      <c r="F70" s="121" t="str">
        <f t="shared" si="1"/>
        <v>-</v>
      </c>
      <c r="G70" s="121">
        <f t="shared" si="1"/>
        <v>0.89999999999999991</v>
      </c>
      <c r="H70" s="121" t="str">
        <f t="shared" si="1"/>
        <v>-</v>
      </c>
      <c r="I70" s="121" t="str">
        <f t="shared" si="1"/>
        <v>-</v>
      </c>
      <c r="J70" s="121">
        <f t="shared" si="1"/>
        <v>0.89999999999999991</v>
      </c>
      <c r="K70" s="310">
        <f t="shared" si="1"/>
        <v>0.89999999999999991</v>
      </c>
      <c r="L70" s="959"/>
      <c r="M70" s="927"/>
      <c r="R70" s="215"/>
      <c r="S70" s="131"/>
      <c r="T70" s="131"/>
      <c r="U70" s="131"/>
      <c r="W70" s="710"/>
      <c r="X70" s="103"/>
      <c r="Z70" s="103"/>
      <c r="AB70" s="103"/>
    </row>
    <row r="71" spans="1:351" ht="15.5" outlineLevel="1">
      <c r="C71" s="309">
        <f>$D$26+3</f>
        <v>2029</v>
      </c>
      <c r="D71" s="121">
        <f t="shared" si="1"/>
        <v>1.0499999999999998</v>
      </c>
      <c r="E71" s="121" t="str">
        <f t="shared" si="1"/>
        <v>-</v>
      </c>
      <c r="F71" s="121" t="str">
        <f t="shared" si="1"/>
        <v>-</v>
      </c>
      <c r="G71" s="121">
        <f t="shared" si="1"/>
        <v>1.0499999999999998</v>
      </c>
      <c r="H71" s="121" t="str">
        <f t="shared" si="1"/>
        <v>-</v>
      </c>
      <c r="I71" s="121" t="str">
        <f t="shared" si="1"/>
        <v>-</v>
      </c>
      <c r="J71" s="121">
        <f t="shared" si="1"/>
        <v>1.0499999999999998</v>
      </c>
      <c r="K71" s="310">
        <f t="shared" si="1"/>
        <v>1.0499999999999998</v>
      </c>
      <c r="L71" s="959"/>
      <c r="M71" s="927"/>
      <c r="R71" s="215"/>
      <c r="S71" s="131"/>
      <c r="T71" s="131"/>
      <c r="U71" s="131"/>
      <c r="W71" s="710"/>
      <c r="X71" s="103"/>
      <c r="Z71" s="103"/>
      <c r="AB71" s="103"/>
    </row>
    <row r="72" spans="1:351" ht="15.5" outlineLevel="1">
      <c r="C72" s="309">
        <f>$D$26+4</f>
        <v>2030</v>
      </c>
      <c r="D72" s="121">
        <f t="shared" si="1"/>
        <v>1.35</v>
      </c>
      <c r="E72" s="121" t="str">
        <f t="shared" si="1"/>
        <v>-</v>
      </c>
      <c r="F72" s="121" t="str">
        <f t="shared" si="1"/>
        <v>-</v>
      </c>
      <c r="G72" s="121">
        <f t="shared" si="1"/>
        <v>1.35</v>
      </c>
      <c r="H72" s="121" t="str">
        <f t="shared" si="1"/>
        <v>-</v>
      </c>
      <c r="I72" s="121" t="str">
        <f t="shared" si="1"/>
        <v>-</v>
      </c>
      <c r="J72" s="121">
        <f t="shared" si="1"/>
        <v>1.35</v>
      </c>
      <c r="K72" s="310">
        <f t="shared" si="1"/>
        <v>1.35</v>
      </c>
      <c r="L72" s="959"/>
      <c r="M72" s="927"/>
      <c r="R72" s="215"/>
      <c r="S72" s="132"/>
      <c r="T72" s="131"/>
      <c r="U72" s="131"/>
      <c r="W72" s="710"/>
      <c r="X72" s="103"/>
      <c r="Z72" s="103"/>
      <c r="AB72" s="103"/>
    </row>
    <row r="73" spans="1:351" ht="15.5">
      <c r="C73" s="276" t="s">
        <v>65</v>
      </c>
      <c r="D73" s="182">
        <v>1</v>
      </c>
      <c r="E73" s="182">
        <v>1</v>
      </c>
      <c r="F73" s="182">
        <v>1</v>
      </c>
      <c r="G73" s="182">
        <v>1</v>
      </c>
      <c r="H73" s="182">
        <v>1</v>
      </c>
      <c r="I73" s="182">
        <v>1</v>
      </c>
      <c r="J73" s="182">
        <v>1</v>
      </c>
      <c r="K73" s="311">
        <v>1</v>
      </c>
      <c r="L73" s="709"/>
      <c r="M73" s="195"/>
      <c r="R73" s="216"/>
      <c r="S73" s="133"/>
      <c r="T73" s="132"/>
      <c r="U73" s="132"/>
      <c r="W73" s="710"/>
      <c r="X73" s="708"/>
      <c r="Z73" s="708"/>
      <c r="AB73" s="708"/>
    </row>
    <row r="74" spans="1:351" ht="34.5" customHeight="1">
      <c r="C74" s="276" t="s">
        <v>66</v>
      </c>
      <c r="D74" s="122">
        <f>IFERROR(INDEX(Data!$A$2:$E$9,MATCH(D63,Data!$A$2:$A$9,0),5),"-")</f>
        <v>6.06</v>
      </c>
      <c r="E74" s="97" t="str">
        <f>IFERROR(INDEX(Data!$A$2:$E$9,MATCH(E63,Data!$A$2:$A$9,0),5),"-")</f>
        <v>-</v>
      </c>
      <c r="F74" s="97" t="str">
        <f>IFERROR(INDEX(Data!$A$2:$E$9,MATCH(F63,Data!$A$2:$A$9,0),5),"-")</f>
        <v>-</v>
      </c>
      <c r="G74" s="97">
        <f>IFERROR(INDEX(Data!$A$2:$E$9,MATCH(G63,Data!$A$2:$A$9,0),5),"-")</f>
        <v>17.12</v>
      </c>
      <c r="H74" s="97" t="str">
        <f>IFERROR(INDEX(Data!$A$2:$E$9,MATCH(H63,Data!$A$2:$A$9,0),5),"-")</f>
        <v>-</v>
      </c>
      <c r="I74" s="97" t="str">
        <f>IFERROR(INDEX(Data!$A$2:$E$9,MATCH(I63,Data!$A$2:$A$9,0),5),"-")</f>
        <v>-</v>
      </c>
      <c r="J74" s="97">
        <f>IFERROR(INDEX(Data!$A$2:$E$9,MATCH(J63,Data!$A$2:$A$9,0),5),"-")</f>
        <v>6.06</v>
      </c>
      <c r="K74" s="312">
        <f>IFERROR(INDEX(Data!$A$2:$E$9,MATCH(K63,Data!$A$2:$A$9,0),5),"-")</f>
        <v>17.12</v>
      </c>
      <c r="L74" s="709"/>
      <c r="M74" s="195"/>
      <c r="R74" s="217"/>
      <c r="S74" s="117"/>
      <c r="T74" s="133"/>
      <c r="U74" s="133"/>
      <c r="W74" s="710"/>
      <c r="X74" s="708"/>
      <c r="Z74" s="708"/>
      <c r="AB74" s="708"/>
    </row>
    <row r="75" spans="1:351" ht="20.25" customHeight="1">
      <c r="C75" s="301" t="s">
        <v>67</v>
      </c>
      <c r="D75" s="123">
        <v>0.1</v>
      </c>
      <c r="E75" s="98">
        <v>0.1</v>
      </c>
      <c r="F75" s="98">
        <v>0.1</v>
      </c>
      <c r="G75" s="98">
        <v>0.1</v>
      </c>
      <c r="H75" s="98">
        <v>0.1</v>
      </c>
      <c r="I75" s="123">
        <v>0.1</v>
      </c>
      <c r="J75" s="123">
        <v>0.1</v>
      </c>
      <c r="K75" s="313">
        <v>0.1</v>
      </c>
      <c r="L75" s="863"/>
      <c r="M75" s="864"/>
      <c r="N75" s="160" t="s">
        <v>68</v>
      </c>
      <c r="R75" s="218"/>
      <c r="S75" s="138"/>
      <c r="T75" s="115"/>
      <c r="U75" s="117"/>
      <c r="W75" s="118"/>
      <c r="X75" s="932"/>
      <c r="Z75" s="932"/>
      <c r="AB75" s="932"/>
    </row>
    <row r="76" spans="1:351" s="111" customFormat="1" ht="17.25" customHeight="1">
      <c r="A76" s="84"/>
      <c r="B76" s="84"/>
      <c r="C76" s="303" t="s">
        <v>94</v>
      </c>
      <c r="D76" s="171">
        <f>IFERROR(INDEX(Data!$A$2:$E$9,MATCH(D63,Data!$A$2:$A$9,0),4),"-")</f>
        <v>0.1</v>
      </c>
      <c r="E76" s="172" t="str">
        <f>IFERROR(INDEX(Data!$A$2:$E$9,MATCH(E63,Data!$A$2:$A$9,0),4),"-")</f>
        <v>-</v>
      </c>
      <c r="F76" s="172" t="str">
        <f>IFERROR(INDEX(Data!$A$2:$E$9,MATCH(F63,Data!$A$2:$A$9,0),4),"-")</f>
        <v>-</v>
      </c>
      <c r="G76" s="172">
        <f>IFERROR(INDEX(Data!$A$2:$E$9,MATCH(G63,Data!$A$2:$A$9,0),4),"-")</f>
        <v>0.1</v>
      </c>
      <c r="H76" s="172" t="str">
        <f>IFERROR(INDEX(Data!$A$2:$E$9,MATCH(H63,Data!$A$2:$A$9,0),4),"-")</f>
        <v>-</v>
      </c>
      <c r="I76" s="171" t="str">
        <f>IFERROR(INDEX(Data!$A$2:$E$9,MATCH(I63,Data!$A$2:$A$9,0),4),"-")</f>
        <v>-</v>
      </c>
      <c r="J76" s="171">
        <f>IFERROR(INDEX(Data!$A$2:$E$9,MATCH(J63,Data!$A$2:$A$9,0),4),"-")</f>
        <v>0.1</v>
      </c>
      <c r="K76" s="314">
        <f>IFERROR(INDEX(Data!$A$2:$E$9,MATCH(K63,Data!$A$2:$A$9,0),4),"-")</f>
        <v>0.1</v>
      </c>
      <c r="L76" s="956" t="s">
        <v>95</v>
      </c>
      <c r="M76" s="957"/>
      <c r="N76" s="85"/>
      <c r="O76" s="112"/>
      <c r="P76" s="112"/>
      <c r="Q76" s="205"/>
      <c r="R76" s="219"/>
      <c r="S76" s="134"/>
      <c r="T76" s="138"/>
      <c r="U76" s="138"/>
      <c r="V76" s="85"/>
      <c r="W76" s="139"/>
      <c r="X76" s="932"/>
      <c r="Y76" s="85"/>
      <c r="Z76" s="932"/>
      <c r="AA76" s="85"/>
      <c r="AB76" s="932"/>
      <c r="AC76" s="85"/>
      <c r="AD76" s="85"/>
      <c r="AE76" s="85"/>
      <c r="AF76" s="85"/>
      <c r="AG76" s="85"/>
      <c r="AH76" s="85"/>
      <c r="AI76" s="85"/>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2"/>
      <c r="BG76" s="112"/>
      <c r="BH76" s="112"/>
      <c r="BI76" s="112"/>
      <c r="BJ76" s="112"/>
      <c r="BK76" s="112"/>
      <c r="BL76" s="112"/>
      <c r="BM76" s="112"/>
      <c r="BN76" s="112"/>
      <c r="BO76" s="112"/>
      <c r="BP76" s="112"/>
      <c r="BQ76" s="112"/>
      <c r="BR76" s="112"/>
      <c r="BS76" s="112"/>
      <c r="BT76" s="112"/>
      <c r="BU76" s="112"/>
      <c r="BV76" s="112"/>
      <c r="BW76" s="112"/>
      <c r="BX76" s="112"/>
      <c r="BY76" s="112"/>
      <c r="BZ76" s="112"/>
      <c r="CA76" s="112"/>
      <c r="CB76" s="112"/>
      <c r="CC76" s="112"/>
      <c r="CD76" s="112"/>
      <c r="CE76" s="112"/>
      <c r="CF76" s="112"/>
      <c r="CG76" s="112"/>
      <c r="CH76" s="112"/>
      <c r="CI76" s="112"/>
      <c r="CJ76" s="112"/>
      <c r="CK76" s="112"/>
      <c r="CL76" s="112"/>
      <c r="CM76" s="112"/>
      <c r="CN76" s="112"/>
      <c r="CO76" s="112"/>
      <c r="CP76" s="112"/>
      <c r="CQ76" s="112"/>
      <c r="CR76" s="112"/>
      <c r="CS76" s="112"/>
      <c r="CT76" s="112"/>
      <c r="CU76" s="112"/>
      <c r="CV76" s="112"/>
      <c r="CW76" s="112"/>
      <c r="CX76" s="112"/>
      <c r="CY76" s="112"/>
      <c r="CZ76" s="112"/>
      <c r="DA76" s="112"/>
      <c r="DB76" s="112"/>
      <c r="DC76" s="112"/>
      <c r="DD76" s="112"/>
      <c r="DE76" s="112"/>
      <c r="DF76" s="112"/>
      <c r="DG76" s="112"/>
      <c r="DH76" s="112"/>
      <c r="DI76" s="112"/>
      <c r="DJ76" s="112"/>
      <c r="DK76" s="112"/>
      <c r="DL76" s="112"/>
      <c r="DM76" s="112"/>
      <c r="DN76" s="112"/>
      <c r="DO76" s="112"/>
      <c r="DP76" s="112"/>
      <c r="DQ76" s="112"/>
      <c r="DR76" s="112"/>
      <c r="DS76" s="112"/>
      <c r="DT76" s="112"/>
      <c r="DU76" s="112"/>
      <c r="DV76" s="112"/>
      <c r="DW76" s="112"/>
      <c r="DX76" s="112"/>
      <c r="DY76" s="112"/>
      <c r="DZ76" s="112"/>
      <c r="EA76" s="112"/>
      <c r="EB76" s="112"/>
      <c r="EC76" s="112"/>
      <c r="ED76" s="112"/>
      <c r="EE76" s="112"/>
      <c r="EF76" s="112"/>
      <c r="EG76" s="112"/>
      <c r="EH76" s="112"/>
      <c r="EI76" s="112"/>
      <c r="EJ76" s="112"/>
      <c r="EK76" s="112"/>
      <c r="EL76" s="112"/>
      <c r="EM76" s="112"/>
      <c r="EN76" s="112"/>
      <c r="EO76" s="112"/>
      <c r="EP76" s="112"/>
      <c r="EQ76" s="112"/>
      <c r="ER76" s="112"/>
      <c r="ES76" s="112"/>
      <c r="ET76" s="112"/>
      <c r="EU76" s="112"/>
      <c r="EV76" s="112"/>
      <c r="EW76" s="112"/>
      <c r="EX76" s="112"/>
      <c r="EY76" s="112"/>
      <c r="EZ76" s="112"/>
      <c r="FA76" s="112"/>
      <c r="FB76" s="112"/>
      <c r="FC76" s="112"/>
      <c r="FD76" s="112"/>
      <c r="FE76" s="112"/>
      <c r="FF76" s="112"/>
      <c r="FG76" s="112"/>
      <c r="FH76" s="112"/>
      <c r="FI76" s="112"/>
      <c r="FJ76" s="112"/>
      <c r="FK76" s="112"/>
      <c r="FL76" s="112"/>
      <c r="FM76" s="112"/>
      <c r="FN76" s="112"/>
      <c r="FO76" s="112"/>
      <c r="FP76" s="112"/>
      <c r="FQ76" s="112"/>
      <c r="FR76" s="112"/>
      <c r="FS76" s="112"/>
      <c r="FT76" s="112"/>
      <c r="FU76" s="112"/>
      <c r="FV76" s="112"/>
      <c r="FW76" s="112"/>
      <c r="FX76" s="112"/>
      <c r="FY76" s="112"/>
      <c r="FZ76" s="112"/>
      <c r="GA76" s="112"/>
      <c r="GB76" s="112"/>
      <c r="GC76" s="112"/>
      <c r="GD76" s="112"/>
      <c r="GE76" s="112"/>
      <c r="GF76" s="112"/>
      <c r="GG76" s="112"/>
      <c r="GH76" s="112"/>
      <c r="GI76" s="112"/>
      <c r="GJ76" s="112"/>
      <c r="GK76" s="112"/>
      <c r="GL76" s="112"/>
      <c r="GM76" s="112"/>
      <c r="GN76" s="112"/>
      <c r="GO76" s="112"/>
      <c r="GP76" s="112"/>
      <c r="GQ76" s="112"/>
      <c r="GR76" s="112"/>
      <c r="GS76" s="112"/>
      <c r="GT76" s="112"/>
      <c r="GU76" s="112"/>
      <c r="GV76" s="112"/>
      <c r="GW76" s="112"/>
      <c r="GX76" s="112"/>
      <c r="GY76" s="112"/>
      <c r="GZ76" s="112"/>
      <c r="HA76" s="112"/>
      <c r="HB76" s="112"/>
      <c r="HC76" s="112"/>
      <c r="HD76" s="112"/>
      <c r="HE76" s="112"/>
      <c r="HF76" s="112"/>
      <c r="HG76" s="112"/>
      <c r="HH76" s="112"/>
      <c r="HI76" s="112"/>
      <c r="HJ76" s="112"/>
      <c r="HK76" s="112"/>
      <c r="HL76" s="112"/>
      <c r="HM76" s="112"/>
      <c r="HN76" s="112"/>
      <c r="HO76" s="112"/>
      <c r="HP76" s="112"/>
      <c r="HQ76" s="112"/>
      <c r="HR76" s="112"/>
      <c r="HS76" s="112"/>
      <c r="HT76" s="112"/>
      <c r="HU76" s="112"/>
      <c r="HV76" s="112"/>
      <c r="HW76" s="112"/>
      <c r="HX76" s="112"/>
      <c r="HY76" s="112"/>
      <c r="HZ76" s="112"/>
      <c r="IA76" s="112"/>
      <c r="IB76" s="112"/>
      <c r="IC76" s="112"/>
      <c r="ID76" s="112"/>
      <c r="IE76" s="112"/>
      <c r="IF76" s="112"/>
      <c r="IG76" s="112"/>
      <c r="IH76" s="112"/>
      <c r="II76" s="112"/>
      <c r="IJ76" s="112"/>
      <c r="IK76" s="112"/>
      <c r="IL76" s="112"/>
      <c r="IM76" s="112"/>
      <c r="IN76" s="112"/>
      <c r="IO76" s="112"/>
      <c r="IP76" s="112"/>
      <c r="IQ76" s="112"/>
      <c r="IR76" s="112"/>
      <c r="IS76" s="112"/>
      <c r="IT76" s="112"/>
      <c r="IU76" s="112"/>
      <c r="IV76" s="112"/>
      <c r="IW76" s="112"/>
      <c r="IX76" s="112"/>
      <c r="IY76" s="112"/>
      <c r="IZ76" s="112"/>
      <c r="JA76" s="112"/>
      <c r="JB76" s="112"/>
      <c r="JC76" s="112"/>
      <c r="JD76" s="112"/>
      <c r="JE76" s="112"/>
      <c r="JF76" s="112"/>
      <c r="JG76" s="112"/>
      <c r="JH76" s="112"/>
      <c r="JI76" s="112"/>
      <c r="JJ76" s="112"/>
      <c r="JK76" s="112"/>
      <c r="JL76" s="112"/>
      <c r="JM76" s="112"/>
      <c r="JN76" s="112"/>
      <c r="JO76" s="112"/>
      <c r="JP76" s="112"/>
      <c r="JQ76" s="112"/>
      <c r="JR76" s="112"/>
      <c r="JS76" s="112"/>
      <c r="JT76" s="112"/>
      <c r="JU76" s="112"/>
      <c r="JV76" s="112"/>
      <c r="JW76" s="112"/>
      <c r="JX76" s="112"/>
      <c r="JY76" s="112"/>
      <c r="JZ76" s="112"/>
      <c r="KA76" s="112"/>
      <c r="KB76" s="112"/>
      <c r="KC76" s="112"/>
      <c r="KD76" s="112"/>
      <c r="KE76" s="112"/>
      <c r="KF76" s="112"/>
      <c r="KG76" s="112"/>
      <c r="KH76" s="112"/>
      <c r="KI76" s="112"/>
      <c r="KJ76" s="112"/>
      <c r="KK76" s="112"/>
      <c r="KL76" s="112"/>
      <c r="KM76" s="112"/>
      <c r="KN76" s="112"/>
      <c r="KO76" s="112"/>
      <c r="KP76" s="112"/>
      <c r="KQ76" s="112"/>
      <c r="KR76" s="112"/>
      <c r="KS76" s="112"/>
      <c r="KT76" s="112"/>
      <c r="KU76" s="112"/>
      <c r="KV76" s="112"/>
      <c r="KW76" s="112"/>
      <c r="KX76" s="112"/>
      <c r="KY76" s="112"/>
      <c r="KZ76" s="112"/>
      <c r="LA76" s="112"/>
      <c r="LB76" s="112"/>
      <c r="LC76" s="112"/>
      <c r="LD76" s="112"/>
      <c r="LE76" s="112"/>
      <c r="LF76" s="112"/>
      <c r="LG76" s="112"/>
      <c r="LH76" s="112"/>
      <c r="LI76" s="112"/>
      <c r="LJ76" s="112"/>
      <c r="LK76" s="112"/>
      <c r="LL76" s="112"/>
      <c r="LM76" s="112"/>
      <c r="LN76" s="112"/>
      <c r="LO76" s="112"/>
      <c r="LP76" s="112"/>
      <c r="LQ76" s="112"/>
      <c r="LR76" s="112"/>
      <c r="LS76" s="112"/>
      <c r="LT76" s="112"/>
      <c r="LU76" s="112"/>
      <c r="LV76" s="112"/>
      <c r="LW76" s="112"/>
      <c r="LX76" s="112"/>
      <c r="LY76" s="112"/>
      <c r="LZ76" s="112"/>
      <c r="MA76" s="112"/>
      <c r="MB76" s="112"/>
      <c r="MC76" s="112"/>
      <c r="MD76" s="112"/>
      <c r="ME76" s="112"/>
      <c r="MF76" s="112"/>
      <c r="MG76" s="112"/>
      <c r="MH76" s="112"/>
      <c r="MI76" s="112"/>
      <c r="MJ76" s="112"/>
      <c r="MK76" s="112"/>
      <c r="ML76" s="112"/>
      <c r="MM76" s="112"/>
    </row>
    <row r="77" spans="1:351" ht="20.25" customHeight="1">
      <c r="C77" s="276" t="s">
        <v>70</v>
      </c>
      <c r="D77" s="124">
        <f t="shared" ref="D77:K77" si="2">(1/(1-D75))</f>
        <v>1.1111111111111112</v>
      </c>
      <c r="E77" s="124">
        <f t="shared" si="2"/>
        <v>1.1111111111111112</v>
      </c>
      <c r="F77" s="110">
        <f t="shared" si="2"/>
        <v>1.1111111111111112</v>
      </c>
      <c r="G77" s="110">
        <f t="shared" si="2"/>
        <v>1.1111111111111112</v>
      </c>
      <c r="H77" s="110">
        <f t="shared" si="2"/>
        <v>1.1111111111111112</v>
      </c>
      <c r="I77" s="124">
        <f t="shared" si="2"/>
        <v>1.1111111111111112</v>
      </c>
      <c r="J77" s="124">
        <f t="shared" si="2"/>
        <v>1.1111111111111112</v>
      </c>
      <c r="K77" s="315">
        <f t="shared" si="2"/>
        <v>1.1111111111111112</v>
      </c>
      <c r="L77" s="958" t="s">
        <v>71</v>
      </c>
      <c r="M77" s="925"/>
      <c r="Q77" s="205"/>
      <c r="R77" s="220"/>
      <c r="S77" s="116"/>
      <c r="T77" s="134"/>
      <c r="U77" s="134"/>
      <c r="W77" s="710"/>
      <c r="X77" s="708"/>
      <c r="Z77" s="708"/>
      <c r="AB77" s="708"/>
    </row>
    <row r="78" spans="1:351" ht="20.25" customHeight="1">
      <c r="C78" s="276" t="s">
        <v>72</v>
      </c>
      <c r="D78" s="123">
        <v>0.25</v>
      </c>
      <c r="E78" s="123">
        <v>0.25</v>
      </c>
      <c r="F78" s="123">
        <v>0.25</v>
      </c>
      <c r="G78" s="123">
        <v>0.25</v>
      </c>
      <c r="H78" s="123">
        <v>0.25</v>
      </c>
      <c r="I78" s="123">
        <v>0.25</v>
      </c>
      <c r="J78" s="123">
        <v>0.25</v>
      </c>
      <c r="K78" s="313">
        <v>0.25</v>
      </c>
      <c r="L78" s="863" t="s">
        <v>73</v>
      </c>
      <c r="M78" s="864"/>
      <c r="Q78" s="205"/>
      <c r="R78" s="220"/>
      <c r="S78" s="116"/>
      <c r="T78" s="134"/>
      <c r="U78" s="134"/>
      <c r="W78" s="710"/>
      <c r="X78" s="708"/>
      <c r="Z78" s="708"/>
      <c r="AB78" s="708"/>
    </row>
    <row r="79" spans="1:351" ht="20.25" customHeight="1">
      <c r="C79" s="276" t="s">
        <v>74</v>
      </c>
      <c r="D79" s="125">
        <v>0.03</v>
      </c>
      <c r="E79" s="125">
        <v>0.03</v>
      </c>
      <c r="F79" s="125">
        <v>0.03</v>
      </c>
      <c r="G79" s="92">
        <v>0.03</v>
      </c>
      <c r="H79" s="125">
        <v>0.03</v>
      </c>
      <c r="I79" s="125">
        <v>0.03</v>
      </c>
      <c r="J79" s="92">
        <v>0.03</v>
      </c>
      <c r="K79" s="316">
        <v>0.03</v>
      </c>
      <c r="L79" s="863" t="s">
        <v>75</v>
      </c>
      <c r="M79" s="864"/>
      <c r="Q79" s="205"/>
      <c r="R79" s="221"/>
      <c r="S79" s="115"/>
      <c r="T79" s="116"/>
      <c r="U79" s="116"/>
      <c r="W79" s="710"/>
      <c r="X79" s="708"/>
      <c r="Z79" s="708"/>
      <c r="AB79" s="708"/>
    </row>
    <row r="80" spans="1:351" ht="19.75" customHeight="1">
      <c r="C80" s="276" t="s">
        <v>76</v>
      </c>
      <c r="D80" s="126">
        <v>7.0000000000000007E-2</v>
      </c>
      <c r="E80" s="126">
        <v>7.0000000000000007E-2</v>
      </c>
      <c r="F80" s="126">
        <v>7.0000000000000007E-2</v>
      </c>
      <c r="G80" s="91">
        <v>7.0000000000000007E-2</v>
      </c>
      <c r="H80" s="126">
        <v>7.0000000000000007E-2</v>
      </c>
      <c r="I80" s="126">
        <v>7.0000000000000007E-2</v>
      </c>
      <c r="J80" s="91">
        <v>7.0000000000000007E-2</v>
      </c>
      <c r="K80" s="317">
        <v>7.0000000000000007E-2</v>
      </c>
      <c r="L80" s="863" t="s">
        <v>75</v>
      </c>
      <c r="M80" s="864"/>
      <c r="Q80" s="205"/>
      <c r="R80" s="218"/>
      <c r="S80" s="140"/>
      <c r="T80" s="115"/>
      <c r="U80" s="115"/>
      <c r="W80" s="710"/>
      <c r="X80" s="708"/>
      <c r="Z80" s="708"/>
      <c r="AB80" s="708"/>
    </row>
    <row r="81" spans="3:35" ht="20.25" customHeight="1">
      <c r="C81" s="276" t="s">
        <v>77</v>
      </c>
      <c r="D81" s="127">
        <v>0.8</v>
      </c>
      <c r="E81" s="127">
        <v>0.8</v>
      </c>
      <c r="F81" s="127">
        <v>0.8</v>
      </c>
      <c r="G81" s="93">
        <v>0.8</v>
      </c>
      <c r="H81" s="127">
        <v>0.8</v>
      </c>
      <c r="I81" s="127">
        <v>0.8</v>
      </c>
      <c r="J81" s="93">
        <v>0.8</v>
      </c>
      <c r="K81" s="318">
        <v>0.8</v>
      </c>
      <c r="L81" s="863" t="s">
        <v>78</v>
      </c>
      <c r="M81" s="864"/>
      <c r="Q81" s="205"/>
      <c r="R81" s="222"/>
      <c r="S81" s="141"/>
      <c r="T81" s="140"/>
      <c r="U81" s="140"/>
      <c r="W81" s="710"/>
      <c r="X81" s="708"/>
      <c r="Z81" s="708"/>
      <c r="AB81" s="708"/>
    </row>
    <row r="82" spans="3:35" ht="20.25" customHeight="1" thickBot="1">
      <c r="C82" s="278" t="s">
        <v>79</v>
      </c>
      <c r="D82" s="319">
        <v>100</v>
      </c>
      <c r="E82" s="319">
        <v>100</v>
      </c>
      <c r="F82" s="319">
        <v>100</v>
      </c>
      <c r="G82" s="320">
        <v>100</v>
      </c>
      <c r="H82" s="319">
        <v>100</v>
      </c>
      <c r="I82" s="319">
        <v>100</v>
      </c>
      <c r="J82" s="320">
        <v>100</v>
      </c>
      <c r="K82" s="321">
        <v>100</v>
      </c>
      <c r="L82" s="961" t="s">
        <v>80</v>
      </c>
      <c r="M82" s="936"/>
      <c r="Q82" s="205"/>
      <c r="R82" s="223"/>
      <c r="S82" s="108"/>
      <c r="T82" s="141"/>
      <c r="U82" s="141"/>
      <c r="W82" s="710"/>
      <c r="X82" s="708"/>
      <c r="Z82" s="708"/>
      <c r="AB82" s="708"/>
    </row>
    <row r="83" spans="3:35" ht="15" customHeight="1">
      <c r="C83" s="88"/>
      <c r="D83" s="84"/>
      <c r="E83" s="84"/>
      <c r="F83" s="84"/>
      <c r="G83" s="84"/>
      <c r="H83" s="88"/>
      <c r="I83" s="84"/>
      <c r="J83" s="84"/>
      <c r="K83" s="84"/>
      <c r="L83" s="198"/>
      <c r="M83" s="198"/>
      <c r="S83" s="701"/>
      <c r="W83" s="710"/>
      <c r="Y83" s="108"/>
      <c r="AC83" s="108"/>
      <c r="AG83" s="108"/>
    </row>
    <row r="84" spans="3:35" ht="25.5" customHeight="1">
      <c r="C84" s="184" t="s">
        <v>81</v>
      </c>
      <c r="D84" s="185"/>
      <c r="E84" s="185"/>
      <c r="F84" s="185"/>
      <c r="G84" s="185"/>
      <c r="H84" s="185"/>
      <c r="I84" s="185"/>
      <c r="J84" s="185"/>
      <c r="K84" s="185"/>
      <c r="L84" s="185"/>
      <c r="M84" s="193"/>
      <c r="R84" s="181"/>
      <c r="S84" s="701"/>
      <c r="T84" s="701"/>
      <c r="U84" s="701"/>
      <c r="W84" s="701"/>
      <c r="Y84" s="911"/>
      <c r="Z84" s="911"/>
      <c r="AA84" s="911"/>
      <c r="AB84" s="911"/>
      <c r="AC84" s="911"/>
      <c r="AD84" s="911"/>
      <c r="AE84" s="911"/>
      <c r="AF84" s="911"/>
      <c r="AG84" s="911"/>
      <c r="AH84" s="911"/>
      <c r="AI84" s="911"/>
    </row>
    <row r="85" spans="3:35" ht="5.5" customHeight="1" thickBot="1">
      <c r="C85" s="89"/>
      <c r="D85" s="89"/>
      <c r="E85" s="89"/>
      <c r="F85" s="89"/>
      <c r="G85" s="84"/>
      <c r="H85" s="89"/>
      <c r="I85" s="89"/>
      <c r="J85" s="89"/>
      <c r="K85" s="89"/>
      <c r="L85" s="198"/>
      <c r="M85" s="198"/>
      <c r="R85" s="181"/>
      <c r="S85" s="142"/>
      <c r="T85" s="701"/>
      <c r="U85" s="701"/>
      <c r="W85" s="710"/>
      <c r="Y85" s="701"/>
      <c r="Z85" s="701"/>
      <c r="AA85" s="701"/>
      <c r="AC85" s="701"/>
      <c r="AD85" s="701"/>
      <c r="AE85" s="701"/>
      <c r="AG85" s="701"/>
      <c r="AH85" s="701"/>
      <c r="AI85" s="701"/>
    </row>
    <row r="86" spans="3:35" ht="59.5" customHeight="1">
      <c r="C86" s="322" t="s">
        <v>82</v>
      </c>
      <c r="D86" s="323">
        <v>0</v>
      </c>
      <c r="E86" s="324">
        <v>0</v>
      </c>
      <c r="F86" s="323">
        <v>0</v>
      </c>
      <c r="G86" s="324">
        <v>0</v>
      </c>
      <c r="H86" s="324">
        <v>0</v>
      </c>
      <c r="I86" s="323">
        <v>0</v>
      </c>
      <c r="J86" s="323">
        <v>0</v>
      </c>
      <c r="K86" s="325">
        <v>0</v>
      </c>
      <c r="L86" s="863" t="s">
        <v>83</v>
      </c>
      <c r="M86" s="864"/>
      <c r="R86" s="113"/>
      <c r="S86" s="143"/>
      <c r="T86" s="142"/>
      <c r="U86" s="142"/>
      <c r="W86" s="710"/>
      <c r="X86" s="710"/>
      <c r="Y86" s="931"/>
      <c r="Z86" s="931"/>
      <c r="AA86" s="931"/>
      <c r="AB86" s="931"/>
      <c r="AC86" s="931"/>
      <c r="AD86" s="931"/>
      <c r="AE86" s="931"/>
      <c r="AF86" s="931"/>
      <c r="AG86" s="931"/>
      <c r="AH86" s="931"/>
      <c r="AI86" s="931"/>
    </row>
    <row r="87" spans="3:35" ht="49.5" customHeight="1">
      <c r="C87" s="301" t="s">
        <v>84</v>
      </c>
      <c r="D87" s="96">
        <v>1.32</v>
      </c>
      <c r="E87" s="96">
        <v>1.32</v>
      </c>
      <c r="F87" s="96">
        <v>1.32</v>
      </c>
      <c r="G87" s="96">
        <v>1.23</v>
      </c>
      <c r="H87" s="96">
        <v>1.23</v>
      </c>
      <c r="I87" s="96">
        <v>1.23</v>
      </c>
      <c r="J87" s="96">
        <v>1.32</v>
      </c>
      <c r="K87" s="326">
        <v>1.23</v>
      </c>
      <c r="L87" s="958" t="s">
        <v>85</v>
      </c>
      <c r="M87" s="925"/>
      <c r="N87" s="225"/>
      <c r="R87" s="114"/>
      <c r="S87" s="144"/>
      <c r="T87" s="143"/>
      <c r="U87" s="143"/>
      <c r="W87" s="710"/>
      <c r="X87" s="710"/>
      <c r="Y87" s="109"/>
      <c r="Z87" s="109"/>
      <c r="AA87" s="109"/>
      <c r="AB87" s="109"/>
      <c r="AC87" s="109"/>
      <c r="AD87" s="109"/>
      <c r="AE87" s="109"/>
      <c r="AF87" s="109"/>
      <c r="AG87" s="109"/>
      <c r="AH87" s="109"/>
      <c r="AI87" s="109"/>
    </row>
    <row r="88" spans="3:35" ht="20.25" customHeight="1" thickBot="1">
      <c r="C88" s="327"/>
      <c r="D88" s="328"/>
      <c r="E88" s="329"/>
      <c r="F88" s="328"/>
      <c r="G88" s="329"/>
      <c r="H88" s="329"/>
      <c r="I88" s="329"/>
      <c r="J88" s="329"/>
      <c r="K88" s="330"/>
      <c r="L88" s="960" t="s">
        <v>86</v>
      </c>
      <c r="M88" s="934"/>
      <c r="R88" s="114"/>
      <c r="T88" s="143"/>
      <c r="U88" s="144"/>
      <c r="W88" s="104"/>
      <c r="X88" s="104"/>
      <c r="AA88" s="710"/>
    </row>
    <row r="90" spans="3:35" ht="20.25" customHeight="1" outlineLevel="1"/>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9.25" customHeight="1"/>
    <row r="101" ht="20.25" customHeight="1" outlineLevel="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18" customHeight="1"/>
    <row r="112" ht="25.5" customHeight="1"/>
    <row r="113" ht="18" customHeight="1"/>
    <row r="115" ht="20.25" customHeight="1" outlineLevel="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6"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7" ht="25.5" customHeight="1"/>
    <row r="139" ht="36" customHeight="1"/>
    <row r="140" ht="20.25" customHeight="1" outlineLevel="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1"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sheetData>
  <sheetProtection formatCells="0" formatColumns="0" formatRows="0" insertColumns="0" insertRows="0" insertHyperlinks="0" deleteColumns="0" deleteRows="0" sort="0" autoFilter="0" pivotTables="0"/>
  <mergeCells count="66">
    <mergeCell ref="L87:M87"/>
    <mergeCell ref="L88:M88"/>
    <mergeCell ref="L80:M80"/>
    <mergeCell ref="L81:M81"/>
    <mergeCell ref="L82:M82"/>
    <mergeCell ref="Y84:AI84"/>
    <mergeCell ref="L86:M86"/>
    <mergeCell ref="Y86:AI86"/>
    <mergeCell ref="Z75:Z76"/>
    <mergeCell ref="AB75:AB76"/>
    <mergeCell ref="L76:M76"/>
    <mergeCell ref="L77:M77"/>
    <mergeCell ref="L78:M78"/>
    <mergeCell ref="L79:M79"/>
    <mergeCell ref="X75:X76"/>
    <mergeCell ref="L65:M65"/>
    <mergeCell ref="L66:M66"/>
    <mergeCell ref="L67:M67"/>
    <mergeCell ref="L68:M72"/>
    <mergeCell ref="L75:M75"/>
    <mergeCell ref="C54:K54"/>
    <mergeCell ref="Y56:AI56"/>
    <mergeCell ref="Y59:AI59"/>
    <mergeCell ref="D61:F61"/>
    <mergeCell ref="G61:I61"/>
    <mergeCell ref="J61:K61"/>
    <mergeCell ref="L61:M63"/>
    <mergeCell ref="E49:M53"/>
    <mergeCell ref="L36:M36"/>
    <mergeCell ref="D37:F37"/>
    <mergeCell ref="G37:I37"/>
    <mergeCell ref="L37:M41"/>
    <mergeCell ref="D38:F38"/>
    <mergeCell ref="G38:I38"/>
    <mergeCell ref="D39:F39"/>
    <mergeCell ref="G39:I39"/>
    <mergeCell ref="D40:F40"/>
    <mergeCell ref="G40:I40"/>
    <mergeCell ref="D41:F41"/>
    <mergeCell ref="G41:I41"/>
    <mergeCell ref="C43:M43"/>
    <mergeCell ref="E45:M45"/>
    <mergeCell ref="E47:M47"/>
    <mergeCell ref="L31:M31"/>
    <mergeCell ref="L32:M32"/>
    <mergeCell ref="D33:F33"/>
    <mergeCell ref="G33:I33"/>
    <mergeCell ref="D34:F34"/>
    <mergeCell ref="G34:I34"/>
    <mergeCell ref="L34:M34"/>
    <mergeCell ref="D26:K26"/>
    <mergeCell ref="L26:M26"/>
    <mergeCell ref="C29:C30"/>
    <mergeCell ref="D29:F29"/>
    <mergeCell ref="G29:I29"/>
    <mergeCell ref="L29:M30"/>
    <mergeCell ref="D30:F30"/>
    <mergeCell ref="G30:I30"/>
    <mergeCell ref="J3:K4"/>
    <mergeCell ref="C6:M9"/>
    <mergeCell ref="C11:D11"/>
    <mergeCell ref="C22:M22"/>
    <mergeCell ref="D24:F24"/>
    <mergeCell ref="G24:I24"/>
    <mergeCell ref="J24:K24"/>
    <mergeCell ref="L24:M24"/>
  </mergeCells>
  <dataValidations count="2">
    <dataValidation type="list" allowBlank="1" showInputMessage="1" showErrorMessage="1" sqref="D47" xr:uid="{1F9CF9B7-B4E5-47BD-A911-EA09DACAA49F}">
      <formula1>"Initial self-financing phase, Other transition phase"</formula1>
    </dataValidation>
    <dataValidation type="list" allowBlank="1" showInputMessage="1" showErrorMessage="1" sqref="D20 D16 D18 D45" xr:uid="{2F0F3A93-23C3-4AF2-BAFF-3D1277EF63E0}">
      <formula1>"Yes, No"</formula1>
    </dataValidation>
  </dataValidations>
  <hyperlinks>
    <hyperlink ref="G57" r:id="rId1" xr:uid="{5AF55B36-F81D-4859-9C6B-8299E99F09D2}"/>
    <hyperlink ref="L88" r:id="rId2" xr:uid="{22D34483-24F6-448F-B05F-D2EACEA896A0}"/>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8"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A7AF6A16-694A-41DC-85DF-018C130094D6}">
          <x14:formula1>
            <xm:f>Data!$A$2:$A$9</xm:f>
          </x14:formula1>
          <xm:sqref>X63</xm:sqref>
        </x14:dataValidation>
        <x14:dataValidation type="list" allowBlank="1" showInputMessage="1" showErrorMessage="1" xr:uid="{1F8AFAC1-1489-42C1-A05E-EDAC80407D02}">
          <x14:formula1>
            <xm:f>Data!$A$2:$A$9</xm:f>
          </x14:formula1>
          <xm:sqref>T63 D63:K63 R63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E4A0-84B2-4400-9DAE-E3C6888D5295}">
  <sheetPr codeName="Sheet10">
    <tabColor theme="3"/>
  </sheetPr>
  <dimension ref="A1:K67"/>
  <sheetViews>
    <sheetView tabSelected="1" zoomScale="110" zoomScaleNormal="110" workbookViewId="0"/>
  </sheetViews>
  <sheetFormatPr defaultColWidth="8.81640625" defaultRowHeight="15.5"/>
  <cols>
    <col min="1" max="1" width="4.1796875" style="331" customWidth="1"/>
    <col min="2" max="3" width="3.453125" style="331" customWidth="1"/>
    <col min="4" max="4" width="9" style="331" customWidth="1"/>
    <col min="5" max="5" width="14.453125" style="331" customWidth="1"/>
    <col min="6" max="6" width="5" style="331" customWidth="1"/>
    <col min="7" max="7" width="67.453125" style="331" customWidth="1"/>
    <col min="8" max="8" width="30.453125" style="331" customWidth="1"/>
    <col min="9" max="10" width="3.453125" style="331" customWidth="1"/>
    <col min="11" max="11" width="4.1796875" style="331" customWidth="1"/>
    <col min="12" max="16384" width="8.81640625" style="331"/>
  </cols>
  <sheetData>
    <row r="1" spans="1:11" ht="9" customHeight="1">
      <c r="A1" s="339"/>
      <c r="B1" s="353"/>
      <c r="C1" s="353"/>
      <c r="D1" s="353"/>
      <c r="E1" s="353"/>
      <c r="F1" s="353"/>
      <c r="G1" s="353"/>
      <c r="H1" s="353"/>
      <c r="I1" s="353"/>
      <c r="J1" s="353"/>
      <c r="K1" s="339"/>
    </row>
    <row r="2" spans="1:11" ht="122.25" customHeight="1">
      <c r="A2" s="339"/>
      <c r="D2" s="348"/>
      <c r="E2" s="823" t="s">
        <v>96</v>
      </c>
      <c r="F2" s="823"/>
      <c r="G2" s="823"/>
      <c r="K2" s="339"/>
    </row>
    <row r="3" spans="1:11" ht="54" customHeight="1">
      <c r="A3" s="339"/>
      <c r="D3" s="349"/>
      <c r="E3" s="824" t="s">
        <v>97</v>
      </c>
      <c r="F3" s="824"/>
      <c r="G3" s="824"/>
      <c r="H3" s="820" t="s">
        <v>506</v>
      </c>
      <c r="I3" s="820"/>
      <c r="J3" s="820"/>
      <c r="K3" s="339"/>
    </row>
    <row r="4" spans="1:11" ht="34" customHeight="1">
      <c r="A4" s="339"/>
      <c r="B4" s="339"/>
      <c r="C4" s="339"/>
      <c r="D4" s="819" t="s">
        <v>98</v>
      </c>
      <c r="E4" s="819"/>
      <c r="F4" s="819"/>
      <c r="G4" s="819"/>
      <c r="H4" s="819"/>
      <c r="I4" s="819"/>
      <c r="J4" s="339"/>
      <c r="K4" s="339"/>
    </row>
    <row r="5" spans="1:11" ht="8.25" customHeight="1">
      <c r="A5" s="339"/>
      <c r="B5" s="339"/>
      <c r="C5" s="339"/>
      <c r="D5" s="343"/>
      <c r="E5" s="343"/>
      <c r="F5" s="343"/>
      <c r="G5" s="343"/>
      <c r="H5" s="339"/>
      <c r="I5" s="339"/>
      <c r="J5" s="339"/>
      <c r="K5" s="339"/>
    </row>
    <row r="6" spans="1:11" ht="45" customHeight="1">
      <c r="A6" s="339"/>
      <c r="B6" s="800" t="s">
        <v>99</v>
      </c>
      <c r="C6" s="800"/>
      <c r="D6" s="800"/>
      <c r="E6" s="800"/>
      <c r="F6" s="800"/>
      <c r="G6" s="800"/>
      <c r="H6" s="800"/>
      <c r="I6" s="800"/>
      <c r="J6" s="800"/>
      <c r="K6" s="339"/>
    </row>
    <row r="7" spans="1:11" ht="6" customHeight="1">
      <c r="A7" s="339"/>
      <c r="B7" s="339"/>
      <c r="C7" s="339"/>
      <c r="D7" s="338"/>
      <c r="E7" s="338"/>
      <c r="F7" s="338"/>
      <c r="G7" s="338"/>
      <c r="H7" s="339"/>
      <c r="I7" s="339"/>
      <c r="J7" s="339"/>
      <c r="K7" s="339"/>
    </row>
    <row r="8" spans="1:11" ht="341.25" customHeight="1">
      <c r="A8" s="339"/>
      <c r="B8" s="339"/>
      <c r="C8" s="712"/>
      <c r="D8" s="821" t="s">
        <v>100</v>
      </c>
      <c r="E8" s="821"/>
      <c r="F8" s="821"/>
      <c r="G8" s="821"/>
      <c r="H8" s="821"/>
      <c r="I8" s="712"/>
      <c r="J8" s="339"/>
      <c r="K8" s="339"/>
    </row>
    <row r="9" spans="1:11" ht="8.25" customHeight="1">
      <c r="A9" s="339"/>
      <c r="B9" s="339"/>
      <c r="C9" s="344"/>
      <c r="D9" s="344"/>
      <c r="E9" s="344"/>
      <c r="F9" s="344"/>
      <c r="G9" s="344"/>
      <c r="H9" s="344"/>
      <c r="I9" s="344"/>
      <c r="J9" s="339"/>
      <c r="K9" s="339"/>
    </row>
    <row r="10" spans="1:11" ht="107.25" customHeight="1">
      <c r="A10" s="339"/>
      <c r="B10" s="339"/>
      <c r="C10" s="339"/>
      <c r="D10" s="822" t="s">
        <v>101</v>
      </c>
      <c r="E10" s="822"/>
      <c r="F10" s="822"/>
      <c r="G10" s="822"/>
      <c r="H10" s="822"/>
      <c r="I10" s="339"/>
      <c r="J10" s="339"/>
      <c r="K10" s="339"/>
    </row>
    <row r="11" spans="1:11" ht="9.75" customHeight="1">
      <c r="A11" s="339"/>
      <c r="B11" s="339"/>
      <c r="C11" s="339"/>
      <c r="D11" s="340"/>
      <c r="E11" s="340"/>
      <c r="F11" s="340"/>
      <c r="G11" s="340"/>
      <c r="H11" s="339"/>
      <c r="I11" s="339"/>
      <c r="J11" s="339"/>
      <c r="K11" s="339"/>
    </row>
    <row r="12" spans="1:11" ht="45" customHeight="1">
      <c r="A12" s="339"/>
      <c r="B12" s="800" t="s">
        <v>102</v>
      </c>
      <c r="C12" s="800"/>
      <c r="D12" s="800"/>
      <c r="E12" s="800"/>
      <c r="F12" s="800"/>
      <c r="G12" s="800"/>
      <c r="H12" s="800"/>
      <c r="I12" s="800"/>
      <c r="J12" s="800"/>
      <c r="K12" s="339"/>
    </row>
    <row r="13" spans="1:11" ht="9.75" customHeight="1">
      <c r="A13" s="339"/>
      <c r="B13" s="339"/>
      <c r="C13" s="339"/>
      <c r="D13" s="340"/>
      <c r="E13" s="340"/>
      <c r="F13" s="340"/>
      <c r="G13" s="340"/>
      <c r="H13" s="339"/>
      <c r="I13" s="339"/>
      <c r="J13" s="339"/>
      <c r="K13" s="339"/>
    </row>
    <row r="14" spans="1:11" ht="29.25" customHeight="1">
      <c r="A14" s="339"/>
      <c r="B14" s="339"/>
      <c r="C14" s="838" t="s">
        <v>103</v>
      </c>
      <c r="D14" s="838"/>
      <c r="E14" s="838"/>
      <c r="F14" s="838"/>
      <c r="G14" s="838"/>
      <c r="H14" s="838"/>
      <c r="I14" s="838"/>
      <c r="J14" s="339"/>
      <c r="K14" s="339"/>
    </row>
    <row r="15" spans="1:11" ht="8.5" customHeight="1">
      <c r="A15" s="339"/>
      <c r="B15" s="339"/>
      <c r="G15" s="333"/>
      <c r="J15" s="339"/>
      <c r="K15" s="339"/>
    </row>
    <row r="16" spans="1:11" ht="15" customHeight="1">
      <c r="A16" s="339"/>
      <c r="B16" s="339"/>
      <c r="D16" s="334"/>
      <c r="E16" s="828" t="s">
        <v>104</v>
      </c>
      <c r="F16" s="828"/>
      <c r="G16" s="828"/>
      <c r="H16" s="828"/>
      <c r="J16" s="339"/>
      <c r="K16" s="339"/>
    </row>
    <row r="17" spans="1:11">
      <c r="A17" s="339"/>
      <c r="B17" s="339"/>
      <c r="D17" s="345"/>
      <c r="E17" s="828"/>
      <c r="F17" s="828"/>
      <c r="G17" s="828"/>
      <c r="H17" s="828"/>
      <c r="J17" s="339"/>
      <c r="K17" s="339"/>
    </row>
    <row r="18" spans="1:11" ht="15" customHeight="1">
      <c r="A18" s="339"/>
      <c r="B18" s="339"/>
      <c r="D18" s="347"/>
      <c r="E18" s="828" t="s">
        <v>105</v>
      </c>
      <c r="F18" s="828"/>
      <c r="G18" s="828"/>
      <c r="H18" s="828"/>
      <c r="J18" s="339"/>
      <c r="K18" s="339"/>
    </row>
    <row r="19" spans="1:11" ht="30" customHeight="1">
      <c r="A19" s="339"/>
      <c r="B19" s="339"/>
      <c r="D19" s="345"/>
      <c r="E19" s="828"/>
      <c r="F19" s="828"/>
      <c r="G19" s="828"/>
      <c r="H19" s="828"/>
      <c r="J19" s="339"/>
      <c r="K19" s="339"/>
    </row>
    <row r="20" spans="1:11" ht="15" customHeight="1">
      <c r="A20" s="339"/>
      <c r="B20" s="339"/>
      <c r="D20" s="335"/>
      <c r="E20" s="828" t="s">
        <v>106</v>
      </c>
      <c r="F20" s="828"/>
      <c r="G20" s="828"/>
      <c r="H20" s="828"/>
      <c r="J20" s="339"/>
      <c r="K20" s="339"/>
    </row>
    <row r="21" spans="1:11" ht="8.25" customHeight="1">
      <c r="A21" s="339"/>
      <c r="B21" s="339"/>
      <c r="D21" s="345"/>
      <c r="E21" s="713"/>
      <c r="F21" s="713"/>
      <c r="G21" s="713"/>
      <c r="H21" s="713"/>
      <c r="J21" s="339"/>
      <c r="K21" s="339"/>
    </row>
    <row r="22" spans="1:11" s="336" customFormat="1" ht="22" customHeight="1">
      <c r="A22" s="341"/>
      <c r="B22" s="341"/>
      <c r="D22" s="813" t="s">
        <v>107</v>
      </c>
      <c r="E22" s="814"/>
      <c r="F22" s="830" t="s">
        <v>493</v>
      </c>
      <c r="G22" s="830"/>
      <c r="H22" s="831"/>
      <c r="J22" s="341"/>
      <c r="K22" s="341"/>
    </row>
    <row r="23" spans="1:11" s="336" customFormat="1" ht="48.75" customHeight="1">
      <c r="A23" s="341"/>
      <c r="B23" s="341"/>
      <c r="D23" s="815"/>
      <c r="E23" s="816"/>
      <c r="F23" s="828" t="s">
        <v>494</v>
      </c>
      <c r="G23" s="828"/>
      <c r="H23" s="829"/>
      <c r="J23" s="341"/>
      <c r="K23" s="341"/>
    </row>
    <row r="24" spans="1:11" s="336" customFormat="1" ht="107.25" customHeight="1">
      <c r="A24" s="341"/>
      <c r="B24" s="341"/>
      <c r="D24" s="815"/>
      <c r="E24" s="816"/>
      <c r="F24" s="828" t="s">
        <v>495</v>
      </c>
      <c r="G24" s="828"/>
      <c r="H24" s="829"/>
      <c r="J24" s="341"/>
      <c r="K24" s="341"/>
    </row>
    <row r="25" spans="1:11" s="336" customFormat="1" ht="63" customHeight="1">
      <c r="A25" s="341"/>
      <c r="B25" s="341"/>
      <c r="D25" s="815"/>
      <c r="E25" s="816"/>
      <c r="F25" s="832" t="s">
        <v>108</v>
      </c>
      <c r="G25" s="833"/>
      <c r="H25" s="834"/>
      <c r="J25" s="341"/>
      <c r="K25" s="341"/>
    </row>
    <row r="26" spans="1:11" s="336" customFormat="1" ht="32.25" customHeight="1">
      <c r="A26" s="341"/>
      <c r="B26" s="341"/>
      <c r="D26" s="815"/>
      <c r="E26" s="816"/>
      <c r="F26" s="828" t="s">
        <v>496</v>
      </c>
      <c r="G26" s="828"/>
      <c r="H26" s="829"/>
      <c r="J26" s="341"/>
      <c r="K26" s="341"/>
    </row>
    <row r="27" spans="1:11" s="336" customFormat="1" ht="108" customHeight="1">
      <c r="A27" s="341"/>
      <c r="B27" s="341"/>
      <c r="D27" s="815"/>
      <c r="E27" s="816"/>
      <c r="F27" s="828" t="s">
        <v>497</v>
      </c>
      <c r="G27" s="828"/>
      <c r="H27" s="829"/>
      <c r="J27" s="341"/>
      <c r="K27" s="341"/>
    </row>
    <row r="28" spans="1:11" s="336" customFormat="1" ht="65.25" customHeight="1">
      <c r="A28" s="341"/>
      <c r="B28" s="341"/>
      <c r="D28" s="817"/>
      <c r="E28" s="818"/>
      <c r="F28" s="835" t="s">
        <v>109</v>
      </c>
      <c r="G28" s="836"/>
      <c r="H28" s="837"/>
      <c r="J28" s="341"/>
      <c r="K28" s="341"/>
    </row>
    <row r="29" spans="1:11" ht="8.5" customHeight="1">
      <c r="A29" s="339"/>
      <c r="B29" s="339"/>
      <c r="D29" s="345"/>
      <c r="E29" s="345"/>
      <c r="F29" s="345"/>
      <c r="G29" s="350"/>
      <c r="H29" s="345"/>
      <c r="J29" s="339"/>
      <c r="K29" s="339"/>
    </row>
    <row r="30" spans="1:11" ht="263.5" customHeight="1">
      <c r="A30" s="339"/>
      <c r="B30" s="339"/>
      <c r="D30" s="802" t="s">
        <v>110</v>
      </c>
      <c r="E30" s="803"/>
      <c r="F30" s="804" t="s">
        <v>500</v>
      </c>
      <c r="G30" s="804"/>
      <c r="H30" s="805"/>
      <c r="J30" s="339"/>
      <c r="K30" s="339"/>
    </row>
    <row r="31" spans="1:11" ht="8.25" customHeight="1">
      <c r="A31" s="339"/>
      <c r="B31" s="339"/>
      <c r="D31" s="345"/>
      <c r="E31" s="345"/>
      <c r="F31" s="345"/>
      <c r="G31" s="346"/>
      <c r="H31" s="345"/>
      <c r="J31" s="339"/>
      <c r="K31" s="339"/>
    </row>
    <row r="32" spans="1:11" ht="5.5" customHeight="1">
      <c r="A32" s="339"/>
      <c r="B32" s="339"/>
      <c r="D32" s="345"/>
      <c r="E32" s="345"/>
      <c r="F32" s="345"/>
      <c r="G32" s="345"/>
      <c r="H32" s="345"/>
      <c r="J32" s="339"/>
      <c r="K32" s="339"/>
    </row>
    <row r="33" spans="1:11" ht="182.5" customHeight="1">
      <c r="A33" s="339"/>
      <c r="B33" s="339"/>
      <c r="D33" s="813" t="s">
        <v>111</v>
      </c>
      <c r="E33" s="814"/>
      <c r="F33" s="826" t="s">
        <v>112</v>
      </c>
      <c r="G33" s="826"/>
      <c r="H33" s="827"/>
      <c r="J33" s="339"/>
      <c r="K33" s="339"/>
    </row>
    <row r="34" spans="1:11" ht="27" customHeight="1">
      <c r="A34" s="339"/>
      <c r="B34" s="339"/>
      <c r="D34" s="815"/>
      <c r="E34" s="816"/>
      <c r="F34" s="806" t="s">
        <v>113</v>
      </c>
      <c r="G34" s="806"/>
      <c r="H34" s="825" t="s">
        <v>114</v>
      </c>
      <c r="J34" s="339"/>
      <c r="K34" s="339"/>
    </row>
    <row r="35" spans="1:11" s="674" customFormat="1" ht="27" customHeight="1">
      <c r="A35" s="673"/>
      <c r="B35" s="673"/>
      <c r="D35" s="815"/>
      <c r="E35" s="816"/>
      <c r="F35" s="807" t="s">
        <v>115</v>
      </c>
      <c r="G35" s="807"/>
      <c r="H35" s="825"/>
      <c r="J35" s="673"/>
      <c r="K35" s="673"/>
    </row>
    <row r="36" spans="1:11" s="674" customFormat="1" ht="27" customHeight="1">
      <c r="A36" s="673"/>
      <c r="B36" s="673"/>
      <c r="D36" s="815"/>
      <c r="E36" s="816"/>
      <c r="F36" s="807" t="s">
        <v>116</v>
      </c>
      <c r="G36" s="807"/>
      <c r="H36" s="825"/>
      <c r="J36" s="673"/>
      <c r="K36" s="673"/>
    </row>
    <row r="37" spans="1:11" s="674" customFormat="1" ht="27" customHeight="1">
      <c r="A37" s="673"/>
      <c r="B37" s="673"/>
      <c r="D37" s="815"/>
      <c r="E37" s="816"/>
      <c r="F37" s="807" t="s">
        <v>117</v>
      </c>
      <c r="G37" s="807"/>
      <c r="H37" s="825"/>
      <c r="J37" s="673"/>
      <c r="K37" s="673"/>
    </row>
    <row r="38" spans="1:11" ht="8.5" customHeight="1">
      <c r="A38" s="339"/>
      <c r="B38" s="339"/>
      <c r="D38" s="815"/>
      <c r="E38" s="816"/>
      <c r="F38" s="808"/>
      <c r="G38" s="808"/>
      <c r="H38" s="351"/>
      <c r="J38" s="339"/>
      <c r="K38" s="339"/>
    </row>
    <row r="39" spans="1:11" s="676" customFormat="1" ht="409.5" customHeight="1">
      <c r="A39" s="675"/>
      <c r="B39" s="675"/>
      <c r="D39" s="815"/>
      <c r="E39" s="816"/>
      <c r="F39" s="809" t="s">
        <v>118</v>
      </c>
      <c r="G39" s="809"/>
      <c r="H39" s="810"/>
      <c r="J39" s="675"/>
      <c r="K39" s="675"/>
    </row>
    <row r="40" spans="1:11">
      <c r="A40" s="339"/>
      <c r="B40" s="339"/>
      <c r="D40" s="815"/>
      <c r="E40" s="816"/>
      <c r="F40" s="806" t="s">
        <v>113</v>
      </c>
      <c r="G40" s="806"/>
      <c r="H40" s="351"/>
      <c r="J40" s="339"/>
      <c r="K40" s="339"/>
    </row>
    <row r="41" spans="1:11" s="336" customFormat="1" ht="28" customHeight="1">
      <c r="A41" s="341"/>
      <c r="B41" s="341"/>
      <c r="D41" s="817"/>
      <c r="E41" s="818"/>
      <c r="F41" s="811" t="s">
        <v>119</v>
      </c>
      <c r="G41" s="811"/>
      <c r="H41" s="812"/>
      <c r="J41" s="341"/>
      <c r="K41" s="341"/>
    </row>
    <row r="42" spans="1:11" ht="9" customHeight="1">
      <c r="A42" s="339"/>
      <c r="B42" s="339"/>
      <c r="G42" s="337"/>
      <c r="J42" s="339"/>
      <c r="K42" s="339"/>
    </row>
    <row r="43" spans="1:11" ht="45" customHeight="1">
      <c r="A43" s="339"/>
      <c r="B43" s="339"/>
      <c r="C43" s="801" t="s">
        <v>120</v>
      </c>
      <c r="D43" s="801"/>
      <c r="E43" s="801"/>
      <c r="F43" s="801"/>
      <c r="G43" s="801"/>
      <c r="H43" s="801"/>
      <c r="I43" s="801"/>
      <c r="J43" s="339"/>
      <c r="K43" s="339"/>
    </row>
    <row r="44" spans="1:11" ht="8.25" customHeight="1">
      <c r="A44" s="339"/>
      <c r="B44" s="339"/>
      <c r="C44" s="352"/>
      <c r="D44" s="352"/>
      <c r="E44" s="352"/>
      <c r="F44" s="352"/>
      <c r="G44" s="352"/>
      <c r="H44" s="352"/>
      <c r="I44" s="352"/>
      <c r="J44" s="339"/>
      <c r="K44" s="339"/>
    </row>
    <row r="45" spans="1:11" ht="68.25" customHeight="1">
      <c r="A45" s="339"/>
      <c r="B45" s="339"/>
      <c r="D45" s="797" t="s">
        <v>121</v>
      </c>
      <c r="E45" s="797"/>
      <c r="F45" s="797"/>
      <c r="G45" s="797"/>
      <c r="H45" s="797"/>
      <c r="J45" s="339"/>
      <c r="K45" s="339"/>
    </row>
    <row r="46" spans="1:11" ht="8.5" customHeight="1">
      <c r="A46" s="339"/>
      <c r="B46" s="339"/>
      <c r="G46" s="333"/>
      <c r="J46" s="339"/>
      <c r="K46" s="339"/>
    </row>
    <row r="47" spans="1:11" ht="45" customHeight="1">
      <c r="A47" s="339"/>
      <c r="B47" s="339"/>
      <c r="C47" s="795" t="s">
        <v>122</v>
      </c>
      <c r="D47" s="795"/>
      <c r="E47" s="795"/>
      <c r="F47" s="795"/>
      <c r="G47" s="795"/>
      <c r="H47" s="795"/>
      <c r="I47" s="795"/>
      <c r="J47" s="339"/>
      <c r="K47" s="339"/>
    </row>
    <row r="48" spans="1:11" ht="8.25" customHeight="1">
      <c r="A48" s="339"/>
      <c r="B48" s="339"/>
      <c r="D48" s="332"/>
      <c r="E48" s="332"/>
      <c r="F48" s="332"/>
      <c r="G48" s="332"/>
      <c r="J48" s="339"/>
      <c r="K48" s="339"/>
    </row>
    <row r="49" spans="1:11" ht="52" customHeight="1">
      <c r="A49" s="339"/>
      <c r="B49" s="339"/>
      <c r="D49" s="799" t="s">
        <v>123</v>
      </c>
      <c r="E49" s="799"/>
      <c r="F49" s="799"/>
      <c r="G49" s="799"/>
      <c r="H49" s="799"/>
      <c r="J49" s="339"/>
      <c r="K49" s="339"/>
    </row>
    <row r="50" spans="1:11" ht="389.25" customHeight="1">
      <c r="A50" s="339"/>
      <c r="B50" s="339"/>
      <c r="D50" s="798" t="s">
        <v>124</v>
      </c>
      <c r="E50" s="799"/>
      <c r="F50" s="799"/>
      <c r="G50" s="799"/>
      <c r="H50" s="799"/>
      <c r="J50" s="339"/>
      <c r="K50" s="339"/>
    </row>
    <row r="51" spans="1:11" ht="8.5" customHeight="1">
      <c r="A51" s="339"/>
      <c r="B51" s="339"/>
      <c r="G51" s="333"/>
      <c r="J51" s="339"/>
      <c r="K51" s="339"/>
    </row>
    <row r="52" spans="1:11" ht="45" customHeight="1">
      <c r="A52" s="339"/>
      <c r="B52" s="339"/>
      <c r="C52" s="795" t="s">
        <v>125</v>
      </c>
      <c r="D52" s="795"/>
      <c r="E52" s="795"/>
      <c r="F52" s="795"/>
      <c r="G52" s="795"/>
      <c r="H52" s="795"/>
      <c r="I52" s="795"/>
      <c r="J52" s="339"/>
      <c r="K52" s="339"/>
    </row>
    <row r="53" spans="1:11" ht="8.25" customHeight="1">
      <c r="A53" s="339"/>
      <c r="B53" s="339"/>
      <c r="C53" s="352"/>
      <c r="D53" s="352"/>
      <c r="E53" s="352"/>
      <c r="F53" s="352"/>
      <c r="G53" s="352"/>
      <c r="H53" s="352"/>
      <c r="I53" s="352"/>
      <c r="J53" s="339"/>
      <c r="K53" s="339"/>
    </row>
    <row r="54" spans="1:11" ht="87" customHeight="1">
      <c r="A54" s="339"/>
      <c r="B54" s="339"/>
      <c r="D54" s="796" t="s">
        <v>126</v>
      </c>
      <c r="E54" s="796"/>
      <c r="F54" s="796"/>
      <c r="G54" s="796"/>
      <c r="H54" s="796"/>
      <c r="J54" s="339"/>
      <c r="K54" s="339"/>
    </row>
    <row r="55" spans="1:11" ht="8.5" customHeight="1">
      <c r="A55" s="339"/>
      <c r="B55" s="339"/>
      <c r="G55" s="333"/>
      <c r="J55" s="339"/>
      <c r="K55" s="339"/>
    </row>
    <row r="56" spans="1:11" ht="25" customHeight="1">
      <c r="A56" s="339"/>
      <c r="B56" s="339"/>
      <c r="C56" s="794" t="s">
        <v>127</v>
      </c>
      <c r="D56" s="794"/>
      <c r="E56" s="794"/>
      <c r="F56" s="794"/>
      <c r="G56" s="794"/>
      <c r="H56" s="794"/>
      <c r="I56" s="794"/>
      <c r="J56" s="339"/>
      <c r="K56" s="339"/>
    </row>
    <row r="57" spans="1:11" ht="20.25" customHeight="1">
      <c r="A57" s="339"/>
      <c r="B57" s="339"/>
      <c r="C57" s="711"/>
      <c r="D57" s="792" t="s">
        <v>128</v>
      </c>
      <c r="E57" s="792"/>
      <c r="F57" s="792"/>
      <c r="G57" s="792"/>
      <c r="H57" s="792"/>
      <c r="I57" s="711"/>
      <c r="J57" s="339"/>
      <c r="K57" s="339"/>
    </row>
    <row r="58" spans="1:11" ht="20.25" customHeight="1">
      <c r="A58" s="339"/>
      <c r="B58" s="339"/>
      <c r="C58" s="711"/>
      <c r="D58" s="792" t="s">
        <v>129</v>
      </c>
      <c r="E58" s="792"/>
      <c r="F58" s="792"/>
      <c r="G58" s="792"/>
      <c r="H58" s="792"/>
      <c r="I58" s="711"/>
      <c r="J58" s="339"/>
      <c r="K58" s="339"/>
    </row>
    <row r="59" spans="1:11" ht="30.75" customHeight="1">
      <c r="A59" s="339"/>
      <c r="B59" s="339"/>
      <c r="C59" s="711"/>
      <c r="D59" s="792" t="s">
        <v>130</v>
      </c>
      <c r="E59" s="792"/>
      <c r="F59" s="792"/>
      <c r="G59" s="792"/>
      <c r="H59" s="792"/>
      <c r="I59" s="711"/>
      <c r="J59" s="339"/>
      <c r="K59" s="339"/>
    </row>
    <row r="60" spans="1:11" ht="20.25" customHeight="1">
      <c r="A60" s="339"/>
      <c r="B60" s="339"/>
      <c r="C60" s="711"/>
      <c r="D60" s="792" t="s">
        <v>131</v>
      </c>
      <c r="E60" s="792"/>
      <c r="F60" s="792"/>
      <c r="G60" s="792"/>
      <c r="H60" s="792"/>
      <c r="I60" s="711"/>
      <c r="J60" s="339"/>
      <c r="K60" s="339"/>
    </row>
    <row r="61" spans="1:11" ht="20.25" customHeight="1">
      <c r="A61" s="339"/>
      <c r="B61" s="339"/>
      <c r="C61" s="711"/>
      <c r="D61" s="792" t="s">
        <v>132</v>
      </c>
      <c r="E61" s="792"/>
      <c r="F61" s="792"/>
      <c r="G61" s="792"/>
      <c r="H61" s="792"/>
      <c r="I61" s="711"/>
      <c r="J61" s="339"/>
      <c r="K61" s="339"/>
    </row>
    <row r="62" spans="1:11" ht="53.25" customHeight="1">
      <c r="A62" s="339"/>
      <c r="B62" s="339"/>
      <c r="C62" s="711"/>
      <c r="D62" s="792" t="s">
        <v>133</v>
      </c>
      <c r="E62" s="792"/>
      <c r="F62" s="792"/>
      <c r="G62" s="792"/>
      <c r="H62" s="792"/>
      <c r="I62" s="711"/>
      <c r="J62" s="339"/>
      <c r="K62" s="339"/>
    </row>
    <row r="63" spans="1:11" ht="42" customHeight="1">
      <c r="A63" s="339"/>
      <c r="B63" s="339"/>
      <c r="C63" s="711"/>
      <c r="D63" s="792" t="s">
        <v>134</v>
      </c>
      <c r="E63" s="792"/>
      <c r="F63" s="792"/>
      <c r="G63" s="792"/>
      <c r="H63" s="792"/>
      <c r="I63" s="711"/>
      <c r="J63" s="339"/>
      <c r="K63" s="339"/>
    </row>
    <row r="64" spans="1:11" ht="58" customHeight="1">
      <c r="A64" s="339"/>
      <c r="B64" s="339"/>
      <c r="C64" s="711"/>
      <c r="D64" s="792" t="s">
        <v>135</v>
      </c>
      <c r="E64" s="792"/>
      <c r="F64" s="792"/>
      <c r="G64" s="792"/>
      <c r="H64" s="792"/>
      <c r="I64" s="711"/>
      <c r="J64" s="339"/>
      <c r="K64" s="339"/>
    </row>
    <row r="65" spans="1:11" ht="66.75" customHeight="1">
      <c r="A65" s="339"/>
      <c r="B65" s="339"/>
      <c r="C65" s="711"/>
      <c r="D65" s="792" t="s">
        <v>136</v>
      </c>
      <c r="E65" s="792"/>
      <c r="F65" s="792"/>
      <c r="G65" s="792"/>
      <c r="H65" s="792"/>
      <c r="I65" s="711"/>
      <c r="J65" s="339"/>
      <c r="K65" s="339"/>
    </row>
    <row r="66" spans="1:11" ht="38.25" customHeight="1">
      <c r="A66" s="339"/>
      <c r="B66" s="339"/>
      <c r="C66" s="711"/>
      <c r="D66" s="793" t="s">
        <v>137</v>
      </c>
      <c r="E66" s="793"/>
      <c r="F66" s="793"/>
      <c r="G66" s="793"/>
      <c r="H66" s="793"/>
      <c r="I66" s="711"/>
      <c r="J66" s="339"/>
      <c r="K66" s="339"/>
    </row>
    <row r="67" spans="1:11">
      <c r="A67" s="339"/>
      <c r="B67" s="339"/>
      <c r="C67" s="339"/>
      <c r="D67" s="339"/>
      <c r="E67" s="339"/>
      <c r="F67" s="339"/>
      <c r="G67" s="342"/>
      <c r="H67" s="339"/>
      <c r="I67" s="339"/>
      <c r="J67" s="339"/>
      <c r="K67" s="339"/>
    </row>
  </sheetData>
  <sheetProtection algorithmName="SHA-512" hashValue="P+J2MWtlyJ22lUnQnv/OQIgQ4jJODJRo6ZV4fUuVoVEJ3nndS5m+DqVbeigvJI2FlUSIPWvkrdzGH4Cd53PIuw==" saltValue="y7M/zMoLo8toUHezMomzlQ==" spinCount="100000" sheet="1" objects="1" scenarios="1"/>
  <mergeCells count="51">
    <mergeCell ref="E2:G2"/>
    <mergeCell ref="E3:G3"/>
    <mergeCell ref="H34:H37"/>
    <mergeCell ref="F33:H33"/>
    <mergeCell ref="F26:H26"/>
    <mergeCell ref="F27:H27"/>
    <mergeCell ref="E20:H20"/>
    <mergeCell ref="D22:E28"/>
    <mergeCell ref="F22:H22"/>
    <mergeCell ref="F23:H23"/>
    <mergeCell ref="F24:H24"/>
    <mergeCell ref="F25:H25"/>
    <mergeCell ref="F28:H28"/>
    <mergeCell ref="C14:I14"/>
    <mergeCell ref="E16:H17"/>
    <mergeCell ref="E18:H19"/>
    <mergeCell ref="D4:I4"/>
    <mergeCell ref="H3:J3"/>
    <mergeCell ref="B6:J6"/>
    <mergeCell ref="D8:H8"/>
    <mergeCell ref="D10:H10"/>
    <mergeCell ref="B12:J12"/>
    <mergeCell ref="C43:I43"/>
    <mergeCell ref="D30:E30"/>
    <mergeCell ref="F30:H30"/>
    <mergeCell ref="F34:G34"/>
    <mergeCell ref="F35:G35"/>
    <mergeCell ref="F36:G36"/>
    <mergeCell ref="F37:G37"/>
    <mergeCell ref="F38:G38"/>
    <mergeCell ref="F39:H39"/>
    <mergeCell ref="F40:G40"/>
    <mergeCell ref="F41:H41"/>
    <mergeCell ref="D33:E41"/>
    <mergeCell ref="D45:H45"/>
    <mergeCell ref="C47:I47"/>
    <mergeCell ref="D57:H57"/>
    <mergeCell ref="D58:H58"/>
    <mergeCell ref="D59:H59"/>
    <mergeCell ref="D50:H50"/>
    <mergeCell ref="D49:H49"/>
    <mergeCell ref="D65:H65"/>
    <mergeCell ref="D66:H66"/>
    <mergeCell ref="C56:I56"/>
    <mergeCell ref="C52:I52"/>
    <mergeCell ref="D54:H54"/>
    <mergeCell ref="D60:H60"/>
    <mergeCell ref="D61:H61"/>
    <mergeCell ref="D62:H62"/>
    <mergeCell ref="D63:H63"/>
    <mergeCell ref="D64:H64"/>
  </mergeCells>
  <hyperlinks>
    <hyperlink ref="F41" r:id="rId1" display="http://immunizationeconomics.org/ican-idcc" xr:uid="{00044965-7ECE-4A1F-8255-E247BEA1B12C}"/>
    <hyperlink ref="F37" r:id="rId2" display="Supplies costs: UNICEF website – price data" xr:uid="{8CD90666-7B13-4E33-9CC4-15080D2AE0B4}"/>
    <hyperlink ref="F35" r:id="rId3" display="https://www.gavi.org/our-alliance/market-shaping/product-information-vaccines-cold-chain-equipment" xr:uid="{F0D991D6-1576-4DF0-AACD-26FF3E42A05B}"/>
    <hyperlink ref="F36" r:id="rId4" display="Handling fees: UNICEF website – price data" xr:uid="{E19E51EC-28FD-6743-BB45-428AFE5BB048}"/>
  </hyperlinks>
  <pageMargins left="0.7" right="0.7" top="0.75" bottom="0.75" header="0.3" footer="0.3"/>
  <pageSetup scale="62" orientation="portrait" r:id="rId5"/>
  <rowBreaks count="3" manualBreakCount="3">
    <brk id="11" max="16383" man="1"/>
    <brk id="32" max="16383" man="1"/>
    <brk id="46" max="16383"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sheetPr>
  <dimension ref="A1:MN248"/>
  <sheetViews>
    <sheetView showGridLines="0" zoomScaleNormal="100" workbookViewId="0"/>
  </sheetViews>
  <sheetFormatPr defaultColWidth="8.81640625" defaultRowHeight="15.5" outlineLevelRow="2" outlineLevelCol="1"/>
  <cols>
    <col min="1" max="1" width="1.453125" style="410" customWidth="1"/>
    <col min="2" max="3" width="4.453125" style="411" customWidth="1"/>
    <col min="4" max="4" width="56" style="410" customWidth="1"/>
    <col min="5" max="5" width="17" style="410" customWidth="1"/>
    <col min="6" max="7" width="15" style="410" hidden="1" customWidth="1" outlineLevel="1"/>
    <col min="8" max="8" width="17" style="410" customWidth="1" collapsed="1"/>
    <col min="9" max="10" width="15" style="410" hidden="1" customWidth="1" outlineLevel="1"/>
    <col min="11" max="11" width="15" style="410" customWidth="1" collapsed="1"/>
    <col min="12" max="12" width="15" style="410" customWidth="1"/>
    <col min="13" max="13" width="18.453125" style="410" customWidth="1"/>
    <col min="14" max="14" width="38.26953125" style="410" customWidth="1"/>
    <col min="15" max="15" width="4.453125" style="410" customWidth="1"/>
    <col min="16" max="16" width="4.453125" style="411" customWidth="1"/>
    <col min="17" max="17" width="46.81640625" style="411" customWidth="1"/>
    <col min="18" max="18" width="25.453125" style="411" customWidth="1"/>
    <col min="19" max="19" width="4.81640625" style="411" customWidth="1"/>
    <col min="20" max="20" width="17.453125" style="410" customWidth="1"/>
    <col min="21" max="21" width="1.1796875" style="410" customWidth="1"/>
    <col min="22" max="22" width="17.453125" style="410" customWidth="1"/>
    <col min="23" max="23" width="59.1796875" style="410" customWidth="1"/>
    <col min="24" max="24" width="5.1796875" style="410" customWidth="1"/>
    <col min="25" max="25" width="25.453125" style="410" customWidth="1"/>
    <col min="26" max="26" width="19.1796875" style="410" customWidth="1"/>
    <col min="27" max="27" width="24.81640625" style="410" customWidth="1"/>
    <col min="28" max="28" width="19.1796875" style="410" customWidth="1"/>
    <col min="29" max="29" width="25" style="410" customWidth="1"/>
    <col min="30" max="30" width="19.453125" style="410" customWidth="1"/>
    <col min="31" max="31" width="15.81640625" style="410" customWidth="1"/>
    <col min="32" max="32" width="37" style="410" customWidth="1"/>
    <col min="33" max="33" width="8.81640625" style="410" customWidth="1"/>
    <col min="34" max="34" width="22.81640625" style="410" customWidth="1"/>
    <col min="35" max="35" width="15.81640625" style="410" customWidth="1"/>
    <col min="36" max="36" width="37" style="410" customWidth="1"/>
    <col min="37" max="37" width="2.81640625" style="410" customWidth="1"/>
    <col min="38" max="16384" width="8.81640625" style="410"/>
  </cols>
  <sheetData>
    <row r="1" spans="2:21" ht="8.25" customHeight="1">
      <c r="B1" s="548"/>
      <c r="C1" s="548"/>
      <c r="D1" s="548"/>
      <c r="E1" s="548"/>
      <c r="F1" s="548"/>
      <c r="G1" s="548"/>
      <c r="H1" s="548"/>
      <c r="I1" s="548"/>
      <c r="J1" s="548"/>
      <c r="K1" s="548"/>
      <c r="L1" s="548"/>
      <c r="M1" s="548"/>
      <c r="N1" s="548"/>
      <c r="O1" s="548"/>
      <c r="P1" s="548"/>
    </row>
    <row r="2" spans="2:21" ht="19" customHeight="1">
      <c r="B2" s="962" t="s">
        <v>138</v>
      </c>
      <c r="C2" s="962"/>
      <c r="D2" s="962"/>
      <c r="E2" s="962"/>
      <c r="F2" s="962"/>
      <c r="G2" s="962"/>
      <c r="H2" s="962"/>
      <c r="I2" s="962"/>
      <c r="J2" s="962"/>
      <c r="K2" s="962"/>
      <c r="L2" s="962"/>
      <c r="M2" s="962"/>
      <c r="N2" s="962"/>
      <c r="O2" s="962"/>
      <c r="P2" s="962"/>
    </row>
    <row r="3" spans="2:21" ht="14.25" customHeight="1">
      <c r="B3" s="427"/>
      <c r="C3" s="427"/>
      <c r="D3" s="428"/>
      <c r="E3" s="428"/>
      <c r="F3" s="427"/>
      <c r="G3" s="428"/>
      <c r="H3" s="428"/>
      <c r="I3" s="427"/>
      <c r="J3" s="427"/>
      <c r="K3" s="428"/>
      <c r="L3" s="427"/>
      <c r="M3" s="427"/>
      <c r="N3" s="427"/>
      <c r="O3" s="427"/>
      <c r="P3" s="427"/>
      <c r="Q3" s="412"/>
      <c r="S3" s="413"/>
      <c r="U3" s="414"/>
    </row>
    <row r="4" spans="2:21" ht="60" customHeight="1">
      <c r="B4" s="427"/>
      <c r="C4" s="1036" t="s">
        <v>139</v>
      </c>
      <c r="D4" s="1036"/>
      <c r="E4" s="1036"/>
      <c r="F4" s="1036"/>
      <c r="G4" s="1036"/>
      <c r="H4" s="1036"/>
      <c r="I4" s="1036"/>
      <c r="J4" s="1036"/>
      <c r="K4" s="1036"/>
      <c r="L4" s="1036"/>
      <c r="M4" s="1036"/>
      <c r="N4" s="1036"/>
      <c r="O4" s="1036"/>
      <c r="P4" s="427"/>
      <c r="R4" s="416"/>
      <c r="S4" s="416"/>
      <c r="T4" s="417"/>
    </row>
    <row r="5" spans="2:21" ht="26.25" hidden="1" customHeight="1">
      <c r="D5" s="409"/>
      <c r="E5" s="409"/>
      <c r="F5" s="409"/>
      <c r="G5" s="409"/>
      <c r="H5" s="409"/>
      <c r="I5" s="409"/>
      <c r="J5" s="409"/>
      <c r="K5" s="999"/>
      <c r="L5" s="999"/>
      <c r="M5" s="409"/>
      <c r="N5" s="409"/>
      <c r="R5" s="416"/>
      <c r="S5" s="416"/>
      <c r="T5" s="417"/>
    </row>
    <row r="6" spans="2:21" ht="14.25" hidden="1" customHeight="1">
      <c r="D6" s="409"/>
      <c r="E6" s="409"/>
      <c r="F6" s="409"/>
      <c r="G6" s="409"/>
      <c r="H6" s="409"/>
      <c r="I6" s="409"/>
      <c r="J6" s="409"/>
      <c r="K6" s="999"/>
      <c r="L6" s="999"/>
      <c r="M6" s="409"/>
      <c r="N6" s="409"/>
      <c r="R6" s="416"/>
      <c r="S6" s="416"/>
      <c r="T6" s="417"/>
    </row>
    <row r="7" spans="2:21" ht="14.25" hidden="1" customHeight="1">
      <c r="D7" s="409"/>
      <c r="E7" s="409"/>
      <c r="F7" s="409"/>
      <c r="G7" s="409"/>
      <c r="H7" s="409"/>
      <c r="I7" s="409"/>
      <c r="J7" s="409"/>
      <c r="K7" s="409"/>
      <c r="L7" s="409"/>
      <c r="M7" s="418"/>
      <c r="N7" s="409"/>
      <c r="Q7" s="419"/>
      <c r="R7" s="416"/>
      <c r="S7" s="416"/>
      <c r="T7" s="417"/>
    </row>
    <row r="8" spans="2:21" ht="20.25" hidden="1" customHeight="1">
      <c r="D8" s="1000" t="s">
        <v>2</v>
      </c>
      <c r="E8" s="1001"/>
      <c r="F8" s="1001"/>
      <c r="G8" s="1001"/>
      <c r="H8" s="1001"/>
      <c r="I8" s="1001"/>
      <c r="J8" s="1001"/>
      <c r="K8" s="1001"/>
      <c r="L8" s="1001"/>
      <c r="M8" s="1001"/>
      <c r="N8" s="1002"/>
      <c r="P8" s="354"/>
      <c r="Q8" s="354"/>
      <c r="R8" s="354"/>
      <c r="S8" s="354"/>
      <c r="T8" s="417"/>
    </row>
    <row r="9" spans="2:21" ht="20.25" hidden="1" customHeight="1">
      <c r="D9" s="1003"/>
      <c r="E9" s="1004"/>
      <c r="F9" s="1004"/>
      <c r="G9" s="1004"/>
      <c r="H9" s="1004"/>
      <c r="I9" s="1004"/>
      <c r="J9" s="1004"/>
      <c r="K9" s="1004"/>
      <c r="L9" s="1004"/>
      <c r="M9" s="1004"/>
      <c r="N9" s="1005"/>
      <c r="P9" s="354"/>
      <c r="Q9" s="354"/>
      <c r="R9" s="354"/>
      <c r="S9" s="354"/>
      <c r="T9" s="417"/>
    </row>
    <row r="10" spans="2:21" ht="20.25" hidden="1" customHeight="1">
      <c r="D10" s="1003"/>
      <c r="E10" s="1004"/>
      <c r="F10" s="1004"/>
      <c r="G10" s="1004"/>
      <c r="H10" s="1004"/>
      <c r="I10" s="1004"/>
      <c r="J10" s="1004"/>
      <c r="K10" s="1004"/>
      <c r="L10" s="1004"/>
      <c r="M10" s="1004"/>
      <c r="N10" s="1005"/>
      <c r="P10" s="354"/>
      <c r="Q10" s="354"/>
      <c r="R10" s="354"/>
      <c r="S10" s="354"/>
      <c r="T10" s="417"/>
    </row>
    <row r="11" spans="2:21" ht="16" hidden="1" customHeight="1">
      <c r="D11" s="1006"/>
      <c r="E11" s="1007"/>
      <c r="F11" s="1007"/>
      <c r="G11" s="1007"/>
      <c r="H11" s="1007"/>
      <c r="I11" s="1007"/>
      <c r="J11" s="1007"/>
      <c r="K11" s="1007"/>
      <c r="L11" s="1007"/>
      <c r="M11" s="1007"/>
      <c r="N11" s="1008"/>
      <c r="P11" s="354"/>
      <c r="Q11" s="354"/>
      <c r="R11" s="354"/>
      <c r="S11" s="354"/>
      <c r="T11" s="417"/>
    </row>
    <row r="12" spans="2:21" ht="12" customHeight="1">
      <c r="B12" s="427"/>
      <c r="C12" s="427"/>
      <c r="D12" s="427"/>
      <c r="E12" s="427"/>
      <c r="F12" s="427"/>
      <c r="G12" s="427"/>
      <c r="H12" s="427"/>
      <c r="I12" s="427"/>
      <c r="J12" s="427"/>
      <c r="K12" s="428"/>
      <c r="L12" s="427"/>
      <c r="M12" s="427"/>
      <c r="N12" s="427"/>
      <c r="O12" s="427"/>
      <c r="P12" s="427"/>
      <c r="Q12" s="412"/>
      <c r="S12" s="413"/>
      <c r="U12" s="414"/>
    </row>
    <row r="13" spans="2:21" ht="52" customHeight="1">
      <c r="B13" s="427"/>
      <c r="C13" s="427"/>
      <c r="D13" s="1017" t="s">
        <v>140</v>
      </c>
      <c r="E13" s="1018"/>
      <c r="F13" s="427"/>
      <c r="G13" s="427"/>
      <c r="H13" s="427"/>
      <c r="I13" s="427"/>
      <c r="J13" s="427"/>
      <c r="K13" s="427"/>
      <c r="L13" s="427"/>
      <c r="M13" s="436"/>
      <c r="N13" s="427"/>
      <c r="O13" s="427"/>
      <c r="P13" s="427"/>
      <c r="Q13" s="412"/>
      <c r="R13" s="416"/>
      <c r="S13" s="416"/>
      <c r="T13" s="417"/>
    </row>
    <row r="14" spans="2:21" ht="12" customHeight="1">
      <c r="B14" s="427"/>
      <c r="C14" s="427"/>
      <c r="D14" s="427"/>
      <c r="E14" s="427"/>
      <c r="F14" s="427"/>
      <c r="G14" s="427"/>
      <c r="H14" s="427"/>
      <c r="I14" s="427"/>
      <c r="J14" s="427"/>
      <c r="K14" s="428"/>
      <c r="L14" s="427"/>
      <c r="M14" s="427"/>
      <c r="N14" s="427"/>
      <c r="O14" s="427"/>
      <c r="P14" s="427"/>
      <c r="Q14" s="412"/>
      <c r="S14" s="413"/>
      <c r="U14" s="414"/>
    </row>
    <row r="15" spans="2:21" ht="46" customHeight="1">
      <c r="B15" s="427"/>
      <c r="C15" s="427"/>
      <c r="D15" s="996" t="s">
        <v>141</v>
      </c>
      <c r="E15" s="996"/>
      <c r="F15" s="996"/>
      <c r="G15" s="996"/>
      <c r="H15" s="996"/>
      <c r="I15" s="996"/>
      <c r="J15" s="996"/>
      <c r="K15" s="996"/>
      <c r="L15" s="996"/>
      <c r="M15" s="996"/>
      <c r="N15" s="996"/>
      <c r="O15" s="429"/>
      <c r="P15" s="429"/>
      <c r="S15" s="732"/>
      <c r="T15" s="722"/>
      <c r="U15" s="420"/>
    </row>
    <row r="16" spans="2:21" ht="12" customHeight="1">
      <c r="B16" s="427"/>
      <c r="C16" s="427"/>
      <c r="D16" s="427"/>
      <c r="E16" s="427"/>
      <c r="F16" s="427"/>
      <c r="G16" s="427"/>
      <c r="H16" s="427"/>
      <c r="I16" s="427"/>
      <c r="J16" s="427"/>
      <c r="K16" s="428"/>
      <c r="L16" s="427"/>
      <c r="M16" s="427"/>
      <c r="N16" s="427"/>
      <c r="O16" s="427"/>
      <c r="P16" s="427"/>
      <c r="Q16" s="412"/>
      <c r="S16" s="413"/>
      <c r="U16" s="414"/>
    </row>
    <row r="17" spans="2:21" ht="69.75" customHeight="1">
      <c r="B17" s="427"/>
      <c r="C17" s="427"/>
      <c r="D17" s="715" t="s">
        <v>142</v>
      </c>
      <c r="E17" s="456" t="s">
        <v>143</v>
      </c>
      <c r="F17" s="427"/>
      <c r="G17" s="427"/>
      <c r="H17" s="439"/>
      <c r="I17" s="439"/>
      <c r="J17" s="439"/>
      <c r="K17" s="439"/>
      <c r="L17" s="439"/>
      <c r="M17" s="439"/>
      <c r="N17" s="439"/>
      <c r="O17" s="427"/>
      <c r="P17" s="427"/>
      <c r="Q17" s="412"/>
      <c r="S17" s="413"/>
      <c r="U17" s="414"/>
    </row>
    <row r="18" spans="2:21" ht="33.75" customHeight="1">
      <c r="B18" s="427"/>
      <c r="C18" s="427"/>
      <c r="D18" s="454" t="s">
        <v>144</v>
      </c>
      <c r="E18" s="452" t="s">
        <v>145</v>
      </c>
      <c r="F18" s="427"/>
      <c r="G18" s="427"/>
      <c r="H18" s="439"/>
      <c r="I18" s="439"/>
      <c r="J18" s="439"/>
      <c r="K18" s="439"/>
      <c r="L18" s="439"/>
      <c r="M18" s="439"/>
      <c r="N18" s="439"/>
      <c r="O18" s="427"/>
      <c r="P18" s="427"/>
      <c r="Q18" s="412"/>
      <c r="S18" s="413"/>
      <c r="U18" s="414"/>
    </row>
    <row r="19" spans="2:21" ht="7.5" customHeight="1">
      <c r="B19" s="427"/>
      <c r="C19" s="427"/>
      <c r="D19" s="454"/>
      <c r="E19" s="457"/>
      <c r="F19" s="427"/>
      <c r="G19" s="427"/>
      <c r="H19" s="439"/>
      <c r="I19" s="439"/>
      <c r="J19" s="439"/>
      <c r="K19" s="439"/>
      <c r="L19" s="439"/>
      <c r="M19" s="439"/>
      <c r="N19" s="439"/>
      <c r="O19" s="427"/>
      <c r="P19" s="427"/>
      <c r="Q19" s="412"/>
      <c r="S19" s="413"/>
      <c r="U19" s="414"/>
    </row>
    <row r="20" spans="2:21" ht="33.75" customHeight="1">
      <c r="B20" s="427"/>
      <c r="C20" s="427"/>
      <c r="D20" s="454" t="s">
        <v>146</v>
      </c>
      <c r="E20" s="452" t="s">
        <v>145</v>
      </c>
      <c r="F20" s="427"/>
      <c r="G20" s="427"/>
      <c r="H20" s="439"/>
      <c r="I20" s="439"/>
      <c r="J20" s="439"/>
      <c r="K20" s="439"/>
      <c r="L20" s="439"/>
      <c r="M20" s="439"/>
      <c r="N20" s="439"/>
      <c r="O20" s="427"/>
      <c r="P20" s="427"/>
      <c r="Q20" s="412"/>
      <c r="S20" s="413"/>
      <c r="U20" s="414"/>
    </row>
    <row r="21" spans="2:21" ht="7.5" customHeight="1">
      <c r="B21" s="427"/>
      <c r="C21" s="427"/>
      <c r="D21" s="454"/>
      <c r="E21" s="457"/>
      <c r="F21" s="427"/>
      <c r="G21" s="427"/>
      <c r="H21" s="439"/>
      <c r="I21" s="439"/>
      <c r="J21" s="439"/>
      <c r="K21" s="439"/>
      <c r="L21" s="439"/>
      <c r="M21" s="439"/>
      <c r="N21" s="439"/>
      <c r="O21" s="427"/>
      <c r="P21" s="427"/>
      <c r="Q21" s="412"/>
      <c r="S21" s="413"/>
      <c r="U21" s="414"/>
    </row>
    <row r="22" spans="2:21" ht="33.75" customHeight="1">
      <c r="B22" s="427"/>
      <c r="C22" s="427"/>
      <c r="D22" s="455" t="s">
        <v>147</v>
      </c>
      <c r="E22" s="453" t="s">
        <v>175</v>
      </c>
      <c r="F22" s="427"/>
      <c r="G22" s="427"/>
      <c r="H22" s="439"/>
      <c r="I22" s="439"/>
      <c r="J22" s="439"/>
      <c r="K22" s="439"/>
      <c r="L22" s="439"/>
      <c r="M22" s="439"/>
      <c r="N22" s="439"/>
      <c r="O22" s="427"/>
      <c r="P22" s="427"/>
      <c r="Q22" s="412"/>
      <c r="S22" s="413"/>
      <c r="U22" s="414"/>
    </row>
    <row r="23" spans="2:21" ht="43.5" customHeight="1">
      <c r="B23" s="427"/>
      <c r="C23" s="427"/>
      <c r="D23" s="427"/>
      <c r="E23" s="990" t="s">
        <v>148</v>
      </c>
      <c r="F23" s="991"/>
      <c r="G23" s="991"/>
      <c r="H23" s="990" t="s">
        <v>149</v>
      </c>
      <c r="I23" s="991"/>
      <c r="J23" s="991"/>
      <c r="K23" s="990" t="s">
        <v>150</v>
      </c>
      <c r="L23" s="991"/>
      <c r="M23" s="980"/>
      <c r="N23" s="980"/>
      <c r="O23" s="427"/>
      <c r="P23" s="427"/>
      <c r="Q23" s="412"/>
      <c r="S23" s="413"/>
      <c r="U23" s="414"/>
    </row>
    <row r="24" spans="2:21" ht="119.5" customHeight="1">
      <c r="B24" s="427"/>
      <c r="C24" s="427"/>
      <c r="D24" s="442" t="s">
        <v>151</v>
      </c>
      <c r="E24" s="1015" t="s">
        <v>152</v>
      </c>
      <c r="F24" s="1015"/>
      <c r="G24" s="1015"/>
      <c r="H24" s="1015" t="s">
        <v>153</v>
      </c>
      <c r="I24" s="1015"/>
      <c r="J24" s="1015"/>
      <c r="K24" s="1015" t="s">
        <v>154</v>
      </c>
      <c r="L24" s="1015"/>
      <c r="M24" s="1016" t="s">
        <v>155</v>
      </c>
      <c r="N24" s="1016"/>
      <c r="O24" s="430"/>
      <c r="P24" s="430"/>
      <c r="Q24" s="421"/>
      <c r="S24" s="732"/>
      <c r="T24" s="722"/>
    </row>
    <row r="25" spans="2:21" ht="12" customHeight="1">
      <c r="B25" s="427"/>
      <c r="C25" s="427"/>
      <c r="D25" s="427"/>
      <c r="E25" s="427"/>
      <c r="F25" s="427"/>
      <c r="G25" s="427"/>
      <c r="H25" s="427"/>
      <c r="I25" s="427"/>
      <c r="J25" s="427"/>
      <c r="K25" s="439"/>
      <c r="L25" s="427"/>
      <c r="M25" s="427"/>
      <c r="N25" s="427"/>
      <c r="O25" s="427"/>
      <c r="P25" s="427"/>
      <c r="Q25" s="412"/>
      <c r="S25" s="413"/>
      <c r="U25" s="414"/>
    </row>
    <row r="26" spans="2:21" ht="44.5" customHeight="1">
      <c r="B26" s="427"/>
      <c r="C26" s="427"/>
      <c r="D26" s="729" t="s">
        <v>156</v>
      </c>
      <c r="E26" s="1019">
        <v>2025</v>
      </c>
      <c r="F26" s="1019"/>
      <c r="G26" s="1019"/>
      <c r="H26" s="1019"/>
      <c r="I26" s="1019"/>
      <c r="J26" s="1019"/>
      <c r="K26" s="1019"/>
      <c r="L26" s="1019"/>
      <c r="M26" s="972" t="s">
        <v>157</v>
      </c>
      <c r="N26" s="972"/>
      <c r="O26" s="718"/>
      <c r="P26" s="718"/>
      <c r="S26" s="731"/>
      <c r="U26" s="356"/>
    </row>
    <row r="27" spans="2:21" ht="12" customHeight="1">
      <c r="B27" s="427"/>
      <c r="C27" s="427"/>
      <c r="D27" s="427"/>
      <c r="E27" s="427"/>
      <c r="F27" s="427"/>
      <c r="G27" s="427"/>
      <c r="H27" s="427"/>
      <c r="I27" s="427"/>
      <c r="J27" s="427"/>
      <c r="K27" s="439"/>
      <c r="L27" s="427"/>
      <c r="M27" s="438"/>
      <c r="N27" s="438"/>
      <c r="O27" s="427"/>
      <c r="P27" s="427"/>
      <c r="Q27" s="412"/>
      <c r="S27" s="413"/>
      <c r="U27" s="414"/>
    </row>
    <row r="28" spans="2:21" ht="12" hidden="1" customHeight="1" thickBot="1">
      <c r="B28" s="427"/>
      <c r="C28" s="427"/>
      <c r="D28" s="409"/>
      <c r="E28" s="409"/>
      <c r="F28" s="409"/>
      <c r="G28" s="409"/>
      <c r="H28" s="409"/>
      <c r="I28" s="409"/>
      <c r="J28" s="409"/>
      <c r="K28" s="440"/>
      <c r="L28" s="409"/>
      <c r="M28" s="424"/>
      <c r="N28" s="424"/>
      <c r="O28" s="427"/>
      <c r="P28" s="427"/>
      <c r="Q28" s="412"/>
      <c r="S28" s="413"/>
      <c r="U28" s="414"/>
    </row>
    <row r="29" spans="2:21" ht="53.25" customHeight="1">
      <c r="B29" s="427"/>
      <c r="C29" s="427"/>
      <c r="D29" s="977" t="s">
        <v>158</v>
      </c>
      <c r="E29" s="1020" t="s">
        <v>159</v>
      </c>
      <c r="F29" s="1021"/>
      <c r="G29" s="1021"/>
      <c r="H29" s="1021" t="s">
        <v>160</v>
      </c>
      <c r="I29" s="1021"/>
      <c r="J29" s="1021"/>
      <c r="K29" s="719" t="s">
        <v>161</v>
      </c>
      <c r="L29" s="720" t="s">
        <v>160</v>
      </c>
      <c r="M29" s="972" t="s">
        <v>162</v>
      </c>
      <c r="N29" s="972"/>
      <c r="O29" s="718"/>
      <c r="P29" s="718"/>
      <c r="S29" s="357"/>
      <c r="U29" s="358"/>
    </row>
    <row r="30" spans="2:21" ht="59" customHeight="1">
      <c r="B30" s="427"/>
      <c r="C30" s="427"/>
      <c r="D30" s="977"/>
      <c r="E30" s="1029">
        <v>200000</v>
      </c>
      <c r="F30" s="1029"/>
      <c r="G30" s="1029"/>
      <c r="H30" s="1029">
        <v>180000</v>
      </c>
      <c r="I30" s="1029"/>
      <c r="J30" s="1029"/>
      <c r="K30" s="549">
        <v>200000</v>
      </c>
      <c r="L30" s="742">
        <f>K30-(K30*K37)</f>
        <v>100000</v>
      </c>
      <c r="M30" s="972"/>
      <c r="N30" s="972"/>
      <c r="O30" s="718"/>
      <c r="P30" s="718"/>
      <c r="S30" s="357"/>
      <c r="U30" s="358"/>
    </row>
    <row r="31" spans="2:21" ht="50.25" hidden="1" customHeight="1">
      <c r="B31" s="427"/>
      <c r="C31" s="427"/>
      <c r="D31" s="444" t="s">
        <v>21</v>
      </c>
      <c r="E31" s="445">
        <v>12</v>
      </c>
      <c r="F31" s="445"/>
      <c r="G31" s="445"/>
      <c r="H31" s="445">
        <v>6</v>
      </c>
      <c r="I31" s="445"/>
      <c r="J31" s="445"/>
      <c r="K31" s="443">
        <f>E31</f>
        <v>12</v>
      </c>
      <c r="L31" s="443">
        <f>H31</f>
        <v>6</v>
      </c>
      <c r="M31" s="972" t="s">
        <v>22</v>
      </c>
      <c r="N31" s="972"/>
      <c r="O31" s="718"/>
      <c r="P31" s="718"/>
      <c r="S31" s="357"/>
      <c r="U31" s="358"/>
    </row>
    <row r="32" spans="2:21" ht="50.25" hidden="1" customHeight="1" thickBot="1">
      <c r="B32" s="427"/>
      <c r="C32" s="427"/>
      <c r="D32" s="444" t="s">
        <v>23</v>
      </c>
      <c r="E32" s="446">
        <v>0.7</v>
      </c>
      <c r="F32" s="445"/>
      <c r="G32" s="445"/>
      <c r="H32" s="446">
        <v>1</v>
      </c>
      <c r="I32" s="445"/>
      <c r="J32" s="445"/>
      <c r="K32" s="447">
        <f>E32</f>
        <v>0.7</v>
      </c>
      <c r="L32" s="447">
        <f>H32</f>
        <v>1</v>
      </c>
      <c r="M32" s="972" t="s">
        <v>24</v>
      </c>
      <c r="N32" s="972"/>
      <c r="O32" s="718"/>
      <c r="P32" s="718"/>
      <c r="S32" s="357"/>
      <c r="U32" s="358"/>
    </row>
    <row r="33" spans="2:21" ht="45" hidden="1" customHeight="1">
      <c r="B33" s="427"/>
      <c r="C33" s="427"/>
      <c r="D33" s="715" t="s">
        <v>25</v>
      </c>
      <c r="E33" s="1022">
        <f>E30*(E31/12)*E32</f>
        <v>140000</v>
      </c>
      <c r="F33" s="1022"/>
      <c r="G33" s="1022"/>
      <c r="H33" s="1022">
        <f t="shared" ref="H33" si="0">H30*(H31/12)*H32</f>
        <v>90000</v>
      </c>
      <c r="I33" s="1022"/>
      <c r="J33" s="1022"/>
      <c r="K33" s="448">
        <f>K30*(K31/12)*K32</f>
        <v>140000</v>
      </c>
      <c r="L33" s="448">
        <f>L30*(L31/12)*L32</f>
        <v>50000</v>
      </c>
      <c r="M33" s="714"/>
      <c r="N33" s="714"/>
      <c r="O33" s="718"/>
      <c r="P33" s="718"/>
      <c r="S33" s="359"/>
      <c r="U33" s="360"/>
    </row>
    <row r="34" spans="2:21" ht="44.5" customHeight="1">
      <c r="B34" s="427"/>
      <c r="C34" s="427"/>
      <c r="D34" s="715" t="s">
        <v>163</v>
      </c>
      <c r="E34" s="1030">
        <v>0.03</v>
      </c>
      <c r="F34" s="1030"/>
      <c r="G34" s="1030"/>
      <c r="H34" s="1030">
        <v>0.03</v>
      </c>
      <c r="I34" s="1030"/>
      <c r="J34" s="1030"/>
      <c r="K34" s="725">
        <v>0.03</v>
      </c>
      <c r="L34" s="725">
        <v>0.03</v>
      </c>
      <c r="M34" s="972" t="s">
        <v>27</v>
      </c>
      <c r="N34" s="972"/>
      <c r="O34" s="718"/>
      <c r="P34" s="718"/>
      <c r="S34" s="359"/>
      <c r="U34" s="360"/>
    </row>
    <row r="35" spans="2:21" ht="12" customHeight="1">
      <c r="B35" s="427"/>
      <c r="C35" s="427"/>
      <c r="D35" s="427"/>
      <c r="E35" s="427"/>
      <c r="F35" s="427"/>
      <c r="G35" s="427"/>
      <c r="H35" s="427"/>
      <c r="I35" s="427"/>
      <c r="J35" s="427"/>
      <c r="K35" s="439"/>
      <c r="L35" s="427"/>
      <c r="M35" s="438"/>
      <c r="N35" s="438"/>
      <c r="O35" s="427"/>
      <c r="P35" s="427"/>
      <c r="Q35" s="412"/>
      <c r="S35" s="413"/>
      <c r="U35" s="414"/>
    </row>
    <row r="36" spans="2:21" ht="25.5" customHeight="1">
      <c r="B36" s="427"/>
      <c r="C36" s="427"/>
      <c r="D36" s="1037" t="s">
        <v>164</v>
      </c>
      <c r="E36" s="1038"/>
      <c r="F36" s="1038"/>
      <c r="G36" s="1038"/>
      <c r="H36" s="1038"/>
      <c r="I36" s="1038"/>
      <c r="J36" s="1038"/>
      <c r="K36" s="1038"/>
      <c r="L36" s="1039"/>
      <c r="M36" s="972" t="s">
        <v>165</v>
      </c>
      <c r="N36" s="972"/>
      <c r="O36" s="718"/>
      <c r="P36" s="718"/>
      <c r="S36" s="359"/>
      <c r="U36" s="360"/>
    </row>
    <row r="37" spans="2:21" ht="49.5" customHeight="1">
      <c r="B37" s="427"/>
      <c r="C37" s="427"/>
      <c r="D37" s="724">
        <f>$E$26</f>
        <v>2025</v>
      </c>
      <c r="E37" s="992">
        <v>0.6</v>
      </c>
      <c r="F37" s="992"/>
      <c r="G37" s="992"/>
      <c r="H37" s="992">
        <v>0.8</v>
      </c>
      <c r="I37" s="992"/>
      <c r="J37" s="992"/>
      <c r="K37" s="717">
        <v>0.5</v>
      </c>
      <c r="L37" s="717">
        <v>0.9</v>
      </c>
      <c r="M37" s="972" t="s">
        <v>166</v>
      </c>
      <c r="N37" s="972"/>
      <c r="O37" s="431"/>
      <c r="P37" s="432"/>
      <c r="S37" s="359"/>
      <c r="U37" s="360"/>
    </row>
    <row r="38" spans="2:21" ht="53.5" customHeight="1">
      <c r="B38" s="427"/>
      <c r="C38" s="427"/>
      <c r="D38" s="715">
        <f>$E$26+1</f>
        <v>2026</v>
      </c>
      <c r="E38" s="992">
        <v>0.7</v>
      </c>
      <c r="F38" s="992"/>
      <c r="G38" s="992"/>
      <c r="H38" s="992">
        <v>0.8</v>
      </c>
      <c r="I38" s="992"/>
      <c r="J38" s="992"/>
      <c r="K38" s="717">
        <v>0.6</v>
      </c>
      <c r="L38" s="717">
        <v>0.9</v>
      </c>
      <c r="M38" s="972"/>
      <c r="N38" s="972"/>
      <c r="O38" s="431"/>
      <c r="P38" s="433"/>
      <c r="S38" s="359"/>
      <c r="U38" s="360"/>
    </row>
    <row r="39" spans="2:21" ht="58" customHeight="1">
      <c r="B39" s="427"/>
      <c r="C39" s="427"/>
      <c r="D39" s="715">
        <f>$E$26+2</f>
        <v>2027</v>
      </c>
      <c r="E39" s="992">
        <v>0.7</v>
      </c>
      <c r="F39" s="992"/>
      <c r="G39" s="992"/>
      <c r="H39" s="992">
        <v>0.8</v>
      </c>
      <c r="I39" s="992"/>
      <c r="J39" s="992"/>
      <c r="K39" s="717">
        <v>0.7</v>
      </c>
      <c r="L39" s="717">
        <v>0.9</v>
      </c>
      <c r="M39" s="972"/>
      <c r="N39" s="972"/>
      <c r="O39" s="431"/>
      <c r="P39" s="431"/>
      <c r="S39" s="359"/>
      <c r="U39" s="360"/>
    </row>
    <row r="40" spans="2:21" ht="65" customHeight="1">
      <c r="B40" s="427"/>
      <c r="C40" s="427"/>
      <c r="D40" s="715">
        <f>$E$26+3</f>
        <v>2028</v>
      </c>
      <c r="E40" s="992">
        <v>0.8</v>
      </c>
      <c r="F40" s="992"/>
      <c r="G40" s="992"/>
      <c r="H40" s="992">
        <v>0.8</v>
      </c>
      <c r="I40" s="992"/>
      <c r="J40" s="992"/>
      <c r="K40" s="717">
        <v>0.8</v>
      </c>
      <c r="L40" s="717">
        <v>0.9</v>
      </c>
      <c r="M40" s="972"/>
      <c r="N40" s="972"/>
      <c r="O40" s="431"/>
      <c r="P40" s="431"/>
      <c r="S40" s="359"/>
      <c r="U40" s="360"/>
    </row>
    <row r="41" spans="2:21" ht="55" customHeight="1">
      <c r="B41" s="427"/>
      <c r="C41" s="427"/>
      <c r="D41" s="715">
        <f>$E$26+4</f>
        <v>2029</v>
      </c>
      <c r="E41" s="992">
        <v>0.9</v>
      </c>
      <c r="F41" s="992"/>
      <c r="G41" s="992"/>
      <c r="H41" s="992">
        <v>0.9</v>
      </c>
      <c r="I41" s="992"/>
      <c r="J41" s="992"/>
      <c r="K41" s="717">
        <v>0.9</v>
      </c>
      <c r="L41" s="717">
        <v>0.9</v>
      </c>
      <c r="M41" s="972"/>
      <c r="N41" s="972"/>
      <c r="O41" s="431"/>
      <c r="P41" s="431"/>
      <c r="S41" s="359"/>
      <c r="U41" s="360"/>
    </row>
    <row r="42" spans="2:21" ht="36" hidden="1" customHeight="1" outlineLevel="2" thickBot="1">
      <c r="B42" s="427"/>
      <c r="C42" s="427"/>
      <c r="D42" s="449" t="s">
        <v>167</v>
      </c>
      <c r="E42" s="450"/>
      <c r="F42" s="450"/>
      <c r="G42" s="450"/>
      <c r="H42" s="450"/>
      <c r="I42" s="450"/>
      <c r="J42" s="450"/>
      <c r="K42" s="450"/>
      <c r="L42" s="451"/>
      <c r="M42" s="981" t="s">
        <v>168</v>
      </c>
      <c r="N42" s="982"/>
      <c r="O42" s="431"/>
      <c r="P42" s="431"/>
      <c r="S42" s="359"/>
      <c r="U42" s="360"/>
    </row>
    <row r="43" spans="2:21" ht="24" hidden="1" customHeight="1" outlineLevel="2">
      <c r="B43" s="427"/>
      <c r="C43" s="427"/>
      <c r="D43" s="364">
        <f>$E$26</f>
        <v>2025</v>
      </c>
      <c r="E43" s="983">
        <v>0.5</v>
      </c>
      <c r="F43" s="984"/>
      <c r="G43" s="984"/>
      <c r="H43" s="983">
        <v>0.5</v>
      </c>
      <c r="I43" s="984"/>
      <c r="J43" s="984"/>
      <c r="K43" s="365">
        <v>0.5</v>
      </c>
      <c r="L43" s="365">
        <v>0.5</v>
      </c>
      <c r="M43" s="985" t="s">
        <v>169</v>
      </c>
      <c r="N43" s="986"/>
      <c r="O43" s="431"/>
      <c r="P43" s="431"/>
      <c r="S43" s="359"/>
      <c r="U43" s="360"/>
    </row>
    <row r="44" spans="2:21" ht="24" hidden="1" customHeight="1" outlineLevel="2">
      <c r="B44" s="427"/>
      <c r="C44" s="427"/>
      <c r="D44" s="370">
        <f>$E$26+1</f>
        <v>2026</v>
      </c>
      <c r="E44" s="983">
        <v>0.6</v>
      </c>
      <c r="F44" s="984"/>
      <c r="G44" s="984"/>
      <c r="H44" s="983">
        <v>0.6</v>
      </c>
      <c r="I44" s="984"/>
      <c r="J44" s="984"/>
      <c r="K44" s="368">
        <v>0.6</v>
      </c>
      <c r="L44" s="368">
        <v>0.6</v>
      </c>
      <c r="M44" s="987"/>
      <c r="N44" s="988"/>
      <c r="O44" s="431"/>
      <c r="P44" s="431"/>
      <c r="S44" s="359"/>
      <c r="U44" s="360"/>
    </row>
    <row r="45" spans="2:21" ht="24" hidden="1" customHeight="1" outlineLevel="2">
      <c r="B45" s="427"/>
      <c r="C45" s="427"/>
      <c r="D45" s="370">
        <f>$E$26+2</f>
        <v>2027</v>
      </c>
      <c r="E45" s="983">
        <v>0.7</v>
      </c>
      <c r="F45" s="984"/>
      <c r="G45" s="984"/>
      <c r="H45" s="983">
        <v>0.7</v>
      </c>
      <c r="I45" s="984"/>
      <c r="J45" s="984"/>
      <c r="K45" s="368">
        <v>0.7</v>
      </c>
      <c r="L45" s="368">
        <v>0.7</v>
      </c>
      <c r="M45" s="987"/>
      <c r="N45" s="988"/>
      <c r="O45" s="431"/>
      <c r="P45" s="431"/>
      <c r="S45" s="359"/>
      <c r="U45" s="360"/>
    </row>
    <row r="46" spans="2:21" ht="24" hidden="1" customHeight="1" outlineLevel="2">
      <c r="B46" s="427"/>
      <c r="C46" s="427"/>
      <c r="D46" s="370">
        <f>$E$26+3</f>
        <v>2028</v>
      </c>
      <c r="E46" s="983">
        <v>0.8</v>
      </c>
      <c r="F46" s="984"/>
      <c r="G46" s="984"/>
      <c r="H46" s="983">
        <v>0.8</v>
      </c>
      <c r="I46" s="984"/>
      <c r="J46" s="984"/>
      <c r="K46" s="368">
        <v>0.8</v>
      </c>
      <c r="L46" s="368">
        <v>0.8</v>
      </c>
      <c r="M46" s="987"/>
      <c r="N46" s="988"/>
      <c r="O46" s="431"/>
      <c r="P46" s="431"/>
      <c r="S46" s="359"/>
      <c r="U46" s="360"/>
    </row>
    <row r="47" spans="2:21" ht="24" hidden="1" customHeight="1" outlineLevel="2" thickBot="1">
      <c r="B47" s="427"/>
      <c r="C47" s="427"/>
      <c r="D47" s="370">
        <f>$E$26+4</f>
        <v>2029</v>
      </c>
      <c r="E47" s="983">
        <v>0.9</v>
      </c>
      <c r="F47" s="984"/>
      <c r="G47" s="984"/>
      <c r="H47" s="983">
        <v>0.9</v>
      </c>
      <c r="I47" s="984"/>
      <c r="J47" s="984"/>
      <c r="K47" s="369">
        <v>0.9</v>
      </c>
      <c r="L47" s="369">
        <v>0.9</v>
      </c>
      <c r="M47" s="989"/>
      <c r="N47" s="982"/>
      <c r="O47" s="431"/>
      <c r="P47" s="431"/>
      <c r="S47" s="359"/>
      <c r="U47" s="360"/>
    </row>
    <row r="48" spans="2:21" ht="38.25" hidden="1" customHeight="1" outlineLevel="2" thickBot="1">
      <c r="B48" s="427"/>
      <c r="C48" s="427"/>
      <c r="D48" s="361" t="s">
        <v>170</v>
      </c>
      <c r="E48" s="362"/>
      <c r="F48" s="362"/>
      <c r="G48" s="362"/>
      <c r="H48" s="362"/>
      <c r="I48" s="362"/>
      <c r="J48" s="362"/>
      <c r="K48" s="362"/>
      <c r="L48" s="363"/>
      <c r="M48" s="1032" t="s">
        <v>171</v>
      </c>
      <c r="N48" s="1033"/>
      <c r="O48" s="431"/>
      <c r="P48" s="431"/>
      <c r="S48" s="359"/>
      <c r="U48" s="360"/>
    </row>
    <row r="49" spans="2:21" ht="24" hidden="1" customHeight="1" outlineLevel="2">
      <c r="B49" s="427"/>
      <c r="C49" s="427"/>
      <c r="D49" s="364">
        <f>$E$26</f>
        <v>2025</v>
      </c>
      <c r="E49" s="997">
        <v>0.9</v>
      </c>
      <c r="F49" s="998"/>
      <c r="G49" s="998"/>
      <c r="H49" s="997">
        <v>0.9</v>
      </c>
      <c r="I49" s="998"/>
      <c r="J49" s="998"/>
      <c r="K49" s="366">
        <v>0.9</v>
      </c>
      <c r="L49" s="366">
        <v>0.9</v>
      </c>
      <c r="M49" s="985" t="s">
        <v>172</v>
      </c>
      <c r="N49" s="986"/>
      <c r="O49" s="431"/>
      <c r="P49" s="431"/>
      <c r="S49" s="359"/>
      <c r="U49" s="360"/>
    </row>
    <row r="50" spans="2:21" ht="24" hidden="1" customHeight="1" outlineLevel="2">
      <c r="B50" s="427"/>
      <c r="C50" s="427"/>
      <c r="D50" s="370">
        <f>$E$26+1</f>
        <v>2026</v>
      </c>
      <c r="E50" s="983">
        <v>0.9</v>
      </c>
      <c r="F50" s="984"/>
      <c r="G50" s="984"/>
      <c r="H50" s="983">
        <v>0.9</v>
      </c>
      <c r="I50" s="984"/>
      <c r="J50" s="984"/>
      <c r="K50" s="368">
        <v>0.9</v>
      </c>
      <c r="L50" s="368">
        <v>0.9</v>
      </c>
      <c r="M50" s="987"/>
      <c r="N50" s="988"/>
      <c r="O50" s="431"/>
      <c r="P50" s="431"/>
      <c r="S50" s="359"/>
      <c r="U50" s="360"/>
    </row>
    <row r="51" spans="2:21" ht="24" hidden="1" customHeight="1" outlineLevel="2">
      <c r="B51" s="427"/>
      <c r="C51" s="427"/>
      <c r="D51" s="370">
        <f>$E$26+2</f>
        <v>2027</v>
      </c>
      <c r="E51" s="983">
        <v>0.9</v>
      </c>
      <c r="F51" s="984"/>
      <c r="G51" s="984"/>
      <c r="H51" s="983">
        <v>0.9</v>
      </c>
      <c r="I51" s="984"/>
      <c r="J51" s="984"/>
      <c r="K51" s="368">
        <v>0.9</v>
      </c>
      <c r="L51" s="368">
        <v>0.9</v>
      </c>
      <c r="M51" s="987"/>
      <c r="N51" s="988"/>
      <c r="O51" s="431"/>
      <c r="P51" s="431"/>
      <c r="S51" s="359"/>
      <c r="U51" s="360"/>
    </row>
    <row r="52" spans="2:21" ht="24" hidden="1" customHeight="1" outlineLevel="2">
      <c r="B52" s="427"/>
      <c r="C52" s="427"/>
      <c r="D52" s="370">
        <f>$E$26+3</f>
        <v>2028</v>
      </c>
      <c r="E52" s="983">
        <v>0.9</v>
      </c>
      <c r="F52" s="984"/>
      <c r="G52" s="984"/>
      <c r="H52" s="983">
        <v>0.9</v>
      </c>
      <c r="I52" s="984"/>
      <c r="J52" s="984"/>
      <c r="K52" s="368">
        <v>0.9</v>
      </c>
      <c r="L52" s="368">
        <v>0.9</v>
      </c>
      <c r="M52" s="987"/>
      <c r="N52" s="988"/>
      <c r="O52" s="431"/>
      <c r="P52" s="431"/>
      <c r="S52" s="359"/>
      <c r="U52" s="360"/>
    </row>
    <row r="53" spans="2:21" ht="24" hidden="1" customHeight="1" outlineLevel="2" thickBot="1">
      <c r="B53" s="427"/>
      <c r="C53" s="427"/>
      <c r="D53" s="370">
        <f>$E$26+4</f>
        <v>2029</v>
      </c>
      <c r="E53" s="1034">
        <v>0.9</v>
      </c>
      <c r="F53" s="1035"/>
      <c r="G53" s="1035"/>
      <c r="H53" s="1034">
        <v>0.9</v>
      </c>
      <c r="I53" s="1035"/>
      <c r="J53" s="1035"/>
      <c r="K53" s="369">
        <v>0.9</v>
      </c>
      <c r="L53" s="369">
        <v>0.9</v>
      </c>
      <c r="M53" s="989"/>
      <c r="N53" s="982"/>
      <c r="O53" s="431"/>
      <c r="P53" s="431"/>
      <c r="S53" s="359"/>
      <c r="U53" s="360"/>
    </row>
    <row r="54" spans="2:21" ht="30" customHeight="1" collapsed="1">
      <c r="B54" s="427"/>
      <c r="C54" s="427"/>
      <c r="D54" s="427"/>
      <c r="E54" s="427"/>
      <c r="F54" s="427"/>
      <c r="G54" s="427"/>
      <c r="H54" s="427"/>
      <c r="I54" s="427"/>
      <c r="J54" s="427"/>
      <c r="K54" s="428"/>
      <c r="L54" s="427"/>
      <c r="M54" s="427"/>
      <c r="N54" s="427"/>
      <c r="O54" s="427"/>
      <c r="P54" s="427"/>
      <c r="Q54" s="412"/>
      <c r="S54" s="413"/>
      <c r="U54" s="414"/>
    </row>
    <row r="55" spans="2:21" ht="46" customHeight="1">
      <c r="B55" s="427"/>
      <c r="C55" s="427"/>
      <c r="D55" s="996" t="s">
        <v>173</v>
      </c>
      <c r="E55" s="996"/>
      <c r="F55" s="996"/>
      <c r="G55" s="996"/>
      <c r="H55" s="996"/>
      <c r="I55" s="996"/>
      <c r="J55" s="996"/>
      <c r="K55" s="996"/>
      <c r="L55" s="996"/>
      <c r="M55" s="996"/>
      <c r="N55" s="996"/>
      <c r="O55" s="429"/>
      <c r="P55" s="429"/>
      <c r="Q55" s="412"/>
      <c r="S55" s="413"/>
      <c r="U55" s="414"/>
    </row>
    <row r="56" spans="2:21" ht="8.25" customHeight="1">
      <c r="B56" s="427"/>
      <c r="C56" s="427"/>
      <c r="D56" s="427"/>
      <c r="E56" s="427"/>
      <c r="F56" s="427"/>
      <c r="G56" s="427"/>
      <c r="H56" s="427"/>
      <c r="I56" s="427"/>
      <c r="J56" s="427"/>
      <c r="K56" s="428"/>
      <c r="L56" s="427"/>
      <c r="M56" s="427"/>
      <c r="N56" s="427"/>
      <c r="O56" s="427"/>
      <c r="P56" s="427"/>
      <c r="Q56" s="412"/>
      <c r="S56" s="413"/>
      <c r="U56" s="414"/>
    </row>
    <row r="57" spans="2:21" ht="58" customHeight="1">
      <c r="B57" s="427"/>
      <c r="C57" s="427"/>
      <c r="D57" s="743" t="s">
        <v>174</v>
      </c>
      <c r="E57" s="744" t="s">
        <v>145</v>
      </c>
      <c r="F57" s="1009" t="s">
        <v>501</v>
      </c>
      <c r="G57" s="1010"/>
      <c r="H57" s="1010"/>
      <c r="I57" s="1010"/>
      <c r="J57" s="1010"/>
      <c r="K57" s="1010"/>
      <c r="L57" s="1010"/>
      <c r="M57" s="1010"/>
      <c r="N57" s="1011"/>
      <c r="O57" s="434"/>
      <c r="P57" s="434"/>
      <c r="Q57" s="412"/>
      <c r="S57" s="413"/>
      <c r="U57" s="414"/>
    </row>
    <row r="58" spans="2:21" ht="8.25" customHeight="1">
      <c r="B58" s="427"/>
      <c r="C58" s="427"/>
      <c r="D58" s="745"/>
      <c r="E58" s="745"/>
      <c r="F58" s="746"/>
      <c r="G58" s="746"/>
      <c r="H58" s="746"/>
      <c r="I58" s="746"/>
      <c r="J58" s="746"/>
      <c r="K58" s="747"/>
      <c r="L58" s="746"/>
      <c r="M58" s="746"/>
      <c r="N58" s="746"/>
      <c r="O58" s="427"/>
      <c r="P58" s="427"/>
      <c r="Q58" s="412"/>
      <c r="S58" s="413"/>
      <c r="U58" s="414"/>
    </row>
    <row r="59" spans="2:21" ht="67.5" customHeight="1">
      <c r="B59" s="427"/>
      <c r="C59" s="427"/>
      <c r="D59" s="748" t="s">
        <v>176</v>
      </c>
      <c r="E59" s="749" t="s">
        <v>299</v>
      </c>
      <c r="F59" s="1012" t="s">
        <v>502</v>
      </c>
      <c r="G59" s="1013"/>
      <c r="H59" s="1013"/>
      <c r="I59" s="1013"/>
      <c r="J59" s="1013"/>
      <c r="K59" s="1013"/>
      <c r="L59" s="1013"/>
      <c r="M59" s="1013"/>
      <c r="N59" s="1014"/>
      <c r="O59" s="718"/>
      <c r="P59" s="718"/>
      <c r="Q59" s="412"/>
      <c r="S59" s="413"/>
      <c r="U59" s="414"/>
    </row>
    <row r="60" spans="2:21" ht="66.5" customHeight="1">
      <c r="B60" s="427"/>
      <c r="C60" s="427"/>
      <c r="D60" s="750" t="s">
        <v>503</v>
      </c>
      <c r="E60" s="749" t="s">
        <v>475</v>
      </c>
      <c r="F60" s="1055" t="s">
        <v>498</v>
      </c>
      <c r="G60" s="1056"/>
      <c r="H60" s="1056"/>
      <c r="I60" s="1056"/>
      <c r="J60" s="1056"/>
      <c r="K60" s="1056"/>
      <c r="L60" s="1056"/>
      <c r="M60" s="1056"/>
      <c r="N60" s="1057"/>
      <c r="O60" s="718"/>
      <c r="P60" s="718"/>
      <c r="Q60" s="412"/>
      <c r="S60" s="413"/>
      <c r="U60" s="414"/>
    </row>
    <row r="61" spans="2:21" ht="93" customHeight="1">
      <c r="B61" s="427"/>
      <c r="C61" s="427"/>
      <c r="D61" s="750" t="s">
        <v>504</v>
      </c>
      <c r="E61" s="751">
        <v>3</v>
      </c>
      <c r="F61" s="1055" t="s">
        <v>499</v>
      </c>
      <c r="G61" s="1056"/>
      <c r="H61" s="1056"/>
      <c r="I61" s="1056"/>
      <c r="J61" s="1056"/>
      <c r="K61" s="1056"/>
      <c r="L61" s="1056"/>
      <c r="M61" s="1056"/>
      <c r="N61" s="1057"/>
      <c r="O61" s="718"/>
      <c r="P61" s="718"/>
      <c r="Q61" s="412"/>
      <c r="S61" s="413"/>
      <c r="U61" s="414"/>
    </row>
    <row r="62" spans="2:21" ht="7.5" customHeight="1">
      <c r="B62" s="427"/>
      <c r="C62" s="718"/>
      <c r="D62" s="718"/>
      <c r="E62" s="718"/>
      <c r="F62" s="718"/>
      <c r="G62" s="718"/>
      <c r="H62" s="718"/>
      <c r="I62" s="718"/>
      <c r="J62" s="718"/>
      <c r="K62" s="718"/>
      <c r="L62" s="718"/>
      <c r="M62" s="718"/>
      <c r="N62" s="718"/>
      <c r="O62" s="718"/>
      <c r="P62" s="718"/>
      <c r="Q62" s="740"/>
      <c r="S62" s="413"/>
      <c r="U62" s="414"/>
    </row>
    <row r="63" spans="2:21" ht="41.5" customHeight="1">
      <c r="B63" s="427"/>
      <c r="C63" s="427"/>
      <c r="D63" s="370" t="s">
        <v>177</v>
      </c>
      <c r="E63" s="741"/>
      <c r="F63" s="718"/>
      <c r="G63" s="718"/>
      <c r="H63" s="1040" t="s">
        <v>178</v>
      </c>
      <c r="I63" s="1040"/>
      <c r="J63" s="1040"/>
      <c r="K63" s="1040"/>
      <c r="L63" s="1040"/>
      <c r="M63" s="1040"/>
      <c r="N63" s="1040"/>
      <c r="O63" s="427"/>
      <c r="P63" s="427"/>
      <c r="Q63" s="412"/>
      <c r="S63" s="413"/>
      <c r="U63" s="414"/>
    </row>
    <row r="64" spans="2:21" ht="52" customHeight="1">
      <c r="B64" s="427"/>
      <c r="C64" s="427"/>
      <c r="D64" s="752" t="s">
        <v>505</v>
      </c>
      <c r="E64" s="441">
        <v>0.15</v>
      </c>
      <c r="F64" s="1041" t="s">
        <v>508</v>
      </c>
      <c r="G64" s="1042"/>
      <c r="H64" s="1042"/>
      <c r="I64" s="1042"/>
      <c r="J64" s="1042"/>
      <c r="K64" s="1042"/>
      <c r="L64" s="1042"/>
      <c r="M64" s="1042"/>
      <c r="N64" s="1043"/>
      <c r="O64" s="427"/>
      <c r="P64" s="427"/>
      <c r="Q64" s="412"/>
      <c r="S64" s="413"/>
      <c r="U64" s="414"/>
    </row>
    <row r="65" spans="2:36" ht="25.5" customHeight="1">
      <c r="B65" s="427"/>
      <c r="C65" s="427"/>
      <c r="D65" s="371">
        <f>E26</f>
        <v>2025</v>
      </c>
      <c r="E65" s="783" t="str">
        <f>IF($E$57="Non",1,IF($E$59="Transition préparatoire",MIN(0.8,E64),IF($E$59="Transition accélérée",_xlfn.XLOOKUP(D65,Data!B32:B36,Data!C32:C36),"voir ci-dessous")))</f>
        <v>voir ci-dessous</v>
      </c>
      <c r="F65" s="1044"/>
      <c r="G65" s="1045"/>
      <c r="H65" s="1045"/>
      <c r="I65" s="1045"/>
      <c r="J65" s="1045"/>
      <c r="K65" s="1045"/>
      <c r="L65" s="1045"/>
      <c r="M65" s="1045"/>
      <c r="N65" s="1046"/>
      <c r="O65" s="718"/>
      <c r="P65" s="718"/>
      <c r="Q65" s="412"/>
      <c r="S65" s="413"/>
      <c r="U65" s="414"/>
    </row>
    <row r="66" spans="2:36" ht="25.5" customHeight="1">
      <c r="B66" s="427"/>
      <c r="C66" s="427"/>
      <c r="D66" s="372">
        <f>$E$26+1</f>
        <v>2026</v>
      </c>
      <c r="E66" s="783" t="str">
        <f>IF($E$57="Non",1,IF($E$59="Transition préparatoire",MIN(0.8,E65*1.15),IF($E$59="Transition accélérée",_xlfn.XLOOKUP(D66,Data!B33:B37,Data!C33:C37),"voir ci-dessous")))</f>
        <v>voir ci-dessous</v>
      </c>
      <c r="F66" s="1044"/>
      <c r="G66" s="1045"/>
      <c r="H66" s="1045"/>
      <c r="I66" s="1045"/>
      <c r="J66" s="1045"/>
      <c r="K66" s="1045"/>
      <c r="L66" s="1045"/>
      <c r="M66" s="1045"/>
      <c r="N66" s="1046"/>
      <c r="O66" s="718"/>
      <c r="P66" s="718"/>
      <c r="Q66" s="412"/>
      <c r="S66" s="413"/>
      <c r="U66" s="414"/>
    </row>
    <row r="67" spans="2:36" ht="25.5" customHeight="1">
      <c r="B67" s="427"/>
      <c r="C67" s="427"/>
      <c r="D67" s="372">
        <f>$E$26+2</f>
        <v>2027</v>
      </c>
      <c r="E67" s="783" t="str">
        <f>IF($E$57="Non",1,IF($E$59="Transition préparatoire",MIN(0.8,E66*1.15),IF($E$59="Transition accélérée",_xlfn.XLOOKUP(D67,Data!B34:B38,Data!C34:C38),"voir ci-dessous")))</f>
        <v>voir ci-dessous</v>
      </c>
      <c r="F67" s="1044"/>
      <c r="G67" s="1045"/>
      <c r="H67" s="1045"/>
      <c r="I67" s="1045"/>
      <c r="J67" s="1045"/>
      <c r="K67" s="1045"/>
      <c r="L67" s="1045"/>
      <c r="M67" s="1045"/>
      <c r="N67" s="1046"/>
      <c r="O67" s="718"/>
      <c r="P67" s="718"/>
      <c r="Q67" s="412"/>
      <c r="S67" s="413"/>
      <c r="U67" s="414"/>
    </row>
    <row r="68" spans="2:36" ht="25.5" customHeight="1">
      <c r="B68" s="427"/>
      <c r="C68" s="427"/>
      <c r="D68" s="372">
        <f>$E$26+3</f>
        <v>2028</v>
      </c>
      <c r="E68" s="783" t="str">
        <f>IF($E$57="Non",1,IF($E$59="Transition préparatoire",MIN(0.8,E67*1.15),IF($E$59="Transition accélérée",_xlfn.XLOOKUP(D68,Data!B35:B39,Data!C35:C39),"voir ci-dessous")))</f>
        <v>voir ci-dessous</v>
      </c>
      <c r="F68" s="1044"/>
      <c r="G68" s="1045"/>
      <c r="H68" s="1045"/>
      <c r="I68" s="1045"/>
      <c r="J68" s="1045"/>
      <c r="K68" s="1045"/>
      <c r="L68" s="1045"/>
      <c r="M68" s="1045"/>
      <c r="N68" s="1046"/>
      <c r="O68" s="718"/>
      <c r="P68" s="718"/>
      <c r="Q68" s="412"/>
      <c r="S68" s="413"/>
      <c r="U68" s="414"/>
    </row>
    <row r="69" spans="2:36" ht="25" customHeight="1">
      <c r="B69" s="427"/>
      <c r="C69" s="427"/>
      <c r="D69" s="372">
        <f>$E$26+4</f>
        <v>2029</v>
      </c>
      <c r="E69" s="783" t="str">
        <f>IF($E$57="Non",1,IF($E$59="Transition préparatoire",MIN(0.8,E68*1.15),IF($E$59="Transition accélérée",_xlfn.XLOOKUP(D69,Data!B36:B40,Data!C36:C40),"voir ci-dessous")))</f>
        <v>voir ci-dessous</v>
      </c>
      <c r="F69" s="1047"/>
      <c r="G69" s="1048"/>
      <c r="H69" s="1048"/>
      <c r="I69" s="1048"/>
      <c r="J69" s="1048"/>
      <c r="K69" s="1048"/>
      <c r="L69" s="1048"/>
      <c r="M69" s="1048"/>
      <c r="N69" s="1049"/>
      <c r="O69" s="718"/>
      <c r="P69" s="718"/>
      <c r="Q69" s="412"/>
      <c r="S69" s="413"/>
      <c r="U69" s="414"/>
    </row>
    <row r="70" spans="2:36" ht="44" customHeight="1">
      <c r="B70" s="427"/>
      <c r="C70" s="427"/>
      <c r="D70" s="994"/>
      <c r="E70" s="994"/>
      <c r="F70" s="995"/>
      <c r="G70" s="995"/>
      <c r="H70" s="995"/>
      <c r="I70" s="995"/>
      <c r="J70" s="995"/>
      <c r="K70" s="995"/>
      <c r="L70" s="995"/>
      <c r="M70" s="427"/>
      <c r="N70" s="427"/>
      <c r="O70" s="427"/>
      <c r="P70" s="435"/>
      <c r="Q70" s="412"/>
      <c r="S70" s="413"/>
      <c r="U70" s="414"/>
    </row>
    <row r="71" spans="2:36" ht="46" customHeight="1">
      <c r="B71" s="427"/>
      <c r="C71" s="427"/>
      <c r="D71" s="996" t="s">
        <v>179</v>
      </c>
      <c r="E71" s="996"/>
      <c r="F71" s="996"/>
      <c r="G71" s="996"/>
      <c r="H71" s="996"/>
      <c r="I71" s="996"/>
      <c r="J71" s="996"/>
      <c r="K71" s="996"/>
      <c r="L71" s="996"/>
      <c r="M71" s="996"/>
      <c r="N71" s="996"/>
      <c r="O71" s="436"/>
      <c r="P71" s="436"/>
      <c r="Q71" s="423"/>
      <c r="R71" s="423"/>
      <c r="S71" s="423"/>
      <c r="T71" s="722"/>
      <c r="U71" s="722"/>
      <c r="V71" s="722"/>
      <c r="W71" s="722"/>
      <c r="X71" s="722"/>
      <c r="Z71" s="993"/>
      <c r="AA71" s="993"/>
      <c r="AB71" s="993"/>
      <c r="AC71" s="993"/>
      <c r="AD71" s="993"/>
      <c r="AE71" s="993"/>
      <c r="AF71" s="993"/>
      <c r="AG71" s="993"/>
      <c r="AH71" s="993"/>
      <c r="AI71" s="993"/>
      <c r="AJ71" s="993"/>
    </row>
    <row r="72" spans="2:36" ht="25" customHeight="1">
      <c r="B72" s="427"/>
      <c r="C72" s="427"/>
      <c r="D72" s="438" t="s">
        <v>180</v>
      </c>
      <c r="E72" s="458" t="s">
        <v>181</v>
      </c>
      <c r="F72" s="427"/>
      <c r="G72" s="427"/>
      <c r="H72" s="427"/>
      <c r="I72" s="458"/>
      <c r="J72" s="458"/>
      <c r="K72" s="427"/>
      <c r="L72" s="427"/>
      <c r="M72" s="427"/>
      <c r="N72" s="427"/>
      <c r="O72" s="477" t="s">
        <v>182</v>
      </c>
      <c r="P72" s="427"/>
    </row>
    <row r="73" spans="2:36" ht="32.5" customHeight="1">
      <c r="B73" s="427"/>
      <c r="C73" s="427"/>
      <c r="D73" s="459"/>
      <c r="E73" s="990" t="s">
        <v>148</v>
      </c>
      <c r="F73" s="991"/>
      <c r="G73" s="991"/>
      <c r="H73" s="990" t="s">
        <v>149</v>
      </c>
      <c r="I73" s="991"/>
      <c r="J73" s="991"/>
      <c r="K73" s="990" t="s">
        <v>150</v>
      </c>
      <c r="L73" s="991"/>
      <c r="M73" s="427"/>
      <c r="N73" s="427"/>
      <c r="O73" s="427"/>
      <c r="P73" s="427"/>
    </row>
    <row r="74" spans="2:36" s="490" customFormat="1" ht="50.25" customHeight="1">
      <c r="B74" s="484"/>
      <c r="C74" s="484"/>
      <c r="D74" s="485" t="s">
        <v>183</v>
      </c>
      <c r="E74" s="486"/>
      <c r="F74" s="486"/>
      <c r="G74" s="486"/>
      <c r="H74" s="486"/>
      <c r="I74" s="486"/>
      <c r="J74" s="486"/>
      <c r="K74" s="486"/>
      <c r="L74" s="486"/>
      <c r="M74" s="486"/>
      <c r="N74" s="487"/>
      <c r="O74" s="488"/>
      <c r="P74" s="488"/>
      <c r="Q74" s="489"/>
      <c r="R74" s="489"/>
      <c r="S74" s="489"/>
      <c r="T74" s="726"/>
      <c r="U74" s="726"/>
      <c r="V74" s="726"/>
      <c r="W74" s="726"/>
      <c r="X74" s="726"/>
      <c r="Z74" s="1031"/>
      <c r="AA74" s="1031"/>
      <c r="AB74" s="1031"/>
      <c r="AC74" s="1031"/>
      <c r="AD74" s="1031"/>
      <c r="AE74" s="1031"/>
      <c r="AF74" s="1031"/>
      <c r="AG74" s="1031"/>
      <c r="AH74" s="1031"/>
      <c r="AI74" s="1031"/>
      <c r="AJ74" s="1031"/>
    </row>
    <row r="75" spans="2:36" ht="7.5" customHeight="1">
      <c r="B75" s="427"/>
      <c r="C75" s="427"/>
      <c r="D75" s="438"/>
      <c r="E75" s="427"/>
      <c r="F75" s="427"/>
      <c r="G75" s="427"/>
      <c r="H75" s="427"/>
      <c r="I75" s="427"/>
      <c r="J75" s="427"/>
      <c r="K75" s="427"/>
      <c r="L75" s="427"/>
      <c r="M75" s="427"/>
      <c r="N75" s="427"/>
      <c r="O75" s="427"/>
      <c r="P75" s="427"/>
    </row>
    <row r="76" spans="2:36" s="411" customFormat="1" ht="152.15" customHeight="1">
      <c r="B76" s="427"/>
      <c r="C76" s="427"/>
      <c r="D76" s="460" t="s">
        <v>184</v>
      </c>
      <c r="E76" s="1028" t="s">
        <v>185</v>
      </c>
      <c r="F76" s="1028"/>
      <c r="G76" s="1028"/>
      <c r="H76" s="1028" t="s">
        <v>153</v>
      </c>
      <c r="I76" s="1028"/>
      <c r="J76" s="1028"/>
      <c r="K76" s="1028" t="s">
        <v>186</v>
      </c>
      <c r="L76" s="1028"/>
      <c r="M76" s="1054" t="s">
        <v>155</v>
      </c>
      <c r="N76" s="1054"/>
      <c r="O76" s="427"/>
      <c r="P76" s="427"/>
      <c r="S76" s="731"/>
      <c r="T76" s="732"/>
      <c r="U76" s="731"/>
      <c r="V76" s="732"/>
      <c r="X76" s="732"/>
      <c r="Y76" s="731"/>
      <c r="Z76" s="731"/>
      <c r="AA76" s="732"/>
      <c r="AB76" s="732"/>
      <c r="AD76" s="423"/>
    </row>
    <row r="77" spans="2:36" s="411" customFormat="1" ht="56.25" hidden="1" customHeight="1">
      <c r="B77" s="427"/>
      <c r="C77" s="427"/>
      <c r="D77" s="461"/>
      <c r="E77" s="724"/>
      <c r="F77" s="724"/>
      <c r="G77" s="724"/>
      <c r="H77" s="715"/>
      <c r="I77" s="724"/>
      <c r="J77" s="724"/>
      <c r="K77" s="724"/>
      <c r="L77" s="724"/>
      <c r="M77" s="462"/>
      <c r="N77" s="462"/>
      <c r="O77" s="427"/>
      <c r="P77" s="427"/>
      <c r="S77" s="731"/>
      <c r="T77" s="732"/>
      <c r="U77" s="731"/>
      <c r="V77" s="732"/>
      <c r="X77" s="732"/>
      <c r="Y77" s="731"/>
      <c r="Z77" s="731"/>
      <c r="AA77" s="732"/>
      <c r="AB77" s="732"/>
      <c r="AD77" s="423"/>
    </row>
    <row r="78" spans="2:36" ht="75" customHeight="1">
      <c r="B78" s="427"/>
      <c r="C78" s="427"/>
      <c r="D78" s="442" t="s">
        <v>187</v>
      </c>
      <c r="E78" s="463" t="s">
        <v>53</v>
      </c>
      <c r="F78" s="463" t="s">
        <v>189</v>
      </c>
      <c r="G78" s="463" t="s">
        <v>189</v>
      </c>
      <c r="H78" s="463" t="s">
        <v>56</v>
      </c>
      <c r="I78" s="463" t="s">
        <v>189</v>
      </c>
      <c r="J78" s="463" t="s">
        <v>189</v>
      </c>
      <c r="K78" s="463" t="s">
        <v>189</v>
      </c>
      <c r="L78" s="463" t="s">
        <v>189</v>
      </c>
      <c r="M78" s="972" t="s">
        <v>190</v>
      </c>
      <c r="N78" s="972"/>
      <c r="O78" s="427"/>
      <c r="P78" s="427"/>
      <c r="S78" s="373"/>
      <c r="T78" s="374"/>
      <c r="U78" s="356"/>
      <c r="V78" s="356"/>
      <c r="X78" s="722"/>
      <c r="Y78" s="723"/>
      <c r="AA78" s="723"/>
      <c r="AC78" s="723"/>
    </row>
    <row r="79" spans="2:36" ht="8.25" customHeight="1">
      <c r="B79" s="427"/>
      <c r="C79" s="427"/>
      <c r="D79" s="467"/>
      <c r="E79" s="468" t="str">
        <f>IF(E78=Data!$A$13, "! Ce produit n'est pas disponible pour les pays éligibles à Gavi !"," ")</f>
        <v xml:space="preserve"> </v>
      </c>
      <c r="F79" s="468" t="str">
        <f>IF(F78=Data!$A$13, "! Ce produit n'est pas disponible pour les pays éligibles à Gavi !"," ")</f>
        <v xml:space="preserve"> </v>
      </c>
      <c r="G79" s="468" t="str">
        <f>IF(G78=Data!$A$13, "! Ce produit n'est pas disponible pour les pays éligibles à Gavi !"," ")</f>
        <v xml:space="preserve"> </v>
      </c>
      <c r="H79" s="468" t="str">
        <f>IF(H78=Data!$A$13, "! Ce produit n'est pas disponible pour les pays éligibles à Gavi !"," ")</f>
        <v xml:space="preserve"> </v>
      </c>
      <c r="I79" s="468" t="str">
        <f>IF(I78=Data!$A$13, "! Ce produit n'est pas disponible pour les pays éligibles à Gavi !"," ")</f>
        <v xml:space="preserve"> </v>
      </c>
      <c r="J79" s="468" t="str">
        <f>IF(J78=Data!$A$13, "! Ce produit n'est pas disponible pour les pays éligibles à Gavi !"," ")</f>
        <v xml:space="preserve"> </v>
      </c>
      <c r="K79" s="468"/>
      <c r="L79" s="468"/>
      <c r="M79" s="438"/>
      <c r="N79" s="438"/>
      <c r="O79" s="437"/>
      <c r="P79" s="427"/>
      <c r="S79" s="375"/>
      <c r="T79" s="376"/>
      <c r="U79" s="377"/>
      <c r="V79" s="374"/>
      <c r="Y79" s="723"/>
      <c r="AA79" s="723"/>
      <c r="AC79" s="723"/>
    </row>
    <row r="80" spans="2:36" ht="30" customHeight="1">
      <c r="B80" s="427"/>
      <c r="C80" s="427"/>
      <c r="D80" s="727" t="s">
        <v>191</v>
      </c>
      <c r="E80" s="684">
        <v>3.5</v>
      </c>
      <c r="F80" s="728">
        <v>3</v>
      </c>
      <c r="G80" s="685">
        <v>3</v>
      </c>
      <c r="H80" s="686">
        <v>20</v>
      </c>
      <c r="I80" s="728">
        <v>3</v>
      </c>
      <c r="J80" s="685">
        <v>3</v>
      </c>
      <c r="K80" s="728"/>
      <c r="L80" s="685"/>
      <c r="M80" s="965" t="s">
        <v>192</v>
      </c>
      <c r="N80" s="966"/>
      <c r="O80" s="437"/>
      <c r="P80" s="427"/>
      <c r="S80" s="378"/>
      <c r="T80" s="381"/>
      <c r="U80" s="376"/>
      <c r="V80" s="376"/>
      <c r="X80" s="355"/>
      <c r="Y80" s="723"/>
      <c r="AA80" s="723"/>
      <c r="AC80" s="723"/>
    </row>
    <row r="81" spans="1:352" ht="30" customHeight="1">
      <c r="B81" s="427"/>
      <c r="C81" s="427"/>
      <c r="D81" s="379" t="s">
        <v>193</v>
      </c>
      <c r="E81" s="687">
        <f>IFERROR(INDEX(Data!$A$2:$E$9,MATCH(E78,Data!$A$2:$A$9,0),2),"-")</f>
        <v>3.5</v>
      </c>
      <c r="F81" s="688" t="str">
        <f>IFERROR(INDEX(Data!$A$2:$E$9,MATCH(F78,Data!$A$2:$A$9,0),2),"-")</f>
        <v>N/A</v>
      </c>
      <c r="G81" s="689" t="str">
        <f>IFERROR(INDEX(Data!$A$2:$E$9,MATCH(G78,Data!$A$2:$A$9,0),2),"-")</f>
        <v>N/A</v>
      </c>
      <c r="H81" s="690">
        <f>IFERROR(INDEX(Data!$A$2:$E$9,MATCH(H78,Data!$A$2:$A$9,0),2),"-")</f>
        <v>20</v>
      </c>
      <c r="I81" s="688" t="str">
        <f>IFERROR(INDEX(Data!$A$2:$E$9,MATCH(I78,Data!$A$2:$A$9,0),2),"-")</f>
        <v>N/A</v>
      </c>
      <c r="J81" s="689" t="str">
        <f>IFERROR(INDEX(Data!$A$2:$E$9,MATCH(J78,Data!$A$2:$A$9,0),2),"-")</f>
        <v>N/A</v>
      </c>
      <c r="K81" s="688" t="str">
        <f>IFERROR(INDEX(Data!$A$2:$E$9,MATCH(K78,Data!$A$2:$A$9,0),2),"-")</f>
        <v>N/A</v>
      </c>
      <c r="L81" s="689" t="str">
        <f>IFERROR(INDEX(Data!$A$2:$E$9,MATCH(L78,Data!$A$2:$A$9,0),2),"-")</f>
        <v>N/A</v>
      </c>
      <c r="M81" s="978"/>
      <c r="N81" s="979"/>
      <c r="O81" s="437"/>
      <c r="P81" s="427"/>
      <c r="S81" s="378"/>
      <c r="T81" s="381"/>
      <c r="U81" s="376"/>
      <c r="V81" s="376"/>
      <c r="X81" s="355"/>
      <c r="Y81" s="723"/>
      <c r="AA81" s="723"/>
      <c r="AC81" s="723"/>
    </row>
    <row r="82" spans="1:352" ht="30" hidden="1" customHeight="1" outlineLevel="1">
      <c r="B82" s="427"/>
      <c r="C82" s="427"/>
      <c r="D82" s="464" t="s">
        <v>194</v>
      </c>
      <c r="E82" s="469"/>
      <c r="F82" s="469"/>
      <c r="G82" s="469"/>
      <c r="H82" s="469"/>
      <c r="I82" s="469"/>
      <c r="J82" s="469"/>
      <c r="K82" s="469"/>
      <c r="L82" s="469"/>
      <c r="M82" s="970"/>
      <c r="N82" s="971"/>
      <c r="O82" s="427"/>
      <c r="P82" s="427"/>
      <c r="S82" s="378"/>
      <c r="T82" s="380"/>
      <c r="U82" s="376"/>
      <c r="V82" s="381"/>
      <c r="X82" s="381"/>
      <c r="Y82" s="381"/>
      <c r="AA82" s="381"/>
      <c r="AC82" s="381"/>
    </row>
    <row r="83" spans="1:352" ht="30" hidden="1" customHeight="1" outlineLevel="1">
      <c r="B83" s="427"/>
      <c r="C83" s="427"/>
      <c r="D83" s="444">
        <f>$E$26</f>
        <v>2025</v>
      </c>
      <c r="E83" s="753">
        <f t="shared" ref="E83:L83" si="1">IFERROR(IF($E$57="Non",E$80,IF($E$59 = "Phase d’autofinancement initial",0.2, E$80*$E65)),"-")</f>
        <v>0.2</v>
      </c>
      <c r="F83" s="753">
        <f t="shared" si="1"/>
        <v>0.2</v>
      </c>
      <c r="G83" s="753">
        <f t="shared" si="1"/>
        <v>0.2</v>
      </c>
      <c r="H83" s="753">
        <f t="shared" si="1"/>
        <v>0.2</v>
      </c>
      <c r="I83" s="753">
        <f t="shared" si="1"/>
        <v>0.2</v>
      </c>
      <c r="J83" s="753">
        <f t="shared" si="1"/>
        <v>0.2</v>
      </c>
      <c r="K83" s="753">
        <f t="shared" si="1"/>
        <v>0.2</v>
      </c>
      <c r="L83" s="754">
        <f t="shared" si="1"/>
        <v>0.2</v>
      </c>
      <c r="M83" s="972"/>
      <c r="N83" s="972"/>
      <c r="O83" s="427"/>
      <c r="P83" s="427"/>
      <c r="S83" s="382"/>
      <c r="T83" s="380"/>
      <c r="U83" s="380"/>
      <c r="V83" s="380"/>
      <c r="X83" s="355"/>
      <c r="Y83" s="383"/>
      <c r="AA83" s="383"/>
      <c r="AC83" s="383"/>
    </row>
    <row r="84" spans="1:352" ht="30" hidden="1" customHeight="1" outlineLevel="1">
      <c r="B84" s="427"/>
      <c r="C84" s="427"/>
      <c r="D84" s="444">
        <f>$E$26+1</f>
        <v>2026</v>
      </c>
      <c r="E84" s="753">
        <f t="shared" ref="E84:L84" si="2">IFERROR(IF($E$57="Non",E$80,IF($E$59 = "Phase d’autofinancement initial",0.2, E$80*$E66)),"-")</f>
        <v>0.2</v>
      </c>
      <c r="F84" s="753">
        <f t="shared" si="2"/>
        <v>0.2</v>
      </c>
      <c r="G84" s="753">
        <f t="shared" si="2"/>
        <v>0.2</v>
      </c>
      <c r="H84" s="753">
        <f t="shared" si="2"/>
        <v>0.2</v>
      </c>
      <c r="I84" s="753">
        <f t="shared" si="2"/>
        <v>0.2</v>
      </c>
      <c r="J84" s="753">
        <f t="shared" si="2"/>
        <v>0.2</v>
      </c>
      <c r="K84" s="753">
        <f t="shared" si="2"/>
        <v>0.2</v>
      </c>
      <c r="L84" s="754">
        <f t="shared" si="2"/>
        <v>0.2</v>
      </c>
      <c r="M84" s="972"/>
      <c r="N84" s="972"/>
      <c r="O84" s="427"/>
      <c r="P84" s="427"/>
      <c r="S84" s="382"/>
      <c r="T84" s="380"/>
      <c r="U84" s="380"/>
      <c r="V84" s="380"/>
      <c r="X84" s="355"/>
      <c r="Y84" s="383"/>
      <c r="AA84" s="383"/>
      <c r="AC84" s="383"/>
    </row>
    <row r="85" spans="1:352" ht="30" hidden="1" customHeight="1" outlineLevel="1">
      <c r="B85" s="427"/>
      <c r="C85" s="427"/>
      <c r="D85" s="444">
        <f>$E$26+2</f>
        <v>2027</v>
      </c>
      <c r="E85" s="753">
        <f t="shared" ref="E85:L85" si="3">IFERROR(IF($E$57="Non",E$80,IF($E$59 = "Phase d’autofinancement initial",0.2, E$80*$E67)),"-")</f>
        <v>0.2</v>
      </c>
      <c r="F85" s="753">
        <f t="shared" si="3"/>
        <v>0.2</v>
      </c>
      <c r="G85" s="753">
        <f t="shared" si="3"/>
        <v>0.2</v>
      </c>
      <c r="H85" s="753">
        <f t="shared" si="3"/>
        <v>0.2</v>
      </c>
      <c r="I85" s="753">
        <f t="shared" si="3"/>
        <v>0.2</v>
      </c>
      <c r="J85" s="753">
        <f t="shared" si="3"/>
        <v>0.2</v>
      </c>
      <c r="K85" s="753">
        <f t="shared" si="3"/>
        <v>0.2</v>
      </c>
      <c r="L85" s="754">
        <f t="shared" si="3"/>
        <v>0.2</v>
      </c>
      <c r="M85" s="972"/>
      <c r="N85" s="972"/>
      <c r="O85" s="427"/>
      <c r="P85" s="427"/>
      <c r="S85" s="382"/>
      <c r="T85" s="380"/>
      <c r="U85" s="380"/>
      <c r="V85" s="380"/>
      <c r="X85" s="355"/>
      <c r="Y85" s="383"/>
      <c r="AA85" s="383"/>
      <c r="AC85" s="383"/>
    </row>
    <row r="86" spans="1:352" ht="30" hidden="1" customHeight="1" outlineLevel="1">
      <c r="B86" s="427"/>
      <c r="C86" s="427"/>
      <c r="D86" s="444">
        <f>$E$26+3</f>
        <v>2028</v>
      </c>
      <c r="E86" s="753">
        <f t="shared" ref="E86:L86" si="4">IFERROR(IF($E$57="Non",E$80,IF($E$59 = "Phase d’autofinancement initial",0.2, E$80*$E68)),"-")</f>
        <v>0.2</v>
      </c>
      <c r="F86" s="753">
        <f t="shared" si="4"/>
        <v>0.2</v>
      </c>
      <c r="G86" s="753">
        <f t="shared" si="4"/>
        <v>0.2</v>
      </c>
      <c r="H86" s="753">
        <f t="shared" si="4"/>
        <v>0.2</v>
      </c>
      <c r="I86" s="753">
        <f t="shared" si="4"/>
        <v>0.2</v>
      </c>
      <c r="J86" s="753">
        <f t="shared" si="4"/>
        <v>0.2</v>
      </c>
      <c r="K86" s="753">
        <f t="shared" si="4"/>
        <v>0.2</v>
      </c>
      <c r="L86" s="754">
        <f t="shared" si="4"/>
        <v>0.2</v>
      </c>
      <c r="M86" s="972"/>
      <c r="N86" s="972"/>
      <c r="O86" s="427"/>
      <c r="P86" s="427"/>
      <c r="S86" s="382"/>
      <c r="T86" s="380"/>
      <c r="U86" s="380"/>
      <c r="V86" s="380"/>
      <c r="X86" s="355"/>
      <c r="Y86" s="383"/>
      <c r="AA86" s="383"/>
      <c r="AC86" s="383"/>
    </row>
    <row r="87" spans="1:352" ht="30" hidden="1" customHeight="1" outlineLevel="1">
      <c r="B87" s="427"/>
      <c r="C87" s="427"/>
      <c r="D87" s="444">
        <f>$E$26+4</f>
        <v>2029</v>
      </c>
      <c r="E87" s="753">
        <f t="shared" ref="E87:L87" si="5">IFERROR(IF($E$57="Non",E$80,IF($E$59 = "Phase d’autofinancement initial",0.2, E$80*$E69)),"-")</f>
        <v>0.2</v>
      </c>
      <c r="F87" s="753">
        <f t="shared" si="5"/>
        <v>0.2</v>
      </c>
      <c r="G87" s="753">
        <f t="shared" si="5"/>
        <v>0.2</v>
      </c>
      <c r="H87" s="753">
        <f t="shared" si="5"/>
        <v>0.2</v>
      </c>
      <c r="I87" s="753">
        <f t="shared" si="5"/>
        <v>0.2</v>
      </c>
      <c r="J87" s="753">
        <f t="shared" si="5"/>
        <v>0.2</v>
      </c>
      <c r="K87" s="753">
        <f t="shared" si="5"/>
        <v>0.2</v>
      </c>
      <c r="L87" s="754">
        <f t="shared" si="5"/>
        <v>0.2</v>
      </c>
      <c r="M87" s="973"/>
      <c r="N87" s="973"/>
      <c r="O87" s="427"/>
      <c r="P87" s="427"/>
      <c r="S87" s="382"/>
      <c r="T87" s="384"/>
      <c r="U87" s="380"/>
      <c r="V87" s="380"/>
      <c r="X87" s="355"/>
      <c r="Y87" s="383"/>
      <c r="AA87" s="383"/>
      <c r="AC87" s="383"/>
    </row>
    <row r="88" spans="1:352" ht="30" customHeight="1" collapsed="1">
      <c r="B88" s="427"/>
      <c r="C88" s="427"/>
      <c r="D88" s="724" t="s">
        <v>195</v>
      </c>
      <c r="E88" s="784">
        <f>IFERROR(INDEX(Data!$A$2:$E$9,MATCH(E78,Data!$A$2:$A$9,0),3),"-")</f>
        <v>1</v>
      </c>
      <c r="F88" s="784" t="str">
        <f>IFERROR(INDEX(Data!$A$2:$E$9,MATCH(F78,Data!$A$2:$A$9,0),3),"-")</f>
        <v>N/A</v>
      </c>
      <c r="G88" s="784" t="str">
        <f>IFERROR(INDEX(Data!$A$2:$E$9,MATCH(G78,Data!$A$2:$A$9,0),3),"-")</f>
        <v>N/A</v>
      </c>
      <c r="H88" s="784">
        <f>IFERROR(INDEX(Data!$A$2:$E$9,MATCH(H78,Data!$A$2:$A$9,0),3),"-")</f>
        <v>1</v>
      </c>
      <c r="I88" s="784" t="str">
        <f>IFERROR(INDEX(Data!$A$2:$E$9,MATCH(I78,Data!$A$2:$A$9,0),3),"-")</f>
        <v>N/A</v>
      </c>
      <c r="J88" s="784" t="str">
        <f>IFERROR(INDEX(Data!$A$2:$E$9,MATCH(J78,Data!$A$2:$A$9,0),3),"-")</f>
        <v>N/A</v>
      </c>
      <c r="K88" s="784" t="str">
        <f>IFERROR(INDEX(Data!$A$2:$E$9,MATCH(K78,Data!$A$2:$A$9,0),3),"-")</f>
        <v>N/A</v>
      </c>
      <c r="L88" s="785" t="str">
        <f>IFERROR(INDEX(Data!$A$2:$E$9,MATCH(L78,Data!$A$2:$A$9,0),3),"-")</f>
        <v>N/A</v>
      </c>
      <c r="M88" s="480"/>
      <c r="N88" s="481"/>
      <c r="O88" s="477" t="s">
        <v>196</v>
      </c>
      <c r="P88" s="427"/>
      <c r="S88" s="386"/>
      <c r="T88" s="387"/>
      <c r="U88" s="384"/>
      <c r="V88" s="384"/>
      <c r="X88" s="355"/>
      <c r="Y88" s="723"/>
      <c r="AA88" s="723"/>
      <c r="AC88" s="723"/>
    </row>
    <row r="89" spans="1:352" ht="30" customHeight="1">
      <c r="B89" s="427"/>
      <c r="C89" s="427"/>
      <c r="D89" s="715" t="s">
        <v>197</v>
      </c>
      <c r="E89" s="470">
        <f>IFERROR(INDEX(Data!$A$2:$E$9,MATCH(E78,Data!$A$2:$A$9,0),5),"-")</f>
        <v>6.06</v>
      </c>
      <c r="F89" s="470">
        <f>IFERROR(INDEX(Data!$A$2:$E$9,MATCH(F78,Data!$A$2:$A$9,0),5),"-")</f>
        <v>17.12</v>
      </c>
      <c r="G89" s="470">
        <f>IFERROR(INDEX(Data!$A$2:$E$9,MATCH(G78,Data!$A$2:$A$9,0),5),"-")</f>
        <v>17.12</v>
      </c>
      <c r="H89" s="470">
        <f>IFERROR(INDEX(Data!$A$2:$E$9,MATCH(H78,Data!$A$2:$A$9,0),5),"-")</f>
        <v>17.12</v>
      </c>
      <c r="I89" s="470">
        <f>IFERROR(INDEX(Data!$A$2:$E$9,MATCH(I78,Data!$A$2:$A$9,0),5),"-")</f>
        <v>17.12</v>
      </c>
      <c r="J89" s="470">
        <f>IFERROR(INDEX(Data!$A$2:$E$9,MATCH(J78,Data!$A$2:$A$9,0),5),"-")</f>
        <v>17.12</v>
      </c>
      <c r="K89" s="470">
        <f>IFERROR(INDEX(Data!$A$2:$E$9,MATCH(K78,Data!$A$2:$A$9,0),5),"-")</f>
        <v>17.12</v>
      </c>
      <c r="L89" s="479">
        <f>IFERROR(INDEX(Data!$A$2:$E$9,MATCH(L78,Data!$A$2:$A$9,0),5),"-")</f>
        <v>17.12</v>
      </c>
      <c r="M89" s="482"/>
      <c r="N89" s="483"/>
      <c r="O89" s="478"/>
      <c r="P89" s="427"/>
      <c r="S89" s="388"/>
      <c r="T89" s="389"/>
      <c r="U89" s="387"/>
      <c r="V89" s="387"/>
      <c r="X89" s="355"/>
      <c r="Y89" s="723"/>
      <c r="AA89" s="723"/>
      <c r="AC89" s="723"/>
    </row>
    <row r="90" spans="1:352" ht="30" customHeight="1">
      <c r="B90" s="427"/>
      <c r="C90" s="427"/>
      <c r="D90" s="465" t="s">
        <v>198</v>
      </c>
      <c r="E90" s="472">
        <v>0.1</v>
      </c>
      <c r="F90" s="473">
        <v>0.1</v>
      </c>
      <c r="G90" s="473">
        <v>0.1</v>
      </c>
      <c r="H90" s="473">
        <v>0.1</v>
      </c>
      <c r="I90" s="473">
        <v>0.1</v>
      </c>
      <c r="J90" s="472">
        <v>0.1</v>
      </c>
      <c r="K90" s="472">
        <v>0.1</v>
      </c>
      <c r="L90" s="472">
        <v>0.1</v>
      </c>
      <c r="M90" s="974"/>
      <c r="N90" s="968"/>
      <c r="O90" s="477" t="s">
        <v>199</v>
      </c>
      <c r="P90" s="427"/>
      <c r="S90" s="390"/>
      <c r="T90" s="391"/>
      <c r="U90" s="392"/>
      <c r="V90" s="389"/>
      <c r="X90" s="393"/>
      <c r="Y90" s="1025"/>
      <c r="AA90" s="1025"/>
      <c r="AC90" s="1025"/>
    </row>
    <row r="91" spans="1:352" s="425" customFormat="1" ht="30" customHeight="1">
      <c r="A91" s="411"/>
      <c r="B91" s="427"/>
      <c r="C91" s="427"/>
      <c r="D91" s="466" t="s">
        <v>200</v>
      </c>
      <c r="E91" s="786">
        <f>IFERROR(INDEX(Data!$A$2:$E$9,MATCH(E78,Data!$A$2:$A$9,0),4),"-")</f>
        <v>0.1</v>
      </c>
      <c r="F91" s="787">
        <f>IFERROR(INDEX(Data!$A$2:$E$9,MATCH(F78,Data!$A$2:$A$9,0),4),"-")</f>
        <v>0.1</v>
      </c>
      <c r="G91" s="787">
        <f>IFERROR(INDEX(Data!$A$2:$E$9,MATCH(G78,Data!$A$2:$A$9,0),4),"-")</f>
        <v>0.1</v>
      </c>
      <c r="H91" s="787">
        <f>IFERROR(INDEX(Data!$A$2:$E$9,MATCH(H78,Data!$A$2:$A$9,0),4),"-")</f>
        <v>0.1</v>
      </c>
      <c r="I91" s="787">
        <f>IFERROR(INDEX(Data!$A$2:$E$9,MATCH(I78,Data!$A$2:$A$9,0),4),"-")</f>
        <v>0.1</v>
      </c>
      <c r="J91" s="786">
        <f>IFERROR(INDEX(Data!$A$2:$E$9,MATCH(J78,Data!$A$2:$A$9,0),4),"-")</f>
        <v>0.1</v>
      </c>
      <c r="K91" s="786">
        <f>IFERROR(INDEX(Data!$A$2:$E$9,MATCH(K78,Data!$A$2:$A$9,0),4),"-")</f>
        <v>0.1</v>
      </c>
      <c r="L91" s="786">
        <f>IFERROR(INDEX(Data!$A$2:$E$9,MATCH(L78,Data!$A$2:$A$9,0),4),"-")</f>
        <v>0.1</v>
      </c>
      <c r="M91" s="1027"/>
      <c r="N91" s="979"/>
      <c r="O91" s="427"/>
      <c r="P91" s="427"/>
      <c r="Q91" s="411"/>
      <c r="R91" s="421"/>
      <c r="S91" s="394"/>
      <c r="T91" s="395"/>
      <c r="U91" s="391"/>
      <c r="V91" s="391"/>
      <c r="W91" s="410"/>
      <c r="X91" s="396"/>
      <c r="Y91" s="1025"/>
      <c r="Z91" s="410"/>
      <c r="AA91" s="1025"/>
      <c r="AB91" s="410"/>
      <c r="AC91" s="1025"/>
      <c r="AD91" s="410"/>
      <c r="AE91" s="410"/>
      <c r="AF91" s="410"/>
      <c r="AG91" s="410"/>
      <c r="AH91" s="410"/>
      <c r="AI91" s="410"/>
      <c r="AJ91" s="410"/>
      <c r="AL91" s="411"/>
      <c r="AM91" s="411"/>
      <c r="AN91" s="411"/>
      <c r="AO91" s="411"/>
      <c r="AP91" s="411"/>
      <c r="AQ91" s="411"/>
      <c r="AR91" s="411"/>
      <c r="AS91" s="411"/>
      <c r="AT91" s="411"/>
      <c r="AU91" s="411"/>
      <c r="AV91" s="411"/>
      <c r="AW91" s="411"/>
      <c r="AX91" s="411"/>
      <c r="AY91" s="411"/>
      <c r="AZ91" s="411"/>
      <c r="BA91" s="411"/>
      <c r="BB91" s="411"/>
      <c r="BC91" s="411"/>
      <c r="BD91" s="411"/>
      <c r="BE91" s="411"/>
      <c r="BF91" s="411"/>
      <c r="BG91" s="411"/>
      <c r="BH91" s="411"/>
      <c r="BI91" s="411"/>
      <c r="BJ91" s="411"/>
      <c r="BK91" s="411"/>
      <c r="BL91" s="411"/>
      <c r="BM91" s="411"/>
      <c r="BN91" s="411"/>
      <c r="BO91" s="411"/>
      <c r="BP91" s="411"/>
      <c r="BQ91" s="411"/>
      <c r="BR91" s="411"/>
      <c r="BS91" s="411"/>
      <c r="BT91" s="411"/>
      <c r="BU91" s="411"/>
      <c r="BV91" s="411"/>
      <c r="BW91" s="411"/>
      <c r="BX91" s="411"/>
      <c r="BY91" s="411"/>
      <c r="BZ91" s="411"/>
      <c r="CA91" s="411"/>
      <c r="CB91" s="411"/>
      <c r="CC91" s="411"/>
      <c r="CD91" s="411"/>
      <c r="CE91" s="411"/>
      <c r="CF91" s="411"/>
      <c r="CG91" s="411"/>
      <c r="CH91" s="411"/>
      <c r="CI91" s="411"/>
      <c r="CJ91" s="411"/>
      <c r="CK91" s="411"/>
      <c r="CL91" s="411"/>
      <c r="CM91" s="411"/>
      <c r="CN91" s="411"/>
      <c r="CO91" s="411"/>
      <c r="CP91" s="411"/>
      <c r="CQ91" s="411"/>
      <c r="CR91" s="411"/>
      <c r="CS91" s="411"/>
      <c r="CT91" s="411"/>
      <c r="CU91" s="411"/>
      <c r="CV91" s="411"/>
      <c r="CW91" s="411"/>
      <c r="CX91" s="411"/>
      <c r="CY91" s="411"/>
      <c r="CZ91" s="411"/>
      <c r="DA91" s="411"/>
      <c r="DB91" s="411"/>
      <c r="DC91" s="411"/>
      <c r="DD91" s="411"/>
      <c r="DE91" s="411"/>
      <c r="DF91" s="411"/>
      <c r="DG91" s="411"/>
      <c r="DH91" s="411"/>
      <c r="DI91" s="411"/>
      <c r="DJ91" s="411"/>
      <c r="DK91" s="411"/>
      <c r="DL91" s="411"/>
      <c r="DM91" s="411"/>
      <c r="DN91" s="411"/>
      <c r="DO91" s="411"/>
      <c r="DP91" s="411"/>
      <c r="DQ91" s="411"/>
      <c r="DR91" s="411"/>
      <c r="DS91" s="411"/>
      <c r="DT91" s="411"/>
      <c r="DU91" s="411"/>
      <c r="DV91" s="411"/>
      <c r="DW91" s="411"/>
      <c r="DX91" s="411"/>
      <c r="DY91" s="411"/>
      <c r="DZ91" s="411"/>
      <c r="EA91" s="411"/>
      <c r="EB91" s="411"/>
      <c r="EC91" s="411"/>
      <c r="ED91" s="411"/>
      <c r="EE91" s="411"/>
      <c r="EF91" s="411"/>
      <c r="EG91" s="411"/>
      <c r="EH91" s="411"/>
      <c r="EI91" s="411"/>
      <c r="EJ91" s="411"/>
      <c r="EK91" s="411"/>
      <c r="EL91" s="411"/>
      <c r="EM91" s="411"/>
      <c r="EN91" s="411"/>
      <c r="EO91" s="411"/>
      <c r="EP91" s="411"/>
      <c r="EQ91" s="411"/>
      <c r="ER91" s="411"/>
      <c r="ES91" s="411"/>
      <c r="ET91" s="411"/>
      <c r="EU91" s="411"/>
      <c r="EV91" s="411"/>
      <c r="EW91" s="411"/>
      <c r="EX91" s="411"/>
      <c r="EY91" s="411"/>
      <c r="EZ91" s="411"/>
      <c r="FA91" s="411"/>
      <c r="FB91" s="411"/>
      <c r="FC91" s="411"/>
      <c r="FD91" s="411"/>
      <c r="FE91" s="411"/>
      <c r="FF91" s="411"/>
      <c r="FG91" s="411"/>
      <c r="FH91" s="411"/>
      <c r="FI91" s="411"/>
      <c r="FJ91" s="411"/>
      <c r="FK91" s="411"/>
      <c r="FL91" s="411"/>
      <c r="FM91" s="411"/>
      <c r="FN91" s="411"/>
      <c r="FO91" s="411"/>
      <c r="FP91" s="411"/>
      <c r="FQ91" s="411"/>
      <c r="FR91" s="411"/>
      <c r="FS91" s="411"/>
      <c r="FT91" s="411"/>
      <c r="FU91" s="411"/>
      <c r="FV91" s="411"/>
      <c r="FW91" s="411"/>
      <c r="FX91" s="411"/>
      <c r="FY91" s="411"/>
      <c r="FZ91" s="411"/>
      <c r="GA91" s="411"/>
      <c r="GB91" s="411"/>
      <c r="GC91" s="411"/>
      <c r="GD91" s="411"/>
      <c r="GE91" s="411"/>
      <c r="GF91" s="411"/>
      <c r="GG91" s="411"/>
      <c r="GH91" s="411"/>
      <c r="GI91" s="411"/>
      <c r="GJ91" s="411"/>
      <c r="GK91" s="411"/>
      <c r="GL91" s="411"/>
      <c r="GM91" s="411"/>
      <c r="GN91" s="411"/>
      <c r="GO91" s="411"/>
      <c r="GP91" s="411"/>
      <c r="GQ91" s="411"/>
      <c r="GR91" s="411"/>
      <c r="GS91" s="411"/>
      <c r="GT91" s="411"/>
      <c r="GU91" s="411"/>
      <c r="GV91" s="411"/>
      <c r="GW91" s="411"/>
      <c r="GX91" s="411"/>
      <c r="GY91" s="411"/>
      <c r="GZ91" s="411"/>
      <c r="HA91" s="411"/>
      <c r="HB91" s="411"/>
      <c r="HC91" s="411"/>
      <c r="HD91" s="411"/>
      <c r="HE91" s="411"/>
      <c r="HF91" s="411"/>
      <c r="HG91" s="411"/>
      <c r="HH91" s="411"/>
      <c r="HI91" s="411"/>
      <c r="HJ91" s="411"/>
      <c r="HK91" s="411"/>
      <c r="HL91" s="411"/>
      <c r="HM91" s="411"/>
      <c r="HN91" s="411"/>
      <c r="HO91" s="411"/>
      <c r="HP91" s="411"/>
      <c r="HQ91" s="411"/>
      <c r="HR91" s="411"/>
      <c r="HS91" s="411"/>
      <c r="HT91" s="411"/>
      <c r="HU91" s="411"/>
      <c r="HV91" s="411"/>
      <c r="HW91" s="411"/>
      <c r="HX91" s="411"/>
      <c r="HY91" s="411"/>
      <c r="HZ91" s="411"/>
      <c r="IA91" s="411"/>
      <c r="IB91" s="411"/>
      <c r="IC91" s="411"/>
      <c r="ID91" s="411"/>
      <c r="IE91" s="411"/>
      <c r="IF91" s="411"/>
      <c r="IG91" s="411"/>
      <c r="IH91" s="411"/>
      <c r="II91" s="411"/>
      <c r="IJ91" s="411"/>
      <c r="IK91" s="411"/>
      <c r="IL91" s="411"/>
      <c r="IM91" s="411"/>
      <c r="IN91" s="411"/>
      <c r="IO91" s="411"/>
      <c r="IP91" s="411"/>
      <c r="IQ91" s="411"/>
      <c r="IR91" s="411"/>
      <c r="IS91" s="411"/>
      <c r="IT91" s="411"/>
      <c r="IU91" s="411"/>
      <c r="IV91" s="411"/>
      <c r="IW91" s="411"/>
      <c r="IX91" s="411"/>
      <c r="IY91" s="411"/>
      <c r="IZ91" s="411"/>
      <c r="JA91" s="411"/>
      <c r="JB91" s="411"/>
      <c r="JC91" s="411"/>
      <c r="JD91" s="411"/>
      <c r="JE91" s="411"/>
      <c r="JF91" s="411"/>
      <c r="JG91" s="411"/>
      <c r="JH91" s="411"/>
      <c r="JI91" s="411"/>
      <c r="JJ91" s="411"/>
      <c r="JK91" s="411"/>
      <c r="JL91" s="411"/>
      <c r="JM91" s="411"/>
      <c r="JN91" s="411"/>
      <c r="JO91" s="411"/>
      <c r="JP91" s="411"/>
      <c r="JQ91" s="411"/>
      <c r="JR91" s="411"/>
      <c r="JS91" s="411"/>
      <c r="JT91" s="411"/>
      <c r="JU91" s="411"/>
      <c r="JV91" s="411"/>
      <c r="JW91" s="411"/>
      <c r="JX91" s="411"/>
      <c r="JY91" s="411"/>
      <c r="JZ91" s="411"/>
      <c r="KA91" s="411"/>
      <c r="KB91" s="411"/>
      <c r="KC91" s="411"/>
      <c r="KD91" s="411"/>
      <c r="KE91" s="411"/>
      <c r="KF91" s="411"/>
      <c r="KG91" s="411"/>
      <c r="KH91" s="411"/>
      <c r="KI91" s="411"/>
      <c r="KJ91" s="411"/>
      <c r="KK91" s="411"/>
      <c r="KL91" s="411"/>
      <c r="KM91" s="411"/>
      <c r="KN91" s="411"/>
      <c r="KO91" s="411"/>
      <c r="KP91" s="411"/>
      <c r="KQ91" s="411"/>
      <c r="KR91" s="411"/>
      <c r="KS91" s="411"/>
      <c r="KT91" s="411"/>
      <c r="KU91" s="411"/>
      <c r="KV91" s="411"/>
      <c r="KW91" s="411"/>
      <c r="KX91" s="411"/>
      <c r="KY91" s="411"/>
      <c r="KZ91" s="411"/>
      <c r="LA91" s="411"/>
      <c r="LB91" s="411"/>
      <c r="LC91" s="411"/>
      <c r="LD91" s="411"/>
      <c r="LE91" s="411"/>
      <c r="LF91" s="411"/>
      <c r="LG91" s="411"/>
      <c r="LH91" s="411"/>
      <c r="LI91" s="411"/>
      <c r="LJ91" s="411"/>
      <c r="LK91" s="411"/>
      <c r="LL91" s="411"/>
      <c r="LM91" s="411"/>
      <c r="LN91" s="411"/>
      <c r="LO91" s="411"/>
      <c r="LP91" s="411"/>
      <c r="LQ91" s="411"/>
      <c r="LR91" s="411"/>
      <c r="LS91" s="411"/>
      <c r="LT91" s="411"/>
      <c r="LU91" s="411"/>
      <c r="LV91" s="411"/>
      <c r="LW91" s="411"/>
      <c r="LX91" s="411"/>
      <c r="LY91" s="411"/>
      <c r="LZ91" s="411"/>
      <c r="MA91" s="411"/>
      <c r="MB91" s="411"/>
      <c r="MC91" s="411"/>
      <c r="MD91" s="411"/>
      <c r="ME91" s="411"/>
      <c r="MF91" s="411"/>
      <c r="MG91" s="411"/>
      <c r="MH91" s="411"/>
      <c r="MI91" s="411"/>
      <c r="MJ91" s="411"/>
      <c r="MK91" s="411"/>
      <c r="ML91" s="411"/>
      <c r="MM91" s="411"/>
      <c r="MN91" s="411"/>
    </row>
    <row r="92" spans="1:352" ht="30" customHeight="1">
      <c r="B92" s="427"/>
      <c r="C92" s="427"/>
      <c r="D92" s="715" t="s">
        <v>201</v>
      </c>
      <c r="E92" s="471">
        <f>IFERROR((1/(1-E90)),"")</f>
        <v>1.1111111111111112</v>
      </c>
      <c r="F92" s="471">
        <f t="shared" ref="F92:G92" si="6">IFERROR((1/(1-F90)),"")</f>
        <v>1.1111111111111112</v>
      </c>
      <c r="G92" s="471">
        <f t="shared" si="6"/>
        <v>1.1111111111111112</v>
      </c>
      <c r="H92" s="471">
        <f t="shared" ref="H92:L92" si="7">IFERROR((1/(1-H90)),"")</f>
        <v>1.1111111111111112</v>
      </c>
      <c r="I92" s="471">
        <f t="shared" si="7"/>
        <v>1.1111111111111112</v>
      </c>
      <c r="J92" s="471">
        <f t="shared" si="7"/>
        <v>1.1111111111111112</v>
      </c>
      <c r="K92" s="471">
        <f t="shared" si="7"/>
        <v>1.1111111111111112</v>
      </c>
      <c r="L92" s="471">
        <f t="shared" si="7"/>
        <v>1.1111111111111112</v>
      </c>
      <c r="M92" s="1026" t="s">
        <v>71</v>
      </c>
      <c r="N92" s="976"/>
      <c r="O92" s="427"/>
      <c r="P92" s="427"/>
      <c r="R92" s="421"/>
      <c r="S92" s="397"/>
      <c r="T92" s="398"/>
      <c r="U92" s="395"/>
      <c r="V92" s="395"/>
      <c r="X92" s="355"/>
      <c r="Y92" s="723"/>
      <c r="AA92" s="723"/>
      <c r="AC92" s="723"/>
    </row>
    <row r="93" spans="1:352" ht="30" customHeight="1">
      <c r="B93" s="427"/>
      <c r="C93" s="427"/>
      <c r="D93" s="715" t="s">
        <v>202</v>
      </c>
      <c r="E93" s="717">
        <v>0.25</v>
      </c>
      <c r="F93" s="717">
        <v>0.25</v>
      </c>
      <c r="G93" s="717">
        <v>0.25</v>
      </c>
      <c r="H93" s="717">
        <v>0.25</v>
      </c>
      <c r="I93" s="717">
        <v>0.25</v>
      </c>
      <c r="J93" s="717">
        <v>0.25</v>
      </c>
      <c r="K93" s="717">
        <v>0.25</v>
      </c>
      <c r="L93" s="717">
        <v>0.25</v>
      </c>
      <c r="M93" s="965" t="s">
        <v>203</v>
      </c>
      <c r="N93" s="966"/>
      <c r="O93" s="427"/>
      <c r="P93" s="427"/>
      <c r="R93" s="421"/>
      <c r="S93" s="397"/>
      <c r="T93" s="398"/>
      <c r="U93" s="395"/>
      <c r="V93" s="395"/>
      <c r="X93" s="355"/>
      <c r="Y93" s="723"/>
      <c r="AA93" s="723"/>
      <c r="AC93" s="723"/>
    </row>
    <row r="94" spans="1:352" ht="30" customHeight="1">
      <c r="B94" s="427"/>
      <c r="C94" s="427"/>
      <c r="D94" s="715" t="s">
        <v>204</v>
      </c>
      <c r="E94" s="474">
        <v>0.03</v>
      </c>
      <c r="F94" s="474">
        <v>0.03</v>
      </c>
      <c r="G94" s="474">
        <v>0.03</v>
      </c>
      <c r="H94" s="474">
        <v>0.03</v>
      </c>
      <c r="I94" s="474">
        <v>0.03</v>
      </c>
      <c r="J94" s="474">
        <v>0.03</v>
      </c>
      <c r="K94" s="474">
        <v>0.03</v>
      </c>
      <c r="L94" s="474">
        <v>0.03</v>
      </c>
      <c r="M94" s="965" t="s">
        <v>205</v>
      </c>
      <c r="N94" s="966"/>
      <c r="O94" s="427"/>
      <c r="P94" s="427"/>
      <c r="R94" s="421"/>
      <c r="S94" s="399"/>
      <c r="T94" s="392"/>
      <c r="U94" s="398"/>
      <c r="V94" s="398"/>
      <c r="X94" s="355"/>
      <c r="Y94" s="723"/>
      <c r="AA94" s="723"/>
      <c r="AC94" s="723"/>
    </row>
    <row r="95" spans="1:352" ht="30" customHeight="1">
      <c r="B95" s="427"/>
      <c r="C95" s="427"/>
      <c r="D95" s="715" t="s">
        <v>206</v>
      </c>
      <c r="E95" s="717">
        <v>7.0000000000000007E-2</v>
      </c>
      <c r="F95" s="717">
        <v>7.0000000000000007E-2</v>
      </c>
      <c r="G95" s="717">
        <v>7.0000000000000007E-2</v>
      </c>
      <c r="H95" s="717">
        <v>7.0000000000000007E-2</v>
      </c>
      <c r="I95" s="717">
        <v>7.0000000000000007E-2</v>
      </c>
      <c r="J95" s="717">
        <v>7.0000000000000007E-2</v>
      </c>
      <c r="K95" s="717">
        <v>7.0000000000000007E-2</v>
      </c>
      <c r="L95" s="717">
        <v>7.0000000000000007E-2</v>
      </c>
      <c r="M95" s="965" t="s">
        <v>205</v>
      </c>
      <c r="N95" s="966"/>
      <c r="O95" s="427"/>
      <c r="P95" s="427"/>
      <c r="R95" s="421"/>
      <c r="S95" s="390"/>
      <c r="T95" s="400"/>
      <c r="U95" s="392"/>
      <c r="V95" s="392"/>
      <c r="X95" s="355"/>
      <c r="Y95" s="723"/>
      <c r="AA95" s="723"/>
      <c r="AC95" s="723"/>
    </row>
    <row r="96" spans="1:352" ht="30" customHeight="1">
      <c r="B96" s="427"/>
      <c r="C96" s="427"/>
      <c r="D96" s="715" t="s">
        <v>207</v>
      </c>
      <c r="E96" s="683">
        <v>0.8</v>
      </c>
      <c r="F96" s="683">
        <v>0.8</v>
      </c>
      <c r="G96" s="683">
        <v>0.8</v>
      </c>
      <c r="H96" s="683">
        <v>0.8</v>
      </c>
      <c r="I96" s="683">
        <v>0.8</v>
      </c>
      <c r="J96" s="683">
        <v>0.8</v>
      </c>
      <c r="K96" s="683">
        <v>0.8</v>
      </c>
      <c r="L96" s="683">
        <v>0.8</v>
      </c>
      <c r="M96" s="965" t="s">
        <v>208</v>
      </c>
      <c r="N96" s="966"/>
      <c r="O96" s="427"/>
      <c r="P96" s="427"/>
      <c r="R96" s="421"/>
      <c r="S96" s="401"/>
      <c r="T96" s="402"/>
      <c r="U96" s="400"/>
      <c r="V96" s="400"/>
      <c r="X96" s="355"/>
      <c r="Y96" s="723"/>
      <c r="AA96" s="723"/>
      <c r="AC96" s="723"/>
    </row>
    <row r="97" spans="2:36" ht="30" customHeight="1">
      <c r="B97" s="427"/>
      <c r="C97" s="427"/>
      <c r="D97" s="715" t="s">
        <v>209</v>
      </c>
      <c r="E97" s="475">
        <v>100</v>
      </c>
      <c r="F97" s="475">
        <v>100</v>
      </c>
      <c r="G97" s="475">
        <v>100</v>
      </c>
      <c r="H97" s="475">
        <v>100</v>
      </c>
      <c r="I97" s="475">
        <v>100</v>
      </c>
      <c r="J97" s="475">
        <v>100</v>
      </c>
      <c r="K97" s="475">
        <v>100</v>
      </c>
      <c r="L97" s="475">
        <v>100</v>
      </c>
      <c r="M97" s="967" t="s">
        <v>210</v>
      </c>
      <c r="N97" s="968"/>
      <c r="O97" s="427"/>
      <c r="P97" s="427"/>
      <c r="R97" s="421"/>
      <c r="S97" s="403"/>
      <c r="T97" s="383"/>
      <c r="U97" s="402"/>
      <c r="V97" s="402"/>
      <c r="X97" s="355"/>
      <c r="Y97" s="723"/>
      <c r="AA97" s="723"/>
      <c r="AC97" s="723"/>
    </row>
    <row r="98" spans="2:36" ht="8.25" customHeight="1">
      <c r="B98" s="427"/>
      <c r="C98" s="427"/>
      <c r="D98" s="716"/>
      <c r="E98" s="427"/>
      <c r="F98" s="427"/>
      <c r="G98" s="427"/>
      <c r="H98" s="427"/>
      <c r="I98" s="716"/>
      <c r="J98" s="427"/>
      <c r="K98" s="427"/>
      <c r="L98" s="427"/>
      <c r="M98" s="718"/>
      <c r="N98" s="718"/>
      <c r="O98" s="427"/>
      <c r="P98" s="427"/>
      <c r="T98" s="722"/>
      <c r="X98" s="355"/>
      <c r="Z98" s="383"/>
      <c r="AD98" s="383"/>
      <c r="AH98" s="383"/>
    </row>
    <row r="99" spans="2:36" ht="50.25" customHeight="1">
      <c r="B99" s="427"/>
      <c r="C99" s="427"/>
      <c r="D99" s="476" t="s">
        <v>211</v>
      </c>
      <c r="E99" s="422"/>
      <c r="F99" s="422"/>
      <c r="G99" s="422"/>
      <c r="H99" s="422"/>
      <c r="I99" s="422"/>
      <c r="J99" s="422"/>
      <c r="K99" s="422"/>
      <c r="L99" s="422"/>
      <c r="M99" s="422"/>
      <c r="N99" s="415"/>
      <c r="O99" s="427"/>
      <c r="P99" s="427"/>
      <c r="S99" s="732"/>
      <c r="T99" s="722"/>
      <c r="U99" s="722"/>
      <c r="V99" s="722"/>
      <c r="X99" s="722"/>
      <c r="Z99" s="1024"/>
      <c r="AA99" s="1024"/>
      <c r="AB99" s="1024"/>
      <c r="AC99" s="1024"/>
      <c r="AD99" s="1024"/>
      <c r="AE99" s="1024"/>
      <c r="AF99" s="1024"/>
      <c r="AG99" s="1024"/>
      <c r="AH99" s="1024"/>
      <c r="AI99" s="1024"/>
      <c r="AJ99" s="1024"/>
    </row>
    <row r="100" spans="2:36" ht="8.25" customHeight="1">
      <c r="B100" s="427"/>
      <c r="C100" s="427"/>
      <c r="D100" s="430"/>
      <c r="E100" s="430"/>
      <c r="F100" s="430"/>
      <c r="G100" s="430"/>
      <c r="H100" s="427"/>
      <c r="I100" s="430"/>
      <c r="J100" s="430"/>
      <c r="K100" s="430"/>
      <c r="L100" s="430"/>
      <c r="M100" s="718"/>
      <c r="N100" s="718"/>
      <c r="O100" s="427"/>
      <c r="P100" s="427"/>
      <c r="S100" s="732"/>
      <c r="T100" s="404"/>
      <c r="U100" s="722"/>
      <c r="V100" s="722"/>
      <c r="X100" s="355"/>
      <c r="Z100" s="722"/>
      <c r="AA100" s="722"/>
      <c r="AB100" s="722"/>
      <c r="AD100" s="722"/>
      <c r="AE100" s="722"/>
      <c r="AF100" s="722"/>
      <c r="AH100" s="722"/>
      <c r="AI100" s="722"/>
      <c r="AJ100" s="722"/>
    </row>
    <row r="101" spans="2:36" ht="59.25" customHeight="1">
      <c r="B101" s="427"/>
      <c r="C101" s="427"/>
      <c r="D101" s="385" t="s">
        <v>212</v>
      </c>
      <c r="E101" s="691">
        <v>5000</v>
      </c>
      <c r="F101" s="692">
        <v>5000</v>
      </c>
      <c r="G101" s="691">
        <v>5000</v>
      </c>
      <c r="H101" s="692">
        <v>5000</v>
      </c>
      <c r="I101" s="691">
        <v>5000</v>
      </c>
      <c r="J101" s="692">
        <v>5000</v>
      </c>
      <c r="K101" s="691">
        <v>5000</v>
      </c>
      <c r="L101" s="691">
        <v>5000</v>
      </c>
      <c r="M101" s="969" t="s">
        <v>213</v>
      </c>
      <c r="N101" s="966"/>
      <c r="O101" s="427"/>
      <c r="P101" s="427"/>
      <c r="S101" s="405"/>
      <c r="T101" s="406"/>
      <c r="U101" s="404"/>
      <c r="V101" s="404"/>
      <c r="X101" s="355"/>
      <c r="Y101" s="355"/>
      <c r="Z101" s="1023"/>
      <c r="AA101" s="1023"/>
      <c r="AB101" s="1023"/>
      <c r="AC101" s="1023"/>
      <c r="AD101" s="1023"/>
      <c r="AE101" s="1023"/>
      <c r="AF101" s="1023"/>
      <c r="AG101" s="1023"/>
      <c r="AH101" s="1023"/>
      <c r="AI101" s="1023"/>
      <c r="AJ101" s="1023"/>
    </row>
    <row r="102" spans="2:36" ht="59.25" customHeight="1">
      <c r="B102" s="427"/>
      <c r="C102" s="427"/>
      <c r="D102" s="385" t="s">
        <v>214</v>
      </c>
      <c r="E102" s="682">
        <v>0.8</v>
      </c>
      <c r="F102" s="682">
        <v>0.8</v>
      </c>
      <c r="G102" s="682">
        <v>0.8</v>
      </c>
      <c r="H102" s="682">
        <v>0.8</v>
      </c>
      <c r="I102" s="682">
        <v>0.8</v>
      </c>
      <c r="J102" s="682">
        <v>0.8</v>
      </c>
      <c r="K102" s="682">
        <v>0</v>
      </c>
      <c r="L102" s="682">
        <v>0</v>
      </c>
      <c r="M102" s="969" t="s">
        <v>215</v>
      </c>
      <c r="N102" s="966"/>
      <c r="O102" s="427"/>
      <c r="P102" s="427"/>
      <c r="S102" s="405"/>
      <c r="T102" s="406"/>
      <c r="U102" s="404"/>
      <c r="V102" s="404"/>
      <c r="X102" s="355"/>
      <c r="Y102" s="355"/>
      <c r="Z102" s="721"/>
      <c r="AA102" s="721"/>
      <c r="AB102" s="721"/>
      <c r="AC102" s="721"/>
      <c r="AD102" s="721"/>
      <c r="AE102" s="721"/>
      <c r="AF102" s="721"/>
      <c r="AG102" s="721"/>
      <c r="AH102" s="721"/>
      <c r="AI102" s="721"/>
      <c r="AJ102" s="721"/>
    </row>
    <row r="103" spans="2:36" ht="59.25" customHeight="1">
      <c r="B103" s="427"/>
      <c r="C103" s="427"/>
      <c r="D103" s="1050" t="s">
        <v>216</v>
      </c>
      <c r="E103" s="1052">
        <v>1.32</v>
      </c>
      <c r="F103" s="1052">
        <v>1.32</v>
      </c>
      <c r="G103" s="1052">
        <v>1.32</v>
      </c>
      <c r="H103" s="1052">
        <v>1.23</v>
      </c>
      <c r="I103" s="1052">
        <v>1.23</v>
      </c>
      <c r="J103" s="1052">
        <v>1.23</v>
      </c>
      <c r="K103" s="1052">
        <v>1.32</v>
      </c>
      <c r="L103" s="1052">
        <v>1.23</v>
      </c>
      <c r="M103" s="975" t="s">
        <v>217</v>
      </c>
      <c r="N103" s="976"/>
      <c r="O103" s="438"/>
      <c r="P103" s="427"/>
      <c r="S103" s="407"/>
      <c r="T103" s="408"/>
      <c r="U103" s="406"/>
      <c r="V103" s="406"/>
      <c r="X103" s="355"/>
      <c r="Y103" s="355"/>
      <c r="Z103" s="367"/>
      <c r="AA103" s="367"/>
      <c r="AB103" s="367"/>
      <c r="AC103" s="367"/>
      <c r="AD103" s="367"/>
      <c r="AE103" s="367"/>
      <c r="AF103" s="367"/>
      <c r="AG103" s="367"/>
      <c r="AH103" s="367"/>
      <c r="AI103" s="367"/>
      <c r="AJ103" s="367"/>
    </row>
    <row r="104" spans="2:36" ht="20.25" customHeight="1">
      <c r="B104" s="427"/>
      <c r="C104" s="427"/>
      <c r="D104" s="1051"/>
      <c r="E104" s="1053"/>
      <c r="F104" s="1053"/>
      <c r="G104" s="1053"/>
      <c r="H104" s="1053"/>
      <c r="I104" s="1053"/>
      <c r="J104" s="1053"/>
      <c r="K104" s="1053"/>
      <c r="L104" s="1053"/>
      <c r="M104" s="963" t="s">
        <v>86</v>
      </c>
      <c r="N104" s="964"/>
      <c r="O104" s="427"/>
      <c r="P104" s="427"/>
      <c r="S104" s="407"/>
      <c r="U104" s="406"/>
      <c r="V104" s="408"/>
      <c r="X104" s="426"/>
      <c r="Y104" s="426"/>
      <c r="AB104" s="355"/>
    </row>
    <row r="105" spans="2:36">
      <c r="B105" s="427"/>
      <c r="C105" s="427"/>
      <c r="D105" s="427"/>
      <c r="E105" s="427"/>
      <c r="F105" s="427"/>
      <c r="G105" s="427"/>
      <c r="H105" s="427"/>
      <c r="I105" s="427"/>
      <c r="J105" s="427"/>
      <c r="K105" s="427"/>
      <c r="L105" s="427"/>
      <c r="M105" s="427"/>
      <c r="N105" s="427"/>
      <c r="O105" s="427"/>
      <c r="P105" s="427"/>
    </row>
    <row r="106" spans="2:36" ht="20.25" customHeight="1" outlineLevel="1">
      <c r="D106" s="411"/>
      <c r="E106" s="411"/>
      <c r="F106" s="411"/>
      <c r="G106" s="411"/>
      <c r="H106" s="411"/>
      <c r="I106" s="411"/>
      <c r="J106" s="411"/>
      <c r="K106" s="411"/>
      <c r="L106" s="411"/>
      <c r="M106" s="411"/>
      <c r="N106" s="411"/>
      <c r="O106" s="411"/>
    </row>
    <row r="107" spans="2:36" ht="20.25" customHeight="1" outlineLevel="1">
      <c r="D107" s="411"/>
      <c r="E107" s="411"/>
      <c r="F107" s="411"/>
      <c r="G107" s="411"/>
      <c r="H107" s="411"/>
      <c r="I107" s="411"/>
      <c r="J107" s="411"/>
      <c r="K107" s="411"/>
      <c r="L107" s="411"/>
      <c r="M107" s="411"/>
      <c r="N107" s="411"/>
      <c r="O107" s="411"/>
    </row>
    <row r="108" spans="2:36" ht="20.25" customHeight="1" outlineLevel="1">
      <c r="D108" s="411"/>
      <c r="E108" s="411"/>
      <c r="F108" s="411"/>
      <c r="G108" s="411"/>
      <c r="H108" s="411"/>
      <c r="I108" s="411"/>
      <c r="J108" s="411"/>
      <c r="K108" s="411"/>
      <c r="L108" s="411"/>
      <c r="M108" s="411"/>
      <c r="N108" s="411"/>
      <c r="O108" s="411"/>
    </row>
    <row r="109" spans="2:36" ht="20.25" customHeight="1" outlineLevel="1">
      <c r="D109" s="411"/>
      <c r="E109" s="411"/>
      <c r="F109" s="411"/>
      <c r="G109" s="411"/>
      <c r="H109" s="411"/>
      <c r="I109" s="411"/>
      <c r="J109" s="411"/>
      <c r="K109" s="411"/>
      <c r="L109" s="411"/>
      <c r="M109" s="411"/>
      <c r="N109" s="411"/>
      <c r="O109" s="411"/>
    </row>
    <row r="110" spans="2:36" ht="20.25" customHeight="1" outlineLevel="1">
      <c r="D110" s="411"/>
      <c r="E110" s="411"/>
      <c r="F110" s="411"/>
      <c r="G110" s="411"/>
      <c r="H110" s="411"/>
      <c r="I110" s="411"/>
      <c r="J110" s="411"/>
      <c r="K110" s="411"/>
      <c r="L110" s="411"/>
      <c r="M110" s="411"/>
      <c r="N110" s="411"/>
      <c r="O110" s="411"/>
    </row>
    <row r="111" spans="2:36" ht="20.25" customHeight="1" outlineLevel="1">
      <c r="D111" s="411"/>
      <c r="E111" s="411"/>
      <c r="F111" s="411"/>
      <c r="G111" s="411"/>
      <c r="H111" s="411"/>
      <c r="I111" s="411"/>
      <c r="J111" s="411"/>
      <c r="K111" s="411"/>
      <c r="L111" s="411"/>
      <c r="M111" s="411"/>
      <c r="N111" s="411"/>
      <c r="O111" s="411"/>
    </row>
    <row r="112" spans="2:36" ht="20.25" customHeight="1" outlineLevel="1">
      <c r="D112" s="411"/>
      <c r="E112" s="411"/>
      <c r="F112" s="411"/>
      <c r="G112" s="411"/>
      <c r="H112" s="411"/>
      <c r="I112" s="411"/>
      <c r="J112" s="411"/>
      <c r="K112" s="411"/>
      <c r="L112" s="411"/>
      <c r="M112" s="411"/>
      <c r="N112" s="411"/>
      <c r="O112" s="411"/>
    </row>
    <row r="113" spans="4:15" ht="20.25" customHeight="1" outlineLevel="1">
      <c r="D113" s="411"/>
      <c r="E113" s="411"/>
      <c r="F113" s="411"/>
      <c r="G113" s="411"/>
      <c r="H113" s="411"/>
      <c r="I113" s="411"/>
      <c r="J113" s="411"/>
      <c r="K113" s="411"/>
      <c r="L113" s="411"/>
      <c r="M113" s="411"/>
      <c r="N113" s="411"/>
      <c r="O113" s="411"/>
    </row>
    <row r="114" spans="4:15" ht="20.25" customHeight="1" outlineLevel="1">
      <c r="D114" s="411"/>
      <c r="E114" s="411"/>
      <c r="F114" s="411"/>
      <c r="G114" s="411"/>
      <c r="H114" s="411"/>
      <c r="I114" s="411"/>
      <c r="J114" s="411"/>
      <c r="K114" s="411"/>
      <c r="L114" s="411"/>
      <c r="M114" s="411"/>
      <c r="N114" s="411"/>
      <c r="O114" s="411"/>
    </row>
    <row r="115" spans="4:15" ht="20.25" customHeight="1" outlineLevel="1">
      <c r="D115" s="411"/>
      <c r="E115" s="411"/>
      <c r="F115" s="411"/>
      <c r="G115" s="411"/>
      <c r="H115" s="411"/>
      <c r="I115" s="411"/>
      <c r="J115" s="411"/>
      <c r="K115" s="411"/>
      <c r="L115" s="411"/>
      <c r="M115" s="411"/>
      <c r="N115" s="411"/>
      <c r="O115" s="411"/>
    </row>
    <row r="116" spans="4:15" ht="29.25" customHeight="1">
      <c r="D116" s="411"/>
      <c r="E116" s="411"/>
      <c r="F116" s="411"/>
      <c r="G116" s="411"/>
      <c r="H116" s="411"/>
      <c r="I116" s="411"/>
      <c r="J116" s="411"/>
      <c r="K116" s="411"/>
      <c r="L116" s="411"/>
      <c r="M116" s="411"/>
      <c r="N116" s="411"/>
      <c r="O116" s="411"/>
    </row>
    <row r="117" spans="4:15" ht="20.25" customHeight="1" outlineLevel="1">
      <c r="D117" s="411"/>
      <c r="E117" s="411"/>
      <c r="F117" s="411"/>
      <c r="G117" s="411"/>
      <c r="H117" s="411"/>
      <c r="I117" s="411"/>
      <c r="J117" s="411"/>
      <c r="K117" s="411"/>
      <c r="L117" s="411"/>
      <c r="M117" s="411"/>
      <c r="N117" s="411"/>
      <c r="O117" s="411"/>
    </row>
    <row r="118" spans="4:15" ht="20.25" customHeight="1" outlineLevel="1">
      <c r="D118" s="411"/>
      <c r="E118" s="411"/>
      <c r="F118" s="411"/>
      <c r="G118" s="411"/>
      <c r="H118" s="411"/>
      <c r="I118" s="411"/>
      <c r="J118" s="411"/>
      <c r="K118" s="411"/>
      <c r="L118" s="411"/>
      <c r="M118" s="411"/>
      <c r="N118" s="411"/>
      <c r="O118" s="411"/>
    </row>
    <row r="119" spans="4:15" ht="20.25" customHeight="1" outlineLevel="1">
      <c r="D119" s="411"/>
      <c r="E119" s="411"/>
      <c r="F119" s="411"/>
      <c r="G119" s="411"/>
      <c r="H119" s="411"/>
      <c r="I119" s="411"/>
      <c r="J119" s="411"/>
      <c r="K119" s="411"/>
      <c r="L119" s="411"/>
      <c r="M119" s="411"/>
      <c r="N119" s="411"/>
      <c r="O119" s="411"/>
    </row>
    <row r="120" spans="4:15" ht="20.25" customHeight="1" outlineLevel="1">
      <c r="D120" s="411"/>
      <c r="E120" s="411"/>
      <c r="F120" s="411"/>
      <c r="G120" s="411"/>
      <c r="H120" s="411"/>
      <c r="I120" s="411"/>
      <c r="J120" s="411"/>
      <c r="K120" s="411"/>
      <c r="L120" s="411"/>
      <c r="M120" s="411"/>
      <c r="N120" s="411"/>
      <c r="O120" s="411"/>
    </row>
    <row r="121" spans="4:15" ht="20.25" customHeight="1" outlineLevel="1">
      <c r="D121" s="411"/>
      <c r="E121" s="411"/>
      <c r="F121" s="411"/>
      <c r="G121" s="411"/>
      <c r="H121" s="411"/>
      <c r="I121" s="411"/>
      <c r="J121" s="411"/>
      <c r="K121" s="411"/>
      <c r="L121" s="411"/>
      <c r="M121" s="411"/>
      <c r="N121" s="411"/>
      <c r="O121" s="411"/>
    </row>
    <row r="122" spans="4:15" ht="20.25" customHeight="1" outlineLevel="1">
      <c r="D122" s="411"/>
      <c r="E122" s="411"/>
      <c r="F122" s="411"/>
      <c r="G122" s="411"/>
      <c r="H122" s="411"/>
      <c r="I122" s="411"/>
      <c r="J122" s="411"/>
      <c r="K122" s="411"/>
      <c r="L122" s="411"/>
      <c r="M122" s="411"/>
      <c r="N122" s="411"/>
      <c r="O122" s="411"/>
    </row>
    <row r="123" spans="4:15" ht="20.25" customHeight="1" outlineLevel="1">
      <c r="D123" s="411"/>
      <c r="E123" s="411"/>
      <c r="F123" s="411"/>
      <c r="G123" s="411"/>
      <c r="H123" s="411"/>
      <c r="I123" s="411"/>
      <c r="J123" s="411"/>
      <c r="K123" s="411"/>
      <c r="L123" s="411"/>
      <c r="M123" s="411"/>
      <c r="N123" s="411"/>
      <c r="O123" s="411"/>
    </row>
    <row r="124" spans="4:15" ht="20.25" customHeight="1" outlineLevel="1">
      <c r="D124" s="411"/>
      <c r="E124" s="411"/>
      <c r="F124" s="411"/>
      <c r="G124" s="411"/>
      <c r="H124" s="411"/>
      <c r="I124" s="411"/>
      <c r="J124" s="411"/>
      <c r="K124" s="411"/>
      <c r="L124" s="411"/>
      <c r="M124" s="411"/>
      <c r="N124" s="411"/>
      <c r="O124" s="411"/>
    </row>
    <row r="125" spans="4:15" ht="20.25" customHeight="1" outlineLevel="1">
      <c r="D125" s="411"/>
      <c r="E125" s="411"/>
      <c r="F125" s="411"/>
      <c r="G125" s="411"/>
      <c r="H125" s="411"/>
      <c r="I125" s="411"/>
      <c r="J125" s="411"/>
      <c r="K125" s="411"/>
      <c r="L125" s="411"/>
      <c r="M125" s="411"/>
      <c r="N125" s="411"/>
      <c r="O125" s="411"/>
    </row>
    <row r="126" spans="4:15" ht="20.25" customHeight="1" outlineLevel="1">
      <c r="D126" s="411"/>
      <c r="E126" s="411"/>
      <c r="F126" s="411"/>
      <c r="G126" s="411"/>
      <c r="H126" s="411"/>
      <c r="I126" s="411"/>
      <c r="J126" s="411"/>
      <c r="K126" s="411"/>
      <c r="L126" s="411"/>
      <c r="M126" s="411"/>
      <c r="N126" s="411"/>
      <c r="O126" s="411"/>
    </row>
    <row r="127" spans="4:15" ht="18" customHeight="1">
      <c r="D127" s="411"/>
      <c r="E127" s="411"/>
      <c r="F127" s="411"/>
      <c r="G127" s="411"/>
      <c r="H127" s="411"/>
      <c r="I127" s="411"/>
      <c r="J127" s="411"/>
      <c r="K127" s="411"/>
      <c r="L127" s="411"/>
      <c r="M127" s="411"/>
      <c r="N127" s="411"/>
      <c r="O127" s="411"/>
    </row>
    <row r="128" spans="4:15" ht="25.5" customHeight="1">
      <c r="D128" s="411"/>
      <c r="E128" s="411"/>
      <c r="F128" s="411"/>
      <c r="G128" s="411"/>
      <c r="H128" s="411"/>
      <c r="I128" s="411"/>
      <c r="J128" s="411"/>
      <c r="K128" s="411"/>
      <c r="L128" s="411"/>
      <c r="M128" s="411"/>
      <c r="N128" s="411"/>
      <c r="O128" s="411"/>
    </row>
    <row r="129" spans="4:15" ht="18" customHeight="1">
      <c r="D129" s="411"/>
      <c r="E129" s="411"/>
      <c r="F129" s="411"/>
      <c r="G129" s="411"/>
      <c r="H129" s="411"/>
      <c r="I129" s="411"/>
      <c r="J129" s="411"/>
      <c r="K129" s="411"/>
      <c r="L129" s="411"/>
      <c r="M129" s="411"/>
      <c r="N129" s="411"/>
      <c r="O129" s="411"/>
    </row>
    <row r="130" spans="4:15">
      <c r="D130" s="411"/>
      <c r="E130" s="411"/>
      <c r="F130" s="411"/>
      <c r="G130" s="411"/>
      <c r="H130" s="411"/>
      <c r="I130" s="411"/>
      <c r="J130" s="411"/>
      <c r="K130" s="411"/>
      <c r="L130" s="411"/>
      <c r="M130" s="411"/>
      <c r="N130" s="411"/>
      <c r="O130" s="411"/>
    </row>
    <row r="131" spans="4:15" ht="20.25" customHeight="1" outlineLevel="1">
      <c r="D131" s="411"/>
      <c r="E131" s="411"/>
      <c r="F131" s="411"/>
      <c r="G131" s="411"/>
      <c r="H131" s="411"/>
      <c r="I131" s="411"/>
      <c r="J131" s="411"/>
      <c r="K131" s="411"/>
      <c r="L131" s="411"/>
      <c r="M131" s="411"/>
      <c r="N131" s="411"/>
      <c r="O131" s="411"/>
    </row>
    <row r="132" spans="4:15" ht="20.25" customHeight="1" outlineLevel="1">
      <c r="D132" s="411"/>
      <c r="E132" s="411"/>
      <c r="F132" s="411"/>
      <c r="G132" s="411"/>
      <c r="H132" s="411"/>
      <c r="I132" s="411"/>
      <c r="J132" s="411"/>
      <c r="K132" s="411"/>
      <c r="L132" s="411"/>
      <c r="M132" s="411"/>
      <c r="N132" s="411"/>
      <c r="O132" s="411"/>
    </row>
    <row r="133" spans="4:15" ht="20.25" customHeight="1" outlineLevel="1">
      <c r="D133" s="411"/>
      <c r="E133" s="411"/>
      <c r="F133" s="411"/>
      <c r="G133" s="411"/>
      <c r="H133" s="411"/>
      <c r="I133" s="411"/>
      <c r="J133" s="411"/>
      <c r="K133" s="411"/>
      <c r="L133" s="411"/>
      <c r="M133" s="411"/>
      <c r="N133" s="411"/>
      <c r="O133" s="411"/>
    </row>
    <row r="134" spans="4:15" ht="20.25" customHeight="1" outlineLevel="1">
      <c r="D134" s="411"/>
      <c r="E134" s="411"/>
      <c r="F134" s="411"/>
      <c r="G134" s="411"/>
      <c r="H134" s="411"/>
      <c r="I134" s="411"/>
      <c r="J134" s="411"/>
      <c r="K134" s="411"/>
      <c r="L134" s="411"/>
      <c r="M134" s="411"/>
      <c r="N134" s="411"/>
      <c r="O134" s="411"/>
    </row>
    <row r="135" spans="4:15" ht="20.25" customHeight="1" outlineLevel="1">
      <c r="D135" s="411"/>
      <c r="E135" s="411"/>
      <c r="F135" s="411"/>
      <c r="G135" s="411"/>
      <c r="H135" s="411"/>
      <c r="I135" s="411"/>
      <c r="J135" s="411"/>
      <c r="K135" s="411"/>
      <c r="L135" s="411"/>
      <c r="M135" s="411"/>
      <c r="N135" s="411"/>
      <c r="O135" s="411"/>
    </row>
    <row r="136" spans="4:15" ht="20.25" customHeight="1" outlineLevel="1">
      <c r="D136" s="411"/>
      <c r="E136" s="411"/>
      <c r="F136" s="411"/>
      <c r="G136" s="411"/>
      <c r="H136" s="411"/>
      <c r="I136" s="411"/>
      <c r="J136" s="411"/>
      <c r="K136" s="411"/>
      <c r="L136" s="411"/>
      <c r="M136" s="411"/>
      <c r="N136" s="411"/>
      <c r="O136" s="411"/>
    </row>
    <row r="137" spans="4:15" ht="20.25" customHeight="1" outlineLevel="1">
      <c r="D137" s="411"/>
      <c r="E137" s="411"/>
      <c r="F137" s="411"/>
      <c r="G137" s="411"/>
      <c r="H137" s="411"/>
      <c r="I137" s="411"/>
      <c r="J137" s="411"/>
      <c r="K137" s="411"/>
      <c r="L137" s="411"/>
      <c r="M137" s="411"/>
      <c r="N137" s="411"/>
      <c r="O137" s="411"/>
    </row>
    <row r="138" spans="4:15" ht="20.25" customHeight="1" outlineLevel="1">
      <c r="D138" s="411"/>
      <c r="E138" s="411"/>
      <c r="F138" s="411"/>
      <c r="G138" s="411"/>
      <c r="H138" s="411"/>
      <c r="I138" s="411"/>
      <c r="J138" s="411"/>
      <c r="K138" s="411"/>
      <c r="L138" s="411"/>
      <c r="M138" s="411"/>
      <c r="N138" s="411"/>
      <c r="O138" s="411"/>
    </row>
    <row r="139" spans="4:15" ht="20.25" customHeight="1" outlineLevel="1">
      <c r="D139" s="411"/>
      <c r="E139" s="411"/>
      <c r="F139" s="411"/>
      <c r="G139" s="411"/>
      <c r="H139" s="411"/>
      <c r="I139" s="411"/>
      <c r="J139" s="411"/>
      <c r="K139" s="411"/>
      <c r="L139" s="411"/>
      <c r="M139" s="411"/>
      <c r="N139" s="411"/>
      <c r="O139" s="411"/>
    </row>
    <row r="140" spans="4:15" ht="20.25" customHeight="1" outlineLevel="1">
      <c r="D140" s="411"/>
      <c r="E140" s="411"/>
      <c r="F140" s="411"/>
      <c r="G140" s="411"/>
      <c r="H140" s="411"/>
      <c r="I140" s="411"/>
      <c r="J140" s="411"/>
      <c r="K140" s="411"/>
      <c r="L140" s="411"/>
      <c r="M140" s="411"/>
      <c r="N140" s="411"/>
      <c r="O140" s="411"/>
    </row>
    <row r="141" spans="4:15">
      <c r="D141" s="411"/>
      <c r="E141" s="411"/>
      <c r="F141" s="411"/>
      <c r="G141" s="411"/>
      <c r="H141" s="411"/>
      <c r="I141" s="411"/>
      <c r="J141" s="411"/>
      <c r="K141" s="411"/>
      <c r="L141" s="411"/>
      <c r="M141" s="411"/>
      <c r="N141" s="411"/>
      <c r="O141" s="411"/>
    </row>
    <row r="142" spans="4:15" ht="20.25" customHeight="1" outlineLevel="1">
      <c r="D142" s="411"/>
      <c r="E142" s="411"/>
      <c r="F142" s="411"/>
      <c r="G142" s="411"/>
      <c r="H142" s="411"/>
      <c r="I142" s="411"/>
      <c r="J142" s="411"/>
      <c r="K142" s="411"/>
      <c r="L142" s="411"/>
      <c r="M142" s="411"/>
      <c r="N142" s="411"/>
      <c r="O142" s="411"/>
    </row>
    <row r="143" spans="4:15" ht="20.25" customHeight="1" outlineLevel="1">
      <c r="D143" s="411"/>
      <c r="E143" s="411"/>
      <c r="F143" s="411"/>
      <c r="G143" s="411"/>
      <c r="H143" s="411"/>
      <c r="I143" s="411"/>
      <c r="J143" s="411"/>
      <c r="K143" s="411"/>
      <c r="L143" s="411"/>
      <c r="M143" s="411"/>
      <c r="N143" s="411"/>
      <c r="O143" s="411"/>
    </row>
    <row r="144" spans="4:15" ht="20.25" customHeight="1" outlineLevel="1">
      <c r="D144" s="411"/>
      <c r="E144" s="411"/>
      <c r="F144" s="411"/>
      <c r="G144" s="411"/>
      <c r="H144" s="411"/>
      <c r="I144" s="411"/>
      <c r="J144" s="411"/>
      <c r="K144" s="411"/>
      <c r="L144" s="411"/>
      <c r="M144" s="411"/>
      <c r="N144" s="411"/>
      <c r="O144" s="411"/>
    </row>
    <row r="145" spans="4:15" ht="20.25" customHeight="1" outlineLevel="1">
      <c r="D145" s="411"/>
      <c r="E145" s="411"/>
      <c r="F145" s="411"/>
      <c r="G145" s="411"/>
      <c r="H145" s="411"/>
      <c r="I145" s="411"/>
      <c r="J145" s="411"/>
      <c r="K145" s="411"/>
      <c r="L145" s="411"/>
      <c r="M145" s="411"/>
      <c r="N145" s="411"/>
      <c r="O145" s="411"/>
    </row>
    <row r="146" spans="4:15" ht="20.25" customHeight="1" outlineLevel="1">
      <c r="D146" s="411"/>
      <c r="E146" s="411"/>
      <c r="F146" s="411"/>
      <c r="G146" s="411"/>
      <c r="H146" s="411"/>
      <c r="I146" s="411"/>
      <c r="J146" s="411"/>
      <c r="K146" s="411"/>
      <c r="L146" s="411"/>
      <c r="M146" s="411"/>
      <c r="N146" s="411"/>
      <c r="O146" s="411"/>
    </row>
    <row r="147" spans="4:15" ht="20.25" customHeight="1" outlineLevel="1">
      <c r="D147" s="411"/>
      <c r="E147" s="411"/>
      <c r="F147" s="411"/>
      <c r="G147" s="411"/>
      <c r="H147" s="411"/>
      <c r="I147" s="411"/>
      <c r="J147" s="411"/>
      <c r="K147" s="411"/>
      <c r="L147" s="411"/>
      <c r="M147" s="411"/>
      <c r="N147" s="411"/>
      <c r="O147" s="411"/>
    </row>
    <row r="148" spans="4:15" ht="20.25" customHeight="1" outlineLevel="1">
      <c r="D148" s="411"/>
      <c r="E148" s="411"/>
      <c r="F148" s="411"/>
      <c r="G148" s="411"/>
      <c r="H148" s="411"/>
      <c r="I148" s="411"/>
      <c r="J148" s="411"/>
      <c r="K148" s="411"/>
      <c r="L148" s="411"/>
      <c r="M148" s="411"/>
      <c r="N148" s="411"/>
      <c r="O148" s="411"/>
    </row>
    <row r="149" spans="4:15" ht="20.25" customHeight="1" outlineLevel="1">
      <c r="D149" s="411"/>
      <c r="E149" s="411"/>
      <c r="F149" s="411"/>
      <c r="G149" s="411"/>
      <c r="H149" s="411"/>
      <c r="I149" s="411"/>
      <c r="J149" s="411"/>
      <c r="K149" s="411"/>
      <c r="L149" s="411"/>
      <c r="M149" s="411"/>
      <c r="N149" s="411"/>
      <c r="O149" s="411"/>
    </row>
    <row r="150" spans="4:15" ht="20.25" customHeight="1" outlineLevel="1">
      <c r="D150" s="411"/>
      <c r="E150" s="411"/>
      <c r="F150" s="411"/>
      <c r="G150" s="411"/>
      <c r="H150" s="411"/>
      <c r="I150" s="411"/>
      <c r="J150" s="411"/>
      <c r="K150" s="411"/>
      <c r="L150" s="411"/>
      <c r="M150" s="411"/>
      <c r="N150" s="411"/>
      <c r="O150" s="411"/>
    </row>
    <row r="151" spans="4:15" ht="20.25" customHeight="1" outlineLevel="1">
      <c r="D151" s="411"/>
      <c r="E151" s="411"/>
      <c r="F151" s="411"/>
      <c r="G151" s="411"/>
      <c r="H151" s="411"/>
      <c r="I151" s="411"/>
      <c r="J151" s="411"/>
      <c r="K151" s="411"/>
      <c r="L151" s="411"/>
      <c r="M151" s="411"/>
      <c r="N151" s="411"/>
      <c r="O151" s="411"/>
    </row>
    <row r="152" spans="4:15">
      <c r="D152" s="411"/>
      <c r="E152" s="411"/>
      <c r="F152" s="411"/>
      <c r="G152" s="411"/>
      <c r="H152" s="411"/>
      <c r="I152" s="411"/>
      <c r="J152" s="411"/>
      <c r="K152" s="411"/>
      <c r="L152" s="411"/>
      <c r="M152" s="411"/>
      <c r="N152" s="411"/>
      <c r="O152" s="411"/>
    </row>
    <row r="153" spans="4:15" ht="25.5" customHeight="1">
      <c r="D153" s="411"/>
      <c r="E153" s="411"/>
      <c r="F153" s="411"/>
      <c r="G153" s="411"/>
      <c r="H153" s="411"/>
      <c r="I153" s="411"/>
      <c r="J153" s="411"/>
      <c r="K153" s="411"/>
      <c r="L153" s="411"/>
      <c r="M153" s="411"/>
      <c r="N153" s="411"/>
      <c r="O153" s="411"/>
    </row>
    <row r="154" spans="4:15">
      <c r="D154" s="411"/>
      <c r="E154" s="411"/>
      <c r="F154" s="411"/>
      <c r="G154" s="411"/>
      <c r="H154" s="411"/>
      <c r="I154" s="411"/>
      <c r="J154" s="411"/>
      <c r="K154" s="411"/>
      <c r="L154" s="411"/>
      <c r="M154" s="411"/>
      <c r="N154" s="411"/>
      <c r="O154" s="411"/>
    </row>
    <row r="155" spans="4:15" ht="36" customHeight="1">
      <c r="D155" s="411"/>
      <c r="E155" s="411"/>
      <c r="F155" s="411"/>
      <c r="G155" s="411"/>
      <c r="H155" s="411"/>
      <c r="I155" s="411"/>
      <c r="J155" s="411"/>
      <c r="K155" s="411"/>
      <c r="L155" s="411"/>
      <c r="M155" s="411"/>
      <c r="N155" s="411"/>
      <c r="O155" s="411"/>
    </row>
    <row r="156" spans="4:15" ht="20.25" customHeight="1" outlineLevel="1">
      <c r="D156" s="411"/>
      <c r="E156" s="411"/>
      <c r="F156" s="411"/>
      <c r="G156" s="411"/>
      <c r="H156" s="411"/>
      <c r="I156" s="411"/>
      <c r="J156" s="411"/>
      <c r="K156" s="411"/>
      <c r="L156" s="411"/>
      <c r="M156" s="411"/>
      <c r="N156" s="411"/>
      <c r="O156" s="411"/>
    </row>
    <row r="157" spans="4:15" ht="20.25" customHeight="1" outlineLevel="1">
      <c r="D157" s="411"/>
      <c r="E157" s="411"/>
      <c r="F157" s="411"/>
      <c r="G157" s="411"/>
      <c r="H157" s="411"/>
      <c r="I157" s="411"/>
      <c r="J157" s="411"/>
      <c r="K157" s="411"/>
      <c r="L157" s="411"/>
      <c r="M157" s="411"/>
      <c r="N157" s="411"/>
      <c r="O157" s="411"/>
    </row>
    <row r="158" spans="4:15" ht="20.25" customHeight="1" outlineLevel="1">
      <c r="D158" s="411"/>
      <c r="E158" s="411"/>
      <c r="F158" s="411"/>
      <c r="G158" s="411"/>
      <c r="H158" s="411"/>
      <c r="I158" s="411"/>
      <c r="J158" s="411"/>
      <c r="K158" s="411"/>
      <c r="L158" s="411"/>
      <c r="M158" s="411"/>
      <c r="N158" s="411"/>
      <c r="O158" s="411"/>
    </row>
    <row r="159" spans="4:15" ht="20.25" customHeight="1" outlineLevel="1">
      <c r="D159" s="411"/>
      <c r="E159" s="411"/>
      <c r="F159" s="411"/>
      <c r="G159" s="411"/>
      <c r="H159" s="411"/>
      <c r="I159" s="411"/>
      <c r="J159" s="411"/>
      <c r="K159" s="411"/>
      <c r="L159" s="411"/>
      <c r="M159" s="411"/>
      <c r="N159" s="411"/>
      <c r="O159" s="411"/>
    </row>
    <row r="160" spans="4:15" ht="20.25" customHeight="1" outlineLevel="1">
      <c r="D160" s="411"/>
      <c r="E160" s="411"/>
      <c r="F160" s="411"/>
      <c r="G160" s="411"/>
      <c r="H160" s="411"/>
      <c r="I160" s="411"/>
      <c r="J160" s="411"/>
      <c r="K160" s="411"/>
      <c r="L160" s="411"/>
      <c r="M160" s="411"/>
      <c r="N160" s="411"/>
      <c r="O160" s="411"/>
    </row>
    <row r="161" spans="4:15" ht="20.25" customHeight="1" outlineLevel="1">
      <c r="D161" s="411"/>
      <c r="E161" s="411"/>
      <c r="F161" s="411"/>
      <c r="G161" s="411"/>
      <c r="H161" s="411"/>
      <c r="I161" s="411"/>
      <c r="J161" s="411"/>
      <c r="K161" s="411"/>
      <c r="L161" s="411"/>
      <c r="M161" s="411"/>
      <c r="N161" s="411"/>
      <c r="O161" s="411"/>
    </row>
    <row r="162" spans="4:15" ht="20.25" customHeight="1" outlineLevel="1">
      <c r="D162" s="411"/>
      <c r="E162" s="411"/>
      <c r="F162" s="411"/>
      <c r="G162" s="411"/>
      <c r="H162" s="411"/>
      <c r="I162" s="411"/>
      <c r="J162" s="411"/>
      <c r="K162" s="411"/>
      <c r="L162" s="411"/>
      <c r="M162" s="411"/>
      <c r="N162" s="411"/>
      <c r="O162" s="411"/>
    </row>
    <row r="163" spans="4:15" ht="20.25" customHeight="1" outlineLevel="1">
      <c r="D163" s="411"/>
      <c r="E163" s="411"/>
      <c r="F163" s="411"/>
      <c r="G163" s="411"/>
      <c r="H163" s="411"/>
      <c r="I163" s="411"/>
      <c r="J163" s="411"/>
      <c r="K163" s="411"/>
      <c r="L163" s="411"/>
      <c r="M163" s="411"/>
      <c r="N163" s="411"/>
      <c r="O163" s="411"/>
    </row>
    <row r="164" spans="4:15" ht="20.25" customHeight="1" outlineLevel="1">
      <c r="D164" s="411"/>
      <c r="E164" s="411"/>
      <c r="F164" s="411"/>
      <c r="G164" s="411"/>
      <c r="H164" s="411"/>
      <c r="I164" s="411"/>
      <c r="J164" s="411"/>
      <c r="K164" s="411"/>
      <c r="L164" s="411"/>
      <c r="M164" s="411"/>
      <c r="N164" s="411"/>
      <c r="O164" s="411"/>
    </row>
    <row r="165" spans="4:15" ht="20.25" customHeight="1" outlineLevel="1">
      <c r="D165" s="411"/>
      <c r="E165" s="411"/>
      <c r="F165" s="411"/>
      <c r="G165" s="411"/>
      <c r="H165" s="411"/>
      <c r="I165" s="411"/>
      <c r="J165" s="411"/>
      <c r="K165" s="411"/>
      <c r="L165" s="411"/>
      <c r="M165" s="411"/>
      <c r="N165" s="411"/>
      <c r="O165" s="411"/>
    </row>
    <row r="166" spans="4:15">
      <c r="D166" s="411"/>
      <c r="E166" s="411"/>
      <c r="F166" s="411"/>
      <c r="G166" s="411"/>
      <c r="H166" s="411"/>
      <c r="I166" s="411"/>
      <c r="J166" s="411"/>
      <c r="K166" s="411"/>
      <c r="L166" s="411"/>
      <c r="M166" s="411"/>
      <c r="N166" s="411"/>
      <c r="O166" s="411"/>
    </row>
    <row r="167" spans="4:15" ht="20.25" customHeight="1" outlineLevel="1">
      <c r="D167" s="411"/>
      <c r="E167" s="411"/>
      <c r="F167" s="411"/>
      <c r="G167" s="411"/>
      <c r="H167" s="411"/>
      <c r="I167" s="411"/>
      <c r="J167" s="411"/>
      <c r="K167" s="411"/>
      <c r="L167" s="411"/>
      <c r="M167" s="411"/>
      <c r="N167" s="411"/>
      <c r="O167" s="411"/>
    </row>
    <row r="168" spans="4:15" ht="20.25" customHeight="1" outlineLevel="1">
      <c r="D168" s="411"/>
      <c r="E168" s="411"/>
      <c r="F168" s="411"/>
      <c r="G168" s="411"/>
      <c r="H168" s="411"/>
      <c r="I168" s="411"/>
      <c r="J168" s="411"/>
      <c r="K168" s="411"/>
      <c r="L168" s="411"/>
      <c r="M168" s="411"/>
      <c r="N168" s="411"/>
      <c r="O168" s="411"/>
    </row>
    <row r="169" spans="4:15" ht="20.25" customHeight="1" outlineLevel="1">
      <c r="D169" s="411"/>
      <c r="E169" s="411"/>
      <c r="F169" s="411"/>
      <c r="G169" s="411"/>
      <c r="H169" s="411"/>
      <c r="I169" s="411"/>
      <c r="J169" s="411"/>
      <c r="K169" s="411"/>
      <c r="L169" s="411"/>
      <c r="M169" s="411"/>
      <c r="N169" s="411"/>
      <c r="O169" s="411"/>
    </row>
    <row r="170" spans="4:15" ht="20.25" customHeight="1" outlineLevel="1">
      <c r="D170" s="411"/>
      <c r="E170" s="411"/>
      <c r="F170" s="411"/>
      <c r="G170" s="411"/>
      <c r="H170" s="411"/>
      <c r="I170" s="411"/>
      <c r="J170" s="411"/>
      <c r="K170" s="411"/>
      <c r="L170" s="411"/>
      <c r="M170" s="411"/>
      <c r="N170" s="411"/>
      <c r="O170" s="411"/>
    </row>
    <row r="171" spans="4:15" ht="20.25" customHeight="1" outlineLevel="1">
      <c r="D171" s="411"/>
      <c r="E171" s="411"/>
      <c r="F171" s="411"/>
      <c r="G171" s="411"/>
      <c r="H171" s="411"/>
      <c r="I171" s="411"/>
      <c r="J171" s="411"/>
      <c r="K171" s="411"/>
      <c r="L171" s="411"/>
      <c r="M171" s="411"/>
      <c r="N171" s="411"/>
      <c r="O171" s="411"/>
    </row>
    <row r="172" spans="4:15" ht="20.25" customHeight="1" outlineLevel="1">
      <c r="D172" s="411"/>
      <c r="E172" s="411"/>
      <c r="F172" s="411"/>
      <c r="G172" s="411"/>
      <c r="H172" s="411"/>
      <c r="I172" s="411"/>
      <c r="J172" s="411"/>
      <c r="K172" s="411"/>
      <c r="L172" s="411"/>
      <c r="M172" s="411"/>
      <c r="N172" s="411"/>
      <c r="O172" s="411"/>
    </row>
    <row r="173" spans="4:15" ht="20.25" customHeight="1" outlineLevel="1">
      <c r="D173" s="411"/>
      <c r="E173" s="411"/>
      <c r="F173" s="411"/>
      <c r="G173" s="411"/>
      <c r="H173" s="411"/>
      <c r="I173" s="411"/>
      <c r="J173" s="411"/>
      <c r="K173" s="411"/>
      <c r="L173" s="411"/>
      <c r="M173" s="411"/>
      <c r="N173" s="411"/>
      <c r="O173" s="411"/>
    </row>
    <row r="174" spans="4:15" ht="20.25" customHeight="1" outlineLevel="1">
      <c r="D174" s="411"/>
      <c r="E174" s="411"/>
      <c r="F174" s="411"/>
      <c r="G174" s="411"/>
      <c r="H174" s="411"/>
      <c r="I174" s="411"/>
      <c r="J174" s="411"/>
      <c r="K174" s="411"/>
      <c r="L174" s="411"/>
      <c r="M174" s="411"/>
      <c r="N174" s="411"/>
      <c r="O174" s="411"/>
    </row>
    <row r="175" spans="4:15" ht="20.25" customHeight="1" outlineLevel="1">
      <c r="D175" s="411"/>
      <c r="E175" s="411"/>
      <c r="F175" s="411"/>
      <c r="G175" s="411"/>
      <c r="H175" s="411"/>
      <c r="I175" s="411"/>
      <c r="J175" s="411"/>
      <c r="K175" s="411"/>
      <c r="L175" s="411"/>
      <c r="M175" s="411"/>
      <c r="N175" s="411"/>
      <c r="O175" s="411"/>
    </row>
    <row r="176" spans="4:15" ht="20.25" customHeight="1" outlineLevel="1">
      <c r="D176" s="411"/>
      <c r="E176" s="411"/>
      <c r="F176" s="411"/>
      <c r="G176" s="411"/>
      <c r="H176" s="411"/>
      <c r="I176" s="411"/>
      <c r="J176" s="411"/>
      <c r="K176" s="411"/>
      <c r="L176" s="411"/>
      <c r="M176" s="411"/>
      <c r="N176" s="411"/>
      <c r="O176" s="411"/>
    </row>
    <row r="177" spans="4:15">
      <c r="D177" s="411"/>
      <c r="E177" s="411"/>
      <c r="F177" s="411"/>
      <c r="G177" s="411"/>
      <c r="H177" s="411"/>
      <c r="I177" s="411"/>
      <c r="J177" s="411"/>
      <c r="K177" s="411"/>
      <c r="L177" s="411"/>
      <c r="M177" s="411"/>
      <c r="N177" s="411"/>
      <c r="O177" s="411"/>
    </row>
    <row r="178" spans="4:15">
      <c r="D178" s="411"/>
      <c r="E178" s="411"/>
      <c r="F178" s="411"/>
      <c r="G178" s="411"/>
      <c r="H178" s="411"/>
      <c r="I178" s="411"/>
      <c r="J178" s="411"/>
      <c r="K178" s="411"/>
      <c r="L178" s="411"/>
      <c r="M178" s="411"/>
      <c r="N178" s="411"/>
      <c r="O178" s="411"/>
    </row>
    <row r="179" spans="4:15">
      <c r="D179" s="411"/>
      <c r="E179" s="411"/>
      <c r="F179" s="411"/>
      <c r="G179" s="411"/>
      <c r="H179" s="411"/>
      <c r="I179" s="411"/>
      <c r="J179" s="411"/>
      <c r="K179" s="411"/>
      <c r="L179" s="411"/>
      <c r="M179" s="411"/>
      <c r="N179" s="411"/>
      <c r="O179" s="411"/>
    </row>
    <row r="180" spans="4:15">
      <c r="D180" s="411"/>
      <c r="E180" s="411"/>
      <c r="F180" s="411"/>
      <c r="G180" s="411"/>
      <c r="H180" s="411"/>
      <c r="I180" s="411"/>
      <c r="J180" s="411"/>
      <c r="K180" s="411"/>
      <c r="L180" s="411"/>
      <c r="M180" s="411"/>
      <c r="N180" s="411"/>
      <c r="O180" s="411"/>
    </row>
    <row r="181" spans="4:15">
      <c r="D181" s="411"/>
      <c r="E181" s="411"/>
      <c r="F181" s="411"/>
      <c r="G181" s="411"/>
      <c r="H181" s="411"/>
      <c r="I181" s="411"/>
      <c r="J181" s="411"/>
      <c r="K181" s="411"/>
      <c r="L181" s="411"/>
      <c r="M181" s="411"/>
      <c r="N181" s="411"/>
      <c r="O181" s="411"/>
    </row>
    <row r="182" spans="4:15">
      <c r="D182" s="411"/>
      <c r="E182" s="411"/>
      <c r="F182" s="411"/>
      <c r="G182" s="411"/>
      <c r="H182" s="411"/>
      <c r="I182" s="411"/>
      <c r="J182" s="411"/>
      <c r="K182" s="411"/>
      <c r="L182" s="411"/>
      <c r="M182" s="411"/>
      <c r="N182" s="411"/>
      <c r="O182" s="411"/>
    </row>
    <row r="183" spans="4:15">
      <c r="D183" s="411"/>
      <c r="E183" s="411"/>
      <c r="F183" s="411"/>
      <c r="G183" s="411"/>
      <c r="H183" s="411"/>
      <c r="I183" s="411"/>
      <c r="J183" s="411"/>
      <c r="K183" s="411"/>
      <c r="L183" s="411"/>
      <c r="M183" s="411"/>
      <c r="N183" s="411"/>
      <c r="O183" s="411"/>
    </row>
    <row r="184" spans="4:15">
      <c r="D184" s="411"/>
      <c r="E184" s="411"/>
      <c r="F184" s="411"/>
      <c r="G184" s="411"/>
      <c r="H184" s="411"/>
      <c r="I184" s="411"/>
      <c r="J184" s="411"/>
      <c r="K184" s="411"/>
      <c r="L184" s="411"/>
      <c r="M184" s="411"/>
      <c r="N184" s="411"/>
      <c r="O184" s="411"/>
    </row>
    <row r="185" spans="4:15">
      <c r="D185" s="411"/>
      <c r="E185" s="411"/>
      <c r="F185" s="411"/>
      <c r="G185" s="411"/>
      <c r="H185" s="411"/>
      <c r="I185" s="411"/>
      <c r="J185" s="411"/>
      <c r="K185" s="411"/>
      <c r="L185" s="411"/>
      <c r="M185" s="411"/>
      <c r="N185" s="411"/>
      <c r="O185" s="411"/>
    </row>
    <row r="186" spans="4:15">
      <c r="D186" s="411"/>
      <c r="E186" s="411"/>
      <c r="F186" s="411"/>
      <c r="G186" s="411"/>
      <c r="H186" s="411"/>
      <c r="I186" s="411"/>
      <c r="J186" s="411"/>
      <c r="K186" s="411"/>
      <c r="L186" s="411"/>
      <c r="M186" s="411"/>
      <c r="N186" s="411"/>
      <c r="O186" s="411"/>
    </row>
    <row r="187" spans="4:15">
      <c r="D187" s="411"/>
      <c r="E187" s="411"/>
      <c r="F187" s="411"/>
      <c r="G187" s="411"/>
      <c r="H187" s="411"/>
      <c r="I187" s="411"/>
      <c r="J187" s="411"/>
      <c r="K187" s="411"/>
      <c r="L187" s="411"/>
      <c r="M187" s="411"/>
      <c r="N187" s="411"/>
      <c r="O187" s="411"/>
    </row>
    <row r="188" spans="4:15">
      <c r="D188" s="411"/>
      <c r="E188" s="411"/>
      <c r="F188" s="411"/>
      <c r="G188" s="411"/>
      <c r="H188" s="411"/>
      <c r="I188" s="411"/>
      <c r="J188" s="411"/>
      <c r="K188" s="411"/>
      <c r="L188" s="411"/>
      <c r="M188" s="411"/>
      <c r="N188" s="411"/>
      <c r="O188" s="411"/>
    </row>
    <row r="189" spans="4:15">
      <c r="D189" s="411"/>
      <c r="E189" s="411"/>
      <c r="F189" s="411"/>
      <c r="G189" s="411"/>
      <c r="H189" s="411"/>
      <c r="I189" s="411"/>
      <c r="J189" s="411"/>
      <c r="K189" s="411"/>
      <c r="L189" s="411"/>
      <c r="M189" s="411"/>
      <c r="N189" s="411"/>
      <c r="O189" s="411"/>
    </row>
    <row r="190" spans="4:15">
      <c r="D190" s="411"/>
      <c r="E190" s="411"/>
      <c r="F190" s="411"/>
      <c r="G190" s="411"/>
      <c r="H190" s="411"/>
      <c r="I190" s="411"/>
      <c r="J190" s="411"/>
      <c r="K190" s="411"/>
      <c r="L190" s="411"/>
      <c r="M190" s="411"/>
      <c r="N190" s="411"/>
      <c r="O190" s="411"/>
    </row>
    <row r="191" spans="4:15">
      <c r="D191" s="411"/>
      <c r="E191" s="411"/>
      <c r="F191" s="411"/>
      <c r="G191" s="411"/>
      <c r="H191" s="411"/>
      <c r="I191" s="411"/>
      <c r="J191" s="411"/>
      <c r="K191" s="411"/>
      <c r="L191" s="411"/>
      <c r="M191" s="411"/>
      <c r="N191" s="411"/>
      <c r="O191" s="411"/>
    </row>
    <row r="192" spans="4:15">
      <c r="D192" s="411"/>
      <c r="E192" s="411"/>
      <c r="F192" s="411"/>
      <c r="G192" s="411"/>
      <c r="H192" s="411"/>
      <c r="I192" s="411"/>
      <c r="J192" s="411"/>
      <c r="K192" s="411"/>
      <c r="L192" s="411"/>
      <c r="M192" s="411"/>
      <c r="N192" s="411"/>
      <c r="O192" s="411"/>
    </row>
    <row r="193" spans="4:15">
      <c r="D193" s="411"/>
      <c r="E193" s="411"/>
      <c r="F193" s="411"/>
      <c r="G193" s="411"/>
      <c r="H193" s="411"/>
      <c r="I193" s="411"/>
      <c r="J193" s="411"/>
      <c r="K193" s="411"/>
      <c r="L193" s="411"/>
      <c r="M193" s="411"/>
      <c r="N193" s="411"/>
      <c r="O193" s="411"/>
    </row>
    <row r="194" spans="4:15">
      <c r="D194" s="411"/>
      <c r="E194" s="411"/>
      <c r="F194" s="411"/>
      <c r="G194" s="411"/>
      <c r="H194" s="411"/>
      <c r="I194" s="411"/>
      <c r="J194" s="411"/>
      <c r="K194" s="411"/>
      <c r="L194" s="411"/>
      <c r="M194" s="411"/>
      <c r="N194" s="411"/>
      <c r="O194" s="411"/>
    </row>
    <row r="195" spans="4:15">
      <c r="D195" s="411"/>
      <c r="E195" s="411"/>
      <c r="F195" s="411"/>
      <c r="G195" s="411"/>
      <c r="H195" s="411"/>
      <c r="I195" s="411"/>
      <c r="J195" s="411"/>
      <c r="K195" s="411"/>
      <c r="L195" s="411"/>
      <c r="M195" s="411"/>
      <c r="N195" s="411"/>
      <c r="O195" s="411"/>
    </row>
    <row r="196" spans="4:15">
      <c r="D196" s="411"/>
      <c r="E196" s="411"/>
      <c r="F196" s="411"/>
      <c r="G196" s="411"/>
      <c r="H196" s="411"/>
      <c r="I196" s="411"/>
      <c r="J196" s="411"/>
      <c r="K196" s="411"/>
      <c r="L196" s="411"/>
      <c r="M196" s="411"/>
      <c r="N196" s="411"/>
      <c r="O196" s="411"/>
    </row>
    <row r="197" spans="4:15">
      <c r="D197" s="411"/>
      <c r="E197" s="411"/>
      <c r="F197" s="411"/>
      <c r="G197" s="411"/>
      <c r="H197" s="411"/>
      <c r="I197" s="411"/>
      <c r="J197" s="411"/>
      <c r="K197" s="411"/>
      <c r="L197" s="411"/>
      <c r="M197" s="411"/>
      <c r="N197" s="411"/>
      <c r="O197" s="411"/>
    </row>
    <row r="198" spans="4:15">
      <c r="D198" s="411"/>
      <c r="E198" s="411"/>
      <c r="F198" s="411"/>
      <c r="G198" s="411"/>
      <c r="H198" s="411"/>
      <c r="I198" s="411"/>
      <c r="J198" s="411"/>
      <c r="K198" s="411"/>
      <c r="L198" s="411"/>
      <c r="M198" s="411"/>
      <c r="N198" s="411"/>
      <c r="O198" s="411"/>
    </row>
    <row r="199" spans="4:15">
      <c r="D199" s="411"/>
      <c r="E199" s="411"/>
      <c r="F199" s="411"/>
      <c r="G199" s="411"/>
      <c r="H199" s="411"/>
      <c r="I199" s="411"/>
      <c r="J199" s="411"/>
      <c r="K199" s="411"/>
      <c r="L199" s="411"/>
      <c r="M199" s="411"/>
      <c r="N199" s="411"/>
      <c r="O199" s="411"/>
    </row>
    <row r="200" spans="4:15">
      <c r="D200" s="411"/>
      <c r="E200" s="411"/>
      <c r="F200" s="411"/>
      <c r="G200" s="411"/>
      <c r="H200" s="411"/>
      <c r="I200" s="411"/>
      <c r="J200" s="411"/>
      <c r="K200" s="411"/>
      <c r="L200" s="411"/>
      <c r="M200" s="411"/>
      <c r="N200" s="411"/>
      <c r="O200" s="411"/>
    </row>
    <row r="201" spans="4:15">
      <c r="D201" s="411"/>
      <c r="E201" s="411"/>
      <c r="F201" s="411"/>
      <c r="G201" s="411"/>
      <c r="H201" s="411"/>
      <c r="I201" s="411"/>
      <c r="J201" s="411"/>
      <c r="K201" s="411"/>
      <c r="L201" s="411"/>
      <c r="M201" s="411"/>
      <c r="N201" s="411"/>
      <c r="O201" s="411"/>
    </row>
    <row r="202" spans="4:15">
      <c r="D202" s="411"/>
      <c r="E202" s="411"/>
      <c r="F202" s="411"/>
      <c r="G202" s="411"/>
      <c r="H202" s="411"/>
      <c r="I202" s="411"/>
      <c r="J202" s="411"/>
      <c r="K202" s="411"/>
      <c r="L202" s="411"/>
      <c r="M202" s="411"/>
      <c r="N202" s="411"/>
      <c r="O202" s="411"/>
    </row>
    <row r="203" spans="4:15">
      <c r="D203" s="411"/>
      <c r="E203" s="411"/>
      <c r="F203" s="411"/>
      <c r="G203" s="411"/>
      <c r="H203" s="411"/>
      <c r="I203" s="411"/>
      <c r="J203" s="411"/>
      <c r="K203" s="411"/>
      <c r="L203" s="411"/>
      <c r="M203" s="411"/>
      <c r="N203" s="411"/>
      <c r="O203" s="411"/>
    </row>
    <row r="204" spans="4:15">
      <c r="D204" s="411"/>
      <c r="E204" s="411"/>
      <c r="F204" s="411"/>
      <c r="G204" s="411"/>
      <c r="H204" s="411"/>
      <c r="I204" s="411"/>
      <c r="J204" s="411"/>
      <c r="K204" s="411"/>
      <c r="L204" s="411"/>
      <c r="M204" s="411"/>
      <c r="N204" s="411"/>
      <c r="O204" s="411"/>
    </row>
    <row r="205" spans="4:15">
      <c r="D205" s="411"/>
      <c r="E205" s="411"/>
      <c r="F205" s="411"/>
      <c r="G205" s="411"/>
      <c r="H205" s="411"/>
      <c r="I205" s="411"/>
      <c r="J205" s="411"/>
      <c r="K205" s="411"/>
      <c r="L205" s="411"/>
      <c r="M205" s="411"/>
      <c r="N205" s="411"/>
      <c r="O205" s="411"/>
    </row>
    <row r="206" spans="4:15">
      <c r="D206" s="411"/>
      <c r="E206" s="411"/>
      <c r="F206" s="411"/>
      <c r="G206" s="411"/>
      <c r="H206" s="411"/>
      <c r="I206" s="411"/>
      <c r="J206" s="411"/>
      <c r="K206" s="411"/>
      <c r="L206" s="411"/>
      <c r="M206" s="411"/>
      <c r="N206" s="411"/>
      <c r="O206" s="411"/>
    </row>
    <row r="207" spans="4:15">
      <c r="D207" s="411"/>
      <c r="E207" s="411"/>
      <c r="F207" s="411"/>
      <c r="G207" s="411"/>
      <c r="H207" s="411"/>
      <c r="I207" s="411"/>
      <c r="J207" s="411"/>
      <c r="K207" s="411"/>
      <c r="L207" s="411"/>
      <c r="M207" s="411"/>
      <c r="N207" s="411"/>
      <c r="O207" s="411"/>
    </row>
    <row r="208" spans="4:15">
      <c r="D208" s="411"/>
      <c r="E208" s="411"/>
      <c r="F208" s="411"/>
      <c r="G208" s="411"/>
      <c r="H208" s="411"/>
      <c r="I208" s="411"/>
      <c r="J208" s="411"/>
      <c r="K208" s="411"/>
      <c r="L208" s="411"/>
      <c r="M208" s="411"/>
      <c r="N208" s="411"/>
      <c r="O208" s="411"/>
    </row>
    <row r="209" spans="4:15">
      <c r="D209" s="411"/>
      <c r="E209" s="411"/>
      <c r="F209" s="411"/>
      <c r="G209" s="411"/>
      <c r="H209" s="411"/>
      <c r="I209" s="411"/>
      <c r="J209" s="411"/>
      <c r="K209" s="411"/>
      <c r="L209" s="411"/>
      <c r="M209" s="411"/>
      <c r="N209" s="411"/>
      <c r="O209" s="411"/>
    </row>
    <row r="210" spans="4:15">
      <c r="D210" s="411"/>
      <c r="E210" s="411"/>
      <c r="F210" s="411"/>
      <c r="G210" s="411"/>
      <c r="H210" s="411"/>
      <c r="I210" s="411"/>
      <c r="J210" s="411"/>
      <c r="K210" s="411"/>
      <c r="L210" s="411"/>
      <c r="M210" s="411"/>
      <c r="N210" s="411"/>
      <c r="O210" s="411"/>
    </row>
    <row r="211" spans="4:15">
      <c r="D211" s="411"/>
      <c r="E211" s="411"/>
      <c r="F211" s="411"/>
      <c r="G211" s="411"/>
      <c r="H211" s="411"/>
      <c r="I211" s="411"/>
      <c r="J211" s="411"/>
      <c r="K211" s="411"/>
      <c r="L211" s="411"/>
      <c r="M211" s="411"/>
      <c r="N211" s="411"/>
      <c r="O211" s="411"/>
    </row>
    <row r="212" spans="4:15">
      <c r="D212" s="411"/>
      <c r="E212" s="411"/>
      <c r="F212" s="411"/>
      <c r="G212" s="411"/>
      <c r="H212" s="411"/>
      <c r="I212" s="411"/>
      <c r="J212" s="411"/>
      <c r="K212" s="411"/>
      <c r="L212" s="411"/>
      <c r="M212" s="411"/>
      <c r="N212" s="411"/>
      <c r="O212" s="411"/>
    </row>
    <row r="213" spans="4:15">
      <c r="D213" s="411"/>
      <c r="E213" s="411"/>
      <c r="F213" s="411"/>
      <c r="G213" s="411"/>
      <c r="H213" s="411"/>
      <c r="I213" s="411"/>
      <c r="J213" s="411"/>
      <c r="K213" s="411"/>
      <c r="L213" s="411"/>
      <c r="M213" s="411"/>
      <c r="N213" s="411"/>
      <c r="O213" s="411"/>
    </row>
    <row r="214" spans="4:15">
      <c r="D214" s="411"/>
      <c r="E214" s="411"/>
      <c r="F214" s="411"/>
      <c r="G214" s="411"/>
      <c r="H214" s="411"/>
      <c r="I214" s="411"/>
      <c r="J214" s="411"/>
      <c r="K214" s="411"/>
      <c r="L214" s="411"/>
      <c r="M214" s="411"/>
      <c r="N214" s="411"/>
      <c r="O214" s="411"/>
    </row>
    <row r="215" spans="4:15">
      <c r="D215" s="411"/>
      <c r="E215" s="411"/>
      <c r="F215" s="411"/>
      <c r="G215" s="411"/>
      <c r="H215" s="411"/>
      <c r="I215" s="411"/>
      <c r="J215" s="411"/>
      <c r="K215" s="411"/>
      <c r="L215" s="411"/>
      <c r="M215" s="411"/>
      <c r="N215" s="411"/>
      <c r="O215" s="411"/>
    </row>
    <row r="216" spans="4:15">
      <c r="D216" s="411"/>
      <c r="E216" s="411"/>
      <c r="F216" s="411"/>
      <c r="G216" s="411"/>
      <c r="H216" s="411"/>
      <c r="I216" s="411"/>
      <c r="J216" s="411"/>
      <c r="K216" s="411"/>
      <c r="L216" s="411"/>
      <c r="M216" s="411"/>
      <c r="N216" s="411"/>
      <c r="O216" s="411"/>
    </row>
    <row r="217" spans="4:15">
      <c r="D217" s="411"/>
      <c r="E217" s="411"/>
      <c r="F217" s="411"/>
      <c r="G217" s="411"/>
      <c r="H217" s="411"/>
      <c r="I217" s="411"/>
      <c r="J217" s="411"/>
      <c r="K217" s="411"/>
      <c r="L217" s="411"/>
      <c r="M217" s="411"/>
      <c r="N217" s="411"/>
      <c r="O217" s="411"/>
    </row>
    <row r="218" spans="4:15">
      <c r="D218" s="411"/>
      <c r="E218" s="411"/>
      <c r="F218" s="411"/>
      <c r="G218" s="411"/>
      <c r="H218" s="411"/>
      <c r="I218" s="411"/>
      <c r="J218" s="411"/>
      <c r="K218" s="411"/>
      <c r="L218" s="411"/>
      <c r="M218" s="411"/>
      <c r="N218" s="411"/>
      <c r="O218" s="411"/>
    </row>
    <row r="219" spans="4:15">
      <c r="D219" s="411"/>
      <c r="E219" s="411"/>
      <c r="F219" s="411"/>
      <c r="G219" s="411"/>
      <c r="H219" s="411"/>
      <c r="I219" s="411"/>
      <c r="J219" s="411"/>
      <c r="K219" s="411"/>
      <c r="L219" s="411"/>
      <c r="M219" s="411"/>
      <c r="N219" s="411"/>
      <c r="O219" s="411"/>
    </row>
    <row r="220" spans="4:15">
      <c r="D220" s="411"/>
      <c r="E220" s="411"/>
      <c r="F220" s="411"/>
      <c r="G220" s="411"/>
      <c r="H220" s="411"/>
      <c r="I220" s="411"/>
      <c r="J220" s="411"/>
      <c r="K220" s="411"/>
      <c r="L220" s="411"/>
      <c r="M220" s="411"/>
      <c r="N220" s="411"/>
      <c r="O220" s="411"/>
    </row>
    <row r="221" spans="4:15">
      <c r="D221" s="411"/>
      <c r="E221" s="411"/>
      <c r="F221" s="411"/>
      <c r="G221" s="411"/>
      <c r="H221" s="411"/>
      <c r="I221" s="411"/>
      <c r="J221" s="411"/>
      <c r="K221" s="411"/>
      <c r="L221" s="411"/>
      <c r="M221" s="411"/>
      <c r="N221" s="411"/>
      <c r="O221" s="411"/>
    </row>
    <row r="222" spans="4:15">
      <c r="D222" s="411"/>
      <c r="E222" s="411"/>
      <c r="F222" s="411"/>
      <c r="G222" s="411"/>
      <c r="H222" s="411"/>
      <c r="I222" s="411"/>
      <c r="J222" s="411"/>
      <c r="K222" s="411"/>
      <c r="L222" s="411"/>
      <c r="M222" s="411"/>
      <c r="N222" s="411"/>
      <c r="O222" s="411"/>
    </row>
    <row r="223" spans="4:15">
      <c r="D223" s="411"/>
      <c r="E223" s="411"/>
      <c r="F223" s="411"/>
      <c r="G223" s="411"/>
      <c r="H223" s="411"/>
      <c r="I223" s="411"/>
      <c r="J223" s="411"/>
      <c r="K223" s="411"/>
      <c r="L223" s="411"/>
      <c r="M223" s="411"/>
      <c r="N223" s="411"/>
      <c r="O223" s="411"/>
    </row>
    <row r="224" spans="4:15">
      <c r="D224" s="411"/>
      <c r="E224" s="411"/>
      <c r="F224" s="411"/>
      <c r="G224" s="411"/>
      <c r="H224" s="411"/>
      <c r="I224" s="411"/>
      <c r="J224" s="411"/>
      <c r="K224" s="411"/>
      <c r="L224" s="411"/>
      <c r="M224" s="411"/>
      <c r="N224" s="411"/>
      <c r="O224" s="411"/>
    </row>
    <row r="225" spans="4:15">
      <c r="D225" s="411"/>
      <c r="E225" s="411"/>
      <c r="F225" s="411"/>
      <c r="G225" s="411"/>
      <c r="H225" s="411"/>
      <c r="I225" s="411"/>
      <c r="J225" s="411"/>
      <c r="K225" s="411"/>
      <c r="L225" s="411"/>
      <c r="M225" s="411"/>
      <c r="N225" s="411"/>
      <c r="O225" s="411"/>
    </row>
    <row r="226" spans="4:15">
      <c r="D226" s="411"/>
      <c r="E226" s="411"/>
      <c r="F226" s="411"/>
      <c r="G226" s="411"/>
      <c r="H226" s="411"/>
      <c r="I226" s="411"/>
      <c r="J226" s="411"/>
      <c r="K226" s="411"/>
      <c r="L226" s="411"/>
      <c r="M226" s="411"/>
      <c r="N226" s="411"/>
      <c r="O226" s="411"/>
    </row>
    <row r="227" spans="4:15">
      <c r="D227" s="411"/>
      <c r="E227" s="411"/>
      <c r="F227" s="411"/>
      <c r="G227" s="411"/>
      <c r="H227" s="411"/>
      <c r="I227" s="411"/>
      <c r="J227" s="411"/>
      <c r="K227" s="411"/>
      <c r="L227" s="411"/>
      <c r="M227" s="411"/>
      <c r="N227" s="411"/>
      <c r="O227" s="411"/>
    </row>
    <row r="228" spans="4:15">
      <c r="D228" s="411"/>
      <c r="E228" s="411"/>
      <c r="F228" s="411"/>
      <c r="G228" s="411"/>
      <c r="H228" s="411"/>
      <c r="I228" s="411"/>
      <c r="J228" s="411"/>
      <c r="K228" s="411"/>
      <c r="L228" s="411"/>
      <c r="M228" s="411"/>
      <c r="N228" s="411"/>
      <c r="O228" s="411"/>
    </row>
    <row r="229" spans="4:15">
      <c r="D229" s="411"/>
      <c r="E229" s="411"/>
      <c r="F229" s="411"/>
      <c r="G229" s="411"/>
      <c r="H229" s="411"/>
      <c r="I229" s="411"/>
      <c r="J229" s="411"/>
      <c r="K229" s="411"/>
      <c r="L229" s="411"/>
      <c r="M229" s="411"/>
      <c r="N229" s="411"/>
      <c r="O229" s="411"/>
    </row>
    <row r="230" spans="4:15">
      <c r="D230" s="411"/>
      <c r="E230" s="411"/>
      <c r="F230" s="411"/>
      <c r="G230" s="411"/>
      <c r="H230" s="411"/>
      <c r="I230" s="411"/>
      <c r="J230" s="411"/>
      <c r="K230" s="411"/>
      <c r="L230" s="411"/>
      <c r="M230" s="411"/>
      <c r="N230" s="411"/>
      <c r="O230" s="411"/>
    </row>
    <row r="231" spans="4:15">
      <c r="D231" s="411"/>
      <c r="E231" s="411"/>
      <c r="F231" s="411"/>
      <c r="G231" s="411"/>
      <c r="H231" s="411"/>
      <c r="I231" s="411"/>
      <c r="J231" s="411"/>
      <c r="K231" s="411"/>
      <c r="L231" s="411"/>
      <c r="M231" s="411"/>
      <c r="N231" s="411"/>
      <c r="O231" s="411"/>
    </row>
    <row r="232" spans="4:15">
      <c r="D232" s="411"/>
      <c r="E232" s="411"/>
      <c r="F232" s="411"/>
      <c r="G232" s="411"/>
      <c r="H232" s="411"/>
      <c r="I232" s="411"/>
      <c r="J232" s="411"/>
      <c r="K232" s="411"/>
      <c r="L232" s="411"/>
      <c r="M232" s="411"/>
      <c r="N232" s="411"/>
      <c r="O232" s="411"/>
    </row>
    <row r="233" spans="4:15">
      <c r="D233" s="411"/>
      <c r="E233" s="411"/>
      <c r="F233" s="411"/>
      <c r="G233" s="411"/>
      <c r="H233" s="411"/>
      <c r="I233" s="411"/>
      <c r="J233" s="411"/>
      <c r="K233" s="411"/>
      <c r="L233" s="411"/>
      <c r="M233" s="411"/>
      <c r="N233" s="411"/>
      <c r="O233" s="411"/>
    </row>
    <row r="234" spans="4:15">
      <c r="D234" s="411"/>
      <c r="E234" s="411"/>
      <c r="F234" s="411"/>
      <c r="G234" s="411"/>
      <c r="H234" s="411"/>
      <c r="I234" s="411"/>
      <c r="J234" s="411"/>
      <c r="K234" s="411"/>
      <c r="L234" s="411"/>
      <c r="M234" s="411"/>
      <c r="N234" s="411"/>
      <c r="O234" s="411"/>
    </row>
    <row r="235" spans="4:15">
      <c r="D235" s="411"/>
      <c r="E235" s="411"/>
      <c r="F235" s="411"/>
      <c r="G235" s="411"/>
      <c r="H235" s="411"/>
      <c r="I235" s="411"/>
      <c r="J235" s="411"/>
      <c r="K235" s="411"/>
      <c r="L235" s="411"/>
      <c r="M235" s="411"/>
      <c r="N235" s="411"/>
      <c r="O235" s="411"/>
    </row>
    <row r="236" spans="4:15">
      <c r="D236" s="411"/>
      <c r="E236" s="411"/>
      <c r="F236" s="411"/>
      <c r="G236" s="411"/>
      <c r="H236" s="411"/>
      <c r="I236" s="411"/>
      <c r="J236" s="411"/>
      <c r="K236" s="411"/>
      <c r="L236" s="411"/>
      <c r="M236" s="411"/>
      <c r="N236" s="411"/>
      <c r="O236" s="411"/>
    </row>
    <row r="237" spans="4:15">
      <c r="D237" s="411"/>
      <c r="E237" s="411"/>
      <c r="F237" s="411"/>
      <c r="G237" s="411"/>
      <c r="H237" s="411"/>
      <c r="I237" s="411"/>
      <c r="J237" s="411"/>
      <c r="K237" s="411"/>
      <c r="L237" s="411"/>
      <c r="M237" s="411"/>
      <c r="N237" s="411"/>
      <c r="O237" s="411"/>
    </row>
    <row r="238" spans="4:15">
      <c r="D238" s="411"/>
      <c r="E238" s="411"/>
      <c r="F238" s="411"/>
      <c r="G238" s="411"/>
      <c r="H238" s="411"/>
      <c r="I238" s="411"/>
      <c r="J238" s="411"/>
      <c r="K238" s="411"/>
      <c r="L238" s="411"/>
      <c r="M238" s="411"/>
      <c r="N238" s="411"/>
      <c r="O238" s="411"/>
    </row>
    <row r="239" spans="4:15">
      <c r="D239" s="411"/>
      <c r="E239" s="411"/>
      <c r="F239" s="411"/>
      <c r="G239" s="411"/>
      <c r="H239" s="411"/>
      <c r="I239" s="411"/>
      <c r="J239" s="411"/>
      <c r="K239" s="411"/>
      <c r="L239" s="411"/>
      <c r="M239" s="411"/>
      <c r="N239" s="411"/>
      <c r="O239" s="411"/>
    </row>
    <row r="240" spans="4:15">
      <c r="D240" s="411"/>
      <c r="E240" s="411"/>
      <c r="F240" s="411"/>
      <c r="G240" s="411"/>
      <c r="H240" s="411"/>
      <c r="I240" s="411"/>
      <c r="J240" s="411"/>
      <c r="K240" s="411"/>
      <c r="L240" s="411"/>
      <c r="M240" s="411"/>
      <c r="N240" s="411"/>
      <c r="O240" s="411"/>
    </row>
    <row r="241" spans="4:15">
      <c r="D241" s="411"/>
      <c r="E241" s="411"/>
      <c r="F241" s="411"/>
      <c r="G241" s="411"/>
      <c r="H241" s="411"/>
      <c r="I241" s="411"/>
      <c r="J241" s="411"/>
      <c r="K241" s="411"/>
      <c r="L241" s="411"/>
      <c r="M241" s="411"/>
      <c r="N241" s="411"/>
      <c r="O241" s="411"/>
    </row>
    <row r="242" spans="4:15">
      <c r="D242" s="411"/>
      <c r="E242" s="411"/>
      <c r="F242" s="411"/>
      <c r="G242" s="411"/>
      <c r="H242" s="411"/>
      <c r="I242" s="411"/>
      <c r="J242" s="411"/>
      <c r="K242" s="411"/>
      <c r="L242" s="411"/>
      <c r="M242" s="411"/>
      <c r="N242" s="411"/>
      <c r="O242" s="411"/>
    </row>
    <row r="243" spans="4:15">
      <c r="D243" s="411"/>
      <c r="E243" s="411"/>
      <c r="F243" s="411"/>
      <c r="G243" s="411"/>
      <c r="H243" s="411"/>
      <c r="I243" s="411"/>
      <c r="J243" s="411"/>
      <c r="K243" s="411"/>
      <c r="L243" s="411"/>
      <c r="M243" s="411"/>
      <c r="N243" s="411"/>
      <c r="O243" s="411"/>
    </row>
    <row r="244" spans="4:15">
      <c r="D244" s="411"/>
      <c r="E244" s="411"/>
      <c r="F244" s="411"/>
      <c r="G244" s="411"/>
      <c r="H244" s="411"/>
      <c r="I244" s="411"/>
      <c r="J244" s="411"/>
      <c r="K244" s="411"/>
      <c r="L244" s="411"/>
      <c r="M244" s="411"/>
      <c r="N244" s="411"/>
      <c r="O244" s="411"/>
    </row>
    <row r="245" spans="4:15">
      <c r="D245" s="411"/>
      <c r="E245" s="411"/>
      <c r="F245" s="411"/>
      <c r="G245" s="411"/>
      <c r="H245" s="411"/>
      <c r="I245" s="411"/>
      <c r="J245" s="411"/>
      <c r="K245" s="411"/>
      <c r="L245" s="411"/>
      <c r="M245" s="411"/>
      <c r="N245" s="411"/>
      <c r="O245" s="411"/>
    </row>
    <row r="246" spans="4:15">
      <c r="D246" s="411"/>
      <c r="E246" s="411"/>
      <c r="F246" s="411"/>
      <c r="G246" s="411"/>
      <c r="H246" s="411"/>
      <c r="I246" s="411"/>
      <c r="J246" s="411"/>
      <c r="K246" s="411"/>
      <c r="L246" s="411"/>
      <c r="M246" s="411"/>
      <c r="N246" s="411"/>
      <c r="O246" s="411"/>
    </row>
    <row r="247" spans="4:15">
      <c r="D247" s="411"/>
      <c r="E247" s="411"/>
      <c r="F247" s="411"/>
      <c r="G247" s="411"/>
      <c r="H247" s="411"/>
      <c r="I247" s="411"/>
      <c r="J247" s="411"/>
      <c r="K247" s="411"/>
      <c r="L247" s="411"/>
      <c r="M247" s="411"/>
      <c r="N247" s="411"/>
      <c r="O247" s="411"/>
    </row>
    <row r="248" spans="4:15">
      <c r="D248" s="411"/>
      <c r="E248" s="411"/>
      <c r="F248" s="411"/>
      <c r="G248" s="411"/>
      <c r="H248" s="411"/>
      <c r="I248" s="411"/>
      <c r="J248" s="411"/>
      <c r="K248" s="411"/>
      <c r="L248" s="411"/>
      <c r="M248" s="411"/>
      <c r="N248" s="411"/>
      <c r="O248" s="411"/>
    </row>
  </sheetData>
  <sheetProtection algorithmName="SHA-512" hashValue="UhC2N2+pg57V6t37umouSAOS7sxtNwsWZ9f78h7YLTbhaUooH1xKwiSlczgWNdOKtWsOH/j93iOaN898oroxWA==" saltValue="yL/tXhWrcD5LvfiL5VlMpA==" spinCount="100000" sheet="1" formatCells="0" formatColumns="0" formatRows="0" insertColumns="0" insertRows="0" insertHyperlinks="0" deleteColumns="0" deleteRows="0" sort="0" autoFilter="0" pivotTables="0"/>
  <mergeCells count="115">
    <mergeCell ref="E73:G73"/>
    <mergeCell ref="H73:J73"/>
    <mergeCell ref="K73:L73"/>
    <mergeCell ref="M76:N76"/>
    <mergeCell ref="M78:N78"/>
    <mergeCell ref="H49:J49"/>
    <mergeCell ref="M49:N53"/>
    <mergeCell ref="E50:G50"/>
    <mergeCell ref="H50:J50"/>
    <mergeCell ref="E51:G51"/>
    <mergeCell ref="H51:J51"/>
    <mergeCell ref="E52:G52"/>
    <mergeCell ref="F61:N61"/>
    <mergeCell ref="F60:N60"/>
    <mergeCell ref="D103:D104"/>
    <mergeCell ref="E103:E104"/>
    <mergeCell ref="F103:F104"/>
    <mergeCell ref="G103:G104"/>
    <mergeCell ref="H103:H104"/>
    <mergeCell ref="I103:I104"/>
    <mergeCell ref="J103:J104"/>
    <mergeCell ref="K103:K104"/>
    <mergeCell ref="L103:L104"/>
    <mergeCell ref="H30:J30"/>
    <mergeCell ref="M31:N31"/>
    <mergeCell ref="M32:N32"/>
    <mergeCell ref="C4:O4"/>
    <mergeCell ref="D71:N71"/>
    <mergeCell ref="D36:L36"/>
    <mergeCell ref="E44:G44"/>
    <mergeCell ref="H44:J44"/>
    <mergeCell ref="E45:G45"/>
    <mergeCell ref="H45:J45"/>
    <mergeCell ref="E46:G46"/>
    <mergeCell ref="H46:J46"/>
    <mergeCell ref="E47:G47"/>
    <mergeCell ref="H47:J47"/>
    <mergeCell ref="E23:G23"/>
    <mergeCell ref="H23:J23"/>
    <mergeCell ref="M29:N30"/>
    <mergeCell ref="H29:J29"/>
    <mergeCell ref="H63:N63"/>
    <mergeCell ref="F64:N69"/>
    <mergeCell ref="Z101:AJ101"/>
    <mergeCell ref="Z99:AJ99"/>
    <mergeCell ref="AA90:AA91"/>
    <mergeCell ref="AC90:AC91"/>
    <mergeCell ref="Y90:Y91"/>
    <mergeCell ref="M92:N92"/>
    <mergeCell ref="M91:N91"/>
    <mergeCell ref="E76:G76"/>
    <mergeCell ref="E30:G30"/>
    <mergeCell ref="E34:G34"/>
    <mergeCell ref="E37:G37"/>
    <mergeCell ref="E38:G38"/>
    <mergeCell ref="E39:G39"/>
    <mergeCell ref="Z74:AJ74"/>
    <mergeCell ref="E40:G40"/>
    <mergeCell ref="K76:L76"/>
    <mergeCell ref="H76:J76"/>
    <mergeCell ref="H34:J34"/>
    <mergeCell ref="H37:J37"/>
    <mergeCell ref="M48:N48"/>
    <mergeCell ref="M34:N34"/>
    <mergeCell ref="H52:J52"/>
    <mergeCell ref="E53:G53"/>
    <mergeCell ref="H53:J53"/>
    <mergeCell ref="Z71:AJ71"/>
    <mergeCell ref="D70:L70"/>
    <mergeCell ref="D55:N55"/>
    <mergeCell ref="H38:J38"/>
    <mergeCell ref="H39:J39"/>
    <mergeCell ref="E49:G49"/>
    <mergeCell ref="K5:L6"/>
    <mergeCell ref="D8:N11"/>
    <mergeCell ref="F57:N57"/>
    <mergeCell ref="F59:N59"/>
    <mergeCell ref="K24:L24"/>
    <mergeCell ref="M24:N24"/>
    <mergeCell ref="D15:N15"/>
    <mergeCell ref="D13:E13"/>
    <mergeCell ref="E26:L26"/>
    <mergeCell ref="M26:N26"/>
    <mergeCell ref="E24:G24"/>
    <mergeCell ref="H24:J24"/>
    <mergeCell ref="E29:G29"/>
    <mergeCell ref="E41:G41"/>
    <mergeCell ref="H41:J41"/>
    <mergeCell ref="E33:G33"/>
    <mergeCell ref="H33:J33"/>
    <mergeCell ref="M36:N36"/>
    <mergeCell ref="B2:P2"/>
    <mergeCell ref="M104:N104"/>
    <mergeCell ref="M94:N94"/>
    <mergeCell ref="M95:N95"/>
    <mergeCell ref="M96:N96"/>
    <mergeCell ref="M97:N97"/>
    <mergeCell ref="M101:N101"/>
    <mergeCell ref="M80:N80"/>
    <mergeCell ref="M82:N82"/>
    <mergeCell ref="M83:N87"/>
    <mergeCell ref="M90:N90"/>
    <mergeCell ref="M103:N103"/>
    <mergeCell ref="M93:N93"/>
    <mergeCell ref="M102:N102"/>
    <mergeCell ref="D29:D30"/>
    <mergeCell ref="M37:N41"/>
    <mergeCell ref="M81:N81"/>
    <mergeCell ref="M23:N23"/>
    <mergeCell ref="M42:N42"/>
    <mergeCell ref="E43:G43"/>
    <mergeCell ref="H43:J43"/>
    <mergeCell ref="M43:N47"/>
    <mergeCell ref="K23:L23"/>
    <mergeCell ref="H40:J40"/>
  </mergeCells>
  <phoneticPr fontId="41" type="noConversion"/>
  <dataValidations count="1">
    <dataValidation type="list" allowBlank="1" showInputMessage="1" showErrorMessage="1" sqref="E57 E18 E20 E22" xr:uid="{306C2B67-D298-432B-8FB9-0484A203413A}">
      <formula1>"Oui, Non"</formula1>
    </dataValidation>
  </dataValidations>
  <hyperlinks>
    <hyperlink ref="E72" r:id="rId1" xr:uid="{00000000-0004-0000-0100-000007000000}"/>
    <hyperlink ref="M104" r:id="rId2" xr:uid="{3661346D-9AFC-49D2-9512-088AA3B9C2D0}"/>
  </hyperlinks>
  <printOptions horizontalCentered="1" verticalCentered="1"/>
  <pageMargins left="0.25" right="0.25" top="0.75" bottom="0.75" header="0.3" footer="0.3"/>
  <pageSetup scale="38" orientation="portrait" r:id="rId3"/>
  <headerFooter>
    <oddHeader>&amp;L&amp;&amp;"Calibri"&amp;10&amp;K000000Classé comme Interne&amp;K000000&amp;1#</oddHeader>
  </headerFooter>
  <rowBreaks count="2" manualBreakCount="2">
    <brk id="54" min="1" max="18" man="1"/>
    <brk id="154" max="16383" man="1"/>
  </rowBreaks>
  <colBreaks count="1" manualBreakCount="1">
    <brk id="19" min="2" max="100" man="1"/>
  </colBreaks>
  <extLst>
    <ext xmlns:x14="http://schemas.microsoft.com/office/spreadsheetml/2009/9/main" uri="{CCE6A557-97BC-4b89-ADB6-D9C93CAAB3DF}">
      <x14:dataValidations xmlns:xm="http://schemas.microsoft.com/office/excel/2006/main" count="6">
        <x14:dataValidation type="list" allowBlank="1" showInputMessage="1" showErrorMessage="1" xr:uid="{68C3E46A-594D-499E-8E5D-7E8CE8428DB0}">
          <x14:formula1>
            <xm:f>Data!$A$22:$A$25</xm:f>
          </x14:formula1>
          <xm:sqref>E59</xm:sqref>
        </x14:dataValidation>
        <x14:dataValidation type="list" allowBlank="1" showInputMessage="1" showErrorMessage="1" xr:uid="{00000000-0002-0000-0100-000001000000}">
          <x14:formula1>
            <xm:f>Data!$A$2:$A$9</xm:f>
          </x14:formula1>
          <xm:sqref>U78 S78</xm:sqref>
        </x14:dataValidation>
        <x14:dataValidation type="list" allowBlank="1" showDropDown="1" showInputMessage="1" showErrorMessage="1" xr:uid="{8345D4C2-6C55-44EB-AC07-37A7A41DDACE}">
          <x14:formula1>
            <xm:f>Data!$A$2:$A$9</xm:f>
          </x14:formula1>
          <xm:sqref>Y78</xm:sqref>
        </x14:dataValidation>
        <x14:dataValidation type="list" allowBlank="1" showInputMessage="1" showErrorMessage="1" xr:uid="{A07294AE-735A-4995-A770-D6FA63CCEB49}">
          <x14:formula1>
            <xm:f>Data!$A$2:$A$5</xm:f>
          </x14:formula1>
          <xm:sqref>E78:G78 K78</xm:sqref>
        </x14:dataValidation>
        <x14:dataValidation type="list" allowBlank="1" showInputMessage="1" showErrorMessage="1" xr:uid="{3729A67A-3252-494A-8394-AD5581157694}">
          <x14:formula1>
            <xm:f>Data!$A$6:$A$9</xm:f>
          </x14:formula1>
          <xm:sqref>H78:J78 L78</xm:sqref>
        </x14:dataValidation>
        <x14:dataValidation type="list" allowBlank="1" showInputMessage="1" showErrorMessage="1" xr:uid="{15B79AE7-BAF9-4396-8C71-0E62B6181A1B}">
          <x14:formula1>
            <xm:f>Data!$A$27:$A$28</xm:f>
          </x14:formula1>
          <xm:sqref>E60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1D03-FBF0-423C-8568-74401601FC3D}">
  <sheetPr codeName="Sheet7">
    <tabColor theme="1"/>
  </sheetPr>
  <dimension ref="B1:U34"/>
  <sheetViews>
    <sheetView showGridLines="0" zoomScaleNormal="100" workbookViewId="0"/>
  </sheetViews>
  <sheetFormatPr defaultColWidth="8.81640625" defaultRowHeight="15.5" outlineLevelCol="1"/>
  <cols>
    <col min="1" max="1" width="1.81640625" style="491" customWidth="1"/>
    <col min="2" max="2" width="5.81640625" style="491" customWidth="1"/>
    <col min="3" max="3" width="25.1796875" style="491" customWidth="1"/>
    <col min="4" max="4" width="12.81640625" style="491" customWidth="1"/>
    <col min="5" max="5" width="1.453125" style="491" customWidth="1"/>
    <col min="6" max="6" width="20" style="492" customWidth="1"/>
    <col min="7" max="7" width="2.1796875" style="493" hidden="1" customWidth="1" outlineLevel="1"/>
    <col min="8" max="8" width="20" style="491" hidden="1" customWidth="1" outlineLevel="1"/>
    <col min="9" max="9" width="2.1796875" style="493" hidden="1" customWidth="1" outlineLevel="1"/>
    <col min="10" max="10" width="20" style="491" hidden="1" customWidth="1" outlineLevel="1"/>
    <col min="11" max="11" width="1.81640625" style="493" customWidth="1" collapsed="1"/>
    <col min="12" max="12" width="20" style="491" customWidth="1"/>
    <col min="13" max="13" width="2.1796875" style="493" hidden="1" customWidth="1" outlineLevel="1"/>
    <col min="14" max="14" width="20" style="491" hidden="1" customWidth="1" outlineLevel="1"/>
    <col min="15" max="15" width="2.1796875" style="493" hidden="1" customWidth="1" outlineLevel="1"/>
    <col min="16" max="16" width="20" style="491" hidden="1" customWidth="1" outlineLevel="1"/>
    <col min="17" max="17" width="2.1796875" style="493" customWidth="1" collapsed="1"/>
    <col min="18" max="18" width="20" style="491" customWidth="1"/>
    <col min="19" max="19" width="5.81640625" style="493" customWidth="1"/>
    <col min="20" max="20" width="63.453125" style="491" customWidth="1"/>
    <col min="21" max="16384" width="8.81640625" style="491"/>
  </cols>
  <sheetData>
    <row r="1" spans="2:21" ht="8.25" customHeight="1">
      <c r="B1" s="545"/>
      <c r="C1" s="545"/>
      <c r="D1" s="545"/>
      <c r="E1" s="545"/>
      <c r="F1" s="546"/>
      <c r="G1" s="547"/>
      <c r="H1" s="545"/>
      <c r="I1" s="547"/>
      <c r="J1" s="545"/>
      <c r="K1" s="547"/>
      <c r="L1" s="545"/>
      <c r="M1" s="547"/>
      <c r="N1" s="545"/>
      <c r="O1" s="547"/>
      <c r="P1" s="545"/>
      <c r="Q1" s="547"/>
      <c r="R1" s="545"/>
      <c r="S1" s="547"/>
    </row>
    <row r="2" spans="2:21" ht="20" customHeight="1">
      <c r="B2" s="1059" t="s">
        <v>138</v>
      </c>
      <c r="C2" s="1059"/>
      <c r="D2" s="1059"/>
      <c r="E2" s="1059"/>
      <c r="F2" s="1059"/>
      <c r="G2" s="1059"/>
      <c r="H2" s="1059"/>
      <c r="I2" s="1059"/>
      <c r="J2" s="1059"/>
      <c r="K2" s="1059"/>
      <c r="L2" s="1059"/>
      <c r="M2" s="1059"/>
      <c r="N2" s="1059"/>
      <c r="O2" s="1059"/>
      <c r="P2" s="1059"/>
      <c r="Q2" s="1059"/>
      <c r="R2" s="1059"/>
      <c r="S2" s="1059"/>
    </row>
    <row r="3" spans="2:21" ht="8.25" customHeight="1">
      <c r="B3" s="508"/>
      <c r="C3" s="508"/>
      <c r="D3" s="508"/>
      <c r="E3" s="508"/>
      <c r="F3" s="516"/>
      <c r="G3" s="514"/>
      <c r="H3" s="508"/>
      <c r="I3" s="514"/>
      <c r="J3" s="508"/>
      <c r="K3" s="514"/>
      <c r="L3" s="508"/>
      <c r="M3" s="514"/>
      <c r="N3" s="508"/>
      <c r="O3" s="514"/>
      <c r="P3" s="508"/>
      <c r="Q3" s="514"/>
      <c r="R3" s="508"/>
      <c r="S3" s="514"/>
    </row>
    <row r="4" spans="2:21" ht="60" customHeight="1">
      <c r="B4" s="508"/>
      <c r="C4" s="1058" t="s">
        <v>218</v>
      </c>
      <c r="D4" s="1058"/>
      <c r="E4" s="1058"/>
      <c r="F4" s="1058"/>
      <c r="G4" s="1058"/>
      <c r="H4" s="1058"/>
      <c r="I4" s="1058"/>
      <c r="J4" s="1058"/>
      <c r="K4" s="1058"/>
      <c r="L4" s="1058"/>
      <c r="M4" s="1058"/>
      <c r="N4" s="1058"/>
      <c r="O4" s="1058"/>
      <c r="P4" s="1058"/>
      <c r="Q4" s="1058"/>
      <c r="R4" s="1058"/>
      <c r="S4" s="514"/>
    </row>
    <row r="5" spans="2:21" ht="8.25" customHeight="1">
      <c r="B5" s="515"/>
      <c r="C5" s="515"/>
      <c r="D5" s="515"/>
      <c r="E5" s="515"/>
      <c r="F5" s="515"/>
      <c r="G5" s="515"/>
      <c r="H5" s="515"/>
      <c r="I5" s="515"/>
      <c r="J5" s="515"/>
      <c r="K5" s="515"/>
      <c r="L5" s="515"/>
      <c r="M5" s="515"/>
      <c r="N5" s="515"/>
      <c r="O5" s="515"/>
      <c r="P5" s="515"/>
      <c r="Q5" s="515"/>
      <c r="R5" s="515"/>
      <c r="S5" s="514"/>
    </row>
    <row r="6" spans="2:21" ht="48.25" customHeight="1">
      <c r="B6" s="1060"/>
      <c r="C6" s="517"/>
      <c r="D6" s="517"/>
      <c r="E6" s="518"/>
      <c r="F6" s="1068" t="s">
        <v>219</v>
      </c>
      <c r="G6" s="1069"/>
      <c r="H6" s="1069"/>
      <c r="I6" s="1069"/>
      <c r="J6" s="1070"/>
      <c r="K6" s="519"/>
      <c r="L6" s="1068" t="s">
        <v>220</v>
      </c>
      <c r="M6" s="1069"/>
      <c r="N6" s="1069"/>
      <c r="O6" s="1069"/>
      <c r="P6" s="1070"/>
      <c r="Q6" s="519"/>
      <c r="R6" s="527" t="s">
        <v>221</v>
      </c>
      <c r="S6" s="509"/>
      <c r="T6" s="495"/>
    </row>
    <row r="7" spans="2:21" ht="8.25" customHeight="1">
      <c r="B7" s="1060"/>
      <c r="C7" s="517"/>
      <c r="D7" s="517"/>
      <c r="E7" s="518"/>
      <c r="F7" s="526"/>
      <c r="G7" s="526"/>
      <c r="H7" s="526"/>
      <c r="I7" s="526"/>
      <c r="J7" s="526"/>
      <c r="K7" s="519"/>
      <c r="L7" s="526"/>
      <c r="M7" s="526"/>
      <c r="N7" s="526"/>
      <c r="O7" s="526"/>
      <c r="P7" s="526"/>
      <c r="Q7" s="519"/>
      <c r="R7" s="519"/>
      <c r="S7" s="509"/>
      <c r="T7" s="495"/>
    </row>
    <row r="8" spans="2:21" ht="96" customHeight="1">
      <c r="B8" s="1060"/>
      <c r="C8" s="520"/>
      <c r="D8" s="517"/>
      <c r="E8" s="518"/>
      <c r="F8" s="524" t="str">
        <f>Résultats!E9</f>
        <v>Abrysvo, Pfizer</v>
      </c>
      <c r="G8" s="525"/>
      <c r="H8" s="524" t="str">
        <f>Résultats!F9</f>
        <v>Aucun</v>
      </c>
      <c r="I8" s="525"/>
      <c r="J8" s="524" t="str">
        <f>Résultats!G9</f>
        <v>Aucun</v>
      </c>
      <c r="K8" s="525"/>
      <c r="L8" s="524" t="str">
        <f>Résultats!I9</f>
        <v>Nirsevimab, AstraZeneca</v>
      </c>
      <c r="M8" s="525"/>
      <c r="N8" s="524" t="str">
        <f>Résultats!J9</f>
        <v>Aucun</v>
      </c>
      <c r="O8" s="525"/>
      <c r="P8" s="524" t="str">
        <f>Résultats!K9</f>
        <v>Aucun</v>
      </c>
      <c r="Q8" s="525"/>
      <c r="R8" s="524" t="str">
        <f>Résultats!M7</f>
        <v>Intervention contre le VRS, vaccin maternel et mAb</v>
      </c>
      <c r="S8" s="510"/>
    </row>
    <row r="9" spans="2:21" ht="8.25" customHeight="1">
      <c r="B9" s="508"/>
      <c r="C9" s="521"/>
      <c r="D9" s="521"/>
      <c r="E9" s="521"/>
      <c r="F9" s="522" t="str">
        <f>IF(F8=Data!$A$13, "! Ce produit n'est pas disponible pour les pays éligibles à Gavi !"," ")</f>
        <v xml:space="preserve"> </v>
      </c>
      <c r="G9" s="511"/>
      <c r="H9" s="523" t="str">
        <f>IF(H8=Data!$A$13, "! Ce produit n'est pas disponible pour les pays éligibles à Gavi !"," ")</f>
        <v xml:space="preserve"> </v>
      </c>
      <c r="I9" s="511"/>
      <c r="J9" s="523" t="str">
        <f>IF(J8=Data!$A$13, "! Ce produit n'est pas disponible pour les pays éligibles à Gavi !"," ")</f>
        <v xml:space="preserve"> </v>
      </c>
      <c r="K9" s="511"/>
      <c r="L9" s="523" t="str">
        <f>IF(L8=Data!$A$13, "! Ce produit n'est pas disponible pour les pays éligibles à Gavi !"," ")</f>
        <v xml:space="preserve"> </v>
      </c>
      <c r="M9" s="511"/>
      <c r="N9" s="523" t="str">
        <f>IF(N8=Data!$A$13, "! Ce produit n'est pas disponible pour les pays éligibles à Gavi !"," ")</f>
        <v xml:space="preserve"> </v>
      </c>
      <c r="O9" s="511"/>
      <c r="P9" s="523" t="str">
        <f>IF(P8=Data!$A$13, "! Ce produit n'est pas disponible pour les pays éligibles à Gavi !"," ")</f>
        <v xml:space="preserve"> </v>
      </c>
      <c r="Q9" s="511"/>
      <c r="R9" s="523" t="str">
        <f>IF(R8=Data!$A$13, "! Ce produit n'est pas disponible pour les pays éligibles à Gavi !"," ")</f>
        <v xml:space="preserve"> </v>
      </c>
      <c r="S9" s="511"/>
      <c r="U9" s="496"/>
    </row>
    <row r="10" spans="2:21" s="497" customFormat="1" ht="35.25" customHeight="1">
      <c r="B10" s="508"/>
      <c r="C10" s="1062" t="s">
        <v>222</v>
      </c>
      <c r="D10" s="534" t="s">
        <v>223</v>
      </c>
      <c r="E10" s="528"/>
      <c r="F10" s="535">
        <f>IFERROR(Résultats!E62/1000000,"")</f>
        <v>0.92859668067222245</v>
      </c>
      <c r="G10" s="788"/>
      <c r="H10" s="537" t="str">
        <f>IFERROR(Résultats!F62/1000000,"")</f>
        <v/>
      </c>
      <c r="I10" s="789"/>
      <c r="J10" s="537" t="str">
        <f>IFERROR(Résultats!G62/1000000,"")</f>
        <v/>
      </c>
      <c r="K10" s="788"/>
      <c r="L10" s="537">
        <f>IFERROR(Résultats!I62/1000000,"")</f>
        <v>0.83573701260500011</v>
      </c>
      <c r="M10" s="789"/>
      <c r="N10" s="537" t="str">
        <f>IFERROR(Résultats!J62/1000000,"")</f>
        <v/>
      </c>
      <c r="O10" s="789"/>
      <c r="P10" s="537" t="str">
        <f>IFERROR(Résultats!K62/1000000,"")</f>
        <v/>
      </c>
      <c r="Q10" s="789"/>
      <c r="R10" s="537" t="str">
        <f>IFERROR(Résultats!M62/1000000,"")</f>
        <v/>
      </c>
      <c r="S10" s="540"/>
    </row>
    <row r="11" spans="2:21" s="497" customFormat="1" ht="35.25" customHeight="1">
      <c r="B11" s="508"/>
      <c r="C11" s="1062"/>
      <c r="D11" s="534" t="s">
        <v>224</v>
      </c>
      <c r="E11" s="528"/>
      <c r="F11" s="536">
        <f>IFERROR(AVERAGE(Résultats!E63:E67)/1000000,"")</f>
        <v>0.1857193361344445</v>
      </c>
      <c r="G11" s="512"/>
      <c r="H11" s="537" t="str">
        <f>IFERROR(AVERAGE(Résultats!F63:F67)/1000000,"")</f>
        <v/>
      </c>
      <c r="I11" s="541"/>
      <c r="J11" s="538" t="str">
        <f>IFERROR(AVERAGE(Résultats!G63:G67)/1000000,"")</f>
        <v/>
      </c>
      <c r="K11" s="512"/>
      <c r="L11" s="538">
        <f>IFERROR(AVERAGE(Résultats!I63:I67)/1000000,"")</f>
        <v>0.16714740252100002</v>
      </c>
      <c r="M11" s="541"/>
      <c r="N11" s="538" t="str">
        <f>IFERROR(AVERAGE(Résultats!J63:J67)/1000000,"")</f>
        <v/>
      </c>
      <c r="O11" s="541"/>
      <c r="P11" s="538" t="str">
        <f>IFERROR(AVERAGE(Résultats!K63:K67)/1000000,"")</f>
        <v/>
      </c>
      <c r="Q11" s="541"/>
      <c r="R11" s="538" t="str">
        <f>IFERROR(AVERAGE(Résultats!M63:M67)/1000000,"")</f>
        <v/>
      </c>
      <c r="S11" s="541"/>
    </row>
    <row r="12" spans="2:21" ht="8.25" customHeight="1">
      <c r="B12" s="508"/>
      <c r="C12" s="518"/>
      <c r="D12" s="533"/>
      <c r="E12" s="528"/>
      <c r="F12" s="530"/>
      <c r="G12" s="513"/>
      <c r="H12" s="531"/>
      <c r="I12" s="542"/>
      <c r="J12" s="532"/>
      <c r="K12" s="513"/>
      <c r="L12" s="532"/>
      <c r="M12" s="542"/>
      <c r="N12" s="532"/>
      <c r="O12" s="542"/>
      <c r="P12" s="532"/>
      <c r="Q12" s="542"/>
      <c r="R12" s="532"/>
      <c r="S12" s="513"/>
    </row>
    <row r="13" spans="2:21" ht="35.25" customHeight="1">
      <c r="B13" s="508"/>
      <c r="C13" s="1062" t="s">
        <v>225</v>
      </c>
      <c r="D13" s="534" t="s">
        <v>223</v>
      </c>
      <c r="E13" s="518"/>
      <c r="F13" s="539">
        <f>IFERROR(Résultats!E108/1000000,"")</f>
        <v>0.21061366974788892</v>
      </c>
      <c r="G13" s="513"/>
      <c r="H13" s="537" t="str">
        <f>IFERROR(Résultats!F108/1000000,"")</f>
        <v/>
      </c>
      <c r="I13" s="542"/>
      <c r="J13" s="538" t="str">
        <f>IFERROR(Résultats!G108/1000000,"")</f>
        <v/>
      </c>
      <c r="K13" s="513" t="e">
        <f>(J13-F13)/F13</f>
        <v>#VALUE!</v>
      </c>
      <c r="L13" s="538">
        <f>Résultats!I108/1000000</f>
        <v>0.18955254277310005</v>
      </c>
      <c r="M13" s="542">
        <f>(L13-F13)/F13</f>
        <v>-9.9998860472825413E-2</v>
      </c>
      <c r="N13" s="538" t="str">
        <f>IFERROR(Résultats!J108/1000000,"")</f>
        <v/>
      </c>
      <c r="O13" s="542" t="e">
        <f>(N13-F13)/F13</f>
        <v>#VALUE!</v>
      </c>
      <c r="P13" s="538" t="str">
        <f>IFERROR(Résultats!K108/1000000,"")</f>
        <v/>
      </c>
      <c r="Q13" s="542" t="e">
        <f>(P13-F13)/F13</f>
        <v>#VALUE!</v>
      </c>
      <c r="R13" s="538" t="str">
        <f>IFERROR(Résultats!M108/1000000,"")</f>
        <v/>
      </c>
      <c r="S13" s="542" t="e">
        <f>(R13-F13)/F13</f>
        <v>#VALUE!</v>
      </c>
    </row>
    <row r="14" spans="2:21" ht="35.25" customHeight="1">
      <c r="B14" s="508"/>
      <c r="C14" s="1062"/>
      <c r="D14" s="534" t="s">
        <v>224</v>
      </c>
      <c r="E14" s="528"/>
      <c r="F14" s="539">
        <f>IFERROR(AVERAGE(Résultats!E109:E113)/1000000,"")</f>
        <v>4.2122733949577787E-2</v>
      </c>
      <c r="G14" s="790"/>
      <c r="H14" s="537" t="str">
        <f>IFERROR(AVERAGE(Résultats!F109:F113)/1000000,"")</f>
        <v/>
      </c>
      <c r="I14" s="791"/>
      <c r="J14" s="538" t="str">
        <f>IFERROR(AVERAGE(Résultats!G109:G113)/1000000,"")</f>
        <v/>
      </c>
      <c r="K14" s="790"/>
      <c r="L14" s="538">
        <f>AVERAGE(Résultats!I109:I113)/1000000</f>
        <v>3.7910508554620012E-2</v>
      </c>
      <c r="M14" s="791"/>
      <c r="N14" s="538" t="str">
        <f>IFERROR(AVERAGE(Résultats!J109:J113)/1000000,"")</f>
        <v/>
      </c>
      <c r="O14" s="791"/>
      <c r="P14" s="538" t="str">
        <f>IFERROR(AVERAGE(Résultats!K109:K113)/1000000,"")</f>
        <v/>
      </c>
      <c r="Q14" s="791"/>
      <c r="R14" s="538" t="str">
        <f>IFERROR(AVERAGE(Résultats!M109:M113)/1000000,"")</f>
        <v/>
      </c>
      <c r="S14" s="543"/>
    </row>
    <row r="15" spans="2:21" ht="8.25" customHeight="1">
      <c r="B15" s="508"/>
      <c r="C15" s="518"/>
      <c r="D15" s="533"/>
      <c r="E15" s="528"/>
      <c r="F15" s="530"/>
      <c r="G15" s="513"/>
      <c r="H15" s="531"/>
      <c r="I15" s="542"/>
      <c r="J15" s="532"/>
      <c r="K15" s="513"/>
      <c r="L15" s="532"/>
      <c r="M15" s="542"/>
      <c r="N15" s="532"/>
      <c r="O15" s="542"/>
      <c r="P15" s="532"/>
      <c r="Q15" s="542"/>
      <c r="R15" s="532"/>
      <c r="S15" s="542"/>
    </row>
    <row r="16" spans="2:21" ht="35.25" customHeight="1">
      <c r="B16" s="508"/>
      <c r="C16" s="1062" t="s">
        <v>226</v>
      </c>
      <c r="D16" s="534" t="s">
        <v>223</v>
      </c>
      <c r="E16" s="528"/>
      <c r="F16" s="539">
        <f>IFERROR(Résultats!E117/1000000,"")</f>
        <v>1.2536168254038889</v>
      </c>
      <c r="G16" s="513"/>
      <c r="H16" s="537" t="str">
        <f>IFERROR(Résultats!F117/1000000,"")</f>
        <v/>
      </c>
      <c r="I16" s="542"/>
      <c r="J16" s="538" t="str">
        <f>IFERROR(Résultats!G117/1000000,"")</f>
        <v/>
      </c>
      <c r="K16" s="513" t="e">
        <f>(J16-F16)/F16</f>
        <v>#VALUE!</v>
      </c>
      <c r="L16" s="538">
        <f>Résultats!I117/1000000</f>
        <v>1.0642529164936998</v>
      </c>
      <c r="M16" s="542">
        <f>(L16-F16)/F16</f>
        <v>-0.15105405820409279</v>
      </c>
      <c r="N16" s="538" t="str">
        <f>IFERROR(Résultats!J117/1000000,"")</f>
        <v/>
      </c>
      <c r="O16" s="542" t="e">
        <f>(N16-F16)/F16</f>
        <v>#VALUE!</v>
      </c>
      <c r="P16" s="538" t="str">
        <f>IFERROR(Résultats!K117/1000000,"")</f>
        <v/>
      </c>
      <c r="Q16" s="542" t="e">
        <f>(P16-F16)/F16</f>
        <v>#VALUE!</v>
      </c>
      <c r="R16" s="538" t="str">
        <f>IFERROR(Résultats!M117/1000000,"")</f>
        <v/>
      </c>
      <c r="S16" s="542" t="e">
        <f>(R16-F16)/F16</f>
        <v>#VALUE!</v>
      </c>
    </row>
    <row r="17" spans="2:20" ht="35.25" customHeight="1">
      <c r="B17" s="508"/>
      <c r="C17" s="1062"/>
      <c r="D17" s="534" t="s">
        <v>224</v>
      </c>
      <c r="E17" s="528"/>
      <c r="F17" s="539">
        <f>IFERROR(AVERAGE(Résultats!E118:E122)/1000000,"")</f>
        <v>0.2507233650807778</v>
      </c>
      <c r="G17" s="790"/>
      <c r="H17" s="537" t="str">
        <f>IFERROR(AVERAGE(Résultats!F118:F122)/1000000,"")</f>
        <v/>
      </c>
      <c r="I17" s="791"/>
      <c r="J17" s="538" t="str">
        <f>IFERROR(AVERAGE(Résultats!G118:G122)/1000000,"")</f>
        <v/>
      </c>
      <c r="K17" s="790"/>
      <c r="L17" s="538">
        <f>AVERAGE(Résultats!I118:I122)/1000000</f>
        <v>0.21285058329873999</v>
      </c>
      <c r="M17" s="791"/>
      <c r="N17" s="538" t="str">
        <f>IFERROR(AVERAGE(Résultats!J118:J122)/1000000,"")</f>
        <v/>
      </c>
      <c r="O17" s="791"/>
      <c r="P17" s="538" t="str">
        <f>IFERROR(AVERAGE(Résultats!K118:K122)/1000000,"")</f>
        <v/>
      </c>
      <c r="Q17" s="791"/>
      <c r="R17" s="538" t="str">
        <f>IFERROR(AVERAGE(Résultats!M118:M122)/1000000,"")</f>
        <v/>
      </c>
      <c r="S17" s="544"/>
    </row>
    <row r="18" spans="2:20" ht="8.25" customHeight="1">
      <c r="B18" s="508"/>
      <c r="C18" s="518"/>
      <c r="D18" s="533"/>
      <c r="E18" s="528"/>
      <c r="F18" s="530"/>
      <c r="G18" s="513"/>
      <c r="H18" s="531"/>
      <c r="I18" s="542"/>
      <c r="J18" s="532"/>
      <c r="K18" s="513"/>
      <c r="L18" s="532"/>
      <c r="M18" s="542"/>
      <c r="N18" s="532"/>
      <c r="O18" s="542"/>
      <c r="P18" s="532"/>
      <c r="Q18" s="542"/>
      <c r="R18" s="532"/>
      <c r="S18" s="542"/>
    </row>
    <row r="19" spans="2:20" ht="39.75" customHeight="1">
      <c r="B19" s="508"/>
      <c r="C19" s="1062" t="s">
        <v>227</v>
      </c>
      <c r="D19" s="534" t="s">
        <v>223</v>
      </c>
      <c r="E19" s="518"/>
      <c r="F19" s="539">
        <f>IFERROR(Résultats!E128/1000000,"")</f>
        <v>3.581419620588056</v>
      </c>
      <c r="G19" s="513"/>
      <c r="H19" s="537" t="str">
        <f>IFERROR(Résultats!F128/1000000,"")</f>
        <v/>
      </c>
      <c r="I19" s="542"/>
      <c r="J19" s="538" t="str">
        <f>IFERROR(Résultats!G128/1000000,"")</f>
        <v/>
      </c>
      <c r="K19" s="513" t="e">
        <f>(J19-F19)/F19</f>
        <v>#VALUE!</v>
      </c>
      <c r="L19" s="538">
        <f>Résultats!I128/1000000</f>
        <v>18.391904677310002</v>
      </c>
      <c r="M19" s="542">
        <f>(L19-F19)/F19</f>
        <v>4.135367152059696</v>
      </c>
      <c r="N19" s="538" t="str">
        <f>IFERROR(Résultats!J128/1000000,"")</f>
        <v/>
      </c>
      <c r="O19" s="542" t="e">
        <f>(N19-F19)/F19</f>
        <v>#VALUE!</v>
      </c>
      <c r="P19" s="538" t="str">
        <f>IFERROR(Résultats!K128/1000000,"")</f>
        <v/>
      </c>
      <c r="Q19" s="542" t="e">
        <f>(P19-F19)/F19</f>
        <v>#VALUE!</v>
      </c>
      <c r="R19" s="538" t="str">
        <f>IFERROR(Résultats!M128/1000000,"")</f>
        <v/>
      </c>
      <c r="S19" s="542" t="e">
        <f>(R19-F19)/F19</f>
        <v>#VALUE!</v>
      </c>
    </row>
    <row r="20" spans="2:20" ht="39.75" customHeight="1">
      <c r="B20" s="508"/>
      <c r="C20" s="1062"/>
      <c r="D20" s="534" t="s">
        <v>224</v>
      </c>
      <c r="E20" s="528"/>
      <c r="F20" s="539">
        <f>IFERROR(AVERAGE(Résultats!E129:E133)/1000000,"")</f>
        <v>0.7162839241176111</v>
      </c>
      <c r="G20" s="790"/>
      <c r="H20" s="537" t="str">
        <f>IFERROR(AVERAGE(Résultats!F129:F133)/1000000,"")</f>
        <v/>
      </c>
      <c r="I20" s="791"/>
      <c r="J20" s="538" t="str">
        <f>IFERROR(AVERAGE(Résultats!G129:G133)/1000000,"")</f>
        <v/>
      </c>
      <c r="K20" s="790"/>
      <c r="L20" s="538">
        <f>AVERAGE(Résultats!I129:I133)/1000000</f>
        <v>3.6783809354620005</v>
      </c>
      <c r="M20" s="791"/>
      <c r="N20" s="538" t="str">
        <f>IFERROR(AVERAGE(Résultats!J129:J133)/1000000,"")</f>
        <v/>
      </c>
      <c r="O20" s="791"/>
      <c r="P20" s="538" t="str">
        <f>IFERROR(AVERAGE(Résultats!K129:K133)/1000000,"")</f>
        <v/>
      </c>
      <c r="Q20" s="791"/>
      <c r="R20" s="538" t="str">
        <f>IFERROR(AVERAGE(Résultats!M129:M133)/1000000,"")</f>
        <v/>
      </c>
      <c r="S20" s="543"/>
    </row>
    <row r="21" spans="2:20" ht="8.25" customHeight="1">
      <c r="B21" s="508"/>
      <c r="C21" s="518"/>
      <c r="D21" s="533"/>
      <c r="E21" s="528"/>
      <c r="F21" s="530"/>
      <c r="G21" s="513"/>
      <c r="H21" s="531"/>
      <c r="I21" s="542"/>
      <c r="J21" s="532"/>
      <c r="K21" s="513"/>
      <c r="L21" s="532"/>
      <c r="M21" s="542"/>
      <c r="N21" s="532"/>
      <c r="O21" s="542"/>
      <c r="P21" s="532"/>
      <c r="Q21" s="542"/>
      <c r="R21" s="532"/>
      <c r="S21" s="542"/>
    </row>
    <row r="22" spans="2:20" ht="42" customHeight="1">
      <c r="B22" s="508"/>
      <c r="C22" s="1062" t="s">
        <v>228</v>
      </c>
      <c r="D22" s="534" t="s">
        <v>223</v>
      </c>
      <c r="E22" s="528"/>
      <c r="F22" s="539">
        <f>IFERROR(Résultats!E137/1000000,"")</f>
        <v>4.7894227762440558</v>
      </c>
      <c r="G22" s="513"/>
      <c r="H22" s="537" t="str">
        <f>IFERROR(Résultats!F137/1000000,"")</f>
        <v/>
      </c>
      <c r="I22" s="542"/>
      <c r="J22" s="538" t="str">
        <f>IFERROR(Résultats!G137/1000000,"")</f>
        <v/>
      </c>
      <c r="K22" s="513" t="e">
        <f>(J22-F22)/F22</f>
        <v>#VALUE!</v>
      </c>
      <c r="L22" s="538">
        <f>Résultats!I137/1000000</f>
        <v>19.4156050510306</v>
      </c>
      <c r="M22" s="542">
        <f>(L22-F22)/F22</f>
        <v>3.0538507369476027</v>
      </c>
      <c r="N22" s="538" t="str">
        <f>IFERROR(Résultats!J137/1000000,"")</f>
        <v/>
      </c>
      <c r="O22" s="542" t="e">
        <f>(N22-F22)/F22</f>
        <v>#VALUE!</v>
      </c>
      <c r="P22" s="538" t="str">
        <f>IFERROR(Résultats!K137/1000000,"")</f>
        <v/>
      </c>
      <c r="Q22" s="542" t="e">
        <f>(P22-F22)/F22</f>
        <v>#VALUE!</v>
      </c>
      <c r="R22" s="538" t="str">
        <f>IFERROR(Résultats!M137/1000000,"")</f>
        <v/>
      </c>
      <c r="S22" s="542" t="e">
        <f>(R22-F22)/F22</f>
        <v>#VALUE!</v>
      </c>
    </row>
    <row r="23" spans="2:20" ht="42" customHeight="1">
      <c r="B23" s="508"/>
      <c r="C23" s="1062"/>
      <c r="D23" s="534" t="s">
        <v>224</v>
      </c>
      <c r="E23" s="528"/>
      <c r="F23" s="539">
        <f>IFERROR(AVERAGE(Résultats!E138:E142)/1000000,"")</f>
        <v>0.95788455524881111</v>
      </c>
      <c r="G23" s="790"/>
      <c r="H23" s="537" t="str">
        <f>IFERROR(AVERAGE(Résultats!F138:F142)/1000000,"")</f>
        <v/>
      </c>
      <c r="I23" s="791"/>
      <c r="J23" s="538" t="str">
        <f>IFERROR(AVERAGE(Résultats!G138:G142)/1000000,"")</f>
        <v/>
      </c>
      <c r="K23" s="790"/>
      <c r="L23" s="538">
        <f>AVERAGE(Résultats!I138:I142)/1000000</f>
        <v>3.8831210102061195</v>
      </c>
      <c r="M23" s="791"/>
      <c r="N23" s="538" t="str">
        <f>IFERROR(AVERAGE(Résultats!J138:J142)/1000000,"")</f>
        <v/>
      </c>
      <c r="O23" s="791"/>
      <c r="P23" s="538" t="str">
        <f>IFERROR(AVERAGE(Résultats!K138:K142)/1000000,"")</f>
        <v/>
      </c>
      <c r="Q23" s="791"/>
      <c r="R23" s="538" t="str">
        <f>IFERROR(AVERAGE(Résultats!M138:M142)/1000000,"")</f>
        <v/>
      </c>
      <c r="S23" s="543"/>
    </row>
    <row r="24" spans="2:20" ht="8.25" customHeight="1">
      <c r="B24" s="508"/>
      <c r="C24" s="518"/>
      <c r="D24" s="533"/>
      <c r="E24" s="528"/>
      <c r="F24" s="530"/>
      <c r="G24" s="513"/>
      <c r="H24" s="531"/>
      <c r="I24" s="542"/>
      <c r="J24" s="532"/>
      <c r="K24" s="513"/>
      <c r="L24" s="532"/>
      <c r="M24" s="542"/>
      <c r="N24" s="532"/>
      <c r="O24" s="542"/>
      <c r="P24" s="532"/>
      <c r="Q24" s="542"/>
      <c r="R24" s="532"/>
      <c r="S24" s="542"/>
    </row>
    <row r="25" spans="2:20" ht="70" customHeight="1">
      <c r="B25" s="508"/>
      <c r="C25" s="730" t="s">
        <v>229</v>
      </c>
      <c r="D25" s="534" t="s">
        <v>224</v>
      </c>
      <c r="E25" s="528"/>
      <c r="F25" s="536">
        <f>IFERROR(AVERAGE(Résultats!E98:E102)/1000000,"")</f>
        <v>1.1254591769747333</v>
      </c>
      <c r="G25" s="513"/>
      <c r="H25" s="537" t="str">
        <f>IFERROR(AVERAGE(Résultats!F98:F102)/1000000,"")</f>
        <v/>
      </c>
      <c r="I25" s="542"/>
      <c r="J25" s="538" t="str">
        <f>IFERROR(AVERAGE(Résultats!G98:G102)/1000000,"")</f>
        <v/>
      </c>
      <c r="K25" s="513" t="e">
        <f>(J25-F25)/F25</f>
        <v>#VALUE!</v>
      </c>
      <c r="L25" s="538">
        <f>AVERAGE(Résultats!I98:I102)/1000000</f>
        <v>2.8615635311595207</v>
      </c>
      <c r="M25" s="542">
        <f>(L25-F25)/F25</f>
        <v>1.5425742574257433</v>
      </c>
      <c r="N25" s="538" t="str">
        <f>IFERROR(AVERAGE(Résultats!J98:J102)/1000000,"")</f>
        <v/>
      </c>
      <c r="O25" s="542" t="e">
        <f>(N25-F25)/F25</f>
        <v>#VALUE!</v>
      </c>
      <c r="P25" s="538" t="str">
        <f>IFERROR(AVERAGE(Résultats!K98:K102)/1000000,"")</f>
        <v/>
      </c>
      <c r="Q25" s="542" t="e">
        <f>(P25-F25)/F25</f>
        <v>#VALUE!</v>
      </c>
      <c r="R25" s="538" t="str">
        <f>IFERROR(AVERAGE(Résultats!M98:M102)/1000000,"")</f>
        <v/>
      </c>
      <c r="S25" s="542" t="e">
        <f>(R25-F25)/F25</f>
        <v>#VALUE!</v>
      </c>
    </row>
    <row r="26" spans="2:20" ht="15" customHeight="1">
      <c r="B26" s="508"/>
      <c r="C26" s="518"/>
      <c r="D26" s="529"/>
      <c r="E26" s="528"/>
      <c r="F26" s="530"/>
      <c r="G26" s="513"/>
      <c r="H26" s="531"/>
      <c r="I26" s="513"/>
      <c r="J26" s="532"/>
      <c r="K26" s="513"/>
      <c r="L26" s="532"/>
      <c r="M26" s="513"/>
      <c r="N26" s="532"/>
      <c r="O26" s="513"/>
      <c r="P26" s="532"/>
      <c r="Q26" s="513"/>
      <c r="R26" s="532"/>
      <c r="S26" s="513"/>
    </row>
    <row r="27" spans="2:20" ht="15.75" customHeight="1">
      <c r="B27" s="508"/>
      <c r="C27" s="1063" t="s">
        <v>230</v>
      </c>
      <c r="D27" s="1063"/>
      <c r="E27" s="1063"/>
      <c r="F27" s="1063"/>
      <c r="G27" s="1063"/>
      <c r="H27" s="1063"/>
      <c r="I27" s="1063"/>
      <c r="J27" s="1063"/>
      <c r="K27" s="1063"/>
      <c r="L27" s="1063"/>
      <c r="M27" s="1063"/>
      <c r="N27" s="1063"/>
      <c r="O27" s="1063"/>
      <c r="P27" s="1063"/>
      <c r="Q27" s="1063"/>
      <c r="R27" s="508"/>
      <c r="S27" s="514"/>
    </row>
    <row r="28" spans="2:20" ht="41.25" customHeight="1">
      <c r="B28" s="508"/>
      <c r="C28" s="1064" t="s">
        <v>231</v>
      </c>
      <c r="D28" s="1064"/>
      <c r="E28" s="1064"/>
      <c r="F28" s="1064"/>
      <c r="G28" s="1064"/>
      <c r="H28" s="1064"/>
      <c r="I28" s="1064"/>
      <c r="J28" s="1064"/>
      <c r="K28" s="1064"/>
      <c r="L28" s="1064"/>
      <c r="M28" s="1064"/>
      <c r="N28" s="1064"/>
      <c r="O28" s="1064"/>
      <c r="P28" s="1064"/>
      <c r="Q28" s="1064"/>
      <c r="R28" s="1065"/>
      <c r="S28" s="1065"/>
    </row>
    <row r="29" spans="2:20" ht="53.25" customHeight="1">
      <c r="B29" s="508"/>
      <c r="C29" s="1066" t="s">
        <v>232</v>
      </c>
      <c r="D29" s="1066"/>
      <c r="E29" s="1066"/>
      <c r="F29" s="1066"/>
      <c r="G29" s="1066"/>
      <c r="H29" s="1066"/>
      <c r="I29" s="1066"/>
      <c r="J29" s="1066"/>
      <c r="K29" s="1066"/>
      <c r="L29" s="1066"/>
      <c r="M29" s="1066"/>
      <c r="N29" s="1066"/>
      <c r="O29" s="1066"/>
      <c r="P29" s="1066"/>
      <c r="Q29" s="1066"/>
      <c r="R29" s="1067"/>
      <c r="S29" s="1067"/>
      <c r="T29" s="498"/>
    </row>
    <row r="30" spans="2:20" ht="11.5" customHeight="1">
      <c r="B30" s="508"/>
      <c r="C30" s="1061"/>
      <c r="D30" s="1061"/>
      <c r="E30" s="1061"/>
      <c r="F30" s="1061"/>
      <c r="G30" s="1061"/>
      <c r="H30" s="1061"/>
      <c r="I30" s="1061"/>
      <c r="J30" s="1061"/>
      <c r="K30" s="1061"/>
      <c r="L30" s="1061"/>
      <c r="M30" s="1061"/>
      <c r="N30" s="1061"/>
      <c r="O30" s="1061"/>
      <c r="P30" s="1061"/>
      <c r="Q30" s="509"/>
      <c r="R30" s="508"/>
      <c r="S30" s="509"/>
    </row>
    <row r="31" spans="2:20">
      <c r="C31" s="732"/>
      <c r="D31" s="732"/>
      <c r="E31" s="732"/>
      <c r="F31" s="499"/>
      <c r="G31" s="494"/>
      <c r="H31" s="732"/>
      <c r="I31" s="494"/>
      <c r="J31" s="411"/>
      <c r="K31" s="500"/>
      <c r="L31" s="732"/>
      <c r="M31" s="494"/>
      <c r="N31" s="732"/>
      <c r="O31" s="494"/>
      <c r="P31" s="411"/>
      <c r="Q31" s="494"/>
      <c r="R31" s="411"/>
      <c r="S31" s="500"/>
    </row>
    <row r="32" spans="2:20">
      <c r="C32" s="501"/>
      <c r="D32" s="501"/>
      <c r="E32" s="501"/>
      <c r="F32" s="502"/>
      <c r="G32" s="503"/>
      <c r="H32" s="405"/>
      <c r="I32" s="503"/>
      <c r="J32" s="405"/>
      <c r="K32" s="503"/>
      <c r="L32" s="405"/>
      <c r="M32" s="503"/>
      <c r="N32" s="405"/>
      <c r="O32" s="503"/>
      <c r="P32" s="405"/>
      <c r="Q32" s="503"/>
      <c r="R32" s="405"/>
      <c r="S32" s="503"/>
    </row>
    <row r="33" spans="3:19">
      <c r="C33" s="731"/>
      <c r="D33" s="731"/>
      <c r="E33" s="731"/>
      <c r="F33" s="504"/>
      <c r="G33" s="505"/>
      <c r="H33" s="407"/>
      <c r="I33" s="505"/>
      <c r="J33" s="407"/>
      <c r="K33" s="505"/>
      <c r="L33" s="407"/>
      <c r="M33" s="505"/>
      <c r="N33" s="407"/>
      <c r="O33" s="505"/>
      <c r="P33" s="407"/>
      <c r="Q33" s="505"/>
      <c r="R33" s="407"/>
      <c r="S33" s="505"/>
    </row>
    <row r="34" spans="3:19">
      <c r="C34" s="731"/>
      <c r="D34" s="731"/>
      <c r="E34" s="731"/>
      <c r="F34" s="504"/>
      <c r="G34" s="506"/>
      <c r="H34" s="507"/>
      <c r="I34" s="506"/>
      <c r="J34" s="407"/>
      <c r="K34" s="505"/>
      <c r="L34" s="507"/>
      <c r="M34" s="506"/>
      <c r="N34" s="507"/>
      <c r="O34" s="506"/>
      <c r="P34" s="507"/>
      <c r="Q34" s="506"/>
      <c r="R34" s="507"/>
      <c r="S34" s="506"/>
    </row>
  </sheetData>
  <sheetProtection algorithmName="SHA-512" hashValue="WsBV1fmCycVl3Y4K7NwHwyniKUrhI/lS4N+qnqbRlYjU1fDvgmzVuDzZMz0+z9ogqOQRThY8sumYipTdew5oFA==" saltValue="zl0gg1Njs0ojkbGweRI/Cg==" spinCount="100000" sheet="1" objects="1" scenarios="1"/>
  <mergeCells count="14">
    <mergeCell ref="C4:R4"/>
    <mergeCell ref="B2:S2"/>
    <mergeCell ref="B6:B8"/>
    <mergeCell ref="C30:P30"/>
    <mergeCell ref="C10:C11"/>
    <mergeCell ref="C27:Q27"/>
    <mergeCell ref="C28:S28"/>
    <mergeCell ref="C29:S29"/>
    <mergeCell ref="C13:C14"/>
    <mergeCell ref="C16:C17"/>
    <mergeCell ref="C19:C20"/>
    <mergeCell ref="C22:C23"/>
    <mergeCell ref="F6:J6"/>
    <mergeCell ref="L6:P6"/>
  </mergeCells>
  <conditionalFormatting sqref="F12 F25 L12 L25 R12 R25">
    <cfRule type="colorScale" priority="149">
      <colorScale>
        <cfvo type="min"/>
        <cfvo type="percentile" val="50"/>
        <cfvo type="max"/>
        <color theme="6"/>
        <color rgb="FFE2E278"/>
        <color theme="3"/>
      </colorScale>
    </cfRule>
  </conditionalFormatting>
  <conditionalFormatting sqref="F13 H13 J13 L13 N13 P13 R13">
    <cfRule type="colorScale" priority="79">
      <colorScale>
        <cfvo type="min"/>
        <cfvo type="percentile" val="50"/>
        <cfvo type="max"/>
        <color theme="6"/>
        <color rgb="FFE2E278"/>
        <color theme="3"/>
      </colorScale>
    </cfRule>
  </conditionalFormatting>
  <conditionalFormatting sqref="F22 H22 J22 L22 N22 P22 R22">
    <cfRule type="colorScale" priority="76">
      <colorScale>
        <cfvo type="min"/>
        <cfvo type="percentile" val="50"/>
        <cfvo type="max"/>
        <color theme="6"/>
        <color rgb="FFE2E278"/>
        <color theme="3"/>
      </colorScale>
    </cfRule>
  </conditionalFormatting>
  <conditionalFormatting sqref="F25:J25 F12:L12 L25 R25 R12 N25:P25 N12:P12">
    <cfRule type="colorScale" priority="151">
      <colorScale>
        <cfvo type="min"/>
        <cfvo type="percentile" val="50"/>
        <cfvo type="max"/>
        <color theme="3"/>
        <color rgb="FFE2E278"/>
        <color theme="6"/>
      </colorScale>
    </cfRule>
  </conditionalFormatting>
  <conditionalFormatting sqref="F15:L15 R15 N15:P15">
    <cfRule type="colorScale" priority="139">
      <colorScale>
        <cfvo type="min"/>
        <cfvo type="percentile" val="50"/>
        <cfvo type="max"/>
        <color theme="3"/>
        <color rgb="FFE2E278"/>
        <color theme="6"/>
      </colorScale>
    </cfRule>
  </conditionalFormatting>
  <conditionalFormatting sqref="F18:L18 R18 N18:P18">
    <cfRule type="colorScale" priority="109">
      <colorScale>
        <cfvo type="min"/>
        <cfvo type="percentile" val="50"/>
        <cfvo type="max"/>
        <color theme="3"/>
        <color rgb="FFE2E278"/>
        <color theme="6"/>
      </colorScale>
    </cfRule>
  </conditionalFormatting>
  <conditionalFormatting sqref="F21:L21 R21 N21:P21">
    <cfRule type="colorScale" priority="120">
      <colorScale>
        <cfvo type="min"/>
        <cfvo type="percentile" val="50"/>
        <cfvo type="max"/>
        <color theme="3"/>
        <color rgb="FFE2E278"/>
        <color theme="6"/>
      </colorScale>
    </cfRule>
  </conditionalFormatting>
  <conditionalFormatting sqref="F24:L24 F26:L26 R26 R24 N26:P26 N24:P24">
    <cfRule type="colorScale" priority="226">
      <colorScale>
        <cfvo type="min"/>
        <cfvo type="percentile" val="50"/>
        <cfvo type="max"/>
        <color theme="3"/>
        <color rgb="FFE2E278"/>
        <color theme="6"/>
      </colorScale>
    </cfRule>
  </conditionalFormatting>
  <conditionalFormatting sqref="G12:G13">
    <cfRule type="cellIs" dxfId="49" priority="61" operator="lessThan">
      <formula>0</formula>
    </cfRule>
    <cfRule type="cellIs" dxfId="48" priority="62" operator="greaterThan">
      <formula>0</formula>
    </cfRule>
  </conditionalFormatting>
  <conditionalFormatting sqref="G15:G16">
    <cfRule type="cellIs" dxfId="47" priority="51" operator="lessThan">
      <formula>0</formula>
    </cfRule>
    <cfRule type="cellIs" dxfId="46" priority="52" operator="greaterThan">
      <formula>0</formula>
    </cfRule>
  </conditionalFormatting>
  <conditionalFormatting sqref="G18:G19">
    <cfRule type="cellIs" dxfId="45" priority="56" operator="greaterThan">
      <formula>0</formula>
    </cfRule>
    <cfRule type="cellIs" dxfId="44" priority="55" operator="lessThan">
      <formula>0</formula>
    </cfRule>
  </conditionalFormatting>
  <conditionalFormatting sqref="G21:G22">
    <cfRule type="cellIs" dxfId="43" priority="49" operator="lessThan">
      <formula>0</formula>
    </cfRule>
    <cfRule type="cellIs" dxfId="42" priority="50" operator="greaterThan">
      <formula>0</formula>
    </cfRule>
  </conditionalFormatting>
  <conditionalFormatting sqref="G24:G26">
    <cfRule type="cellIs" dxfId="41" priority="54" operator="greaterThan">
      <formula>0</formula>
    </cfRule>
    <cfRule type="cellIs" dxfId="40" priority="53" operator="lessThan">
      <formula>0</formula>
    </cfRule>
  </conditionalFormatting>
  <conditionalFormatting sqref="H16 F16 J16 L16 N16 P16 R16">
    <cfRule type="colorScale" priority="78">
      <colorScale>
        <cfvo type="min"/>
        <cfvo type="percentile" val="50"/>
        <cfvo type="max"/>
        <color theme="6"/>
        <color rgb="FFE2E278"/>
        <color theme="3"/>
      </colorScale>
    </cfRule>
  </conditionalFormatting>
  <conditionalFormatting sqref="H19 F19 J19 L19 N19 P19 R19">
    <cfRule type="colorScale" priority="77">
      <colorScale>
        <cfvo type="min"/>
        <cfvo type="percentile" val="50"/>
        <cfvo type="max"/>
        <color theme="6"/>
        <color rgb="FFE2E278"/>
        <color theme="3"/>
      </colorScale>
    </cfRule>
  </conditionalFormatting>
  <conditionalFormatting sqref="I12:I13">
    <cfRule type="cellIs" dxfId="39" priority="177" operator="greaterThan">
      <formula>0</formula>
    </cfRule>
    <cfRule type="cellIs" dxfId="38" priority="176" operator="lessThan">
      <formula>0</formula>
    </cfRule>
  </conditionalFormatting>
  <conditionalFormatting sqref="I15">
    <cfRule type="cellIs" dxfId="37" priority="147" operator="greaterThan">
      <formula>0</formula>
    </cfRule>
    <cfRule type="cellIs" dxfId="36" priority="146" operator="lessThan">
      <formula>0</formula>
    </cfRule>
  </conditionalFormatting>
  <conditionalFormatting sqref="I16">
    <cfRule type="cellIs" dxfId="35" priority="94" operator="lessThan">
      <formula>0</formula>
    </cfRule>
    <cfRule type="cellIs" dxfId="34" priority="95" operator="greaterThan">
      <formula>0</formula>
    </cfRule>
  </conditionalFormatting>
  <conditionalFormatting sqref="I18:I19">
    <cfRule type="cellIs" dxfId="33" priority="117" operator="greaterThan">
      <formula>0</formula>
    </cfRule>
    <cfRule type="cellIs" dxfId="32" priority="116" operator="lessThan">
      <formula>0</formula>
    </cfRule>
  </conditionalFormatting>
  <conditionalFormatting sqref="I21">
    <cfRule type="cellIs" dxfId="31" priority="128" operator="greaterThan">
      <formula>0</formula>
    </cfRule>
    <cfRule type="cellIs" dxfId="30" priority="127" operator="lessThan">
      <formula>0</formula>
    </cfRule>
  </conditionalFormatting>
  <conditionalFormatting sqref="I22">
    <cfRule type="cellIs" dxfId="29" priority="86" operator="lessThan">
      <formula>0</formula>
    </cfRule>
    <cfRule type="cellIs" dxfId="28" priority="87" operator="greaterThan">
      <formula>0</formula>
    </cfRule>
  </conditionalFormatting>
  <conditionalFormatting sqref="I24">
    <cfRule type="cellIs" dxfId="27" priority="105" operator="lessThan">
      <formula>0</formula>
    </cfRule>
    <cfRule type="cellIs" dxfId="26" priority="106" operator="greaterThan">
      <formula>0</formula>
    </cfRule>
  </conditionalFormatting>
  <conditionalFormatting sqref="I25:I26 K26">
    <cfRule type="cellIs" dxfId="25" priority="192" operator="lessThan">
      <formula>0</formula>
    </cfRule>
    <cfRule type="cellIs" dxfId="24" priority="193" operator="greaterThan">
      <formula>0</formula>
    </cfRule>
  </conditionalFormatting>
  <conditionalFormatting sqref="K12:K13">
    <cfRule type="cellIs" dxfId="23" priority="174" operator="lessThan">
      <formula>0</formula>
    </cfRule>
    <cfRule type="cellIs" dxfId="22" priority="175" operator="greaterThan">
      <formula>0</formula>
    </cfRule>
  </conditionalFormatting>
  <conditionalFormatting sqref="K15">
    <cfRule type="cellIs" dxfId="21" priority="140" operator="lessThan">
      <formula>0</formula>
    </cfRule>
    <cfRule type="cellIs" dxfId="20" priority="141" operator="greaterThan">
      <formula>0</formula>
    </cfRule>
  </conditionalFormatting>
  <conditionalFormatting sqref="K16">
    <cfRule type="cellIs" dxfId="19" priority="93" operator="greaterThan">
      <formula>0</formula>
    </cfRule>
    <cfRule type="cellIs" dxfId="18" priority="92" operator="lessThan">
      <formula>0</formula>
    </cfRule>
  </conditionalFormatting>
  <conditionalFormatting sqref="K18:K19">
    <cfRule type="cellIs" dxfId="17" priority="110" operator="lessThan">
      <formula>0</formula>
    </cfRule>
    <cfRule type="cellIs" dxfId="16" priority="111" operator="greaterThan">
      <formula>0</formula>
    </cfRule>
  </conditionalFormatting>
  <conditionalFormatting sqref="K21">
    <cfRule type="cellIs" dxfId="15" priority="121" operator="lessThan">
      <formula>0</formula>
    </cfRule>
    <cfRule type="cellIs" dxfId="14" priority="122" operator="greaterThan">
      <formula>0</formula>
    </cfRule>
  </conditionalFormatting>
  <conditionalFormatting sqref="K22">
    <cfRule type="cellIs" dxfId="13" priority="85" operator="greaterThan">
      <formula>0</formula>
    </cfRule>
    <cfRule type="cellIs" dxfId="12" priority="84" operator="lessThan">
      <formula>0</formula>
    </cfRule>
  </conditionalFormatting>
  <conditionalFormatting sqref="K24">
    <cfRule type="cellIs" dxfId="11" priority="99" operator="lessThan">
      <formula>0</formula>
    </cfRule>
    <cfRule type="cellIs" dxfId="10" priority="100" operator="greaterThan">
      <formula>0</formula>
    </cfRule>
  </conditionalFormatting>
  <conditionalFormatting sqref="L12 L25 F12 F25 R12 R25">
    <cfRule type="colorScale" priority="150">
      <colorScale>
        <cfvo type="min"/>
        <cfvo type="percentile" val="50"/>
        <cfvo type="max"/>
        <color theme="3"/>
        <color rgb="FFE2E278"/>
        <color theme="6"/>
      </colorScale>
    </cfRule>
  </conditionalFormatting>
  <conditionalFormatting sqref="L15 F15 R15">
    <cfRule type="colorScale" priority="137">
      <colorScale>
        <cfvo type="min"/>
        <cfvo type="percentile" val="50"/>
        <cfvo type="max"/>
        <color theme="6"/>
        <color rgb="FFE2E278"/>
        <color theme="3"/>
      </colorScale>
    </cfRule>
    <cfRule type="colorScale" priority="138">
      <colorScale>
        <cfvo type="min"/>
        <cfvo type="percentile" val="50"/>
        <cfvo type="max"/>
        <color theme="3"/>
        <color rgb="FFE2E278"/>
        <color theme="6"/>
      </colorScale>
    </cfRule>
  </conditionalFormatting>
  <conditionalFormatting sqref="L18 F18 R18">
    <cfRule type="colorScale" priority="107">
      <colorScale>
        <cfvo type="min"/>
        <cfvo type="percentile" val="50"/>
        <cfvo type="max"/>
        <color theme="6"/>
        <color rgb="FFE2E278"/>
        <color theme="3"/>
      </colorScale>
    </cfRule>
    <cfRule type="colorScale" priority="108">
      <colorScale>
        <cfvo type="min"/>
        <cfvo type="percentile" val="50"/>
        <cfvo type="max"/>
        <color theme="3"/>
        <color rgb="FFE2E278"/>
        <color theme="6"/>
      </colorScale>
    </cfRule>
  </conditionalFormatting>
  <conditionalFormatting sqref="L21 F21 R21">
    <cfRule type="colorScale" priority="118">
      <colorScale>
        <cfvo type="min"/>
        <cfvo type="percentile" val="50"/>
        <cfvo type="max"/>
        <color theme="6"/>
        <color rgb="FFE2E278"/>
        <color theme="3"/>
      </colorScale>
    </cfRule>
    <cfRule type="colorScale" priority="119">
      <colorScale>
        <cfvo type="min"/>
        <cfvo type="percentile" val="50"/>
        <cfvo type="max"/>
        <color theme="3"/>
        <color rgb="FFE2E278"/>
        <color theme="6"/>
      </colorScale>
    </cfRule>
  </conditionalFormatting>
  <conditionalFormatting sqref="L24 F24 R24 R26 F26 L26">
    <cfRule type="colorScale" priority="230">
      <colorScale>
        <cfvo type="min"/>
        <cfvo type="percentile" val="50"/>
        <cfvo type="max"/>
        <color theme="3"/>
        <color rgb="FFE2E278"/>
        <color theme="6"/>
      </colorScale>
    </cfRule>
  </conditionalFormatting>
  <conditionalFormatting sqref="L24 F24 R24 R26 L26 F26">
    <cfRule type="colorScale" priority="236">
      <colorScale>
        <cfvo type="min"/>
        <cfvo type="percentile" val="50"/>
        <cfvo type="max"/>
        <color theme="6"/>
        <color rgb="FFE2E278"/>
        <color theme="3"/>
      </colorScale>
    </cfRule>
  </conditionalFormatting>
  <conditionalFormatting sqref="O12:O13">
    <cfRule type="cellIs" dxfId="9" priority="30" operator="greaterThan">
      <formula>0</formula>
    </cfRule>
    <cfRule type="cellIs" dxfId="8" priority="29" operator="lessThan">
      <formula>0</formula>
    </cfRule>
  </conditionalFormatting>
  <conditionalFormatting sqref="O15:O16">
    <cfRule type="cellIs" dxfId="7" priority="20" operator="greaterThan">
      <formula>0</formula>
    </cfRule>
    <cfRule type="cellIs" dxfId="6" priority="19" operator="lessThan">
      <formula>0</formula>
    </cfRule>
  </conditionalFormatting>
  <conditionalFormatting sqref="O18:O19">
    <cfRule type="cellIs" dxfId="5" priority="24" operator="greaterThan">
      <formula>0</formula>
    </cfRule>
    <cfRule type="cellIs" dxfId="4" priority="23" operator="lessThan">
      <formula>0</formula>
    </cfRule>
  </conditionalFormatting>
  <conditionalFormatting sqref="O21:O22">
    <cfRule type="cellIs" dxfId="3" priority="17" operator="lessThan">
      <formula>0</formula>
    </cfRule>
    <cfRule type="cellIs" dxfId="2" priority="18" operator="greaterThan">
      <formula>0</formula>
    </cfRule>
  </conditionalFormatting>
  <conditionalFormatting sqref="O24:O26">
    <cfRule type="cellIs" dxfId="1" priority="22" operator="greaterThan">
      <formula>0</formula>
    </cfRule>
    <cfRule type="cellIs" dxfId="0" priority="21" operator="lessThan">
      <formula>0</formula>
    </cfRule>
  </conditionalFormatting>
  <pageMargins left="0.7" right="0.7" top="0.75" bottom="0.75" header="0.3" footer="0.3"/>
  <pageSetup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4289E-D5E5-4A82-8CC8-64CA82FC067F}">
  <sheetPr codeName="Sheet3">
    <tabColor theme="9"/>
  </sheetPr>
  <dimension ref="B1:AB150"/>
  <sheetViews>
    <sheetView showGridLines="0" zoomScaleNormal="100" workbookViewId="0"/>
  </sheetViews>
  <sheetFormatPr defaultColWidth="8.81640625" defaultRowHeight="15.5" outlineLevelRow="1" outlineLevelCol="1"/>
  <cols>
    <col min="1" max="1" width="2.1796875" style="575" customWidth="1"/>
    <col min="2" max="3" width="5.81640625" style="575" customWidth="1"/>
    <col min="4" max="5" width="18.453125" style="575" customWidth="1"/>
    <col min="6" max="7" width="18.453125" style="575" hidden="1" customWidth="1" outlineLevel="1"/>
    <col min="8" max="8" width="2" style="575" hidden="1" customWidth="1" outlineLevel="1"/>
    <col min="9" max="9" width="18.453125" style="575" customWidth="1" collapsed="1"/>
    <col min="10" max="11" width="18.453125" style="575" hidden="1" customWidth="1" outlineLevel="1"/>
    <col min="12" max="12" width="2" style="575" hidden="1" customWidth="1" outlineLevel="1"/>
    <col min="13" max="13" width="18.453125" style="575" customWidth="1" collapsed="1"/>
    <col min="14" max="15" width="18.453125" style="575" hidden="1" customWidth="1" outlineLevel="1"/>
    <col min="16" max="16" width="5.81640625" style="491" customWidth="1" collapsed="1"/>
    <col min="17" max="17" width="5.81640625" style="491" customWidth="1"/>
    <col min="18" max="18" width="36.453125" style="576" customWidth="1"/>
    <col min="19" max="19" width="72.453125" style="576" customWidth="1"/>
    <col min="20" max="20" width="2.1796875" style="576" customWidth="1"/>
    <col min="21" max="21" width="31.453125" style="576" customWidth="1"/>
    <col min="22" max="22" width="34.1796875" style="576" customWidth="1"/>
    <col min="23" max="23" width="3.1796875" style="576" customWidth="1"/>
    <col min="24" max="24" width="32.453125" style="576" customWidth="1"/>
    <col min="25" max="25" width="31.1796875" style="576" customWidth="1"/>
    <col min="26" max="28" width="8.81640625" style="576"/>
    <col min="29" max="16384" width="8.81640625" style="575"/>
  </cols>
  <sheetData>
    <row r="1" spans="2:28" ht="8.25" customHeight="1">
      <c r="B1" s="657"/>
      <c r="C1" s="657"/>
      <c r="D1" s="657"/>
      <c r="E1" s="657"/>
      <c r="F1" s="657"/>
      <c r="G1" s="657"/>
      <c r="H1" s="657"/>
      <c r="I1" s="657"/>
      <c r="J1" s="657"/>
      <c r="K1" s="657"/>
      <c r="L1" s="657"/>
      <c r="M1" s="657"/>
      <c r="N1" s="657"/>
      <c r="O1" s="657"/>
      <c r="P1" s="545"/>
      <c r="Q1" s="545"/>
    </row>
    <row r="2" spans="2:28" ht="33" customHeight="1">
      <c r="B2" s="1071" t="s">
        <v>233</v>
      </c>
      <c r="C2" s="1071"/>
      <c r="D2" s="1071"/>
      <c r="E2" s="1071"/>
      <c r="F2" s="1071"/>
      <c r="G2" s="1071"/>
      <c r="H2" s="1071"/>
      <c r="I2" s="1071"/>
      <c r="J2" s="1071"/>
      <c r="K2" s="1071"/>
      <c r="L2" s="1071"/>
      <c r="M2" s="1071"/>
      <c r="N2" s="1071"/>
      <c r="O2" s="1071"/>
      <c r="P2" s="1071"/>
      <c r="Q2" s="1071"/>
    </row>
    <row r="3" spans="2:28">
      <c r="B3" s="579"/>
      <c r="C3" s="579"/>
      <c r="D3" s="579"/>
      <c r="E3" s="579"/>
      <c r="F3" s="579"/>
      <c r="G3" s="579"/>
      <c r="H3" s="579"/>
      <c r="I3" s="579"/>
      <c r="J3" s="579"/>
      <c r="K3" s="579"/>
      <c r="L3" s="579"/>
      <c r="M3" s="579"/>
      <c r="N3" s="579"/>
      <c r="O3" s="579"/>
      <c r="P3" s="580"/>
      <c r="Q3" s="580"/>
    </row>
    <row r="4" spans="2:28" ht="60" customHeight="1">
      <c r="B4" s="583"/>
      <c r="C4" s="599"/>
      <c r="D4" s="1072" t="s">
        <v>234</v>
      </c>
      <c r="E4" s="1072"/>
      <c r="F4" s="1072"/>
      <c r="G4" s="1072"/>
      <c r="H4" s="1072"/>
      <c r="I4" s="1072"/>
      <c r="J4" s="1072"/>
      <c r="K4" s="1072"/>
      <c r="L4" s="1072"/>
      <c r="M4" s="1072"/>
      <c r="N4" s="1072"/>
      <c r="O4" s="1072"/>
      <c r="P4" s="600"/>
      <c r="Q4" s="580"/>
      <c r="R4" s="732"/>
      <c r="S4" s="732"/>
      <c r="T4" s="423"/>
      <c r="U4" s="423"/>
      <c r="V4" s="423"/>
      <c r="W4" s="423"/>
      <c r="X4" s="423"/>
      <c r="Y4" s="732"/>
    </row>
    <row r="5" spans="2:28" ht="8.5" customHeight="1">
      <c r="B5" s="583"/>
      <c r="C5" s="583"/>
      <c r="D5" s="596"/>
      <c r="E5" s="596"/>
      <c r="F5" s="596"/>
      <c r="G5" s="596"/>
      <c r="H5" s="596"/>
      <c r="I5" s="596"/>
      <c r="J5" s="596"/>
      <c r="K5" s="596"/>
      <c r="L5" s="596"/>
      <c r="M5" s="579"/>
      <c r="N5" s="596"/>
      <c r="O5" s="596"/>
      <c r="P5" s="580"/>
      <c r="Q5" s="580"/>
      <c r="R5" s="412"/>
      <c r="S5" s="411"/>
    </row>
    <row r="6" spans="2:28" ht="10.5" customHeight="1">
      <c r="B6" s="583"/>
      <c r="C6" s="583"/>
      <c r="D6" s="596"/>
      <c r="E6" s="596"/>
      <c r="F6" s="596"/>
      <c r="G6" s="596"/>
      <c r="H6" s="596"/>
      <c r="I6" s="596"/>
      <c r="J6" s="596"/>
      <c r="K6" s="596"/>
      <c r="L6" s="596"/>
      <c r="M6" s="579"/>
      <c r="N6" s="596"/>
      <c r="O6" s="596"/>
      <c r="P6" s="580"/>
      <c r="Q6" s="580"/>
      <c r="R6" s="732"/>
      <c r="S6" s="732"/>
    </row>
    <row r="7" spans="2:28" ht="96.75" customHeight="1">
      <c r="B7" s="583"/>
      <c r="C7" s="583"/>
      <c r="D7" s="596"/>
      <c r="E7" s="1090" t="s">
        <v>235</v>
      </c>
      <c r="F7" s="1090"/>
      <c r="G7" s="1090"/>
      <c r="H7" s="677"/>
      <c r="I7" s="1091" t="s">
        <v>236</v>
      </c>
      <c r="J7" s="1091"/>
      <c r="K7" s="1091"/>
      <c r="L7" s="677"/>
      <c r="M7" s="1092" t="s">
        <v>237</v>
      </c>
      <c r="N7" s="1092"/>
      <c r="O7" s="1092"/>
      <c r="P7" s="580"/>
      <c r="Q7" s="580"/>
      <c r="R7" s="732"/>
      <c r="S7" s="732"/>
    </row>
    <row r="8" spans="2:28" ht="65.25" customHeight="1">
      <c r="B8" s="583"/>
      <c r="C8" s="583"/>
      <c r="D8" s="596"/>
      <c r="E8" s="1087" t="s">
        <v>219</v>
      </c>
      <c r="F8" s="1087"/>
      <c r="G8" s="1087"/>
      <c r="H8" s="637"/>
      <c r="I8" s="1088" t="s">
        <v>220</v>
      </c>
      <c r="J8" s="1088"/>
      <c r="K8" s="1088"/>
      <c r="L8" s="637"/>
      <c r="M8" s="1089" t="s">
        <v>238</v>
      </c>
      <c r="N8" s="1089"/>
      <c r="O8" s="1089"/>
      <c r="P8" s="580"/>
      <c r="Q8" s="580"/>
      <c r="R8" s="732"/>
      <c r="S8" s="732"/>
    </row>
    <row r="9" spans="2:28" s="595" customFormat="1" ht="27" customHeight="1">
      <c r="B9" s="591"/>
      <c r="C9" s="591"/>
      <c r="D9" s="597"/>
      <c r="E9" s="656" t="str">
        <f>'Saisie des données'!E78</f>
        <v>Abrysvo, Pfizer</v>
      </c>
      <c r="F9" s="656" t="str">
        <f>'Saisie des données'!F78</f>
        <v>Aucun</v>
      </c>
      <c r="G9" s="656" t="str">
        <f>'Saisie des données'!G78</f>
        <v>Aucun</v>
      </c>
      <c r="H9" s="640"/>
      <c r="I9" s="656" t="str">
        <f>'Saisie des données'!H78</f>
        <v>Nirsevimab, AstraZeneca</v>
      </c>
      <c r="J9" s="656" t="str">
        <f>'Saisie des données'!I78</f>
        <v>Aucun</v>
      </c>
      <c r="K9" s="656" t="str">
        <f>'Saisie des données'!J78</f>
        <v>Aucun</v>
      </c>
      <c r="L9" s="640"/>
      <c r="M9" s="656" t="s">
        <v>239</v>
      </c>
      <c r="N9" s="656" t="str">
        <f>'Saisie des données'!K78</f>
        <v>Aucun</v>
      </c>
      <c r="O9" s="656" t="str">
        <f>'Saisie des données'!L78</f>
        <v>Aucun</v>
      </c>
      <c r="P9" s="592"/>
      <c r="Q9" s="592"/>
      <c r="R9" s="593"/>
      <c r="S9" s="735"/>
      <c r="T9" s="594"/>
      <c r="U9" s="1086"/>
      <c r="V9" s="1086"/>
      <c r="W9" s="594"/>
      <c r="X9" s="1086"/>
      <c r="Y9" s="1086"/>
      <c r="Z9" s="594"/>
      <c r="AA9" s="594"/>
      <c r="AB9" s="594"/>
    </row>
    <row r="10" spans="2:28" ht="35.25" hidden="1" customHeight="1">
      <c r="B10" s="583"/>
      <c r="C10" s="583"/>
      <c r="D10" s="722"/>
      <c r="E10" s="582" t="s">
        <v>240</v>
      </c>
      <c r="F10" s="582" t="s">
        <v>240</v>
      </c>
      <c r="G10" s="582" t="s">
        <v>240</v>
      </c>
      <c r="H10" s="582"/>
      <c r="I10" s="582" t="s">
        <v>241</v>
      </c>
      <c r="J10" s="582" t="s">
        <v>241</v>
      </c>
      <c r="K10" s="582" t="s">
        <v>241</v>
      </c>
      <c r="L10" s="582"/>
      <c r="M10" s="582" t="s">
        <v>242</v>
      </c>
      <c r="N10" s="582" t="s">
        <v>242</v>
      </c>
      <c r="O10" s="582" t="s">
        <v>242</v>
      </c>
      <c r="P10" s="580"/>
      <c r="Q10" s="580"/>
      <c r="R10" s="732"/>
      <c r="S10" s="732"/>
    </row>
    <row r="11" spans="2:28" ht="27" hidden="1" customHeight="1">
      <c r="B11" s="583"/>
      <c r="C11" s="583"/>
      <c r="E11" s="581" t="str">
        <f>E9</f>
        <v>Abrysvo, Pfizer</v>
      </c>
      <c r="F11" s="581" t="str">
        <f t="shared" ref="F11:O11" si="0">F9</f>
        <v>Aucun</v>
      </c>
      <c r="G11" s="581" t="str">
        <f t="shared" si="0"/>
        <v>Aucun</v>
      </c>
      <c r="H11" s="581"/>
      <c r="I11" s="581" t="str">
        <f t="shared" si="0"/>
        <v>Nirsevimab, AstraZeneca</v>
      </c>
      <c r="J11" s="581" t="str">
        <f t="shared" si="0"/>
        <v>Aucun</v>
      </c>
      <c r="K11" s="581" t="str">
        <f t="shared" si="0"/>
        <v>Aucun</v>
      </c>
      <c r="L11" s="581"/>
      <c r="M11" s="581" t="str">
        <f t="shared" si="0"/>
        <v>les deux, total</v>
      </c>
      <c r="N11" s="581" t="str">
        <f t="shared" si="0"/>
        <v>Aucun</v>
      </c>
      <c r="O11" s="581" t="str">
        <f t="shared" si="0"/>
        <v>Aucun</v>
      </c>
      <c r="P11" s="580"/>
      <c r="Q11" s="580"/>
      <c r="R11" s="577"/>
      <c r="S11" s="732"/>
      <c r="U11" s="1082"/>
      <c r="V11" s="1082"/>
      <c r="X11" s="1082"/>
      <c r="Y11" s="1082"/>
    </row>
    <row r="12" spans="2:28" s="410" customFormat="1" ht="12" customHeight="1">
      <c r="B12" s="583"/>
      <c r="C12" s="583"/>
      <c r="D12" s="583"/>
      <c r="E12" s="583"/>
      <c r="F12" s="583"/>
      <c r="G12" s="583"/>
      <c r="H12" s="583"/>
      <c r="I12" s="583"/>
      <c r="J12" s="583"/>
      <c r="K12" s="583"/>
      <c r="L12" s="583"/>
      <c r="M12" s="583"/>
      <c r="N12" s="583"/>
      <c r="O12" s="583"/>
      <c r="P12" s="583"/>
      <c r="Q12" s="583"/>
      <c r="R12" s="550"/>
      <c r="S12" s="551"/>
      <c r="T12" s="413"/>
      <c r="U12" s="411"/>
      <c r="V12" s="413"/>
      <c r="W12" s="411"/>
      <c r="X12" s="411"/>
      <c r="Y12" s="411"/>
      <c r="Z12" s="411"/>
      <c r="AA12" s="411"/>
      <c r="AB12" s="411"/>
    </row>
    <row r="13" spans="2:28" ht="52" customHeight="1">
      <c r="B13" s="583"/>
      <c r="C13" s="583"/>
      <c r="D13" s="1073" t="s">
        <v>141</v>
      </c>
      <c r="E13" s="1073"/>
      <c r="F13" s="1073"/>
      <c r="G13" s="1073"/>
      <c r="H13" s="1073"/>
      <c r="I13" s="1073"/>
      <c r="J13" s="1073"/>
      <c r="K13" s="1073"/>
      <c r="L13" s="1073"/>
      <c r="M13" s="1073"/>
      <c r="N13" s="1073"/>
      <c r="O13" s="1073"/>
      <c r="P13" s="580"/>
      <c r="Q13" s="580"/>
      <c r="R13" s="552"/>
      <c r="S13" s="551"/>
      <c r="U13" s="1082"/>
      <c r="V13" s="1082"/>
      <c r="X13" s="1082"/>
      <c r="Y13" s="1082"/>
    </row>
    <row r="14" spans="2:28" ht="8.25" customHeight="1">
      <c r="B14" s="583"/>
      <c r="C14" s="583"/>
      <c r="D14" s="601"/>
      <c r="E14" s="601"/>
      <c r="F14" s="601"/>
      <c r="G14" s="601"/>
      <c r="H14" s="601"/>
      <c r="I14" s="601"/>
      <c r="J14" s="601"/>
      <c r="K14" s="601"/>
      <c r="L14" s="601"/>
      <c r="M14" s="601"/>
      <c r="N14" s="601"/>
      <c r="O14" s="601"/>
      <c r="P14" s="580"/>
      <c r="Q14" s="580"/>
      <c r="R14" s="552"/>
      <c r="S14" s="551"/>
      <c r="U14" s="732"/>
      <c r="V14" s="732"/>
      <c r="X14" s="732"/>
      <c r="Y14" s="732"/>
    </row>
    <row r="15" spans="2:28" ht="45" customHeight="1" outlineLevel="1">
      <c r="B15" s="583"/>
      <c r="C15" s="583"/>
      <c r="D15" s="1074" t="s">
        <v>243</v>
      </c>
      <c r="E15" s="1074"/>
      <c r="F15" s="1074"/>
      <c r="G15" s="1074"/>
      <c r="H15" s="1074"/>
      <c r="I15" s="1074"/>
      <c r="J15" s="1074"/>
      <c r="K15" s="1074"/>
      <c r="L15" s="1074"/>
      <c r="M15" s="1074"/>
      <c r="N15" s="1074"/>
      <c r="O15" s="1074"/>
      <c r="P15" s="580"/>
      <c r="Q15" s="580"/>
      <c r="R15" s="552"/>
      <c r="S15" s="551"/>
      <c r="U15" s="732"/>
      <c r="V15" s="732"/>
      <c r="X15" s="732"/>
      <c r="Y15" s="732"/>
    </row>
    <row r="16" spans="2:28" ht="8.25" customHeight="1" outlineLevel="1">
      <c r="B16" s="583"/>
      <c r="C16" s="583"/>
      <c r="D16" s="602"/>
      <c r="E16" s="602"/>
      <c r="F16" s="602"/>
      <c r="G16" s="602"/>
      <c r="H16" s="602"/>
      <c r="I16" s="602"/>
      <c r="J16" s="602"/>
      <c r="K16" s="602"/>
      <c r="L16" s="602"/>
      <c r="M16" s="602"/>
      <c r="N16" s="602"/>
      <c r="O16" s="602"/>
      <c r="P16" s="580"/>
      <c r="Q16" s="580"/>
      <c r="R16" s="552"/>
      <c r="S16" s="551"/>
      <c r="U16" s="732"/>
      <c r="V16" s="732"/>
      <c r="X16" s="732"/>
      <c r="Y16" s="732"/>
    </row>
    <row r="17" spans="2:25" ht="35.25" customHeight="1" outlineLevel="1">
      <c r="B17" s="583"/>
      <c r="C17" s="583"/>
      <c r="D17" s="607" t="s">
        <v>244</v>
      </c>
      <c r="E17" s="553">
        <f>IF(E$9="Aucun","",SUM(E18:E22))</f>
        <v>1061827.162</v>
      </c>
      <c r="F17" s="553" t="str">
        <f>IF(F18="","N/A",SUM(F18:F22))</f>
        <v>N/A</v>
      </c>
      <c r="G17" s="553" t="str">
        <f>IF(G18="","N/A",SUM(G18:G22))</f>
        <v>N/A</v>
      </c>
      <c r="H17" s="639"/>
      <c r="I17" s="553">
        <f>IF(I$9="Aucun","",SUM(I18:I22))</f>
        <v>955644.44579999999</v>
      </c>
      <c r="J17" s="553" t="str">
        <f>IF(J18="","N/A",SUM(J18:J22))</f>
        <v>N/A</v>
      </c>
      <c r="K17" s="554" t="str">
        <f>IF(K18="","N/A",SUM(K18:K22))</f>
        <v>N/A</v>
      </c>
      <c r="L17" s="643"/>
      <c r="M17" s="554" t="str">
        <f>IF(M18="","N/A",SUM(M18:M22))</f>
        <v>N/A</v>
      </c>
      <c r="N17" s="553" t="str">
        <f>IF(N$9="Aucun","",SUM(N18:N22))</f>
        <v/>
      </c>
      <c r="O17" s="553" t="str">
        <f>IF(O$9="Aucun","",SUM(O18:O22))</f>
        <v/>
      </c>
      <c r="P17" s="580"/>
      <c r="Q17" s="580"/>
      <c r="R17" s="552"/>
      <c r="S17" s="551"/>
      <c r="U17" s="732"/>
      <c r="V17" s="732"/>
      <c r="X17" s="732"/>
      <c r="Y17" s="732"/>
    </row>
    <row r="18" spans="2:25" ht="15.75" customHeight="1" outlineLevel="1">
      <c r="B18" s="583"/>
      <c r="C18" s="583"/>
      <c r="D18" s="555">
        <f>'Saisie des données'!$E$26</f>
        <v>2025</v>
      </c>
      <c r="E18" s="556">
        <f>IF(E$9="Aucun","",'Saisie des données'!$E$30*(1+'Saisie des données'!$E$34)^(D18-'Saisie des données'!$E$26))</f>
        <v>200000</v>
      </c>
      <c r="F18" s="556" t="str">
        <f>IF(F$9="Aucun","", 'Saisie des données'!$E$30*(1+'Saisie des données'!$E$34)^(D18-'Saisie des données'!$E$26))</f>
        <v/>
      </c>
      <c r="G18" s="556" t="str">
        <f>IF(G$9="Aucun","", 'Saisie des données'!$E$30*(1+'Saisie des données'!$E$34)^(D18-'Saisie des données'!$E$26))</f>
        <v/>
      </c>
      <c r="H18" s="606"/>
      <c r="I18" s="556">
        <f>IF(I$9="Aucun","",'Saisie des données'!$H$30*(1+'Saisie des données'!$H$34)^(D18-'Saisie des données'!$E$26))</f>
        <v>180000</v>
      </c>
      <c r="J18" s="556" t="str">
        <f>IF(J$9="Aucun","",'Saisie des données'!$H$30*(1+'Saisie des données'!$H$34)^(D18-'Saisie des données'!$E$26))</f>
        <v/>
      </c>
      <c r="K18" s="556" t="str">
        <f>IF(K$9="Aucun","",'Saisie des données'!$H$30*(1+'Saisie des données'!$H$34)^(D18-'Saisie des données'!$E$26))</f>
        <v/>
      </c>
      <c r="L18" s="606"/>
      <c r="M18" s="556" t="str">
        <f>IFERROR(O18+N18,"")</f>
        <v/>
      </c>
      <c r="N18" s="556" t="str">
        <f>IF(N$9="Aucun","",'Saisie des données'!$K$30*(1+'Saisie des données'!$K$34)^(D18-'Saisie des données'!$E$26))</f>
        <v/>
      </c>
      <c r="O18" s="556" t="str">
        <f>IFERROR(N18-(N18*'Saisie des données'!K37),"")</f>
        <v/>
      </c>
      <c r="P18" s="580"/>
      <c r="Q18" s="580"/>
      <c r="R18" s="557"/>
      <c r="S18" s="551"/>
      <c r="U18" s="552"/>
      <c r="V18" s="551"/>
      <c r="X18" s="552"/>
      <c r="Y18" s="551"/>
    </row>
    <row r="19" spans="2:25" ht="15.75" customHeight="1" outlineLevel="1">
      <c r="B19" s="583"/>
      <c r="C19" s="583"/>
      <c r="D19" s="555">
        <f>'Saisie des données'!$E$26+1</f>
        <v>2026</v>
      </c>
      <c r="E19" s="556">
        <f>IF(E$9="Aucun","",'Saisie des données'!$E$30*(1+'Saisie des données'!$E$34)^(D19-'Saisie des données'!$E$26))</f>
        <v>206000</v>
      </c>
      <c r="F19" s="556" t="str">
        <f>IF(F$9="Aucun","", 'Saisie des données'!$E$30*(1+'Saisie des données'!$E$34)^(D19-'Saisie des données'!$E$26))</f>
        <v/>
      </c>
      <c r="G19" s="556" t="str">
        <f>IF(G$9="Aucun","", 'Saisie des données'!$E$30*(1+'Saisie des données'!$E$34)^(D19-'Saisie des données'!$E$26))</f>
        <v/>
      </c>
      <c r="H19" s="606"/>
      <c r="I19" s="556">
        <f>IF(I$9="Aucun","",'Saisie des données'!$H$30*(1+'Saisie des données'!$H$34)^(D19-'Saisie des données'!$E$26))</f>
        <v>185400</v>
      </c>
      <c r="J19" s="556" t="str">
        <f>IF(J$9="Aucun","",'Saisie des données'!$H$30*(1+'Saisie des données'!$H$34)^(D19-'Saisie des données'!$E$26))</f>
        <v/>
      </c>
      <c r="K19" s="556" t="str">
        <f>IF(K$9="Aucun","",'Saisie des données'!$H$30*(1+'Saisie des données'!$H$34)^(D19-'Saisie des données'!$E$26))</f>
        <v/>
      </c>
      <c r="L19" s="606"/>
      <c r="M19" s="556" t="str">
        <f t="shared" ref="M19:M22" si="1">IFERROR(O19+N19,"")</f>
        <v/>
      </c>
      <c r="N19" s="556" t="str">
        <f>IF(N$9="Aucun","",'Saisie des données'!$K$30*(1+'Saisie des données'!$K$34)^(D19-'Saisie des données'!$E$26))</f>
        <v/>
      </c>
      <c r="O19" s="556" t="str">
        <f>IFERROR(N19-(N19*'Saisie des données'!K38),"")</f>
        <v/>
      </c>
      <c r="P19" s="580"/>
      <c r="Q19" s="580"/>
      <c r="R19" s="733"/>
      <c r="S19" s="734"/>
      <c r="U19" s="552"/>
      <c r="V19" s="551"/>
      <c r="X19" s="552"/>
      <c r="Y19" s="551"/>
    </row>
    <row r="20" spans="2:25" ht="15.75" customHeight="1" outlineLevel="1">
      <c r="B20" s="583"/>
      <c r="C20" s="583"/>
      <c r="D20" s="555">
        <f>'Saisie des données'!$E$26+2</f>
        <v>2027</v>
      </c>
      <c r="E20" s="556">
        <f>IF(E$9="Aucun","",'Saisie des données'!$E$30*(1+'Saisie des données'!$E$34)^(D20-'Saisie des données'!$E$26))</f>
        <v>212180</v>
      </c>
      <c r="F20" s="556" t="str">
        <f>IF(F$9="Aucun","", 'Saisie des données'!$E$30*(1+'Saisie des données'!$E$34)^(D20-'Saisie des données'!$E$26))</f>
        <v/>
      </c>
      <c r="G20" s="556" t="str">
        <f>IF(G$9="Aucun","", 'Saisie des données'!$E$30*(1+'Saisie des données'!$E$34)^(D20-'Saisie des données'!$E$26))</f>
        <v/>
      </c>
      <c r="H20" s="606"/>
      <c r="I20" s="556">
        <f>IF(I$9="Aucun","",'Saisie des données'!$H$30*(1+'Saisie des données'!$H$34)^(D20-'Saisie des données'!$E$26))</f>
        <v>190962</v>
      </c>
      <c r="J20" s="556" t="str">
        <f>IF(J$9="Aucun","",'Saisie des données'!$H$30*(1+'Saisie des données'!$H$34)^(D20-'Saisie des données'!$E$26))</f>
        <v/>
      </c>
      <c r="K20" s="556" t="str">
        <f>IF(K$9="Aucun","",'Saisie des données'!$H$30*(1+'Saisie des données'!$H$34)^(D20-'Saisie des données'!$E$26))</f>
        <v/>
      </c>
      <c r="L20" s="606"/>
      <c r="M20" s="556" t="str">
        <f t="shared" si="1"/>
        <v/>
      </c>
      <c r="N20" s="556" t="str">
        <f>IF(N$9="Aucun","",'Saisie des données'!$K$30*(1+'Saisie des données'!$K$34)^(D20-'Saisie des données'!$E$26))</f>
        <v/>
      </c>
      <c r="O20" s="556" t="str">
        <f>IFERROR(N20-(N20*'Saisie des données'!K39),"")</f>
        <v/>
      </c>
      <c r="P20" s="580"/>
      <c r="Q20" s="580"/>
      <c r="R20" s="1084"/>
      <c r="S20" s="1085"/>
      <c r="U20" s="552"/>
      <c r="V20" s="551"/>
      <c r="X20" s="552"/>
      <c r="Y20" s="551"/>
    </row>
    <row r="21" spans="2:25" ht="15.75" customHeight="1" outlineLevel="1">
      <c r="B21" s="583"/>
      <c r="C21" s="583"/>
      <c r="D21" s="555">
        <f>'Saisie des données'!$E$26+3</f>
        <v>2028</v>
      </c>
      <c r="E21" s="556">
        <f>IF(E$9="Aucun","",'Saisie des données'!$E$30*(1+'Saisie des données'!$E$34)^(D21-'Saisie des données'!$E$26))</f>
        <v>218545.4</v>
      </c>
      <c r="F21" s="556" t="str">
        <f>IF(F$9="Aucun","", 'Saisie des données'!$E$30*(1+'Saisie des données'!$E$34)^(D21-'Saisie des données'!$E$26))</f>
        <v/>
      </c>
      <c r="G21" s="556" t="str">
        <f>IF(G$9="Aucun","", 'Saisie des données'!$E$30*(1+'Saisie des données'!$E$34)^(D21-'Saisie des données'!$E$26))</f>
        <v/>
      </c>
      <c r="H21" s="606"/>
      <c r="I21" s="556">
        <f>IF(I$9="Aucun","",'Saisie des données'!$H$30*(1+'Saisie des données'!$H$34)^(D21-'Saisie des données'!$E$26))</f>
        <v>196690.86000000002</v>
      </c>
      <c r="J21" s="556" t="str">
        <f>IF(J$9="Aucun","",'Saisie des données'!$H$30*(1+'Saisie des données'!$H$34)^(D21-'Saisie des données'!$E$26))</f>
        <v/>
      </c>
      <c r="K21" s="556" t="str">
        <f>IF(K$9="Aucun","",'Saisie des données'!$H$30*(1+'Saisie des données'!$H$34)^(D21-'Saisie des données'!$E$26))</f>
        <v/>
      </c>
      <c r="L21" s="606"/>
      <c r="M21" s="556" t="str">
        <f t="shared" si="1"/>
        <v/>
      </c>
      <c r="N21" s="556" t="str">
        <f>IF(N$9="Aucun","",'Saisie des données'!$K$30*(1+'Saisie des données'!$K$34)^(D21-'Saisie des données'!$E$26))</f>
        <v/>
      </c>
      <c r="O21" s="556" t="str">
        <f>IFERROR(N21-(N21*'Saisie des données'!K40),"")</f>
        <v/>
      </c>
      <c r="P21" s="580"/>
      <c r="Q21" s="580"/>
      <c r="R21" s="552"/>
      <c r="S21" s="551"/>
      <c r="U21" s="552"/>
      <c r="V21" s="551"/>
      <c r="X21" s="552"/>
      <c r="Y21" s="551"/>
    </row>
    <row r="22" spans="2:25" ht="16" customHeight="1" outlineLevel="1">
      <c r="B22" s="583"/>
      <c r="C22" s="583"/>
      <c r="D22" s="555">
        <f>'Saisie des données'!$E$26+4</f>
        <v>2029</v>
      </c>
      <c r="E22" s="556">
        <f>IF(E$9="Aucun","",'Saisie des données'!$E$30*(1+'Saisie des données'!$E$34)^(D22-'Saisie des données'!$E$26))</f>
        <v>225101.76199999999</v>
      </c>
      <c r="F22" s="556" t="str">
        <f>IF(F$9="Aucun","", 'Saisie des données'!$E$30*(1+'Saisie des données'!$E$34)^(D22-'Saisie des données'!$E$26))</f>
        <v/>
      </c>
      <c r="G22" s="556" t="str">
        <f>IF(G$9="Aucun","", 'Saisie des données'!$E$30*(1+'Saisie des données'!$E$34)^(D22-'Saisie des données'!$E$26))</f>
        <v/>
      </c>
      <c r="H22" s="606"/>
      <c r="I22" s="556">
        <f>IF(I$9="Aucun","",'Saisie des données'!$H$30*(1+'Saisie des données'!$H$34)^(D22-'Saisie des données'!$E$26))</f>
        <v>202591.58579999997</v>
      </c>
      <c r="J22" s="556" t="str">
        <f>IF(J$9="Aucun","",'Saisie des données'!$H$30*(1+'Saisie des données'!$H$34)^(D22-'Saisie des données'!$E$26))</f>
        <v/>
      </c>
      <c r="K22" s="556" t="str">
        <f>IF(K$9="Aucun","",'Saisie des données'!$H$30*(1+'Saisie des données'!$H$34)^(D22-'Saisie des données'!$E$26))</f>
        <v/>
      </c>
      <c r="L22" s="606"/>
      <c r="M22" s="556" t="str">
        <f t="shared" si="1"/>
        <v/>
      </c>
      <c r="N22" s="556" t="str">
        <f>IF(N$9="Aucun","",'Saisie des données'!$K$30*(1+'Saisie des données'!$K$34)^(D22-'Saisie des données'!$E$26))</f>
        <v/>
      </c>
      <c r="O22" s="556" t="str">
        <f>IFERROR(N22-(N22*'Saisie des données'!K41),"")</f>
        <v/>
      </c>
      <c r="P22" s="580"/>
      <c r="Q22" s="580"/>
      <c r="R22" s="552"/>
      <c r="S22" s="551"/>
      <c r="U22" s="552"/>
      <c r="V22" s="551"/>
      <c r="X22" s="552"/>
      <c r="Y22" s="551"/>
    </row>
    <row r="23" spans="2:25" ht="8.25" customHeight="1" outlineLevel="1">
      <c r="B23" s="583"/>
      <c r="C23" s="583"/>
      <c r="D23" s="605"/>
      <c r="E23" s="606"/>
      <c r="F23" s="606"/>
      <c r="G23" s="606"/>
      <c r="H23" s="606"/>
      <c r="I23" s="606"/>
      <c r="J23" s="606"/>
      <c r="K23" s="606"/>
      <c r="L23" s="606"/>
      <c r="M23" s="606"/>
      <c r="N23" s="606"/>
      <c r="O23" s="606"/>
      <c r="P23" s="580"/>
      <c r="Q23" s="580"/>
      <c r="R23" s="552"/>
      <c r="S23" s="551"/>
      <c r="U23" s="552"/>
      <c r="V23" s="551"/>
      <c r="X23" s="552"/>
      <c r="Y23" s="551"/>
    </row>
    <row r="24" spans="2:25" ht="45" customHeight="1">
      <c r="B24" s="583"/>
      <c r="C24" s="583"/>
      <c r="D24" s="1074" t="s">
        <v>245</v>
      </c>
      <c r="E24" s="1074"/>
      <c r="F24" s="1074"/>
      <c r="G24" s="1074"/>
      <c r="H24" s="1074"/>
      <c r="I24" s="1074"/>
      <c r="J24" s="1074"/>
      <c r="K24" s="1074"/>
      <c r="L24" s="1074"/>
      <c r="M24" s="1074"/>
      <c r="N24" s="1074"/>
      <c r="O24" s="1074"/>
      <c r="P24" s="580"/>
      <c r="Q24" s="580"/>
      <c r="R24" s="552"/>
      <c r="S24" s="551"/>
      <c r="U24" s="1082"/>
      <c r="V24" s="1082"/>
      <c r="X24" s="1082"/>
      <c r="Y24" s="1082"/>
    </row>
    <row r="25" spans="2:25" ht="8.25" customHeight="1">
      <c r="B25" s="583"/>
      <c r="C25" s="583"/>
      <c r="D25" s="608"/>
      <c r="E25" s="608"/>
      <c r="F25" s="608"/>
      <c r="G25" s="608"/>
      <c r="H25" s="596"/>
      <c r="I25" s="608"/>
      <c r="J25" s="608"/>
      <c r="K25" s="608"/>
      <c r="L25" s="596"/>
      <c r="M25" s="608"/>
      <c r="N25" s="608"/>
      <c r="O25" s="608"/>
      <c r="P25" s="580"/>
      <c r="Q25" s="580"/>
      <c r="R25" s="552"/>
      <c r="S25" s="551"/>
      <c r="U25" s="732"/>
      <c r="V25" s="732"/>
      <c r="X25" s="732"/>
      <c r="Y25" s="732"/>
    </row>
    <row r="26" spans="2:25" ht="35.25" customHeight="1">
      <c r="B26" s="583"/>
      <c r="C26" s="583"/>
      <c r="D26" s="607" t="s">
        <v>244</v>
      </c>
      <c r="E26" s="558">
        <f>IF(E27="","N/A",SUM(E27:E31))</f>
        <v>790153.90580000007</v>
      </c>
      <c r="F26" s="558" t="str">
        <f>IF(F27="","N/A",SUM(F27:F31))</f>
        <v>N/A</v>
      </c>
      <c r="G26" s="558" t="str">
        <f>IF(G27="","N/A",SUM(G27:G31))</f>
        <v>N/A</v>
      </c>
      <c r="H26" s="639"/>
      <c r="I26" s="558">
        <f>IF(I27="","N/A",SUM(I27:I31))</f>
        <v>711138.51521999994</v>
      </c>
      <c r="J26" s="558" t="str">
        <f>IF(J27="","N/A",SUM(J27:J31))</f>
        <v>N/A</v>
      </c>
      <c r="K26" s="558" t="str">
        <f>IF(K27="","N/A",SUM(K27:K31))</f>
        <v>N/A</v>
      </c>
      <c r="L26" s="639"/>
      <c r="M26" s="558" t="str">
        <f>IF(M27="","N/A",SUM(M27:M31))</f>
        <v>N/A</v>
      </c>
      <c r="N26" s="558" t="str">
        <f>IF(N27="","N/A",SUM(N27:N31))</f>
        <v>N/A</v>
      </c>
      <c r="O26" s="558" t="str">
        <f>IF(O27="","N/A",SUM(O27:O31))</f>
        <v>N/A</v>
      </c>
      <c r="P26" s="580"/>
      <c r="Q26" s="580"/>
      <c r="R26" s="1084"/>
      <c r="S26" s="1085"/>
      <c r="U26" s="552"/>
      <c r="V26" s="551"/>
      <c r="X26" s="552"/>
      <c r="Y26" s="551"/>
    </row>
    <row r="27" spans="2:25">
      <c r="B27" s="583"/>
      <c r="C27" s="583"/>
      <c r="D27" s="555">
        <f>'Saisie des données'!$E$26</f>
        <v>2025</v>
      </c>
      <c r="E27" s="556">
        <f>IFERROR(E36+E45+E54,"")</f>
        <v>120000</v>
      </c>
      <c r="F27" s="556" t="str">
        <f t="shared" ref="F27:G27" si="2">IFERROR(F36+F45+F54,"")</f>
        <v/>
      </c>
      <c r="G27" s="556" t="str">
        <f t="shared" si="2"/>
        <v/>
      </c>
      <c r="H27" s="606"/>
      <c r="I27" s="556">
        <f t="shared" ref="I27:K27" si="3">IFERROR(I36+I45+I54,"")</f>
        <v>108000</v>
      </c>
      <c r="J27" s="556" t="str">
        <f t="shared" si="3"/>
        <v/>
      </c>
      <c r="K27" s="556" t="str">
        <f t="shared" si="3"/>
        <v/>
      </c>
      <c r="L27" s="606"/>
      <c r="M27" s="556" t="str">
        <f>IFERROR(O27+N27,"")</f>
        <v/>
      </c>
      <c r="N27" s="556" t="str">
        <f t="shared" ref="N27:O27" si="4">IFERROR(N36+N45+N54,"")</f>
        <v/>
      </c>
      <c r="O27" s="556" t="str">
        <f t="shared" si="4"/>
        <v/>
      </c>
      <c r="P27" s="580"/>
      <c r="Q27" s="580"/>
      <c r="R27" s="552"/>
      <c r="S27" s="551"/>
      <c r="U27" s="552"/>
      <c r="V27" s="551"/>
      <c r="X27" s="552"/>
      <c r="Y27" s="551"/>
    </row>
    <row r="28" spans="2:25">
      <c r="B28" s="583"/>
      <c r="C28" s="583"/>
      <c r="D28" s="555">
        <f>'Saisie des données'!$E$26+1</f>
        <v>2026</v>
      </c>
      <c r="E28" s="556">
        <f>IFERROR(E37+E46+E55,"")</f>
        <v>144200</v>
      </c>
      <c r="F28" s="556" t="str">
        <f t="shared" ref="F28:G31" si="5">IFERROR(F37+F46+F55,"")</f>
        <v/>
      </c>
      <c r="G28" s="556" t="str">
        <f t="shared" si="5"/>
        <v/>
      </c>
      <c r="H28" s="606"/>
      <c r="I28" s="556">
        <f t="shared" ref="I28:K28" si="6">IFERROR(I37+I46+I55,"")</f>
        <v>129779.99999999999</v>
      </c>
      <c r="J28" s="556" t="str">
        <f t="shared" si="6"/>
        <v/>
      </c>
      <c r="K28" s="556" t="str">
        <f t="shared" si="6"/>
        <v/>
      </c>
      <c r="L28" s="606"/>
      <c r="M28" s="556" t="str">
        <f t="shared" ref="M28:M31" si="7">IFERROR(O28+N28,"")</f>
        <v/>
      </c>
      <c r="N28" s="556" t="str">
        <f t="shared" ref="N28:O28" si="8">IFERROR(N37+N46+N55,"")</f>
        <v/>
      </c>
      <c r="O28" s="556" t="str">
        <f t="shared" si="8"/>
        <v/>
      </c>
      <c r="P28" s="580"/>
      <c r="Q28" s="580"/>
      <c r="R28" s="552"/>
      <c r="S28" s="551"/>
      <c r="U28" s="552"/>
      <c r="V28" s="551"/>
      <c r="X28" s="552"/>
      <c r="Y28" s="551"/>
    </row>
    <row r="29" spans="2:25">
      <c r="B29" s="583"/>
      <c r="C29" s="583"/>
      <c r="D29" s="555">
        <f>'Saisie des données'!$E$26+2</f>
        <v>2027</v>
      </c>
      <c r="E29" s="556">
        <f>IFERROR(E38+E47+E56,"")</f>
        <v>148526</v>
      </c>
      <c r="F29" s="556" t="str">
        <f t="shared" si="5"/>
        <v/>
      </c>
      <c r="G29" s="556" t="str">
        <f t="shared" si="5"/>
        <v/>
      </c>
      <c r="H29" s="606"/>
      <c r="I29" s="556">
        <f t="shared" ref="I29:K29" si="9">IFERROR(I38+I47+I56,"")</f>
        <v>133673.4</v>
      </c>
      <c r="J29" s="556" t="str">
        <f t="shared" si="9"/>
        <v/>
      </c>
      <c r="K29" s="556" t="str">
        <f t="shared" si="9"/>
        <v/>
      </c>
      <c r="L29" s="606"/>
      <c r="M29" s="556" t="str">
        <f t="shared" si="7"/>
        <v/>
      </c>
      <c r="N29" s="556" t="str">
        <f t="shared" ref="N29:O29" si="10">IFERROR(N38+N47+N56,"")</f>
        <v/>
      </c>
      <c r="O29" s="556" t="str">
        <f t="shared" si="10"/>
        <v/>
      </c>
      <c r="P29" s="580"/>
      <c r="Q29" s="580"/>
      <c r="R29" s="552"/>
      <c r="S29" s="551"/>
      <c r="U29" s="552"/>
      <c r="V29" s="551"/>
      <c r="X29" s="552"/>
      <c r="Y29" s="551"/>
    </row>
    <row r="30" spans="2:25">
      <c r="B30" s="583"/>
      <c r="C30" s="583"/>
      <c r="D30" s="555">
        <f>'Saisie des données'!$E$26+3</f>
        <v>2028</v>
      </c>
      <c r="E30" s="556">
        <f>IFERROR(E39+E48+E57,"")</f>
        <v>174836.32</v>
      </c>
      <c r="F30" s="556" t="str">
        <f t="shared" si="5"/>
        <v/>
      </c>
      <c r="G30" s="556" t="str">
        <f t="shared" si="5"/>
        <v/>
      </c>
      <c r="H30" s="606"/>
      <c r="I30" s="556">
        <f t="shared" ref="I30:K30" si="11">IFERROR(I39+I48+I57,"")</f>
        <v>157352.68800000002</v>
      </c>
      <c r="J30" s="556" t="str">
        <f t="shared" si="11"/>
        <v/>
      </c>
      <c r="K30" s="556" t="str">
        <f t="shared" si="11"/>
        <v/>
      </c>
      <c r="L30" s="606"/>
      <c r="M30" s="556" t="str">
        <f t="shared" si="7"/>
        <v/>
      </c>
      <c r="N30" s="556" t="str">
        <f t="shared" ref="N30:O30" si="12">IFERROR(N39+N48+N57,"")</f>
        <v/>
      </c>
      <c r="O30" s="556" t="str">
        <f t="shared" si="12"/>
        <v/>
      </c>
      <c r="P30" s="580"/>
      <c r="Q30" s="580"/>
      <c r="R30" s="552"/>
      <c r="S30" s="551"/>
      <c r="U30" s="552"/>
      <c r="V30" s="551"/>
      <c r="X30" s="552"/>
      <c r="Y30" s="551"/>
    </row>
    <row r="31" spans="2:25" ht="16" customHeight="1">
      <c r="B31" s="583"/>
      <c r="C31" s="583"/>
      <c r="D31" s="555">
        <f>'Saisie des données'!$E$26+4</f>
        <v>2029</v>
      </c>
      <c r="E31" s="556">
        <f>IFERROR(E40+E49+E58,"")</f>
        <v>202591.5858</v>
      </c>
      <c r="F31" s="556" t="str">
        <f t="shared" si="5"/>
        <v/>
      </c>
      <c r="G31" s="556" t="str">
        <f t="shared" si="5"/>
        <v/>
      </c>
      <c r="H31" s="606"/>
      <c r="I31" s="556">
        <f t="shared" ref="I31:K31" si="13">IFERROR(I40+I49+I58,"")</f>
        <v>182332.42721999998</v>
      </c>
      <c r="J31" s="556" t="str">
        <f t="shared" si="13"/>
        <v/>
      </c>
      <c r="K31" s="556" t="str">
        <f t="shared" si="13"/>
        <v/>
      </c>
      <c r="L31" s="606"/>
      <c r="M31" s="556" t="str">
        <f t="shared" si="7"/>
        <v/>
      </c>
      <c r="N31" s="556" t="str">
        <f t="shared" ref="N31:O31" si="14">IFERROR(N40+N49+N58,"")</f>
        <v/>
      </c>
      <c r="O31" s="556" t="str">
        <f t="shared" si="14"/>
        <v/>
      </c>
      <c r="P31" s="580"/>
      <c r="Q31" s="580"/>
      <c r="R31" s="552"/>
      <c r="S31" s="551"/>
      <c r="U31" s="552"/>
      <c r="V31" s="551"/>
      <c r="X31" s="552"/>
      <c r="Y31" s="551"/>
    </row>
    <row r="32" spans="2:25" ht="8.25" customHeight="1">
      <c r="B32" s="583"/>
      <c r="C32" s="583"/>
      <c r="D32" s="603"/>
      <c r="E32" s="604"/>
      <c r="F32" s="604"/>
      <c r="G32" s="604"/>
      <c r="H32" s="641"/>
      <c r="I32" s="604"/>
      <c r="J32" s="604"/>
      <c r="K32" s="604"/>
      <c r="L32" s="641"/>
      <c r="M32" s="604"/>
      <c r="N32" s="604"/>
      <c r="O32" s="604"/>
      <c r="P32" s="580"/>
      <c r="Q32" s="580"/>
      <c r="R32" s="552"/>
      <c r="S32" s="551"/>
      <c r="U32" s="552"/>
      <c r="V32" s="551"/>
      <c r="X32" s="552"/>
      <c r="Y32" s="551"/>
    </row>
    <row r="33" spans="2:25" ht="24" hidden="1" customHeight="1" outlineLevel="1">
      <c r="B33" s="583"/>
      <c r="C33" s="583"/>
      <c r="D33" s="1076" t="s">
        <v>246</v>
      </c>
      <c r="E33" s="1076"/>
      <c r="F33" s="1076"/>
      <c r="G33" s="1076"/>
      <c r="H33" s="1076"/>
      <c r="I33" s="1076"/>
      <c r="J33" s="1076"/>
      <c r="K33" s="1076"/>
      <c r="L33" s="1076"/>
      <c r="M33" s="1076"/>
      <c r="N33" s="1076"/>
      <c r="O33" s="1076"/>
      <c r="P33" s="580"/>
      <c r="Q33" s="580"/>
      <c r="R33" s="552"/>
      <c r="S33" s="551"/>
      <c r="U33" s="552"/>
      <c r="V33" s="551"/>
      <c r="X33" s="552"/>
      <c r="Y33" s="551"/>
    </row>
    <row r="34" spans="2:25" ht="8.25" hidden="1" customHeight="1" outlineLevel="1">
      <c r="B34" s="583"/>
      <c r="C34" s="583"/>
      <c r="D34" s="609"/>
      <c r="E34" s="609"/>
      <c r="F34" s="609"/>
      <c r="G34" s="609"/>
      <c r="H34" s="642"/>
      <c r="I34" s="609"/>
      <c r="J34" s="609"/>
      <c r="K34" s="609"/>
      <c r="L34" s="642"/>
      <c r="M34" s="609"/>
      <c r="N34" s="609"/>
      <c r="O34" s="609"/>
      <c r="P34" s="580"/>
      <c r="Q34" s="580"/>
      <c r="R34" s="552"/>
      <c r="S34" s="551"/>
      <c r="U34" s="552"/>
      <c r="V34" s="551"/>
      <c r="X34" s="552"/>
      <c r="Y34" s="551"/>
    </row>
    <row r="35" spans="2:25" ht="30" hidden="1" customHeight="1" outlineLevel="1">
      <c r="B35" s="583"/>
      <c r="C35" s="583"/>
      <c r="D35" s="559" t="s">
        <v>244</v>
      </c>
      <c r="E35" s="560">
        <f>SUM(E36:E40)</f>
        <v>790153.90580000007</v>
      </c>
      <c r="F35" s="560">
        <f>SUM(F36:F40)</f>
        <v>0</v>
      </c>
      <c r="G35" s="560">
        <f t="shared" ref="G35:K35" si="15">SUM(G36:G40)</f>
        <v>0</v>
      </c>
      <c r="H35" s="639"/>
      <c r="I35" s="560">
        <f t="shared" si="15"/>
        <v>711138.51521999994</v>
      </c>
      <c r="J35" s="560">
        <f t="shared" si="15"/>
        <v>0</v>
      </c>
      <c r="K35" s="560">
        <f t="shared" si="15"/>
        <v>0</v>
      </c>
      <c r="L35" s="639"/>
      <c r="M35" s="560">
        <f>SUM(M36:M40)</f>
        <v>0</v>
      </c>
      <c r="N35" s="560">
        <f t="shared" ref="N35:O35" si="16">SUM(N36:N40)</f>
        <v>0</v>
      </c>
      <c r="O35" s="560">
        <f t="shared" si="16"/>
        <v>0</v>
      </c>
      <c r="P35" s="580"/>
      <c r="Q35" s="580"/>
      <c r="R35" s="561" t="s">
        <v>247</v>
      </c>
      <c r="S35" s="551"/>
      <c r="U35" s="552"/>
      <c r="V35" s="551"/>
      <c r="X35" s="552"/>
      <c r="Y35" s="551"/>
    </row>
    <row r="36" spans="2:25" ht="16" hidden="1" customHeight="1" outlineLevel="1">
      <c r="B36" s="583"/>
      <c r="C36" s="583"/>
      <c r="D36" s="562">
        <f>'Saisie des données'!$E$26</f>
        <v>2025</v>
      </c>
      <c r="E36" s="563">
        <f>IF(E$9="Aucun","",E18*'Saisie des données'!$E37)</f>
        <v>120000</v>
      </c>
      <c r="F36" s="563" t="str">
        <f>IF(F$9="Aucun","",F18*'Saisie des données'!$E37)</f>
        <v/>
      </c>
      <c r="G36" s="563" t="str">
        <f>IF(G$9="Aucun","",G18*'Saisie des données'!$E37)</f>
        <v/>
      </c>
      <c r="H36" s="606"/>
      <c r="I36" s="563">
        <f>IF(I$9="Aucun","",I18*'Saisie des données'!$E37)</f>
        <v>108000</v>
      </c>
      <c r="J36" s="563" t="str">
        <f>IF(J$9="Aucun","",J18*'Saisie des données'!$E37)</f>
        <v/>
      </c>
      <c r="K36" s="563" t="str">
        <f>IF(K$9="Aucun","",K18*'Saisie des données'!$E37)</f>
        <v/>
      </c>
      <c r="L36" s="606"/>
      <c r="M36" s="563" t="str">
        <f>IFERROR(O36+N36,"")</f>
        <v/>
      </c>
      <c r="N36" s="563" t="str">
        <f>IF(N$9="Aucun","",N18*'Saisie des données'!$K37)</f>
        <v/>
      </c>
      <c r="O36" s="563" t="str">
        <f>IFERROR(O18*'Saisie des données'!$L37,"")</f>
        <v/>
      </c>
      <c r="P36" s="580"/>
      <c r="Q36" s="580"/>
      <c r="R36" s="552"/>
      <c r="S36" s="551"/>
      <c r="U36" s="552"/>
      <c r="V36" s="551"/>
      <c r="X36" s="552"/>
      <c r="Y36" s="551"/>
    </row>
    <row r="37" spans="2:25" ht="16" hidden="1" customHeight="1" outlineLevel="1">
      <c r="B37" s="583"/>
      <c r="C37" s="583"/>
      <c r="D37" s="562">
        <f>'Saisie des données'!$E$26+1</f>
        <v>2026</v>
      </c>
      <c r="E37" s="563">
        <f>IF(E$9="Aucun","",E19*'Saisie des données'!$E38)</f>
        <v>144200</v>
      </c>
      <c r="F37" s="563" t="str">
        <f>IF(F$9="Aucun","",F19*'Saisie des données'!$E38)</f>
        <v/>
      </c>
      <c r="G37" s="563" t="str">
        <f>IF(G$9="Aucun","",G19*'Saisie des données'!$E38)</f>
        <v/>
      </c>
      <c r="H37" s="606"/>
      <c r="I37" s="563">
        <f>IF(I$9="Aucun","",I19*'Saisie des données'!$E38)</f>
        <v>129779.99999999999</v>
      </c>
      <c r="J37" s="563" t="str">
        <f>IF(J$9="Aucun","",J19*'Saisie des données'!$E38)</f>
        <v/>
      </c>
      <c r="K37" s="563" t="str">
        <f>IF(K$9="Aucun","",K19*'Saisie des données'!$E38)</f>
        <v/>
      </c>
      <c r="L37" s="606"/>
      <c r="M37" s="563" t="str">
        <f t="shared" ref="M37:M40" si="17">IFERROR(O37+N37,"")</f>
        <v/>
      </c>
      <c r="N37" s="563" t="str">
        <f>IF(N$9="Aucun","",N19*'Saisie des données'!$K38)</f>
        <v/>
      </c>
      <c r="O37" s="563" t="str">
        <f>IFERROR(O19*'Saisie des données'!$L38,"")</f>
        <v/>
      </c>
      <c r="P37" s="580"/>
      <c r="Q37" s="580"/>
      <c r="R37" s="552"/>
      <c r="S37" s="551"/>
      <c r="U37" s="552"/>
      <c r="V37" s="551"/>
      <c r="X37" s="552"/>
      <c r="Y37" s="551"/>
    </row>
    <row r="38" spans="2:25" ht="16" hidden="1" customHeight="1" outlineLevel="1">
      <c r="B38" s="583"/>
      <c r="C38" s="583"/>
      <c r="D38" s="562">
        <f>'Saisie des données'!$E$26+2</f>
        <v>2027</v>
      </c>
      <c r="E38" s="563">
        <f>IF(E$9="Aucun","",E20*'Saisie des données'!$E39)</f>
        <v>148526</v>
      </c>
      <c r="F38" s="563" t="str">
        <f>IF(F$9="Aucun","",F20*'Saisie des données'!$E39)</f>
        <v/>
      </c>
      <c r="G38" s="563" t="str">
        <f>IF(G$9="Aucun","",G20*'Saisie des données'!$E39)</f>
        <v/>
      </c>
      <c r="H38" s="606"/>
      <c r="I38" s="563">
        <f>IF(I$9="Aucun","",I20*'Saisie des données'!$E39)</f>
        <v>133673.4</v>
      </c>
      <c r="J38" s="563" t="str">
        <f>IF(J$9="Aucun","",J20*'Saisie des données'!$E39)</f>
        <v/>
      </c>
      <c r="K38" s="563" t="str">
        <f>IF(K$9="Aucun","",K20*'Saisie des données'!$E39)</f>
        <v/>
      </c>
      <c r="L38" s="606"/>
      <c r="M38" s="563" t="str">
        <f t="shared" si="17"/>
        <v/>
      </c>
      <c r="N38" s="563" t="str">
        <f>IF(N$9="Aucun","",N20*'Saisie des données'!$K39)</f>
        <v/>
      </c>
      <c r="O38" s="563" t="str">
        <f>IFERROR(O20*'Saisie des données'!$L39,"")</f>
        <v/>
      </c>
      <c r="P38" s="580"/>
      <c r="Q38" s="580"/>
      <c r="R38" s="552"/>
      <c r="S38" s="551"/>
      <c r="U38" s="552"/>
      <c r="V38" s="551"/>
      <c r="X38" s="552"/>
      <c r="Y38" s="551"/>
    </row>
    <row r="39" spans="2:25" ht="16" hidden="1" customHeight="1" outlineLevel="1">
      <c r="B39" s="583"/>
      <c r="C39" s="583"/>
      <c r="D39" s="562">
        <f>'Saisie des données'!$E$26+3</f>
        <v>2028</v>
      </c>
      <c r="E39" s="563">
        <f>IF(E$9="Aucun","",E21*'Saisie des données'!$E40)</f>
        <v>174836.32</v>
      </c>
      <c r="F39" s="563" t="str">
        <f>IF(F$9="Aucun","",F21*'Saisie des données'!$E40)</f>
        <v/>
      </c>
      <c r="G39" s="563" t="str">
        <f>IF(G$9="Aucun","",G21*'Saisie des données'!$E40)</f>
        <v/>
      </c>
      <c r="H39" s="606"/>
      <c r="I39" s="563">
        <f>IF(I$9="Aucun","",I21*'Saisie des données'!$E40)</f>
        <v>157352.68800000002</v>
      </c>
      <c r="J39" s="563" t="str">
        <f>IF(J$9="Aucun","",J21*'Saisie des données'!$E40)</f>
        <v/>
      </c>
      <c r="K39" s="563" t="str">
        <f>IF(K$9="Aucun","",K21*'Saisie des données'!$E40)</f>
        <v/>
      </c>
      <c r="L39" s="606"/>
      <c r="M39" s="563" t="str">
        <f t="shared" si="17"/>
        <v/>
      </c>
      <c r="N39" s="563" t="str">
        <f>IF(N$9="Aucun","",N21*'Saisie des données'!$K40)</f>
        <v/>
      </c>
      <c r="O39" s="563" t="str">
        <f>IFERROR(O21*'Saisie des données'!$L40,"")</f>
        <v/>
      </c>
      <c r="P39" s="580"/>
      <c r="Q39" s="580"/>
      <c r="R39" s="552"/>
      <c r="S39" s="551"/>
      <c r="U39" s="552"/>
      <c r="V39" s="551"/>
      <c r="X39" s="552"/>
      <c r="Y39" s="551"/>
    </row>
    <row r="40" spans="2:25" ht="16" hidden="1" customHeight="1" outlineLevel="1">
      <c r="B40" s="583"/>
      <c r="C40" s="583"/>
      <c r="D40" s="562">
        <f>'Saisie des données'!$E$26+4</f>
        <v>2029</v>
      </c>
      <c r="E40" s="563">
        <f>IF(E$9="Aucun","",E22*'Saisie des données'!$E41)</f>
        <v>202591.5858</v>
      </c>
      <c r="F40" s="563" t="str">
        <f>IF(F$9="Aucun","",F22*'Saisie des données'!$E41)</f>
        <v/>
      </c>
      <c r="G40" s="563" t="str">
        <f>IF(G$9="Aucun","",G22*'Saisie des données'!$E41)</f>
        <v/>
      </c>
      <c r="H40" s="606"/>
      <c r="I40" s="563">
        <f>IF(I$9="Aucun","",I22*'Saisie des données'!$E41)</f>
        <v>182332.42721999998</v>
      </c>
      <c r="J40" s="563" t="str">
        <f>IF(J$9="Aucun","",J22*'Saisie des données'!$E41)</f>
        <v/>
      </c>
      <c r="K40" s="563" t="str">
        <f>IF(K$9="Aucun","",K22*'Saisie des données'!$E41)</f>
        <v/>
      </c>
      <c r="L40" s="606"/>
      <c r="M40" s="563" t="str">
        <f t="shared" si="17"/>
        <v/>
      </c>
      <c r="N40" s="563" t="str">
        <f>IF(N$9="Aucun","",N22*'Saisie des données'!$K41)</f>
        <v/>
      </c>
      <c r="O40" s="563" t="str">
        <f>IFERROR(O22*'Saisie des données'!$L41,"")</f>
        <v/>
      </c>
      <c r="P40" s="580"/>
      <c r="Q40" s="580"/>
      <c r="R40" s="552"/>
      <c r="S40" s="551"/>
      <c r="U40" s="552"/>
      <c r="V40" s="551"/>
      <c r="X40" s="552"/>
      <c r="Y40" s="551"/>
    </row>
    <row r="41" spans="2:25" ht="8.25" hidden="1" customHeight="1" outlineLevel="1">
      <c r="B41" s="583"/>
      <c r="C41" s="583"/>
      <c r="D41" s="603"/>
      <c r="E41" s="604"/>
      <c r="F41" s="604"/>
      <c r="G41" s="604"/>
      <c r="H41" s="641"/>
      <c r="I41" s="604"/>
      <c r="J41" s="604"/>
      <c r="K41" s="604"/>
      <c r="L41" s="641"/>
      <c r="M41" s="604"/>
      <c r="N41" s="604"/>
      <c r="O41" s="604"/>
      <c r="P41" s="580"/>
      <c r="Q41" s="580"/>
      <c r="R41" s="552"/>
      <c r="S41" s="551"/>
      <c r="U41" s="552"/>
      <c r="V41" s="551"/>
      <c r="X41" s="552"/>
      <c r="Y41" s="551"/>
    </row>
    <row r="42" spans="2:25" ht="24" hidden="1" customHeight="1" outlineLevel="1">
      <c r="B42" s="583"/>
      <c r="C42" s="583"/>
      <c r="D42" s="1076" t="s">
        <v>248</v>
      </c>
      <c r="E42" s="1076"/>
      <c r="F42" s="1076"/>
      <c r="G42" s="1076"/>
      <c r="H42" s="1076"/>
      <c r="I42" s="1076"/>
      <c r="J42" s="1076"/>
      <c r="K42" s="1076"/>
      <c r="L42" s="1076"/>
      <c r="M42" s="1076"/>
      <c r="N42" s="1076"/>
      <c r="O42" s="1076"/>
      <c r="P42" s="580"/>
      <c r="Q42" s="580"/>
      <c r="R42" s="552"/>
      <c r="S42" s="551"/>
      <c r="U42" s="552"/>
      <c r="V42" s="551"/>
      <c r="X42" s="552"/>
      <c r="Y42" s="551"/>
    </row>
    <row r="43" spans="2:25" ht="8.25" hidden="1" customHeight="1" outlineLevel="1">
      <c r="B43" s="583"/>
      <c r="C43" s="583"/>
      <c r="D43" s="609"/>
      <c r="E43" s="609"/>
      <c r="F43" s="609"/>
      <c r="G43" s="609"/>
      <c r="H43" s="642"/>
      <c r="I43" s="609"/>
      <c r="J43" s="609"/>
      <c r="K43" s="609"/>
      <c r="L43" s="642"/>
      <c r="M43" s="609"/>
      <c r="N43" s="609"/>
      <c r="O43" s="609"/>
      <c r="P43" s="580"/>
      <c r="Q43" s="580"/>
      <c r="R43" s="552"/>
      <c r="S43" s="551"/>
      <c r="U43" s="552"/>
      <c r="V43" s="551"/>
      <c r="X43" s="552"/>
      <c r="Y43" s="551"/>
    </row>
    <row r="44" spans="2:25" ht="35.25" hidden="1" customHeight="1" outlineLevel="1">
      <c r="B44" s="583"/>
      <c r="C44" s="583"/>
      <c r="D44" s="559" t="s">
        <v>244</v>
      </c>
      <c r="E44" s="560">
        <f>SUM(E45:E49)</f>
        <v>0</v>
      </c>
      <c r="F44" s="560">
        <f>SUM(F45:F49)</f>
        <v>0</v>
      </c>
      <c r="G44" s="560">
        <f t="shared" ref="G44:K44" si="18">SUM(G45:G49)</f>
        <v>0</v>
      </c>
      <c r="H44" s="639"/>
      <c r="I44" s="560">
        <f t="shared" si="18"/>
        <v>0</v>
      </c>
      <c r="J44" s="560">
        <f t="shared" si="18"/>
        <v>0</v>
      </c>
      <c r="K44" s="560">
        <f t="shared" si="18"/>
        <v>0</v>
      </c>
      <c r="L44" s="639"/>
      <c r="M44" s="560">
        <f>SUM(M45:M49)</f>
        <v>0</v>
      </c>
      <c r="N44" s="560">
        <f t="shared" ref="N44:O44" si="19">SUM(N45:N49)</f>
        <v>0</v>
      </c>
      <c r="O44" s="560">
        <f t="shared" si="19"/>
        <v>0</v>
      </c>
      <c r="P44" s="580"/>
      <c r="Q44" s="580"/>
      <c r="R44" s="564" t="s">
        <v>249</v>
      </c>
      <c r="S44" s="551"/>
      <c r="U44" s="552"/>
      <c r="V44" s="551"/>
      <c r="X44" s="552"/>
      <c r="Y44" s="551"/>
    </row>
    <row r="45" spans="2:25" ht="16" hidden="1" customHeight="1" outlineLevel="1">
      <c r="B45" s="583"/>
      <c r="C45" s="583"/>
      <c r="D45" s="562">
        <f>'Saisie des données'!$E$26</f>
        <v>2025</v>
      </c>
      <c r="E45" s="563">
        <f>IF(E$9="Aucun","",IF('Saisie des données'!E$88&gt;1, $E36*'Saisie des données'!$E43, 0))</f>
        <v>0</v>
      </c>
      <c r="F45" s="563" t="str">
        <f>IF(F$9="Aucun","",IF('Saisie des données'!F$88&gt;1, F36*'Saisie des données'!$E43, 0))</f>
        <v/>
      </c>
      <c r="G45" s="563" t="str">
        <f>IF(G$9="Aucun","",IF('Saisie des données'!G$88&gt;1, G36*'Saisie des données'!$E43, 0))</f>
        <v/>
      </c>
      <c r="H45" s="606"/>
      <c r="I45" s="563">
        <f>IF(I$9="Aucun","",IF('Saisie des données'!H$88&gt;1, I36*'Saisie des données'!$H43, 0))</f>
        <v>0</v>
      </c>
      <c r="J45" s="563" t="str">
        <f>IF(J$9="Aucun","",IF('Saisie des données'!I$88&gt;1, J36*'Saisie des données'!$H43, 0))</f>
        <v/>
      </c>
      <c r="K45" s="563" t="str">
        <f>IF(K$9="Aucun","",IF('Saisie des données'!J$88&gt;1, K36*'Saisie des données'!$H43, 0))</f>
        <v/>
      </c>
      <c r="L45" s="606"/>
      <c r="M45" s="563" t="str">
        <f>IFERROR(O45+N45,"")</f>
        <v/>
      </c>
      <c r="N45" s="563" t="str">
        <f>IF(N$9="Aucun","",IF('Saisie des données'!K$88&gt;1, N36*'Saisie des données'!$K43, 0))</f>
        <v/>
      </c>
      <c r="O45" s="563" t="str">
        <f>IFERROR(IF('Saisie des données'!L$88&gt;1, O36*'Saisie des données'!$L43, 0),"")</f>
        <v/>
      </c>
      <c r="P45" s="580"/>
      <c r="Q45" s="580"/>
      <c r="R45" s="552"/>
      <c r="S45" s="551"/>
      <c r="U45" s="552"/>
      <c r="V45" s="551"/>
      <c r="X45" s="552"/>
      <c r="Y45" s="551"/>
    </row>
    <row r="46" spans="2:25" ht="16" hidden="1" customHeight="1" outlineLevel="1">
      <c r="B46" s="583"/>
      <c r="C46" s="583"/>
      <c r="D46" s="562">
        <f>'Saisie des données'!$E$26+1</f>
        <v>2026</v>
      </c>
      <c r="E46" s="563">
        <f>IF(E$9="Aucun","",IF('Saisie des données'!E$88&gt;1, $E37*'Saisie des données'!$E44, 0))</f>
        <v>0</v>
      </c>
      <c r="F46" s="563" t="str">
        <f>IF(F$9="Aucun","",IF('Saisie des données'!F$88&gt;1, F37*'Saisie des données'!$E44, 0))</f>
        <v/>
      </c>
      <c r="G46" s="563" t="str">
        <f>IF(G$9="Aucun","",IF('Saisie des données'!G$88&gt;1, G37*'Saisie des données'!$E44, 0))</f>
        <v/>
      </c>
      <c r="H46" s="606"/>
      <c r="I46" s="563">
        <f>IF(I$9="Aucun","",IF('Saisie des données'!H$88&gt;1, I37*'Saisie des données'!$H44, 0))</f>
        <v>0</v>
      </c>
      <c r="J46" s="563" t="str">
        <f>IF(J$9="Aucun","",IF('Saisie des données'!I$88&gt;1, J37*'Saisie des données'!$H44, 0))</f>
        <v/>
      </c>
      <c r="K46" s="563" t="str">
        <f>IF(K$9="Aucun","",IF('Saisie des données'!J$88&gt;1, K37*'Saisie des données'!$H44, 0))</f>
        <v/>
      </c>
      <c r="L46" s="606"/>
      <c r="M46" s="563" t="str">
        <f t="shared" ref="M46:M49" si="20">IFERROR(O46+N46,"")</f>
        <v/>
      </c>
      <c r="N46" s="563" t="str">
        <f>IF(N$9="Aucun","",IF('Saisie des données'!K$88&gt;1, N37*'Saisie des données'!$K44, 0))</f>
        <v/>
      </c>
      <c r="O46" s="563" t="str">
        <f>IFERROR(IF('Saisie des données'!L$88&gt;1, O37*'Saisie des données'!$L44, 0),"")</f>
        <v/>
      </c>
      <c r="P46" s="580"/>
      <c r="Q46" s="580"/>
      <c r="R46" s="552"/>
      <c r="S46" s="551"/>
      <c r="U46" s="552"/>
      <c r="V46" s="551"/>
      <c r="X46" s="552"/>
      <c r="Y46" s="551"/>
    </row>
    <row r="47" spans="2:25" ht="16" hidden="1" customHeight="1" outlineLevel="1">
      <c r="B47" s="583"/>
      <c r="C47" s="583"/>
      <c r="D47" s="562">
        <f>'Saisie des données'!$E$26+2</f>
        <v>2027</v>
      </c>
      <c r="E47" s="563">
        <f>IF(E$9="Aucun","",IF('Saisie des données'!E$88&gt;1, $E38*'Saisie des données'!$E45, 0))</f>
        <v>0</v>
      </c>
      <c r="F47" s="563" t="str">
        <f>IF(F$9="Aucun","",IF('Saisie des données'!F$88&gt;1, F38*'Saisie des données'!$E45, 0))</f>
        <v/>
      </c>
      <c r="G47" s="563" t="str">
        <f>IF(G$9="Aucun","",IF('Saisie des données'!G$88&gt;1, G38*'Saisie des données'!$E45, 0))</f>
        <v/>
      </c>
      <c r="H47" s="606"/>
      <c r="I47" s="563">
        <f>IF(I$9="Aucun","",IF('Saisie des données'!H$88&gt;1, I38*'Saisie des données'!$H45, 0))</f>
        <v>0</v>
      </c>
      <c r="J47" s="563" t="str">
        <f>IF(J$9="Aucun","",IF('Saisie des données'!I$88&gt;1, J38*'Saisie des données'!$H45, 0))</f>
        <v/>
      </c>
      <c r="K47" s="563" t="str">
        <f>IF(K$9="Aucun","",IF('Saisie des données'!J$88&gt;1, K38*'Saisie des données'!$H45, 0))</f>
        <v/>
      </c>
      <c r="L47" s="606"/>
      <c r="M47" s="563" t="str">
        <f t="shared" si="20"/>
        <v/>
      </c>
      <c r="N47" s="563" t="str">
        <f>IF(N$9="Aucun","",IF('Saisie des données'!K$88&gt;1, N38*'Saisie des données'!$K45, 0))</f>
        <v/>
      </c>
      <c r="O47" s="563" t="str">
        <f>IFERROR(IF('Saisie des données'!L$88&gt;1, O38*'Saisie des données'!$L45, 0),"")</f>
        <v/>
      </c>
      <c r="P47" s="580"/>
      <c r="Q47" s="580"/>
      <c r="R47" s="552"/>
      <c r="S47" s="551"/>
      <c r="U47" s="552"/>
      <c r="V47" s="551"/>
      <c r="X47" s="552"/>
      <c r="Y47" s="551"/>
    </row>
    <row r="48" spans="2:25" ht="16" hidden="1" customHeight="1" outlineLevel="1">
      <c r="B48" s="583"/>
      <c r="C48" s="583"/>
      <c r="D48" s="562">
        <f>'Saisie des données'!$E$26+3</f>
        <v>2028</v>
      </c>
      <c r="E48" s="563">
        <f>IF(E$9="Aucun","",IF('Saisie des données'!E$88&gt;1, $E39*'Saisie des données'!$E46, 0))</f>
        <v>0</v>
      </c>
      <c r="F48" s="563" t="str">
        <f>IF(F$9="Aucun","",IF('Saisie des données'!F$88&gt;1, F39*'Saisie des données'!$E46, 0))</f>
        <v/>
      </c>
      <c r="G48" s="563" t="str">
        <f>IF(G$9="Aucun","",IF('Saisie des données'!G$88&gt;1, G39*'Saisie des données'!$E46, 0))</f>
        <v/>
      </c>
      <c r="H48" s="606"/>
      <c r="I48" s="563">
        <f>IF(I$9="Aucun","",IF('Saisie des données'!H$88&gt;1, I39*'Saisie des données'!$H46, 0))</f>
        <v>0</v>
      </c>
      <c r="J48" s="563" t="str">
        <f>IF(J$9="Aucun","",IF('Saisie des données'!I$88&gt;1, J39*'Saisie des données'!$H46, 0))</f>
        <v/>
      </c>
      <c r="K48" s="563" t="str">
        <f>IF(K$9="Aucun","",IF('Saisie des données'!J$88&gt;1, K39*'Saisie des données'!$H46, 0))</f>
        <v/>
      </c>
      <c r="L48" s="606"/>
      <c r="M48" s="563" t="str">
        <f t="shared" si="20"/>
        <v/>
      </c>
      <c r="N48" s="563" t="str">
        <f>IF(N$9="Aucun","",IF('Saisie des données'!K$88&gt;1, N39*'Saisie des données'!$K46, 0))</f>
        <v/>
      </c>
      <c r="O48" s="563" t="str">
        <f>IFERROR(IF('Saisie des données'!L$88&gt;1, O39*'Saisie des données'!$L46, 0),"")</f>
        <v/>
      </c>
      <c r="P48" s="580"/>
      <c r="Q48" s="580"/>
      <c r="R48" s="552"/>
      <c r="S48" s="551"/>
      <c r="U48" s="552"/>
      <c r="V48" s="551"/>
      <c r="X48" s="552"/>
      <c r="Y48" s="551"/>
    </row>
    <row r="49" spans="2:25" ht="16" hidden="1" customHeight="1" outlineLevel="1">
      <c r="B49" s="583"/>
      <c r="C49" s="583"/>
      <c r="D49" s="562">
        <f>'Saisie des données'!$E$26+4</f>
        <v>2029</v>
      </c>
      <c r="E49" s="563">
        <f>IF(E$9="Aucun","",IF('Saisie des données'!E$88&gt;1, $E40*'Saisie des données'!$E47, 0))</f>
        <v>0</v>
      </c>
      <c r="F49" s="563" t="str">
        <f>IF(F$9="Aucun","",IF('Saisie des données'!F$88&gt;1, F40*'Saisie des données'!$E47, 0))</f>
        <v/>
      </c>
      <c r="G49" s="563" t="str">
        <f>IF(G$9="Aucun","",IF('Saisie des données'!G$88&gt;1, G40*'Saisie des données'!$E47, 0))</f>
        <v/>
      </c>
      <c r="H49" s="606"/>
      <c r="I49" s="563">
        <f>IF(I$9="Aucun","",IF('Saisie des données'!H$88&gt;1, I40*'Saisie des données'!$H47, 0))</f>
        <v>0</v>
      </c>
      <c r="J49" s="563" t="str">
        <f>IF(J$9="Aucun","",IF('Saisie des données'!I$88&gt;1, J40*'Saisie des données'!$H47, 0))</f>
        <v/>
      </c>
      <c r="K49" s="563" t="str">
        <f>IF(K$9="Aucun","",IF('Saisie des données'!J$88&gt;1, K40*'Saisie des données'!$H47, 0))</f>
        <v/>
      </c>
      <c r="L49" s="606"/>
      <c r="M49" s="563" t="str">
        <f t="shared" si="20"/>
        <v/>
      </c>
      <c r="N49" s="563" t="str">
        <f>IF(N$9="Aucun","",IF('Saisie des données'!K$88&gt;1, N40*'Saisie des données'!$K47, 0))</f>
        <v/>
      </c>
      <c r="O49" s="563" t="str">
        <f>IFERROR(IF('Saisie des données'!L$88&gt;1, O40*'Saisie des données'!$L47, 0),"")</f>
        <v/>
      </c>
      <c r="P49" s="580"/>
      <c r="Q49" s="580"/>
      <c r="R49" s="552"/>
      <c r="S49" s="551"/>
      <c r="U49" s="552"/>
      <c r="V49" s="551"/>
      <c r="X49" s="552"/>
      <c r="Y49" s="551"/>
    </row>
    <row r="50" spans="2:25" ht="8.25" hidden="1" customHeight="1" outlineLevel="1">
      <c r="B50" s="583"/>
      <c r="C50" s="583"/>
      <c r="D50" s="603"/>
      <c r="E50" s="604"/>
      <c r="F50" s="604"/>
      <c r="G50" s="604"/>
      <c r="H50" s="641"/>
      <c r="I50" s="604"/>
      <c r="J50" s="604"/>
      <c r="K50" s="604"/>
      <c r="L50" s="641"/>
      <c r="M50" s="604"/>
      <c r="N50" s="604"/>
      <c r="O50" s="604"/>
      <c r="P50" s="580"/>
      <c r="Q50" s="580"/>
      <c r="R50" s="552"/>
      <c r="S50" s="551"/>
      <c r="U50" s="552"/>
      <c r="V50" s="551"/>
      <c r="X50" s="552"/>
      <c r="Y50" s="551"/>
    </row>
    <row r="51" spans="2:25" ht="24" hidden="1" customHeight="1" outlineLevel="1">
      <c r="B51" s="583"/>
      <c r="C51" s="583"/>
      <c r="D51" s="1076" t="s">
        <v>250</v>
      </c>
      <c r="E51" s="1076"/>
      <c r="F51" s="1076"/>
      <c r="G51" s="1076"/>
      <c r="H51" s="1076"/>
      <c r="I51" s="1076"/>
      <c r="J51" s="1076"/>
      <c r="K51" s="1076"/>
      <c r="L51" s="1076"/>
      <c r="M51" s="1076"/>
      <c r="N51" s="1076"/>
      <c r="O51" s="1076"/>
      <c r="P51" s="580"/>
      <c r="Q51" s="580"/>
      <c r="R51" s="552"/>
      <c r="S51" s="551"/>
      <c r="U51" s="552"/>
      <c r="V51" s="551"/>
      <c r="X51" s="552"/>
      <c r="Y51" s="551"/>
    </row>
    <row r="52" spans="2:25" ht="8.25" hidden="1" customHeight="1" outlineLevel="1">
      <c r="B52" s="583"/>
      <c r="C52" s="583"/>
      <c r="D52" s="609"/>
      <c r="E52" s="609"/>
      <c r="F52" s="609"/>
      <c r="G52" s="609"/>
      <c r="H52" s="642"/>
      <c r="I52" s="609"/>
      <c r="J52" s="609"/>
      <c r="K52" s="609"/>
      <c r="L52" s="642"/>
      <c r="M52" s="609"/>
      <c r="N52" s="609"/>
      <c r="O52" s="609"/>
      <c r="P52" s="580"/>
      <c r="Q52" s="580"/>
      <c r="R52" s="552"/>
      <c r="S52" s="551"/>
      <c r="U52" s="552"/>
      <c r="V52" s="551"/>
      <c r="X52" s="552"/>
      <c r="Y52" s="551"/>
    </row>
    <row r="53" spans="2:25" ht="35.25" hidden="1" customHeight="1" outlineLevel="1">
      <c r="B53" s="583"/>
      <c r="C53" s="583"/>
      <c r="D53" s="559" t="s">
        <v>244</v>
      </c>
      <c r="E53" s="560">
        <f>SUM(E54:E58)</f>
        <v>0</v>
      </c>
      <c r="F53" s="560">
        <f>SUM(F54:F58)</f>
        <v>0</v>
      </c>
      <c r="G53" s="560">
        <f t="shared" ref="G53:K53" si="21">SUM(G54:G58)</f>
        <v>0</v>
      </c>
      <c r="H53" s="639"/>
      <c r="I53" s="560">
        <f t="shared" si="21"/>
        <v>0</v>
      </c>
      <c r="J53" s="560">
        <f t="shared" si="21"/>
        <v>0</v>
      </c>
      <c r="K53" s="560">
        <f t="shared" si="21"/>
        <v>0</v>
      </c>
      <c r="L53" s="639"/>
      <c r="M53" s="560">
        <f>SUM(M54:M58)</f>
        <v>0</v>
      </c>
      <c r="N53" s="560">
        <f t="shared" ref="N53:O53" si="22">SUM(N54:N58)</f>
        <v>0</v>
      </c>
      <c r="O53" s="560">
        <f t="shared" si="22"/>
        <v>0</v>
      </c>
      <c r="P53" s="580"/>
      <c r="Q53" s="580"/>
      <c r="R53" s="564" t="s">
        <v>251</v>
      </c>
      <c r="S53" s="551"/>
      <c r="U53" s="552"/>
      <c r="V53" s="551"/>
      <c r="X53" s="552"/>
      <c r="Y53" s="551"/>
    </row>
    <row r="54" spans="2:25" ht="16" hidden="1" customHeight="1" outlineLevel="1">
      <c r="B54" s="583"/>
      <c r="C54" s="583"/>
      <c r="D54" s="562">
        <f>'Saisie des données'!$E$26</f>
        <v>2025</v>
      </c>
      <c r="E54" s="563">
        <f>IF(E$9="Aucun","",IF('Saisie des données'!E$88&gt;2,  $E45*'Saisie des données'!$E49,0))</f>
        <v>0</v>
      </c>
      <c r="F54" s="563" t="str">
        <f>IF(F$9="Aucun","",IF('Saisie des données'!F$88&gt;2,  F45*'Saisie des données'!$E49,0))</f>
        <v/>
      </c>
      <c r="G54" s="563" t="str">
        <f>IF(G$9="Aucun","",IF('Saisie des données'!G$88&gt;2,  G45*'Saisie des données'!$E49,0))</f>
        <v/>
      </c>
      <c r="H54" s="606"/>
      <c r="I54" s="563">
        <f>IF(I$9="Aucun","",IF('Saisie des données'!H$88&gt;2,  I45*'Saisie des données'!$H49,0))</f>
        <v>0</v>
      </c>
      <c r="J54" s="563" t="str">
        <f>IF(J$9="Aucun","",IF('Saisie des données'!I$88&gt;2,  J45*'Saisie des données'!$H49,0))</f>
        <v/>
      </c>
      <c r="K54" s="563" t="str">
        <f>IF(K$9="Aucun","",IF('Saisie des données'!J$88&gt;2,  K45*'Saisie des données'!$H49,0))</f>
        <v/>
      </c>
      <c r="L54" s="606"/>
      <c r="M54" s="563" t="str">
        <f>IFERROR(O54+N54,"")</f>
        <v/>
      </c>
      <c r="N54" s="563" t="str">
        <f>IF(N$9="Aucun","",IF('Saisie des données'!K$88&gt;2,N45*'Saisie des données'!$K49,0))</f>
        <v/>
      </c>
      <c r="O54" s="563" t="str">
        <f>IFERROR(IF('Saisie des données'!L$88&gt;2, O45*'Saisie des données'!$K49, 0),"")</f>
        <v/>
      </c>
      <c r="P54" s="580"/>
      <c r="Q54" s="580"/>
      <c r="R54" s="552"/>
      <c r="S54" s="551"/>
      <c r="U54" s="552"/>
      <c r="V54" s="551"/>
      <c r="X54" s="552"/>
      <c r="Y54" s="551"/>
    </row>
    <row r="55" spans="2:25" ht="16" hidden="1" customHeight="1" outlineLevel="1">
      <c r="B55" s="583"/>
      <c r="C55" s="583"/>
      <c r="D55" s="562">
        <f>'Saisie des données'!$E$26+1</f>
        <v>2026</v>
      </c>
      <c r="E55" s="563">
        <f>IF(E$9="Aucun","",IF('Saisie des données'!E$88&gt;2,  $E46*'Saisie des données'!$E50,0))</f>
        <v>0</v>
      </c>
      <c r="F55" s="563" t="str">
        <f>IF(F$9="Aucun","",IF('Saisie des données'!F$88&gt;2,  F46*'Saisie des données'!$E50,0))</f>
        <v/>
      </c>
      <c r="G55" s="563" t="str">
        <f>IF(G$9="Aucun","",IF('Saisie des données'!G$88&gt;2,  G46*'Saisie des données'!$E50,0))</f>
        <v/>
      </c>
      <c r="H55" s="606"/>
      <c r="I55" s="563">
        <f>IF(I$9="Aucun","",IF('Saisie des données'!H$88&gt;2,  I46*'Saisie des données'!$H50,0))</f>
        <v>0</v>
      </c>
      <c r="J55" s="563" t="str">
        <f>IF(J$9="Aucun","",IF('Saisie des données'!I$88&gt;2,  J46*'Saisie des données'!$H50,0))</f>
        <v/>
      </c>
      <c r="K55" s="563" t="str">
        <f>IF(K$9="Aucun","",IF('Saisie des données'!J$88&gt;2,  K46*'Saisie des données'!$H50,0))</f>
        <v/>
      </c>
      <c r="L55" s="606"/>
      <c r="M55" s="563" t="str">
        <f t="shared" ref="M55:M58" si="23">IFERROR(O55+N55,"")</f>
        <v/>
      </c>
      <c r="N55" s="563" t="str">
        <f>IF(N$9="Aucun","",IF('Saisie des données'!K$88&gt;2,N46*'Saisie des données'!$K50,0))</f>
        <v/>
      </c>
      <c r="O55" s="563" t="str">
        <f>IFERROR(IF('Saisie des données'!L$88&gt;2, O46*'Saisie des données'!$K50, 0),"")</f>
        <v/>
      </c>
      <c r="P55" s="580"/>
      <c r="Q55" s="580"/>
      <c r="R55" s="552"/>
      <c r="S55" s="551"/>
      <c r="U55" s="552"/>
      <c r="V55" s="551"/>
      <c r="X55" s="552"/>
      <c r="Y55" s="551"/>
    </row>
    <row r="56" spans="2:25" ht="16" hidden="1" customHeight="1" outlineLevel="1">
      <c r="B56" s="583"/>
      <c r="C56" s="583"/>
      <c r="D56" s="562">
        <f>'Saisie des données'!$E$26+2</f>
        <v>2027</v>
      </c>
      <c r="E56" s="563">
        <f>IF(E$9="Aucun","",IF('Saisie des données'!E$88&gt;2,  $E47*'Saisie des données'!$E51,0))</f>
        <v>0</v>
      </c>
      <c r="F56" s="563" t="str">
        <f>IF(F$9="Aucun","",IF('Saisie des données'!F$88&gt;2,  F47*'Saisie des données'!$E51,0))</f>
        <v/>
      </c>
      <c r="G56" s="563" t="str">
        <f>IF(G$9="Aucun","",IF('Saisie des données'!G$88&gt;2,  G47*'Saisie des données'!$E51,0))</f>
        <v/>
      </c>
      <c r="H56" s="606"/>
      <c r="I56" s="563">
        <f>IF(I$9="Aucun","",IF('Saisie des données'!H$88&gt;2,  I47*'Saisie des données'!$H51,0))</f>
        <v>0</v>
      </c>
      <c r="J56" s="563" t="str">
        <f>IF(J$9="Aucun","",IF('Saisie des données'!I$88&gt;2,  J47*'Saisie des données'!$H51,0))</f>
        <v/>
      </c>
      <c r="K56" s="563" t="str">
        <f>IF(K$9="Aucun","",IF('Saisie des données'!J$88&gt;2,  K47*'Saisie des données'!$H51,0))</f>
        <v/>
      </c>
      <c r="L56" s="606"/>
      <c r="M56" s="563" t="str">
        <f t="shared" si="23"/>
        <v/>
      </c>
      <c r="N56" s="563" t="str">
        <f>IF(N$9="Aucun","",IF('Saisie des données'!K$88&gt;2,N47*'Saisie des données'!$K51,0))</f>
        <v/>
      </c>
      <c r="O56" s="563" t="str">
        <f>IFERROR(IF('Saisie des données'!L$88&gt;2, O47*'Saisie des données'!$K51, 0),"")</f>
        <v/>
      </c>
      <c r="P56" s="580"/>
      <c r="Q56" s="580"/>
      <c r="R56" s="552"/>
      <c r="S56" s="551"/>
      <c r="U56" s="552"/>
      <c r="V56" s="551"/>
      <c r="X56" s="552"/>
      <c r="Y56" s="551"/>
    </row>
    <row r="57" spans="2:25" ht="16" hidden="1" customHeight="1" outlineLevel="1">
      <c r="B57" s="583"/>
      <c r="C57" s="583"/>
      <c r="D57" s="562">
        <f>'Saisie des données'!$E$26+3</f>
        <v>2028</v>
      </c>
      <c r="E57" s="563">
        <f>IF(E$9="Aucun","",IF('Saisie des données'!E$88&gt;2,  $E48*'Saisie des données'!$E52,0))</f>
        <v>0</v>
      </c>
      <c r="F57" s="563" t="str">
        <f>IF(F$9="Aucun","",IF('Saisie des données'!F$88&gt;2,  F48*'Saisie des données'!$E52,0))</f>
        <v/>
      </c>
      <c r="G57" s="563" t="str">
        <f>IF(G$9="Aucun","",IF('Saisie des données'!G$88&gt;2,  G48*'Saisie des données'!$E52,0))</f>
        <v/>
      </c>
      <c r="H57" s="606"/>
      <c r="I57" s="563">
        <f>IF(I$9="Aucun","",IF('Saisie des données'!H$88&gt;2,  I48*'Saisie des données'!$H52,0))</f>
        <v>0</v>
      </c>
      <c r="J57" s="563" t="str">
        <f>IF(J$9="Aucun","",IF('Saisie des données'!I$88&gt;2,  J48*'Saisie des données'!$H52,0))</f>
        <v/>
      </c>
      <c r="K57" s="563" t="str">
        <f>IF(K$9="Aucun","",IF('Saisie des données'!J$88&gt;2,  K48*'Saisie des données'!$H52,0))</f>
        <v/>
      </c>
      <c r="L57" s="606"/>
      <c r="M57" s="563" t="str">
        <f t="shared" si="23"/>
        <v/>
      </c>
      <c r="N57" s="563" t="str">
        <f>IF(N$9="Aucun","",IF('Saisie des données'!K$88&gt;2,N48*'Saisie des données'!$K52,0))</f>
        <v/>
      </c>
      <c r="O57" s="563" t="str">
        <f>IFERROR(IF('Saisie des données'!L$88&gt;2, O48*'Saisie des données'!$K52, 0),"")</f>
        <v/>
      </c>
      <c r="P57" s="580"/>
      <c r="Q57" s="580"/>
      <c r="R57" s="552"/>
      <c r="S57" s="551"/>
      <c r="U57" s="552"/>
      <c r="V57" s="551"/>
      <c r="X57" s="552"/>
      <c r="Y57" s="551"/>
    </row>
    <row r="58" spans="2:25" ht="16" hidden="1" customHeight="1" outlineLevel="1">
      <c r="B58" s="583"/>
      <c r="C58" s="583"/>
      <c r="D58" s="562">
        <f>'Saisie des données'!$E$26+4</f>
        <v>2029</v>
      </c>
      <c r="E58" s="563">
        <f>IF(E$9="Aucun","",IF('Saisie des données'!E$88&gt;2,  $E49*'Saisie des données'!$E53,0))</f>
        <v>0</v>
      </c>
      <c r="F58" s="563" t="str">
        <f>IF(F$9="Aucun","",IF('Saisie des données'!F$88&gt;2,  F49*'Saisie des données'!$E53,0))</f>
        <v/>
      </c>
      <c r="G58" s="563" t="str">
        <f>IF(G$9="Aucun","",IF('Saisie des données'!G$88&gt;2,  G49*'Saisie des données'!$E53,0))</f>
        <v/>
      </c>
      <c r="H58" s="606"/>
      <c r="I58" s="563">
        <f>IF(I$9="Aucun","",IF('Saisie des données'!H$88&gt;2,  I49*'Saisie des données'!$H53,0))</f>
        <v>0</v>
      </c>
      <c r="J58" s="563" t="str">
        <f>IF(J$9="Aucun","",IF('Saisie des données'!I$88&gt;2,  J49*'Saisie des données'!$H53,0))</f>
        <v/>
      </c>
      <c r="K58" s="563" t="str">
        <f>IF(K$9="Aucun","",IF('Saisie des données'!J$88&gt;2,  K49*'Saisie des données'!$H53,0))</f>
        <v/>
      </c>
      <c r="L58" s="606"/>
      <c r="M58" s="563" t="str">
        <f t="shared" si="23"/>
        <v/>
      </c>
      <c r="N58" s="563" t="str">
        <f>IF(N$9="Aucun","",IF('Saisie des données'!K$88&gt;2,N49*'Saisie des données'!$K53,0))</f>
        <v/>
      </c>
      <c r="O58" s="563" t="str">
        <f>IFERROR(IF('Saisie des données'!L$88&gt;2, O49*'Saisie des données'!$K53, 0),"")</f>
        <v/>
      </c>
      <c r="P58" s="580"/>
      <c r="Q58" s="580"/>
      <c r="R58" s="552"/>
      <c r="S58" s="551"/>
      <c r="U58" s="552"/>
      <c r="V58" s="551"/>
      <c r="X58" s="552"/>
      <c r="Y58" s="551"/>
    </row>
    <row r="59" spans="2:25" ht="8.25" hidden="1" customHeight="1" outlineLevel="1">
      <c r="B59" s="583"/>
      <c r="C59" s="583"/>
      <c r="D59" s="631"/>
      <c r="E59" s="632"/>
      <c r="F59" s="632"/>
      <c r="G59" s="632"/>
      <c r="H59" s="606"/>
      <c r="I59" s="632"/>
      <c r="J59" s="632"/>
      <c r="K59" s="632"/>
      <c r="L59" s="606"/>
      <c r="M59" s="632"/>
      <c r="N59" s="632"/>
      <c r="O59" s="632"/>
      <c r="P59" s="580"/>
      <c r="Q59" s="580"/>
      <c r="R59" s="552"/>
      <c r="S59" s="551"/>
      <c r="U59" s="552"/>
      <c r="V59" s="551"/>
      <c r="X59" s="552"/>
      <c r="Y59" s="551"/>
    </row>
    <row r="60" spans="2:25" s="576" customFormat="1" ht="51" customHeight="1" collapsed="1">
      <c r="B60" s="583"/>
      <c r="C60" s="583"/>
      <c r="D60" s="1075" t="s">
        <v>252</v>
      </c>
      <c r="E60" s="1075"/>
      <c r="F60" s="1075"/>
      <c r="G60" s="1075"/>
      <c r="H60" s="1075"/>
      <c r="I60" s="1075"/>
      <c r="J60" s="1075"/>
      <c r="K60" s="1075"/>
      <c r="L60" s="1075"/>
      <c r="M60" s="1075"/>
      <c r="N60" s="1075"/>
      <c r="O60" s="1075"/>
      <c r="P60" s="579"/>
      <c r="Q60" s="579"/>
      <c r="R60" s="1081"/>
      <c r="S60" s="1082"/>
      <c r="U60" s="1081"/>
      <c r="V60" s="1082"/>
      <c r="X60" s="1081"/>
      <c r="Y60" s="1082"/>
    </row>
    <row r="61" spans="2:25" s="576" customFormat="1" ht="8.25" customHeight="1">
      <c r="B61" s="583"/>
      <c r="C61" s="583"/>
      <c r="D61" s="617"/>
      <c r="E61" s="617"/>
      <c r="F61" s="617"/>
      <c r="G61" s="617"/>
      <c r="H61" s="637"/>
      <c r="I61" s="617"/>
      <c r="J61" s="617"/>
      <c r="K61" s="617"/>
      <c r="L61" s="637"/>
      <c r="M61" s="617"/>
      <c r="N61" s="617"/>
      <c r="O61" s="617"/>
      <c r="P61" s="579"/>
      <c r="Q61" s="579"/>
      <c r="R61" s="731"/>
      <c r="S61" s="732"/>
      <c r="U61" s="731"/>
      <c r="V61" s="732"/>
      <c r="X61" s="731"/>
      <c r="Y61" s="732"/>
    </row>
    <row r="62" spans="2:25" s="576" customFormat="1" ht="35.25" customHeight="1">
      <c r="B62" s="583"/>
      <c r="C62" s="583"/>
      <c r="D62" s="633" t="s">
        <v>244</v>
      </c>
      <c r="E62" s="558">
        <f>IF(E63="","N/A",SUM(E63:E67))</f>
        <v>928596.6806722224</v>
      </c>
      <c r="F62" s="558" t="str">
        <f>IF(F63="","N/A",SUM(F63:F67))</f>
        <v>N/A</v>
      </c>
      <c r="G62" s="558" t="str">
        <f>IF(G63="","N/A",SUM(G63:G67))</f>
        <v>N/A</v>
      </c>
      <c r="H62" s="639"/>
      <c r="I62" s="558">
        <f>IF(I63="","N/A",SUM(I63:I67))</f>
        <v>835737.01260500005</v>
      </c>
      <c r="J62" s="558" t="str">
        <f>IF(J63="","N/A",SUM(J63:J67))</f>
        <v>N/A</v>
      </c>
      <c r="K62" s="558" t="str">
        <f>IF(K63="","N/A",SUM(K63:K67))</f>
        <v>N/A</v>
      </c>
      <c r="L62" s="639"/>
      <c r="M62" s="558" t="str">
        <f>IF(M63="","N/A",SUM(M63:M67))</f>
        <v>N/A</v>
      </c>
      <c r="N62" s="558" t="str">
        <f>IF(N63="","N/A",SUM(N63:N67))</f>
        <v>N/A</v>
      </c>
      <c r="O62" s="558" t="str">
        <f>IF(O63="","N/A",SUM(O63:O67))</f>
        <v>N/A</v>
      </c>
      <c r="P62" s="579"/>
      <c r="Q62" s="579"/>
      <c r="R62" s="550"/>
      <c r="S62" s="551"/>
      <c r="U62" s="552"/>
      <c r="V62" s="551"/>
      <c r="X62" s="552"/>
      <c r="Y62" s="551"/>
    </row>
    <row r="63" spans="2:25">
      <c r="B63" s="583"/>
      <c r="C63" s="583"/>
      <c r="D63" s="555">
        <f>'Saisie des données'!$E$26</f>
        <v>2025</v>
      </c>
      <c r="E63" s="565">
        <f>IF(E$9="Aucun","",E27*'Saisie des données'!E$92+E90)</f>
        <v>163333.33333333334</v>
      </c>
      <c r="F63" s="565" t="str">
        <f>IFERROR(F27*'Saisie des données'!F$92+F90,"")</f>
        <v/>
      </c>
      <c r="G63" s="565" t="str">
        <f>IFERROR(G27*'Saisie des données'!G$92+G90,"")</f>
        <v/>
      </c>
      <c r="H63" s="606"/>
      <c r="I63" s="565">
        <f>IFERROR(I27*'Saisie des données'!H$92+I90,"")</f>
        <v>147000</v>
      </c>
      <c r="J63" s="565" t="str">
        <f>IFERROR(J27*'Saisie des données'!I$92+J90,"")</f>
        <v/>
      </c>
      <c r="K63" s="565" t="str">
        <f>IFERROR(K27*'Saisie des données'!J$92+K90,"")</f>
        <v/>
      </c>
      <c r="L63" s="606"/>
      <c r="M63" s="565" t="str">
        <f>IFERROR(O63+N63,"")</f>
        <v/>
      </c>
      <c r="N63" s="565" t="str">
        <f>IFERROR(N27*'Saisie des données'!K$92+N90,"")</f>
        <v/>
      </c>
      <c r="O63" s="565" t="str">
        <f>IFERROR(O27*'Saisie des données'!L$92+O90,"")</f>
        <v/>
      </c>
      <c r="P63" s="580"/>
      <c r="Q63" s="580"/>
      <c r="R63" s="566"/>
      <c r="S63" s="551"/>
      <c r="U63" s="552"/>
      <c r="V63" s="551"/>
      <c r="X63" s="552"/>
      <c r="Y63" s="551"/>
    </row>
    <row r="64" spans="2:25">
      <c r="B64" s="583"/>
      <c r="C64" s="583"/>
      <c r="D64" s="555">
        <f>'Saisie des données'!$E$26+1</f>
        <v>2026</v>
      </c>
      <c r="E64" s="565">
        <f>IF(E$9="Aucun","",E28*'Saisie des données'!E$92+E91)</f>
        <v>166272.22222222222</v>
      </c>
      <c r="F64" s="565" t="str">
        <f>IFERROR(F28*'Saisie des données'!F$92+F91,"")</f>
        <v/>
      </c>
      <c r="G64" s="565" t="str">
        <f>IFERROR(G28*'Saisie des données'!G$92+G91,"")</f>
        <v/>
      </c>
      <c r="H64" s="606"/>
      <c r="I64" s="565">
        <f>IFERROR(I28*'Saisie des données'!H$92+I91,"")</f>
        <v>149645</v>
      </c>
      <c r="J64" s="565" t="str">
        <f>IFERROR(J28*'Saisie des données'!I$92+J91,"")</f>
        <v/>
      </c>
      <c r="K64" s="565" t="str">
        <f>IFERROR(K28*'Saisie des données'!J$92+K91,"")</f>
        <v/>
      </c>
      <c r="L64" s="606"/>
      <c r="M64" s="565" t="str">
        <f t="shared" ref="M64:M67" si="24">IFERROR(O64+N64,"")</f>
        <v/>
      </c>
      <c r="N64" s="565" t="str">
        <f>IFERROR(N28*'Saisie des données'!K$92+N91,"")</f>
        <v/>
      </c>
      <c r="O64" s="565" t="str">
        <f>IFERROR(O28*'Saisie des données'!L$92+O91,"")</f>
        <v/>
      </c>
      <c r="P64" s="580"/>
      <c r="Q64" s="580"/>
      <c r="R64" s="564"/>
      <c r="S64" s="551"/>
      <c r="U64" s="552"/>
      <c r="V64" s="551"/>
      <c r="X64" s="552"/>
      <c r="Y64" s="551"/>
    </row>
    <row r="65" spans="2:25">
      <c r="B65" s="583"/>
      <c r="C65" s="583"/>
      <c r="D65" s="555">
        <f>'Saisie des données'!$E$26+2</f>
        <v>2027</v>
      </c>
      <c r="E65" s="565">
        <f>IF(E$9="Aucun","",E29*'Saisie des données'!E$92+E92)</f>
        <v>166110.38888888891</v>
      </c>
      <c r="F65" s="565" t="str">
        <f>IFERROR(F29*'Saisie des données'!F$92+F92,"")</f>
        <v/>
      </c>
      <c r="G65" s="565" t="str">
        <f>IFERROR(G29*'Saisie des données'!G$92+G92,"")</f>
        <v/>
      </c>
      <c r="H65" s="606"/>
      <c r="I65" s="565">
        <f>IFERROR(I29*'Saisie des données'!H$92+I92,"")</f>
        <v>149499.35</v>
      </c>
      <c r="J65" s="565" t="str">
        <f>IFERROR(J29*'Saisie des données'!I$92+J92,"")</f>
        <v/>
      </c>
      <c r="K65" s="565" t="str">
        <f>IFERROR(K29*'Saisie des données'!J$92+K92,"")</f>
        <v/>
      </c>
      <c r="L65" s="606"/>
      <c r="M65" s="565" t="str">
        <f t="shared" si="24"/>
        <v/>
      </c>
      <c r="N65" s="565" t="str">
        <f>IFERROR(N29*'Saisie des données'!K$92+N92,"")</f>
        <v/>
      </c>
      <c r="O65" s="565" t="str">
        <f>IFERROR(O29*'Saisie des données'!L$92+O92,"")</f>
        <v/>
      </c>
      <c r="P65" s="580"/>
      <c r="Q65" s="580"/>
      <c r="R65" s="552"/>
      <c r="S65" s="551"/>
      <c r="U65" s="552"/>
      <c r="V65" s="551"/>
      <c r="X65" s="552"/>
      <c r="Y65" s="551"/>
    </row>
    <row r="66" spans="2:25">
      <c r="B66" s="583"/>
      <c r="C66" s="583"/>
      <c r="D66" s="555">
        <f>'Saisie des données'!$E$26+3</f>
        <v>2028</v>
      </c>
      <c r="E66" s="565">
        <f>IF(E$9="Aucun","",E30*'Saisie des données'!E$92+E93)</f>
        <v>200840.15777777781</v>
      </c>
      <c r="F66" s="565" t="str">
        <f>IFERROR(F30*'Saisie des données'!F$92+F93,"")</f>
        <v/>
      </c>
      <c r="G66" s="565" t="str">
        <f>IFERROR(G30*'Saisie des données'!G$92+G93,"")</f>
        <v/>
      </c>
      <c r="H66" s="606"/>
      <c r="I66" s="565">
        <f>IFERROR(I30*'Saisie des données'!H$92+I93,"")</f>
        <v>180756.14200000005</v>
      </c>
      <c r="J66" s="565" t="str">
        <f>IFERROR(J30*'Saisie des données'!I$92+J93,"")</f>
        <v/>
      </c>
      <c r="K66" s="565" t="str">
        <f>IFERROR(K30*'Saisie des données'!J$92+K93,"")</f>
        <v/>
      </c>
      <c r="L66" s="606"/>
      <c r="M66" s="565" t="str">
        <f t="shared" si="24"/>
        <v/>
      </c>
      <c r="N66" s="565" t="str">
        <f>IFERROR(N30*'Saisie des données'!K$92+N93,"")</f>
        <v/>
      </c>
      <c r="O66" s="565" t="str">
        <f>IFERROR(O30*'Saisie des données'!L$92+O93,"")</f>
        <v/>
      </c>
      <c r="P66" s="580"/>
      <c r="Q66" s="580"/>
      <c r="R66" s="552"/>
      <c r="S66" s="551"/>
      <c r="U66" s="552"/>
      <c r="V66" s="551"/>
      <c r="X66" s="552"/>
      <c r="Y66" s="551"/>
    </row>
    <row r="67" spans="2:25" ht="16" customHeight="1">
      <c r="B67" s="583"/>
      <c r="C67" s="583"/>
      <c r="D67" s="555">
        <f>'Saisie des données'!$E$26+4</f>
        <v>2029</v>
      </c>
      <c r="E67" s="565">
        <f>IF(E$9="Aucun","",E31*'Saisie des données'!E$92+E94)</f>
        <v>232040.57845000003</v>
      </c>
      <c r="F67" s="565" t="str">
        <f>IFERROR(F31*'Saisie des données'!F$92+F94,"")</f>
        <v/>
      </c>
      <c r="G67" s="565" t="str">
        <f>IFERROR(G31*'Saisie des données'!G$92+G94,"")</f>
        <v/>
      </c>
      <c r="H67" s="606"/>
      <c r="I67" s="565">
        <f>IFERROR(I31*'Saisie des données'!H$92+I94,"")</f>
        <v>208836.520605</v>
      </c>
      <c r="J67" s="565" t="str">
        <f>IFERROR(J31*'Saisie des données'!I$92+J94,"")</f>
        <v/>
      </c>
      <c r="K67" s="565" t="str">
        <f>IFERROR(K31*'Saisie des données'!J$92+K94,"")</f>
        <v/>
      </c>
      <c r="L67" s="606"/>
      <c r="M67" s="565" t="str">
        <f t="shared" si="24"/>
        <v/>
      </c>
      <c r="N67" s="565" t="str">
        <f>IFERROR(N31*'Saisie des données'!K$92+N94,"")</f>
        <v/>
      </c>
      <c r="O67" s="565" t="str">
        <f>IFERROR(O31*'Saisie des données'!L$92+O94,"")</f>
        <v/>
      </c>
      <c r="P67" s="580"/>
      <c r="Q67" s="580"/>
      <c r="R67" s="552"/>
      <c r="S67" s="551"/>
      <c r="U67" s="552"/>
      <c r="V67" s="551"/>
      <c r="X67" s="552"/>
      <c r="Y67" s="551"/>
    </row>
    <row r="68" spans="2:25" ht="8.25" customHeight="1">
      <c r="B68" s="583"/>
      <c r="C68" s="583"/>
      <c r="D68" s="603"/>
      <c r="E68" s="604"/>
      <c r="F68" s="604"/>
      <c r="G68" s="604"/>
      <c r="H68" s="641"/>
      <c r="I68" s="604"/>
      <c r="J68" s="604"/>
      <c r="K68" s="604"/>
      <c r="L68" s="641"/>
      <c r="M68" s="604"/>
      <c r="N68" s="604"/>
      <c r="O68" s="604"/>
      <c r="P68" s="580"/>
      <c r="Q68" s="580"/>
      <c r="R68" s="552"/>
      <c r="S68" s="551"/>
      <c r="U68" s="552"/>
      <c r="V68" s="551"/>
      <c r="X68" s="552"/>
      <c r="Y68" s="551"/>
    </row>
    <row r="69" spans="2:25" ht="24" hidden="1" customHeight="1" outlineLevel="1">
      <c r="B69" s="583"/>
      <c r="C69" s="583"/>
      <c r="D69" s="1078" t="s">
        <v>253</v>
      </c>
      <c r="E69" s="1078"/>
      <c r="F69" s="1078"/>
      <c r="G69" s="1078"/>
      <c r="H69" s="1078"/>
      <c r="I69" s="1078"/>
      <c r="J69" s="1078"/>
      <c r="K69" s="1078"/>
      <c r="L69" s="1078"/>
      <c r="M69" s="1078"/>
      <c r="N69" s="1078"/>
      <c r="O69" s="1078"/>
      <c r="P69" s="580"/>
      <c r="Q69" s="580"/>
      <c r="R69" s="552"/>
      <c r="S69" s="551"/>
      <c r="U69" s="552"/>
      <c r="V69" s="551"/>
      <c r="X69" s="552"/>
      <c r="Y69" s="551"/>
    </row>
    <row r="70" spans="2:25" ht="8.25" hidden="1" customHeight="1" outlineLevel="1">
      <c r="B70" s="583"/>
      <c r="C70" s="583"/>
      <c r="D70" s="610"/>
      <c r="E70" s="610"/>
      <c r="F70" s="610"/>
      <c r="G70" s="610"/>
      <c r="H70" s="644"/>
      <c r="I70" s="610"/>
      <c r="J70" s="610"/>
      <c r="K70" s="610"/>
      <c r="L70" s="644"/>
      <c r="M70" s="610"/>
      <c r="N70" s="610"/>
      <c r="O70" s="610"/>
      <c r="P70" s="580"/>
      <c r="Q70" s="580"/>
      <c r="R70" s="552"/>
      <c r="S70" s="551"/>
      <c r="U70" s="552"/>
      <c r="V70" s="551"/>
      <c r="X70" s="552"/>
      <c r="Y70" s="551"/>
    </row>
    <row r="71" spans="2:25" ht="35.25" hidden="1" customHeight="1" outlineLevel="1">
      <c r="B71" s="583"/>
      <c r="C71" s="583"/>
      <c r="D71" s="621" t="s">
        <v>244</v>
      </c>
      <c r="E71" s="611">
        <f>IF(E72="","NA",SUM(E72:E76))</f>
        <v>197538.47645000002</v>
      </c>
      <c r="F71" s="611" t="str">
        <f>IF(F72="","NA",SUM(F72:F76))</f>
        <v>NA</v>
      </c>
      <c r="G71" s="611" t="str">
        <f>IF(G72="","NA",SUM(G72:G76))</f>
        <v>NA</v>
      </c>
      <c r="H71" s="646"/>
      <c r="I71" s="611">
        <f>IF(I72="","NA",SUM(I72:I76))</f>
        <v>177784.62880499999</v>
      </c>
      <c r="J71" s="611" t="str">
        <f>IF(J72="","NA",SUM(J72:J76))</f>
        <v>NA</v>
      </c>
      <c r="K71" s="611" t="str">
        <f>IF(K72="","NA",SUM(K72:K76))</f>
        <v>NA</v>
      </c>
      <c r="L71" s="646"/>
      <c r="M71" s="611" t="str">
        <f>IF(M72="","NA",SUM(M72:M76))</f>
        <v>NA</v>
      </c>
      <c r="N71" s="611" t="str">
        <f>IF(N72="","NA",SUM(N72:N76))</f>
        <v>NA</v>
      </c>
      <c r="O71" s="611" t="str">
        <f>IF(O72="","NA",SUM(O72:O76))</f>
        <v>NA</v>
      </c>
      <c r="P71" s="580"/>
      <c r="Q71" s="580"/>
      <c r="R71" s="566" t="s">
        <v>254</v>
      </c>
      <c r="S71" s="551"/>
      <c r="U71" s="552"/>
      <c r="V71" s="551"/>
      <c r="X71" s="552"/>
      <c r="Y71" s="551"/>
    </row>
    <row r="72" spans="2:25" ht="16" hidden="1" customHeight="1" outlineLevel="1">
      <c r="B72" s="583"/>
      <c r="C72" s="583"/>
      <c r="D72" s="622">
        <f>'Saisie des données'!$E$26</f>
        <v>2025</v>
      </c>
      <c r="E72" s="612">
        <f>IFERROR(E27*'Saisie des données'!E$93,"")</f>
        <v>30000</v>
      </c>
      <c r="F72" s="612" t="str">
        <f>IFERROR(F27*'Saisie des données'!F$93,"")</f>
        <v/>
      </c>
      <c r="G72" s="612" t="str">
        <f>IFERROR(G27*'Saisie des données'!G$93,"")</f>
        <v/>
      </c>
      <c r="H72" s="647"/>
      <c r="I72" s="612">
        <f>IFERROR(I27*'Saisie des données'!H$93,"")</f>
        <v>27000</v>
      </c>
      <c r="J72" s="612" t="str">
        <f>IFERROR(J27*'Saisie des données'!I$93,"")</f>
        <v/>
      </c>
      <c r="K72" s="612" t="str">
        <f>IFERROR(K27*'Saisie des données'!J$93,"")</f>
        <v/>
      </c>
      <c r="L72" s="647"/>
      <c r="M72" s="612" t="str">
        <f>IFERROR(O72+N72,"")</f>
        <v/>
      </c>
      <c r="N72" s="612" t="str">
        <f>IFERROR(N27*'Saisie des données'!K$93,"")</f>
        <v/>
      </c>
      <c r="O72" s="612" t="str">
        <f>IFERROR(O27*'Saisie des données'!L$93,"")</f>
        <v/>
      </c>
      <c r="P72" s="580"/>
      <c r="Q72" s="580"/>
      <c r="R72" s="552"/>
      <c r="S72" s="551"/>
      <c r="U72" s="552"/>
      <c r="V72" s="551"/>
      <c r="X72" s="552"/>
      <c r="Y72" s="551"/>
    </row>
    <row r="73" spans="2:25" ht="16" hidden="1" customHeight="1" outlineLevel="1">
      <c r="B73" s="583"/>
      <c r="C73" s="583"/>
      <c r="D73" s="622">
        <f>'Saisie des données'!$E$26+1</f>
        <v>2026</v>
      </c>
      <c r="E73" s="612">
        <f>IFERROR(E28*'Saisie des données'!E$93,"")</f>
        <v>36050</v>
      </c>
      <c r="F73" s="612" t="str">
        <f>IFERROR(F28*'Saisie des données'!F$93,"")</f>
        <v/>
      </c>
      <c r="G73" s="612" t="str">
        <f>IFERROR(G28*'Saisie des données'!G$93,"")</f>
        <v/>
      </c>
      <c r="H73" s="647"/>
      <c r="I73" s="612">
        <f>IFERROR(I28*'Saisie des données'!H$93,"")</f>
        <v>32444.999999999996</v>
      </c>
      <c r="J73" s="612" t="str">
        <f>IFERROR(J28*'Saisie des données'!I$93,"")</f>
        <v/>
      </c>
      <c r="K73" s="612" t="str">
        <f>IFERROR(K28*'Saisie des données'!J$93,"")</f>
        <v/>
      </c>
      <c r="L73" s="647"/>
      <c r="M73" s="612" t="str">
        <f t="shared" ref="M73:M76" si="25">IFERROR(O73+N73,"")</f>
        <v/>
      </c>
      <c r="N73" s="612" t="str">
        <f>IFERROR(N28*'Saisie des données'!K$93,"")</f>
        <v/>
      </c>
      <c r="O73" s="612" t="str">
        <f>IFERROR(O28*'Saisie des données'!L$93,"")</f>
        <v/>
      </c>
      <c r="P73" s="580"/>
      <c r="Q73" s="580"/>
      <c r="R73" s="552"/>
      <c r="S73" s="551"/>
      <c r="U73" s="552"/>
      <c r="V73" s="551"/>
      <c r="X73" s="552"/>
      <c r="Y73" s="551"/>
    </row>
    <row r="74" spans="2:25" ht="16" hidden="1" customHeight="1" outlineLevel="1">
      <c r="B74" s="583"/>
      <c r="C74" s="583"/>
      <c r="D74" s="622">
        <f>'Saisie des données'!$E$26+2</f>
        <v>2027</v>
      </c>
      <c r="E74" s="612">
        <f>IFERROR(E29*'Saisie des données'!E$93,"")</f>
        <v>37131.5</v>
      </c>
      <c r="F74" s="612" t="str">
        <f>IFERROR(F29*'Saisie des données'!F$93,"")</f>
        <v/>
      </c>
      <c r="G74" s="612" t="str">
        <f>IFERROR(G29*'Saisie des données'!G$93,"")</f>
        <v/>
      </c>
      <c r="H74" s="647"/>
      <c r="I74" s="612">
        <f>IFERROR(I29*'Saisie des données'!H$93,"")</f>
        <v>33418.35</v>
      </c>
      <c r="J74" s="612" t="str">
        <f>IFERROR(J29*'Saisie des données'!I$93,"")</f>
        <v/>
      </c>
      <c r="K74" s="612" t="str">
        <f>IFERROR(K29*'Saisie des données'!J$93,"")</f>
        <v/>
      </c>
      <c r="L74" s="647"/>
      <c r="M74" s="612" t="str">
        <f t="shared" si="25"/>
        <v/>
      </c>
      <c r="N74" s="612" t="str">
        <f>IFERROR(N29*'Saisie des données'!K$93,"")</f>
        <v/>
      </c>
      <c r="O74" s="612" t="str">
        <f>IFERROR(O29*'Saisie des données'!L$93,"")</f>
        <v/>
      </c>
      <c r="P74" s="580"/>
      <c r="Q74" s="580"/>
      <c r="R74" s="552"/>
      <c r="S74" s="551"/>
      <c r="U74" s="552"/>
      <c r="V74" s="551"/>
      <c r="X74" s="552"/>
      <c r="Y74" s="551"/>
    </row>
    <row r="75" spans="2:25" ht="16" hidden="1" customHeight="1" outlineLevel="1">
      <c r="B75" s="583"/>
      <c r="C75" s="583"/>
      <c r="D75" s="622">
        <f>'Saisie des données'!$E$26+3</f>
        <v>2028</v>
      </c>
      <c r="E75" s="612">
        <f>IFERROR(E30*'Saisie des données'!E$93,"")</f>
        <v>43709.08</v>
      </c>
      <c r="F75" s="612" t="str">
        <f>IFERROR(F30*'Saisie des données'!F$93,"")</f>
        <v/>
      </c>
      <c r="G75" s="612" t="str">
        <f>IFERROR(G30*'Saisie des données'!G$93,"")</f>
        <v/>
      </c>
      <c r="H75" s="647"/>
      <c r="I75" s="612">
        <f>IFERROR(I30*'Saisie des données'!H$93,"")</f>
        <v>39338.172000000006</v>
      </c>
      <c r="J75" s="612" t="str">
        <f>IFERROR(J30*'Saisie des données'!I$93,"")</f>
        <v/>
      </c>
      <c r="K75" s="612" t="str">
        <f>IFERROR(K30*'Saisie des données'!J$93,"")</f>
        <v/>
      </c>
      <c r="L75" s="647"/>
      <c r="M75" s="612" t="str">
        <f t="shared" si="25"/>
        <v/>
      </c>
      <c r="N75" s="612" t="str">
        <f>IFERROR(N30*'Saisie des données'!K$93,"")</f>
        <v/>
      </c>
      <c r="O75" s="612" t="str">
        <f>IFERROR(O30*'Saisie des données'!L$93,"")</f>
        <v/>
      </c>
      <c r="P75" s="580"/>
      <c r="Q75" s="580"/>
      <c r="R75" s="552"/>
      <c r="S75" s="551"/>
      <c r="U75" s="552"/>
      <c r="V75" s="551"/>
      <c r="X75" s="552"/>
      <c r="Y75" s="551"/>
    </row>
    <row r="76" spans="2:25" ht="16" hidden="1" customHeight="1" outlineLevel="1">
      <c r="B76" s="583"/>
      <c r="C76" s="583"/>
      <c r="D76" s="622">
        <f>'Saisie des données'!$E$26+4</f>
        <v>2029</v>
      </c>
      <c r="E76" s="612">
        <f>IFERROR(E31*'Saisie des données'!E$93,"")</f>
        <v>50647.89645</v>
      </c>
      <c r="F76" s="612" t="str">
        <f>IFERROR(F31*'Saisie des données'!F$93,"")</f>
        <v/>
      </c>
      <c r="G76" s="612" t="str">
        <f>IFERROR(G31*'Saisie des données'!G$93,"")</f>
        <v/>
      </c>
      <c r="H76" s="647"/>
      <c r="I76" s="612">
        <f>IFERROR(I31*'Saisie des données'!H$93,"")</f>
        <v>45583.106804999996</v>
      </c>
      <c r="J76" s="612" t="str">
        <f>IFERROR(J31*'Saisie des données'!I$93,"")</f>
        <v/>
      </c>
      <c r="K76" s="612" t="str">
        <f>IFERROR(K31*'Saisie des données'!J$93,"")</f>
        <v/>
      </c>
      <c r="L76" s="647"/>
      <c r="M76" s="612" t="str">
        <f t="shared" si="25"/>
        <v/>
      </c>
      <c r="N76" s="612" t="str">
        <f>IFERROR(N31*'Saisie des données'!K$93,"")</f>
        <v/>
      </c>
      <c r="O76" s="612" t="str">
        <f>IFERROR(O31*'Saisie des données'!L$93,"")</f>
        <v/>
      </c>
      <c r="P76" s="580"/>
      <c r="Q76" s="580"/>
      <c r="R76" s="552"/>
      <c r="S76" s="551"/>
      <c r="U76" s="552"/>
      <c r="V76" s="551"/>
      <c r="X76" s="552"/>
      <c r="Y76" s="551"/>
    </row>
    <row r="77" spans="2:25" ht="8.25" hidden="1" customHeight="1" outlineLevel="1">
      <c r="B77" s="583"/>
      <c r="C77" s="583"/>
      <c r="D77" s="613"/>
      <c r="E77" s="614"/>
      <c r="F77" s="614"/>
      <c r="G77" s="614"/>
      <c r="H77" s="645"/>
      <c r="I77" s="614"/>
      <c r="J77" s="614"/>
      <c r="K77" s="614"/>
      <c r="L77" s="645"/>
      <c r="M77" s="614"/>
      <c r="N77" s="614"/>
      <c r="O77" s="614"/>
      <c r="P77" s="580"/>
      <c r="Q77" s="580"/>
      <c r="R77" s="552"/>
      <c r="S77" s="551"/>
      <c r="U77" s="552"/>
      <c r="V77" s="551"/>
      <c r="X77" s="552"/>
      <c r="Y77" s="551"/>
    </row>
    <row r="78" spans="2:25" ht="24" hidden="1" customHeight="1" outlineLevel="1">
      <c r="B78" s="583"/>
      <c r="C78" s="583"/>
      <c r="D78" s="1079" t="s">
        <v>255</v>
      </c>
      <c r="E78" s="1079"/>
      <c r="F78" s="1079"/>
      <c r="G78" s="1079"/>
      <c r="H78" s="1079"/>
      <c r="I78" s="1079"/>
      <c r="J78" s="1079"/>
      <c r="K78" s="1079"/>
      <c r="L78" s="1079"/>
      <c r="M78" s="1079"/>
      <c r="N78" s="1079"/>
      <c r="O78" s="1079"/>
      <c r="P78" s="580"/>
      <c r="Q78" s="580"/>
      <c r="R78" s="552"/>
      <c r="S78" s="551"/>
      <c r="U78" s="552"/>
      <c r="V78" s="551"/>
      <c r="X78" s="552"/>
      <c r="Y78" s="551"/>
    </row>
    <row r="79" spans="2:25" ht="8.25" hidden="1" customHeight="1" outlineLevel="1">
      <c r="B79" s="583"/>
      <c r="C79" s="583"/>
      <c r="D79" s="655"/>
      <c r="E79" s="655"/>
      <c r="F79" s="655"/>
      <c r="G79" s="655"/>
      <c r="H79" s="654"/>
      <c r="I79" s="654"/>
      <c r="J79" s="654"/>
      <c r="K79" s="654"/>
      <c r="L79" s="654"/>
      <c r="M79" s="655"/>
      <c r="N79" s="655"/>
      <c r="O79" s="655"/>
      <c r="P79" s="580"/>
      <c r="Q79" s="580"/>
      <c r="R79" s="552"/>
      <c r="S79" s="551"/>
      <c r="U79" s="552"/>
      <c r="V79" s="551"/>
      <c r="X79" s="552"/>
      <c r="Y79" s="551"/>
    </row>
    <row r="80" spans="2:25" ht="35.25" hidden="1" customHeight="1" outlineLevel="1">
      <c r="B80" s="583"/>
      <c r="C80" s="583"/>
      <c r="D80" s="623" t="s">
        <v>244</v>
      </c>
      <c r="E80" s="624">
        <f>SUM(E81:E85)</f>
        <v>146890.58000000002</v>
      </c>
      <c r="F80" s="624">
        <f t="shared" ref="F80:G80" si="26">SUM(F81:F85)</f>
        <v>0</v>
      </c>
      <c r="G80" s="624">
        <f t="shared" si="26"/>
        <v>0</v>
      </c>
      <c r="H80" s="649"/>
      <c r="I80" s="624">
        <f>SUM(I81:I85)</f>
        <v>132201.522</v>
      </c>
      <c r="J80" s="624">
        <f t="shared" ref="J80:K80" si="27">SUM(J81:J85)</f>
        <v>0</v>
      </c>
      <c r="K80" s="624">
        <f t="shared" si="27"/>
        <v>0</v>
      </c>
      <c r="L80" s="649"/>
      <c r="M80" s="624">
        <f>SUM(M81:M85)</f>
        <v>0</v>
      </c>
      <c r="N80" s="624">
        <f t="shared" ref="N80:O80" si="28">SUM(N81:N85)</f>
        <v>0</v>
      </c>
      <c r="O80" s="624">
        <f t="shared" si="28"/>
        <v>0</v>
      </c>
      <c r="P80" s="580"/>
      <c r="Q80" s="580"/>
      <c r="R80" s="552"/>
      <c r="S80" s="551"/>
      <c r="U80" s="552"/>
      <c r="V80" s="551"/>
      <c r="X80" s="552"/>
      <c r="Y80" s="551"/>
    </row>
    <row r="81" spans="2:25" ht="16" hidden="1" customHeight="1" outlineLevel="1">
      <c r="B81" s="583"/>
      <c r="C81" s="583"/>
      <c r="D81" s="625">
        <f>'Saisie des données'!$E$26</f>
        <v>2025</v>
      </c>
      <c r="E81" s="626"/>
      <c r="F81" s="626"/>
      <c r="G81" s="626"/>
      <c r="H81" s="648"/>
      <c r="I81" s="626"/>
      <c r="J81" s="626"/>
      <c r="K81" s="626"/>
      <c r="L81" s="648"/>
      <c r="M81" s="626"/>
      <c r="N81" s="626"/>
      <c r="O81" s="626"/>
      <c r="P81" s="580"/>
      <c r="Q81" s="580"/>
      <c r="R81" s="552"/>
      <c r="S81" s="551"/>
      <c r="U81" s="552"/>
      <c r="V81" s="551"/>
      <c r="X81" s="552"/>
      <c r="Y81" s="551"/>
    </row>
    <row r="82" spans="2:25" ht="16" hidden="1" customHeight="1" outlineLevel="1">
      <c r="B82" s="583"/>
      <c r="C82" s="583"/>
      <c r="D82" s="625">
        <f>'Saisie des données'!$E$26+1</f>
        <v>2026</v>
      </c>
      <c r="E82" s="626">
        <f>E72</f>
        <v>30000</v>
      </c>
      <c r="F82" s="626" t="str">
        <f t="shared" ref="F82:O82" si="29">F72</f>
        <v/>
      </c>
      <c r="G82" s="626" t="str">
        <f t="shared" si="29"/>
        <v/>
      </c>
      <c r="H82" s="648"/>
      <c r="I82" s="626">
        <f t="shared" si="29"/>
        <v>27000</v>
      </c>
      <c r="J82" s="626" t="str">
        <f t="shared" si="29"/>
        <v/>
      </c>
      <c r="K82" s="626" t="str">
        <f t="shared" si="29"/>
        <v/>
      </c>
      <c r="L82" s="648"/>
      <c r="M82" s="626" t="str">
        <f t="shared" si="29"/>
        <v/>
      </c>
      <c r="N82" s="626" t="str">
        <f t="shared" si="29"/>
        <v/>
      </c>
      <c r="O82" s="626" t="str">
        <f t="shared" si="29"/>
        <v/>
      </c>
      <c r="P82" s="580"/>
      <c r="Q82" s="580"/>
      <c r="R82" s="552"/>
      <c r="S82" s="551"/>
      <c r="U82" s="552"/>
      <c r="V82" s="551"/>
      <c r="X82" s="552"/>
      <c r="Y82" s="551"/>
    </row>
    <row r="83" spans="2:25" ht="16" hidden="1" customHeight="1" outlineLevel="1">
      <c r="B83" s="583"/>
      <c r="C83" s="583"/>
      <c r="D83" s="625">
        <f>'Saisie des données'!$E$26+2</f>
        <v>2027</v>
      </c>
      <c r="E83" s="626">
        <f t="shared" ref="E83:O83" si="30">E73</f>
        <v>36050</v>
      </c>
      <c r="F83" s="626" t="str">
        <f t="shared" si="30"/>
        <v/>
      </c>
      <c r="G83" s="626" t="str">
        <f t="shared" si="30"/>
        <v/>
      </c>
      <c r="H83" s="648"/>
      <c r="I83" s="626">
        <f t="shared" si="30"/>
        <v>32444.999999999996</v>
      </c>
      <c r="J83" s="626" t="str">
        <f t="shared" si="30"/>
        <v/>
      </c>
      <c r="K83" s="626" t="str">
        <f t="shared" si="30"/>
        <v/>
      </c>
      <c r="L83" s="648"/>
      <c r="M83" s="626" t="str">
        <f t="shared" si="30"/>
        <v/>
      </c>
      <c r="N83" s="626" t="str">
        <f t="shared" si="30"/>
        <v/>
      </c>
      <c r="O83" s="626" t="str">
        <f t="shared" si="30"/>
        <v/>
      </c>
      <c r="P83" s="580"/>
      <c r="Q83" s="580"/>
      <c r="R83" s="552"/>
      <c r="S83" s="551"/>
      <c r="U83" s="552"/>
      <c r="V83" s="551"/>
      <c r="X83" s="552"/>
      <c r="Y83" s="551"/>
    </row>
    <row r="84" spans="2:25" ht="16" hidden="1" customHeight="1" outlineLevel="1">
      <c r="B84" s="583"/>
      <c r="C84" s="583"/>
      <c r="D84" s="625">
        <f>'Saisie des données'!$E$26+3</f>
        <v>2028</v>
      </c>
      <c r="E84" s="626">
        <f t="shared" ref="E84:O84" si="31">E74</f>
        <v>37131.5</v>
      </c>
      <c r="F84" s="626" t="str">
        <f t="shared" si="31"/>
        <v/>
      </c>
      <c r="G84" s="626" t="str">
        <f t="shared" si="31"/>
        <v/>
      </c>
      <c r="H84" s="648"/>
      <c r="I84" s="626">
        <f t="shared" si="31"/>
        <v>33418.35</v>
      </c>
      <c r="J84" s="626" t="str">
        <f t="shared" si="31"/>
        <v/>
      </c>
      <c r="K84" s="626" t="str">
        <f t="shared" si="31"/>
        <v/>
      </c>
      <c r="L84" s="648"/>
      <c r="M84" s="626" t="str">
        <f t="shared" si="31"/>
        <v/>
      </c>
      <c r="N84" s="626" t="str">
        <f t="shared" si="31"/>
        <v/>
      </c>
      <c r="O84" s="626" t="str">
        <f t="shared" si="31"/>
        <v/>
      </c>
      <c r="P84" s="580"/>
      <c r="Q84" s="580"/>
      <c r="R84" s="552"/>
      <c r="S84" s="551"/>
      <c r="U84" s="552"/>
      <c r="V84" s="551"/>
      <c r="X84" s="552"/>
      <c r="Y84" s="551"/>
    </row>
    <row r="85" spans="2:25" ht="16" hidden="1" customHeight="1" outlineLevel="1">
      <c r="B85" s="583"/>
      <c r="C85" s="583"/>
      <c r="D85" s="625">
        <f>'Saisie des données'!$E$26+4</f>
        <v>2029</v>
      </c>
      <c r="E85" s="626">
        <f t="shared" ref="E85:O85" si="32">E75</f>
        <v>43709.08</v>
      </c>
      <c r="F85" s="626" t="str">
        <f t="shared" si="32"/>
        <v/>
      </c>
      <c r="G85" s="626" t="str">
        <f t="shared" si="32"/>
        <v/>
      </c>
      <c r="H85" s="648"/>
      <c r="I85" s="626">
        <f t="shared" si="32"/>
        <v>39338.172000000006</v>
      </c>
      <c r="J85" s="626" t="str">
        <f t="shared" si="32"/>
        <v/>
      </c>
      <c r="K85" s="626" t="str">
        <f t="shared" si="32"/>
        <v/>
      </c>
      <c r="L85" s="648"/>
      <c r="M85" s="626" t="str">
        <f t="shared" si="32"/>
        <v/>
      </c>
      <c r="N85" s="626" t="str">
        <f t="shared" si="32"/>
        <v/>
      </c>
      <c r="O85" s="626" t="str">
        <f t="shared" si="32"/>
        <v/>
      </c>
      <c r="P85" s="580"/>
      <c r="Q85" s="580"/>
      <c r="R85" s="552"/>
      <c r="S85" s="551"/>
      <c r="U85" s="552"/>
      <c r="V85" s="551"/>
      <c r="X85" s="552"/>
      <c r="Y85" s="551"/>
    </row>
    <row r="86" spans="2:25" ht="8.25" hidden="1" customHeight="1" outlineLevel="1">
      <c r="B86" s="583"/>
      <c r="C86" s="583"/>
      <c r="D86" s="618"/>
      <c r="E86" s="619"/>
      <c r="F86" s="619"/>
      <c r="G86" s="619"/>
      <c r="H86" s="648"/>
      <c r="I86" s="619"/>
      <c r="J86" s="619"/>
      <c r="K86" s="619"/>
      <c r="L86" s="648"/>
      <c r="M86" s="619"/>
      <c r="N86" s="619"/>
      <c r="O86" s="619"/>
      <c r="P86" s="580"/>
      <c r="Q86" s="580"/>
      <c r="R86" s="552"/>
      <c r="S86" s="551"/>
      <c r="U86" s="552"/>
      <c r="V86" s="551"/>
      <c r="X86" s="552"/>
      <c r="Y86" s="551"/>
    </row>
    <row r="87" spans="2:25" ht="24" hidden="1" customHeight="1" outlineLevel="1">
      <c r="B87" s="583"/>
      <c r="C87" s="583"/>
      <c r="D87" s="1080" t="s">
        <v>256</v>
      </c>
      <c r="E87" s="1080"/>
      <c r="F87" s="1080"/>
      <c r="G87" s="1080"/>
      <c r="H87" s="1080"/>
      <c r="I87" s="1080"/>
      <c r="J87" s="1080"/>
      <c r="K87" s="1080"/>
      <c r="L87" s="1080"/>
      <c r="M87" s="1080"/>
      <c r="N87" s="1080"/>
      <c r="O87" s="1080"/>
      <c r="P87" s="580"/>
      <c r="Q87" s="580"/>
      <c r="R87" s="552"/>
      <c r="S87" s="551"/>
      <c r="U87" s="552"/>
      <c r="V87" s="551"/>
      <c r="X87" s="552"/>
      <c r="Y87" s="551"/>
    </row>
    <row r="88" spans="2:25" ht="8.25" hidden="1" customHeight="1" outlineLevel="1">
      <c r="B88" s="583"/>
      <c r="C88" s="583"/>
      <c r="D88" s="620"/>
      <c r="E88" s="620"/>
      <c r="F88" s="620"/>
      <c r="G88" s="620"/>
      <c r="H88" s="650"/>
      <c r="I88" s="620"/>
      <c r="J88" s="620"/>
      <c r="K88" s="620"/>
      <c r="L88" s="650"/>
      <c r="M88" s="620"/>
      <c r="N88" s="620"/>
      <c r="O88" s="620"/>
      <c r="P88" s="580"/>
      <c r="Q88" s="580"/>
      <c r="R88" s="552"/>
      <c r="S88" s="551"/>
      <c r="U88" s="552"/>
      <c r="V88" s="551"/>
      <c r="X88" s="552"/>
      <c r="Y88" s="551"/>
    </row>
    <row r="89" spans="2:25" ht="35.25" hidden="1" customHeight="1" outlineLevel="1">
      <c r="B89" s="583"/>
      <c r="C89" s="583"/>
      <c r="D89" s="627" t="s">
        <v>244</v>
      </c>
      <c r="E89" s="628">
        <f>SUM(E90:E94)</f>
        <v>50647.89645</v>
      </c>
      <c r="F89" s="628">
        <f t="shared" ref="F89:K89" si="33">SUM(F90:F94)</f>
        <v>0</v>
      </c>
      <c r="G89" s="628">
        <f t="shared" si="33"/>
        <v>0</v>
      </c>
      <c r="H89" s="652"/>
      <c r="I89" s="628">
        <f t="shared" si="33"/>
        <v>45583.106804999996</v>
      </c>
      <c r="J89" s="628">
        <f t="shared" si="33"/>
        <v>0</v>
      </c>
      <c r="K89" s="628">
        <f t="shared" si="33"/>
        <v>0</v>
      </c>
      <c r="L89" s="652"/>
      <c r="M89" s="628">
        <f>SUM(M90:M94)</f>
        <v>0</v>
      </c>
      <c r="N89" s="628">
        <f t="shared" ref="N89:O89" si="34">SUM(N90:N94)</f>
        <v>0</v>
      </c>
      <c r="O89" s="628">
        <f t="shared" si="34"/>
        <v>0</v>
      </c>
      <c r="P89" s="580"/>
      <c r="Q89" s="580"/>
      <c r="R89" s="552"/>
      <c r="S89" s="551"/>
      <c r="U89" s="552"/>
      <c r="V89" s="551"/>
      <c r="X89" s="552"/>
      <c r="Y89" s="551"/>
    </row>
    <row r="90" spans="2:25" ht="16" hidden="1" customHeight="1" outlineLevel="1">
      <c r="B90" s="583"/>
      <c r="C90" s="583"/>
      <c r="D90" s="629">
        <f>'Saisie des données'!$E$26</f>
        <v>2025</v>
      </c>
      <c r="E90" s="630">
        <f>IFERROR(E72,"")</f>
        <v>30000</v>
      </c>
      <c r="F90" s="630" t="str">
        <f>IFERROR(F72,"")</f>
        <v/>
      </c>
      <c r="G90" s="630" t="str">
        <f t="shared" ref="G90:K90" si="35">G72</f>
        <v/>
      </c>
      <c r="H90" s="651"/>
      <c r="I90" s="630">
        <f>IFERROR(I72,"")</f>
        <v>27000</v>
      </c>
      <c r="J90" s="630" t="str">
        <f t="shared" si="35"/>
        <v/>
      </c>
      <c r="K90" s="630" t="str">
        <f t="shared" si="35"/>
        <v/>
      </c>
      <c r="L90" s="651"/>
      <c r="M90" s="630" t="str">
        <f>IFERROR(M72,"")</f>
        <v/>
      </c>
      <c r="N90" s="630" t="str">
        <f>IFERROR(N72,"")</f>
        <v/>
      </c>
      <c r="O90" s="630" t="str">
        <f>IFERROR(O72,"")</f>
        <v/>
      </c>
      <c r="P90" s="580"/>
      <c r="Q90" s="580"/>
      <c r="R90" s="552"/>
      <c r="S90" s="551"/>
      <c r="U90" s="552"/>
      <c r="V90" s="551"/>
      <c r="X90" s="552"/>
      <c r="Y90" s="551"/>
    </row>
    <row r="91" spans="2:25" ht="16" hidden="1" customHeight="1" outlineLevel="1">
      <c r="B91" s="583"/>
      <c r="C91" s="583"/>
      <c r="D91" s="629">
        <f>'Saisie des données'!$E$26+1</f>
        <v>2026</v>
      </c>
      <c r="E91" s="630">
        <f t="shared" ref="E91:G94" si="36">IFERROR(E73-E82,"")</f>
        <v>6050</v>
      </c>
      <c r="F91" s="630" t="str">
        <f t="shared" si="36"/>
        <v/>
      </c>
      <c r="G91" s="630" t="str">
        <f t="shared" si="36"/>
        <v/>
      </c>
      <c r="H91" s="651"/>
      <c r="I91" s="630">
        <f t="shared" ref="I91:K94" si="37">IFERROR(I73-I82,"")</f>
        <v>5444.9999999999964</v>
      </c>
      <c r="J91" s="630" t="str">
        <f t="shared" si="37"/>
        <v/>
      </c>
      <c r="K91" s="630" t="str">
        <f t="shared" si="37"/>
        <v/>
      </c>
      <c r="L91" s="651"/>
      <c r="M91" s="630" t="str">
        <f>IFERROR(M73-M82,"")</f>
        <v/>
      </c>
      <c r="N91" s="630" t="str">
        <f>IFERROR(N73-N82,"")</f>
        <v/>
      </c>
      <c r="O91" s="630" t="str">
        <f>IFERROR(O73-O82,"")</f>
        <v/>
      </c>
      <c r="P91" s="580"/>
      <c r="Q91" s="580"/>
      <c r="R91" s="552"/>
      <c r="S91" s="551"/>
      <c r="U91" s="552"/>
      <c r="V91" s="551"/>
      <c r="X91" s="552"/>
      <c r="Y91" s="551"/>
    </row>
    <row r="92" spans="2:25" ht="16" hidden="1" customHeight="1" outlineLevel="1">
      <c r="B92" s="583"/>
      <c r="C92" s="583"/>
      <c r="D92" s="629">
        <f>'Saisie des données'!$E$26+2</f>
        <v>2027</v>
      </c>
      <c r="E92" s="630">
        <f t="shared" si="36"/>
        <v>1081.5</v>
      </c>
      <c r="F92" s="630" t="str">
        <f t="shared" si="36"/>
        <v/>
      </c>
      <c r="G92" s="630" t="str">
        <f t="shared" si="36"/>
        <v/>
      </c>
      <c r="H92" s="651"/>
      <c r="I92" s="630">
        <f t="shared" si="37"/>
        <v>973.35000000000218</v>
      </c>
      <c r="J92" s="630" t="str">
        <f t="shared" si="37"/>
        <v/>
      </c>
      <c r="K92" s="630" t="str">
        <f t="shared" si="37"/>
        <v/>
      </c>
      <c r="L92" s="651"/>
      <c r="M92" s="630" t="str">
        <f>IFERROR(M74-M83,"")</f>
        <v/>
      </c>
      <c r="N92" s="630" t="str">
        <f t="shared" ref="N92:O94" si="38">IFERROR(N74-N83,"")</f>
        <v/>
      </c>
      <c r="O92" s="630" t="str">
        <f t="shared" si="38"/>
        <v/>
      </c>
      <c r="P92" s="580"/>
      <c r="Q92" s="580"/>
      <c r="R92" s="552"/>
      <c r="S92" s="551"/>
      <c r="U92" s="552"/>
      <c r="V92" s="551"/>
      <c r="X92" s="552"/>
      <c r="Y92" s="551"/>
    </row>
    <row r="93" spans="2:25" ht="16" hidden="1" customHeight="1" outlineLevel="1">
      <c r="B93" s="583"/>
      <c r="C93" s="583"/>
      <c r="D93" s="629">
        <f>'Saisie des données'!$E$26+3</f>
        <v>2028</v>
      </c>
      <c r="E93" s="630">
        <f t="shared" si="36"/>
        <v>6577.5800000000017</v>
      </c>
      <c r="F93" s="630" t="str">
        <f t="shared" si="36"/>
        <v/>
      </c>
      <c r="G93" s="630" t="str">
        <f t="shared" si="36"/>
        <v/>
      </c>
      <c r="H93" s="651"/>
      <c r="I93" s="630">
        <f t="shared" si="37"/>
        <v>5919.8220000000074</v>
      </c>
      <c r="J93" s="630" t="str">
        <f t="shared" si="37"/>
        <v/>
      </c>
      <c r="K93" s="630" t="str">
        <f t="shared" si="37"/>
        <v/>
      </c>
      <c r="L93" s="651"/>
      <c r="M93" s="630" t="str">
        <f>IFERROR(M75-M84,"")</f>
        <v/>
      </c>
      <c r="N93" s="630" t="str">
        <f t="shared" si="38"/>
        <v/>
      </c>
      <c r="O93" s="630" t="str">
        <f t="shared" si="38"/>
        <v/>
      </c>
      <c r="P93" s="580"/>
      <c r="Q93" s="580"/>
      <c r="R93" s="552"/>
      <c r="S93" s="551"/>
      <c r="U93" s="552"/>
      <c r="V93" s="551"/>
      <c r="X93" s="552"/>
      <c r="Y93" s="551"/>
    </row>
    <row r="94" spans="2:25" ht="16" hidden="1" customHeight="1" outlineLevel="1">
      <c r="B94" s="583"/>
      <c r="C94" s="583"/>
      <c r="D94" s="629">
        <f>'Saisie des données'!$E$26+4</f>
        <v>2029</v>
      </c>
      <c r="E94" s="630">
        <f t="shared" si="36"/>
        <v>6938.8164499999984</v>
      </c>
      <c r="F94" s="630" t="str">
        <f t="shared" si="36"/>
        <v/>
      </c>
      <c r="G94" s="630" t="str">
        <f t="shared" si="36"/>
        <v/>
      </c>
      <c r="H94" s="651"/>
      <c r="I94" s="630">
        <f t="shared" si="37"/>
        <v>6244.9348049999899</v>
      </c>
      <c r="J94" s="630" t="str">
        <f t="shared" si="37"/>
        <v/>
      </c>
      <c r="K94" s="630" t="str">
        <f t="shared" si="37"/>
        <v/>
      </c>
      <c r="L94" s="651"/>
      <c r="M94" s="630" t="str">
        <f>IFERROR(M76-M85,"")</f>
        <v/>
      </c>
      <c r="N94" s="630" t="str">
        <f t="shared" si="38"/>
        <v/>
      </c>
      <c r="O94" s="630" t="str">
        <f t="shared" si="38"/>
        <v/>
      </c>
      <c r="P94" s="580"/>
      <c r="Q94" s="580"/>
      <c r="R94" s="552"/>
      <c r="S94" s="551"/>
      <c r="U94" s="552"/>
      <c r="V94" s="551"/>
      <c r="X94" s="552"/>
      <c r="Y94" s="551"/>
    </row>
    <row r="95" spans="2:25" ht="8.25" hidden="1" customHeight="1" outlineLevel="1">
      <c r="B95" s="583"/>
      <c r="C95" s="583"/>
      <c r="D95" s="615"/>
      <c r="E95" s="616"/>
      <c r="F95" s="616"/>
      <c r="G95" s="616"/>
      <c r="H95" s="651"/>
      <c r="I95" s="616"/>
      <c r="J95" s="616"/>
      <c r="K95" s="616"/>
      <c r="L95" s="651"/>
      <c r="M95" s="616"/>
      <c r="N95" s="616"/>
      <c r="O95" s="616"/>
      <c r="P95" s="580"/>
      <c r="Q95" s="580"/>
      <c r="R95" s="552"/>
      <c r="S95" s="551"/>
      <c r="U95" s="552"/>
      <c r="V95" s="551"/>
      <c r="X95" s="552"/>
      <c r="Y95" s="551"/>
    </row>
    <row r="96" spans="2:25" s="576" customFormat="1" ht="45" customHeight="1" collapsed="1">
      <c r="B96" s="583"/>
      <c r="C96" s="583"/>
      <c r="D96" s="1077" t="s">
        <v>257</v>
      </c>
      <c r="E96" s="1077"/>
      <c r="F96" s="1077"/>
      <c r="G96" s="1077"/>
      <c r="H96" s="1077"/>
      <c r="I96" s="1077"/>
      <c r="J96" s="1077"/>
      <c r="K96" s="1077"/>
      <c r="L96" s="1077"/>
      <c r="M96" s="1077"/>
      <c r="N96" s="1077"/>
      <c r="O96" s="1077"/>
      <c r="P96" s="579"/>
      <c r="Q96" s="579"/>
      <c r="R96" s="550"/>
      <c r="S96" s="550"/>
      <c r="U96" s="1081"/>
      <c r="V96" s="1082"/>
      <c r="X96" s="1081"/>
      <c r="Y96" s="1082"/>
    </row>
    <row r="97" spans="2:25" s="576" customFormat="1" ht="8.25" customHeight="1">
      <c r="B97" s="583"/>
      <c r="C97" s="583"/>
      <c r="D97" s="617"/>
      <c r="E97" s="617"/>
      <c r="F97" s="617"/>
      <c r="G97" s="617"/>
      <c r="H97" s="637"/>
      <c r="I97" s="617"/>
      <c r="J97" s="617"/>
      <c r="K97" s="617"/>
      <c r="L97" s="637"/>
      <c r="M97" s="617"/>
      <c r="N97" s="617"/>
      <c r="O97" s="617"/>
      <c r="P97" s="579"/>
      <c r="Q97" s="579"/>
      <c r="R97" s="550"/>
      <c r="S97" s="550"/>
      <c r="U97" s="731"/>
      <c r="V97" s="732"/>
      <c r="X97" s="731"/>
      <c r="Y97" s="732"/>
    </row>
    <row r="98" spans="2:25">
      <c r="B98" s="583"/>
      <c r="C98" s="583"/>
      <c r="D98" s="555">
        <f>'Saisie des données'!$E$26</f>
        <v>2025</v>
      </c>
      <c r="E98" s="565">
        <f>IF(E$9="Aucun","",E63*'Saisie des données'!E$89)</f>
        <v>989800</v>
      </c>
      <c r="F98" s="565" t="str">
        <f>IFERROR(F63*'Saisie des données'!F$89,"")</f>
        <v/>
      </c>
      <c r="G98" s="565" t="str">
        <f>IFERROR(G63*'Saisie des données'!G$89,"")</f>
        <v/>
      </c>
      <c r="H98" s="606"/>
      <c r="I98" s="565">
        <f>IFERROR(I63*'Saisie des données'!H$89,"")</f>
        <v>2516640</v>
      </c>
      <c r="J98" s="565" t="str">
        <f>IFERROR(J63*'Saisie des données'!I$89,"")</f>
        <v/>
      </c>
      <c r="K98" s="565" t="str">
        <f>IFERROR(K63*'Saisie des données'!J$89,"")</f>
        <v/>
      </c>
      <c r="L98" s="606"/>
      <c r="M98" s="565" t="str">
        <f>IFERROR(O98+N98,"")</f>
        <v/>
      </c>
      <c r="N98" s="565" t="str">
        <f>IFERROR(N63*'Saisie des données'!K$89,"")</f>
        <v/>
      </c>
      <c r="O98" s="565" t="str">
        <f>IFERROR(O63*'Saisie des données'!L$89,"")</f>
        <v/>
      </c>
      <c r="P98" s="580"/>
      <c r="Q98" s="580"/>
      <c r="R98" s="566"/>
      <c r="S98" s="551"/>
      <c r="U98" s="552"/>
      <c r="V98" s="551"/>
      <c r="X98" s="552"/>
      <c r="Y98" s="551"/>
    </row>
    <row r="99" spans="2:25">
      <c r="B99" s="583"/>
      <c r="C99" s="583"/>
      <c r="D99" s="555">
        <f>'Saisie des données'!$E$26+1</f>
        <v>2026</v>
      </c>
      <c r="E99" s="565">
        <f>IF(E$9="Aucun","",E64*'Saisie des données'!E$89)</f>
        <v>1007609.6666666666</v>
      </c>
      <c r="F99" s="565" t="str">
        <f>IFERROR(F64*'Saisie des données'!F$89,"")</f>
        <v/>
      </c>
      <c r="G99" s="565" t="str">
        <f>IFERROR(G64*'Saisie des données'!G$89,"")</f>
        <v/>
      </c>
      <c r="H99" s="606"/>
      <c r="I99" s="565">
        <f>IFERROR(I64*'Saisie des données'!H$89,"")</f>
        <v>2561922.4000000004</v>
      </c>
      <c r="J99" s="565" t="str">
        <f>IFERROR(J64*'Saisie des données'!I$89,"")</f>
        <v/>
      </c>
      <c r="K99" s="565" t="str">
        <f>IFERROR(K64*'Saisie des données'!J$89,"")</f>
        <v/>
      </c>
      <c r="L99" s="606"/>
      <c r="M99" s="565" t="str">
        <f t="shared" ref="M99:M102" si="39">IFERROR(O99+N99,"")</f>
        <v/>
      </c>
      <c r="N99" s="565" t="str">
        <f>IFERROR(N64*'Saisie des données'!K$89,"")</f>
        <v/>
      </c>
      <c r="O99" s="565" t="str">
        <f>IFERROR(O64*'Saisie des données'!L$89,"")</f>
        <v/>
      </c>
      <c r="P99" s="580"/>
      <c r="Q99" s="580"/>
      <c r="R99" s="552"/>
      <c r="S99" s="551"/>
      <c r="U99" s="552"/>
      <c r="V99" s="551"/>
      <c r="X99" s="552"/>
      <c r="Y99" s="551"/>
    </row>
    <row r="100" spans="2:25">
      <c r="B100" s="583"/>
      <c r="C100" s="583"/>
      <c r="D100" s="555">
        <f>'Saisie des données'!$E$26+2</f>
        <v>2027</v>
      </c>
      <c r="E100" s="565">
        <f>IF(E$9="Aucun","",E65*'Saisie des données'!E$89)</f>
        <v>1006628.9566666667</v>
      </c>
      <c r="F100" s="565" t="str">
        <f>IFERROR(F65*'Saisie des données'!F$89,"")</f>
        <v/>
      </c>
      <c r="G100" s="565" t="str">
        <f>IFERROR(G65*'Saisie des données'!G$89,"")</f>
        <v/>
      </c>
      <c r="H100" s="606"/>
      <c r="I100" s="565">
        <f>IFERROR(I65*'Saisie des données'!H$89,"")</f>
        <v>2559428.8720000004</v>
      </c>
      <c r="J100" s="565" t="str">
        <f>IFERROR(J65*'Saisie des données'!I$89,"")</f>
        <v/>
      </c>
      <c r="K100" s="565" t="str">
        <f>IFERROR(K65*'Saisie des données'!J$89,"")</f>
        <v/>
      </c>
      <c r="L100" s="606"/>
      <c r="M100" s="565" t="str">
        <f t="shared" si="39"/>
        <v/>
      </c>
      <c r="N100" s="565" t="str">
        <f>IFERROR(N65*'Saisie des données'!K$89,"")</f>
        <v/>
      </c>
      <c r="O100" s="565" t="str">
        <f>IFERROR(O65*'Saisie des données'!L$89,"")</f>
        <v/>
      </c>
      <c r="P100" s="580"/>
      <c r="Q100" s="580"/>
      <c r="R100" s="552"/>
      <c r="S100" s="551"/>
      <c r="U100" s="552"/>
      <c r="V100" s="551"/>
      <c r="X100" s="552"/>
      <c r="Y100" s="551"/>
    </row>
    <row r="101" spans="2:25">
      <c r="B101" s="583"/>
      <c r="C101" s="583"/>
      <c r="D101" s="555">
        <f>'Saisie des données'!$E$26+3</f>
        <v>2028</v>
      </c>
      <c r="E101" s="565">
        <f>IF(E$9="Aucun","",E66*'Saisie des données'!E$89)</f>
        <v>1217091.3561333334</v>
      </c>
      <c r="F101" s="565" t="str">
        <f>IFERROR(F66*'Saisie des données'!F$89,"")</f>
        <v/>
      </c>
      <c r="G101" s="565" t="str">
        <f>IFERROR(G66*'Saisie des données'!G$89,"")</f>
        <v/>
      </c>
      <c r="H101" s="606"/>
      <c r="I101" s="565">
        <f>IFERROR(I66*'Saisie des données'!H$89,"")</f>
        <v>3094545.1510400008</v>
      </c>
      <c r="J101" s="565" t="str">
        <f>IFERROR(J66*'Saisie des données'!I$89,"")</f>
        <v/>
      </c>
      <c r="K101" s="565" t="str">
        <f>IFERROR(K66*'Saisie des données'!J$89,"")</f>
        <v/>
      </c>
      <c r="L101" s="606"/>
      <c r="M101" s="565" t="str">
        <f t="shared" si="39"/>
        <v/>
      </c>
      <c r="N101" s="565" t="str">
        <f>IFERROR(N66*'Saisie des données'!K$89,"")</f>
        <v/>
      </c>
      <c r="O101" s="565" t="str">
        <f>IFERROR(O66*'Saisie des données'!L$89,"")</f>
        <v/>
      </c>
      <c r="P101" s="580"/>
      <c r="Q101" s="580"/>
      <c r="R101" s="552"/>
      <c r="S101" s="551"/>
      <c r="U101" s="552"/>
      <c r="V101" s="551"/>
      <c r="X101" s="552"/>
      <c r="Y101" s="551"/>
    </row>
    <row r="102" spans="2:25">
      <c r="B102" s="583"/>
      <c r="C102" s="583"/>
      <c r="D102" s="555">
        <f>'Saisie des données'!$E$26+4</f>
        <v>2029</v>
      </c>
      <c r="E102" s="565">
        <f>IF(E$9="Aucun","",E67*'Saisie des données'!E$89)</f>
        <v>1406165.9054070001</v>
      </c>
      <c r="F102" s="565" t="str">
        <f>IFERROR(F67*'Saisie des données'!F$89,"")</f>
        <v/>
      </c>
      <c r="G102" s="565" t="str">
        <f>IFERROR(G67*'Saisie des données'!G$89,"")</f>
        <v/>
      </c>
      <c r="H102" s="606"/>
      <c r="I102" s="565">
        <f>IFERROR(I67*'Saisie des données'!H$89,"")</f>
        <v>3575281.2327576</v>
      </c>
      <c r="J102" s="565" t="str">
        <f>IFERROR(J67*'Saisie des données'!I$89,"")</f>
        <v/>
      </c>
      <c r="K102" s="565" t="str">
        <f>IFERROR(K67*'Saisie des données'!J$89,"")</f>
        <v/>
      </c>
      <c r="L102" s="606"/>
      <c r="M102" s="565" t="str">
        <f t="shared" si="39"/>
        <v/>
      </c>
      <c r="N102" s="565" t="str">
        <f>IFERROR(N67*'Saisie des données'!K$89,"")</f>
        <v/>
      </c>
      <c r="O102" s="565" t="str">
        <f>IFERROR(O67*'Saisie des données'!L$89,"")</f>
        <v/>
      </c>
      <c r="P102" s="580"/>
      <c r="Q102" s="580"/>
      <c r="R102" s="552"/>
      <c r="S102" s="551"/>
      <c r="U102" s="552"/>
      <c r="V102" s="551"/>
      <c r="X102" s="552"/>
      <c r="Y102" s="551"/>
    </row>
    <row r="103" spans="2:25" ht="12" customHeight="1">
      <c r="B103" s="583"/>
      <c r="C103" s="583"/>
      <c r="D103" s="631"/>
      <c r="E103" s="632"/>
      <c r="F103" s="632"/>
      <c r="G103" s="632"/>
      <c r="H103" s="606"/>
      <c r="I103" s="632"/>
      <c r="J103" s="632"/>
      <c r="K103" s="632"/>
      <c r="L103" s="606"/>
      <c r="M103" s="632"/>
      <c r="N103" s="632"/>
      <c r="O103" s="632"/>
      <c r="P103" s="580"/>
      <c r="Q103" s="580"/>
      <c r="R103" s="552"/>
      <c r="S103" s="551"/>
      <c r="U103" s="552"/>
      <c r="V103" s="551"/>
      <c r="X103" s="552"/>
      <c r="Y103" s="551"/>
    </row>
    <row r="104" spans="2:25" ht="55" customHeight="1">
      <c r="B104" s="583"/>
      <c r="C104" s="583"/>
      <c r="D104" s="1073" t="s">
        <v>258</v>
      </c>
      <c r="E104" s="1073"/>
      <c r="F104" s="1073"/>
      <c r="G104" s="1073"/>
      <c r="H104" s="1073"/>
      <c r="I104" s="1073"/>
      <c r="J104" s="1073"/>
      <c r="K104" s="1073"/>
      <c r="L104" s="1073"/>
      <c r="M104" s="1073"/>
      <c r="N104" s="1073"/>
      <c r="O104" s="1073"/>
      <c r="P104" s="580"/>
      <c r="Q104" s="580"/>
      <c r="R104" s="1082"/>
      <c r="S104" s="1082"/>
      <c r="U104" s="1082"/>
      <c r="V104" s="1082"/>
      <c r="X104" s="1082"/>
      <c r="Y104" s="1082"/>
    </row>
    <row r="105" spans="2:25" ht="8.25" customHeight="1">
      <c r="B105" s="583"/>
      <c r="C105" s="583"/>
      <c r="D105" s="596"/>
      <c r="E105" s="596"/>
      <c r="F105" s="596"/>
      <c r="G105" s="596"/>
      <c r="H105" s="596"/>
      <c r="I105" s="596"/>
      <c r="J105" s="596"/>
      <c r="K105" s="596"/>
      <c r="L105" s="596"/>
      <c r="M105" s="596"/>
      <c r="N105" s="596"/>
      <c r="O105" s="596"/>
      <c r="P105" s="580"/>
      <c r="Q105" s="580"/>
      <c r="R105" s="732"/>
      <c r="S105" s="732"/>
      <c r="U105" s="732"/>
      <c r="V105" s="732"/>
      <c r="X105" s="732"/>
      <c r="Y105" s="732"/>
    </row>
    <row r="106" spans="2:25" s="576" customFormat="1" ht="45" customHeight="1">
      <c r="B106" s="583"/>
      <c r="C106" s="583"/>
      <c r="D106" s="1077" t="s">
        <v>259</v>
      </c>
      <c r="E106" s="1077"/>
      <c r="F106" s="1077"/>
      <c r="G106" s="1077"/>
      <c r="H106" s="1077"/>
      <c r="I106" s="1077"/>
      <c r="J106" s="1077"/>
      <c r="K106" s="1077"/>
      <c r="L106" s="1077"/>
      <c r="M106" s="1077"/>
      <c r="N106" s="1077"/>
      <c r="O106" s="1077"/>
      <c r="P106" s="579"/>
      <c r="Q106" s="579"/>
      <c r="R106" s="1081"/>
      <c r="S106" s="1082"/>
      <c r="U106" s="1081"/>
      <c r="V106" s="1082"/>
      <c r="X106" s="1081"/>
      <c r="Y106" s="1082"/>
    </row>
    <row r="107" spans="2:25" s="576" customFormat="1" ht="8.25" customHeight="1">
      <c r="B107" s="583"/>
      <c r="C107" s="583"/>
      <c r="D107" s="617"/>
      <c r="E107" s="617"/>
      <c r="F107" s="617"/>
      <c r="G107" s="617"/>
      <c r="H107" s="637"/>
      <c r="I107" s="617"/>
      <c r="J107" s="617"/>
      <c r="K107" s="617"/>
      <c r="L107" s="637"/>
      <c r="M107" s="617"/>
      <c r="N107" s="617"/>
      <c r="O107" s="617"/>
      <c r="P107" s="579"/>
      <c r="Q107" s="579"/>
      <c r="R107" s="731"/>
      <c r="S107" s="732"/>
      <c r="U107" s="731"/>
      <c r="V107" s="732"/>
      <c r="X107" s="731"/>
      <c r="Y107" s="732"/>
    </row>
    <row r="108" spans="2:25" ht="35.25" customHeight="1">
      <c r="B108" s="583"/>
      <c r="C108" s="583"/>
      <c r="D108" s="607" t="s">
        <v>244</v>
      </c>
      <c r="E108" s="693">
        <f>IF(E109="","N/A",SUM(E109:E113))</f>
        <v>210613.66974788893</v>
      </c>
      <c r="F108" s="693" t="str">
        <f>IF(F109="","N/A",SUM(F109:F113))</f>
        <v>N/A</v>
      </c>
      <c r="G108" s="693" t="str">
        <f>IF(G109="","N/A",SUM(G109:G113))</f>
        <v>N/A</v>
      </c>
      <c r="H108" s="694"/>
      <c r="I108" s="693">
        <f>IF(I109="","N/A",SUM(I109:I113))</f>
        <v>189552.54277310005</v>
      </c>
      <c r="J108" s="693" t="str">
        <f>IF(J109="","N/A",SUM(J109:J113))</f>
        <v>N/A</v>
      </c>
      <c r="K108" s="693" t="str">
        <f>IF(K109="","N/A",SUM(K109:K113))</f>
        <v>N/A</v>
      </c>
      <c r="L108" s="694"/>
      <c r="M108" s="693" t="str">
        <f>IF(M109="","N/A",SUM(M109:M113))</f>
        <v>N/A</v>
      </c>
      <c r="N108" s="554" t="str">
        <f>IF(N109="","N/A",SUM(N109:N113))</f>
        <v>N/A</v>
      </c>
      <c r="O108" s="554" t="str">
        <f>IF(O109="","N/A",SUM(O109:O113))</f>
        <v>N/A</v>
      </c>
      <c r="P108" s="580"/>
      <c r="Q108" s="580"/>
      <c r="R108" s="567"/>
      <c r="S108" s="567"/>
      <c r="U108" s="552"/>
      <c r="V108" s="567"/>
      <c r="X108" s="552"/>
      <c r="Y108" s="567"/>
    </row>
    <row r="109" spans="2:25">
      <c r="B109" s="583"/>
      <c r="C109" s="583"/>
      <c r="D109" s="555">
        <f>'Saisie des données'!$E$26</f>
        <v>2025</v>
      </c>
      <c r="E109" s="695">
        <f>IFERROR(
E63*('Saisie des données'!$E83+'Saisie des données'!$E83*'Saisie des données'!$E$94+'Saisie des données'!$E83*'Saisie des données'!$E$95)
+(ROUNDUP(E27/'Saisie des données'!$E$97,0)*'Saisie des données'!$E$96),"")</f>
        <v>36893.333333333343</v>
      </c>
      <c r="F109" s="695" t="str">
        <f>IFERROR(
F63*('Saisie des données'!$F83+'Saisie des données'!$F83*'Saisie des données'!$F$94+'Saisie des données'!$F83*'Saisie des données'!$F$95)
+(ROUNDUP(F27/'Saisie des données'!$F$97,0)*'Saisie des données'!$F$96),"")</f>
        <v/>
      </c>
      <c r="G109" s="695" t="str">
        <f>IFERROR(
G63*('Saisie des données'!$G83+'Saisie des données'!$G83*'Saisie des données'!$G$94+'Saisie des données'!$G83*'Saisie des données'!$G$95)
+(ROUNDUP(G27/'Saisie des données'!$G$97,0)*'Saisie des données'!$G$96),"")</f>
        <v/>
      </c>
      <c r="H109" s="696"/>
      <c r="I109" s="695">
        <f>IFERROR(
I63*('Saisie des données'!$H83+'Saisie des données'!$H83*'Saisie des données'!$H$94+'Saisie des données'!$H83*'Saisie des données'!$H$95)
+(ROUNDUP(I27/'Saisie des données'!$H$97,0)*'Saisie des données'!$H$96),"")</f>
        <v>33204</v>
      </c>
      <c r="J109" s="695" t="str">
        <f>IFERROR(
J63*('Saisie des données'!$I83+'Saisie des données'!$I83*'Saisie des données'!$I$94+'Saisie des données'!$I83*'Saisie des données'!$I$95)
+(ROUNDUP(J27/'Saisie des données'!$I$97,0)*'Saisie des données'!$I$96),"")</f>
        <v/>
      </c>
      <c r="K109" s="695" t="str">
        <f>IFERROR(
K63*('Saisie des données'!$J83+'Saisie des données'!$J83*'Saisie des données'!$J$94+'Saisie des données'!$J83*'Saisie des données'!$J$95)
+(ROUNDUP(K27/'Saisie des données'!$J$97,0)*'Saisie des données'!$J$96),"")</f>
        <v/>
      </c>
      <c r="L109" s="696"/>
      <c r="M109" s="695" t="str">
        <f>IFERROR(N109+O109,"")</f>
        <v/>
      </c>
      <c r="N109" s="571" t="str">
        <f>IFERROR(
N63*('Saisie des données'!$K83+'Saisie des données'!$K83*'Saisie des données'!$K$94+'Saisie des données'!$K83*'Saisie des données'!$K$95)
+(ROUNDUP(N27/'Saisie des données'!$L$97,0)*'Saisie des données'!$K$96),"")</f>
        <v/>
      </c>
      <c r="O109" s="571" t="str">
        <f>IFERROR(
O63*('Saisie des données'!$L83+'Saisie des données'!$L83*'Saisie des données'!$L$94+'Saisie des données'!$L83*'Saisie des données'!$L$95)
+(ROUNDUP(O27/'Saisie des données'!$L$97,0)*'Saisie des données'!$L$96),"")</f>
        <v/>
      </c>
      <c r="P109" s="580"/>
      <c r="Q109" s="580"/>
      <c r="R109" s="568"/>
      <c r="S109" s="575"/>
      <c r="U109" s="552"/>
      <c r="V109" s="569"/>
      <c r="X109" s="552"/>
      <c r="Y109" s="569"/>
    </row>
    <row r="110" spans="2:25">
      <c r="B110" s="583"/>
      <c r="C110" s="583"/>
      <c r="D110" s="555">
        <f>'Saisie des données'!$E$26+1</f>
        <v>2026</v>
      </c>
      <c r="E110" s="695">
        <f>IFERROR(
E64*('Saisie des données'!$E84+'Saisie des données'!$E84*'Saisie des données'!$E$94+'Saisie des données'!$E84*'Saisie des données'!$E$95)
+(ROUNDUP(E28/'Saisie des données'!$E$97,0)*'Saisie des données'!$E$96),"")</f>
        <v>37733.488888888889</v>
      </c>
      <c r="F110" s="695" t="str">
        <f>IFERROR(
F64*('Saisie des données'!$F84+'Saisie des données'!$F84*'Saisie des données'!$F$94+'Saisie des données'!$F84*'Saisie des données'!$F$95)
+(ROUNDUP(F28/'Saisie des données'!$F$97,0)*'Saisie des données'!$F$96),"")</f>
        <v/>
      </c>
      <c r="G110" s="695" t="str">
        <f>IFERROR(
G64*('Saisie des données'!$G84+'Saisie des données'!$G84*'Saisie des données'!$G$94+'Saisie des données'!$G84*'Saisie des données'!$G$95)
+(ROUNDUP(G28/'Saisie des données'!$G$97,0)*'Saisie des données'!$G$96),"")</f>
        <v/>
      </c>
      <c r="H110" s="696"/>
      <c r="I110" s="695">
        <f>IFERROR(
I64*('Saisie des données'!$H84+'Saisie des données'!$H84*'Saisie des données'!$H$94+'Saisie des données'!$H84*'Saisie des données'!$H$95)
+(ROUNDUP(I28/'Saisie des données'!$H$97,0)*'Saisie des données'!$H$96),"")</f>
        <v>33960.300000000003</v>
      </c>
      <c r="J110" s="695" t="str">
        <f>IFERROR(
J64*('Saisie des données'!$I84+'Saisie des données'!$I84*'Saisie des données'!$I$94+'Saisie des données'!$I84*'Saisie des données'!$I$95)
+(ROUNDUP(J28/'Saisie des données'!$I$97,0)*'Saisie des données'!$I$96),"")</f>
        <v/>
      </c>
      <c r="K110" s="695" t="str">
        <f>IFERROR(
K64*('Saisie des données'!$J84+'Saisie des données'!$J84*'Saisie des données'!$J$94+'Saisie des données'!$J84*'Saisie des données'!$J$95)
+(ROUNDUP(K28/'Saisie des données'!$J$97,0)*'Saisie des données'!$J$96),"")</f>
        <v/>
      </c>
      <c r="L110" s="696"/>
      <c r="M110" s="695" t="str">
        <f t="shared" ref="M110:M113" si="40">IFERROR(N110+O110,"")</f>
        <v/>
      </c>
      <c r="N110" s="571" t="str">
        <f>IFERROR(N64*('Saisie des données'!$K84+'Saisie des données'!$K84*'Saisie des données'!$K$94+'Saisie des données'!$K84*'Saisie des données'!$K$95)+((ROUNDUP(N28/'Saisie des données'!$K$97,0)*'Saisie des données'!$K$96)),"")</f>
        <v/>
      </c>
      <c r="O110" s="571" t="str">
        <f>IFERROR(
O64*('Saisie des données'!$L84+'Saisie des données'!$L84*'Saisie des données'!$L$94+'Saisie des données'!$L84*'Saisie des données'!$L$95)
+(ROUNDUP(O28/'Saisie des données'!$L$97,0)*'Saisie des données'!$L$96),"")</f>
        <v/>
      </c>
      <c r="P110" s="580"/>
      <c r="Q110" s="580"/>
      <c r="R110" s="552"/>
      <c r="S110" s="569"/>
      <c r="U110" s="552"/>
      <c r="V110" s="569"/>
      <c r="X110" s="552"/>
      <c r="Y110" s="569"/>
    </row>
    <row r="111" spans="2:25">
      <c r="B111" s="583"/>
      <c r="C111" s="583"/>
      <c r="D111" s="555">
        <f>'Saisie des données'!$E$26+2</f>
        <v>2027</v>
      </c>
      <c r="E111" s="695">
        <f>IFERROR(
E65*('Saisie des données'!$E85+'Saisie des données'!$E85*'Saisie des données'!$E$94+'Saisie des données'!$E85*'Saisie des données'!$E$95)
+(ROUNDUP(E29/'Saisie des données'!$E$97,0)*'Saisie des données'!$E$96),"")</f>
        <v>37733.085555555568</v>
      </c>
      <c r="F111" s="695" t="str">
        <f>IFERROR(
F65*('Saisie des données'!$F85+'Saisie des données'!$F85*'Saisie des données'!$F$94+'Saisie des données'!$F85*'Saisie des données'!$F$95)
+(ROUNDUP(F29/'Saisie des données'!$F$97,0)*'Saisie des données'!$F$96),"")</f>
        <v/>
      </c>
      <c r="G111" s="695" t="str">
        <f>IFERROR(
G65*('Saisie des données'!$G85+'Saisie des données'!$G85*'Saisie des données'!$G$94+'Saisie des données'!$G85*'Saisie des données'!$G$95)
+(ROUNDUP(G29/'Saisie des données'!$G$97,0)*'Saisie des données'!$G$96),"")</f>
        <v/>
      </c>
      <c r="H111" s="696"/>
      <c r="I111" s="695">
        <f>IFERROR(
I65*('Saisie des données'!$H85+'Saisie des données'!$H85*'Saisie des données'!$H$94+'Saisie des données'!$H85*'Saisie des données'!$H$95)
+(ROUNDUP(I29/'Saisie des données'!$H$97,0)*'Saisie des données'!$H$96),"")</f>
        <v>33959.457000000002</v>
      </c>
      <c r="J111" s="695" t="str">
        <f>IFERROR(
J65*('Saisie des données'!$I85+'Saisie des données'!$I85*'Saisie des données'!$I$94+'Saisie des données'!$I85*'Saisie des données'!$I$95)
+(ROUNDUP(J29/'Saisie des données'!$I$97,0)*'Saisie des données'!$I$96),"")</f>
        <v/>
      </c>
      <c r="K111" s="695" t="str">
        <f>IFERROR(
K65*('Saisie des données'!$J85+'Saisie des données'!$J85*'Saisie des données'!$J$94+'Saisie des données'!$J85*'Saisie des données'!$J$95)
+(ROUNDUP(K29/'Saisie des données'!$J$97,0)*'Saisie des données'!$J$96),"")</f>
        <v/>
      </c>
      <c r="L111" s="696"/>
      <c r="M111" s="695" t="str">
        <f t="shared" si="40"/>
        <v/>
      </c>
      <c r="N111" s="571" t="str">
        <f>IFERROR(N65*('Saisie des données'!$K85+'Saisie des données'!$K85*'Saisie des données'!$K$94+'Saisie des données'!$K85*'Saisie des données'!$K$95)+((ROUNDUP(N29/'Saisie des données'!$K$97,0)*'Saisie des données'!$K$96)),"")</f>
        <v/>
      </c>
      <c r="O111" s="571" t="str">
        <f>IFERROR(
O65*('Saisie des données'!$L85+'Saisie des données'!$L85*'Saisie des données'!$L$94+'Saisie des données'!$L85*'Saisie des données'!$L$95)
+(ROUNDUP(O29/'Saisie des données'!$L$97,0)*'Saisie des données'!$L$96),"")</f>
        <v/>
      </c>
      <c r="P111" s="580"/>
      <c r="Q111" s="580"/>
      <c r="R111" s="552"/>
      <c r="S111" s="569"/>
      <c r="U111" s="552"/>
      <c r="V111" s="569"/>
      <c r="X111" s="552"/>
      <c r="Y111" s="569"/>
    </row>
    <row r="112" spans="2:25">
      <c r="B112" s="583"/>
      <c r="C112" s="583"/>
      <c r="D112" s="555">
        <f>'Saisie des données'!$E$26+3</f>
        <v>2028</v>
      </c>
      <c r="E112" s="695">
        <f>IFERROR(
E66*('Saisie des données'!$E86+'Saisie des données'!$E86*'Saisie des données'!$E$94+'Saisie des données'!$E86*'Saisie des données'!$E$95)
+(ROUNDUP(E30/'Saisie des données'!$E$97,0)*'Saisie des données'!$E$96),"")</f>
        <v>45584.034711111119</v>
      </c>
      <c r="F112" s="695" t="str">
        <f>IFERROR(
F66*('Saisie des données'!$F86+'Saisie des données'!$F86*'Saisie des données'!$F$94+'Saisie des données'!$F86*'Saisie des données'!$F$95)
+(ROUNDUP(F30/'Saisie des données'!$F$97,0)*'Saisie des données'!$F$96),"")</f>
        <v/>
      </c>
      <c r="G112" s="695" t="str">
        <f>IFERROR(
G66*('Saisie des données'!$G86+'Saisie des données'!$G86*'Saisie des données'!$G$94+'Saisie des données'!$G86*'Saisie des données'!$G$95)
+(ROUNDUP(G30/'Saisie des données'!$G$97,0)*'Saisie des données'!$G$96),"")</f>
        <v/>
      </c>
      <c r="H112" s="696"/>
      <c r="I112" s="695">
        <f>IFERROR(
I66*('Saisie des données'!$H86+'Saisie des données'!$H86*'Saisie des données'!$H$94+'Saisie des données'!$H86*'Saisie des données'!$H$95)
+(ROUNDUP(I30/'Saisie des données'!$H$97,0)*'Saisie des données'!$H$96),"")</f>
        <v>41025.551240000015</v>
      </c>
      <c r="J112" s="695" t="str">
        <f>IFERROR(
J66*('Saisie des données'!$I86+'Saisie des données'!$I86*'Saisie des données'!$I$94+'Saisie des données'!$I86*'Saisie des données'!$I$95)
+(ROUNDUP(J30/'Saisie des données'!$I$97,0)*'Saisie des données'!$I$96),"")</f>
        <v/>
      </c>
      <c r="K112" s="695" t="str">
        <f>IFERROR(
K66*('Saisie des données'!$J86+'Saisie des données'!$J86*'Saisie des données'!$J$94+'Saisie des données'!$J86*'Saisie des données'!$J$95)
+(ROUNDUP(K30/'Saisie des données'!$J$97,0)*'Saisie des données'!$J$96),"")</f>
        <v/>
      </c>
      <c r="L112" s="696"/>
      <c r="M112" s="695" t="str">
        <f t="shared" si="40"/>
        <v/>
      </c>
      <c r="N112" s="571" t="str">
        <f>IFERROR(N66*('Saisie des données'!$K86+'Saisie des données'!$K86*'Saisie des données'!$K$94+'Saisie des données'!$K86*'Saisie des données'!$K$95)+((ROUNDUP(N30/'Saisie des données'!$K$97,0)*'Saisie des données'!$K$96)),"")</f>
        <v/>
      </c>
      <c r="O112" s="571" t="str">
        <f>IFERROR(
O66*('Saisie des données'!$L86+'Saisie des données'!$L86*'Saisie des données'!$L$94+'Saisie des données'!$L86*'Saisie des données'!$L$95)
+(ROUNDUP(O30/'Saisie des données'!$L$97,0)*'Saisie des données'!$L$96),"")</f>
        <v/>
      </c>
      <c r="P112" s="580"/>
      <c r="Q112" s="580"/>
      <c r="R112" s="552"/>
      <c r="S112" s="569"/>
      <c r="U112" s="552"/>
      <c r="V112" s="569"/>
      <c r="X112" s="552"/>
      <c r="Y112" s="569"/>
    </row>
    <row r="113" spans="2:28" s="576" customFormat="1" ht="16" customHeight="1">
      <c r="B113" s="583"/>
      <c r="C113" s="583"/>
      <c r="D113" s="570">
        <f>'Saisie des données'!$E$26+4</f>
        <v>2029</v>
      </c>
      <c r="E113" s="695">
        <f>IFERROR(
E67*('Saisie des données'!$E87+'Saisie des données'!$E87*'Saisie des données'!$E$94+'Saisie des données'!$E87*'Saisie des données'!$E$95)
+(ROUNDUP(E31/'Saisie des données'!$E$97,0)*'Saisie des données'!$E$96),"")</f>
        <v>52669.727259000014</v>
      </c>
      <c r="F113" s="695" t="str">
        <f>IFERROR(
F67*('Saisie des données'!$F87+'Saisie des données'!$F87*'Saisie des données'!$F$94+'Saisie des données'!$F87*'Saisie des données'!$F$95)
+(ROUNDUP(F31/'Saisie des données'!$F$97,0)*'Saisie des données'!$F$96),"")</f>
        <v/>
      </c>
      <c r="G113" s="695" t="str">
        <f>IFERROR(
G67*('Saisie des données'!$G87+'Saisie des données'!$G87*'Saisie des données'!$G$94+'Saisie des données'!$G87*'Saisie des données'!$G$95)
+(ROUNDUP(G31/'Saisie des données'!$G$97,0)*'Saisie des données'!$G$96),"")</f>
        <v/>
      </c>
      <c r="H113" s="696"/>
      <c r="I113" s="695">
        <f>IFERROR(
I67*('Saisie des données'!$H87+'Saisie des données'!$H87*'Saisie des données'!$H$94+'Saisie des données'!$H87*'Saisie des données'!$H$95)
+(ROUNDUP(I31/'Saisie des données'!$H$97,0)*'Saisie des données'!$H$96),"")</f>
        <v>47403.234533100003</v>
      </c>
      <c r="J113" s="695" t="str">
        <f>IFERROR(
J67*('Saisie des données'!$I87+'Saisie des données'!$I87*'Saisie des données'!$I$94+'Saisie des données'!$I87*'Saisie des données'!$I$95)
+(ROUNDUP(J31/'Saisie des données'!$I$97,0)*'Saisie des données'!$I$96),"")</f>
        <v/>
      </c>
      <c r="K113" s="695" t="str">
        <f>IFERROR(
K67*('Saisie des données'!$J87+'Saisie des données'!$J87*'Saisie des données'!$J$94+'Saisie des données'!$J87*'Saisie des données'!$J$95)
+(ROUNDUP(K31/'Saisie des données'!$J$97,0)*'Saisie des données'!$J$96),"")</f>
        <v/>
      </c>
      <c r="L113" s="696"/>
      <c r="M113" s="695" t="str">
        <f t="shared" si="40"/>
        <v/>
      </c>
      <c r="N113" s="571" t="str">
        <f>IFERROR(N67*('Saisie des données'!$K87+'Saisie des données'!$K87*'Saisie des données'!$K$94+'Saisie des données'!$K87*'Saisie des données'!$K$95)+((ROUNDUP(N31/'Saisie des données'!$K$97,0)*'Saisie des données'!$K$96)),"")</f>
        <v/>
      </c>
      <c r="O113" s="571" t="str">
        <f>IFERROR(
O67*('Saisie des données'!$L87+'Saisie des données'!$L87*'Saisie des données'!$L$94+'Saisie des données'!$L87*'Saisie des données'!$L$95)
+(ROUNDUP(O31/'Saisie des données'!$L$97,0)*'Saisie des données'!$L$96),"")</f>
        <v/>
      </c>
      <c r="P113" s="579"/>
      <c r="Q113" s="579"/>
      <c r="R113" s="552"/>
      <c r="S113" s="569"/>
      <c r="U113" s="552"/>
      <c r="V113" s="569"/>
      <c r="X113" s="552"/>
      <c r="Y113" s="569"/>
    </row>
    <row r="114" spans="2:28" s="576" customFormat="1" ht="8.25" customHeight="1">
      <c r="B114" s="583"/>
      <c r="C114" s="583"/>
      <c r="D114" s="631"/>
      <c r="E114" s="634"/>
      <c r="F114" s="634"/>
      <c r="G114" s="634"/>
      <c r="H114" s="653"/>
      <c r="I114" s="634"/>
      <c r="J114" s="634"/>
      <c r="K114" s="634"/>
      <c r="L114" s="653"/>
      <c r="M114" s="634"/>
      <c r="N114" s="634"/>
      <c r="O114" s="634"/>
      <c r="P114" s="579"/>
      <c r="Q114" s="579"/>
      <c r="R114" s="552"/>
      <c r="S114" s="569"/>
      <c r="U114" s="552"/>
      <c r="V114" s="569"/>
      <c r="X114" s="552"/>
      <c r="Y114" s="569"/>
    </row>
    <row r="115" spans="2:28" ht="51.75" customHeight="1">
      <c r="B115" s="583"/>
      <c r="C115" s="583"/>
      <c r="D115" s="1077" t="s">
        <v>260</v>
      </c>
      <c r="E115" s="1077"/>
      <c r="F115" s="1077"/>
      <c r="G115" s="1077"/>
      <c r="H115" s="1077"/>
      <c r="I115" s="1077"/>
      <c r="J115" s="1077"/>
      <c r="K115" s="1077"/>
      <c r="L115" s="1077"/>
      <c r="M115" s="1077"/>
      <c r="N115" s="1077"/>
      <c r="O115" s="1077"/>
      <c r="P115" s="580"/>
      <c r="Q115" s="580"/>
      <c r="R115" s="1081"/>
      <c r="S115" s="1082"/>
      <c r="U115" s="1081"/>
      <c r="V115" s="1082"/>
      <c r="X115" s="1081"/>
      <c r="Y115" s="1082"/>
    </row>
    <row r="116" spans="2:28" ht="8.25" customHeight="1">
      <c r="B116" s="583"/>
      <c r="C116" s="583"/>
      <c r="D116" s="617"/>
      <c r="E116" s="617"/>
      <c r="F116" s="617"/>
      <c r="G116" s="617"/>
      <c r="H116" s="637"/>
      <c r="I116" s="617"/>
      <c r="J116" s="617"/>
      <c r="K116" s="617"/>
      <c r="L116" s="637"/>
      <c r="M116" s="617"/>
      <c r="N116" s="617"/>
      <c r="O116" s="617"/>
      <c r="P116" s="580"/>
      <c r="Q116" s="580"/>
      <c r="R116" s="731"/>
      <c r="S116" s="732"/>
      <c r="U116" s="731"/>
      <c r="V116" s="732"/>
      <c r="X116" s="731"/>
      <c r="Y116" s="732"/>
    </row>
    <row r="117" spans="2:28" ht="35.25" customHeight="1">
      <c r="B117" s="583"/>
      <c r="C117" s="583"/>
      <c r="D117" s="607" t="s">
        <v>244</v>
      </c>
      <c r="E117" s="693">
        <f>IF(E118="","N/A",SUM(E118:E122))</f>
        <v>1253616.8254038889</v>
      </c>
      <c r="F117" s="693" t="str">
        <f>IF(F118="","N/A",SUM(F118:F122))</f>
        <v>N/A</v>
      </c>
      <c r="G117" s="693" t="str">
        <f>IF(G118="","N/A",SUM(G118:G122))</f>
        <v>N/A</v>
      </c>
      <c r="H117" s="694"/>
      <c r="I117" s="693">
        <f>IF(I118="","N/A",SUM(I118:I122))</f>
        <v>1064252.9164936999</v>
      </c>
      <c r="J117" s="693" t="str">
        <f>IF(J118="","N/A",SUM(J118:J122))</f>
        <v>N/A</v>
      </c>
      <c r="K117" s="693" t="str">
        <f>IF(K118="","N/A",SUM(K118:K122))</f>
        <v>N/A</v>
      </c>
      <c r="L117" s="694"/>
      <c r="M117" s="693" t="str">
        <f>IF(M118="","N/A",SUM(M118:M122))</f>
        <v>N/A</v>
      </c>
      <c r="N117" s="554" t="str">
        <f>IF(N118="","N/A",SUM(N118:N122))</f>
        <v>N/A</v>
      </c>
      <c r="O117" s="554" t="str">
        <f>IF(O118="","N/A",SUM(O118:O122))</f>
        <v>N/A</v>
      </c>
      <c r="P117" s="580"/>
      <c r="Q117" s="580"/>
      <c r="R117" s="552"/>
      <c r="S117" s="567"/>
      <c r="U117" s="552"/>
      <c r="V117" s="567"/>
      <c r="X117" s="552"/>
      <c r="Y117" s="567"/>
    </row>
    <row r="118" spans="2:28">
      <c r="B118" s="583"/>
      <c r="C118" s="583"/>
      <c r="D118" s="555">
        <f>'Saisie des données'!$E$26</f>
        <v>2025</v>
      </c>
      <c r="E118" s="695">
        <f>IFERROR(E109+(E27*'Saisie des données'!E$103),"")</f>
        <v>195293.33333333334</v>
      </c>
      <c r="F118" s="695" t="str">
        <f>IFERROR(F109+(F27*'Saisie des données'!F$103),"")</f>
        <v/>
      </c>
      <c r="G118" s="695" t="str">
        <f>IFERROR(G109+(G27*'Saisie des données'!G$103),"")</f>
        <v/>
      </c>
      <c r="H118" s="696"/>
      <c r="I118" s="695">
        <f>IFERROR(I109+(I27*'Saisie des données'!H$103),"")</f>
        <v>166044</v>
      </c>
      <c r="J118" s="695" t="str">
        <f>IFERROR(J109+(J27*'Saisie des données'!I$103),"")</f>
        <v/>
      </c>
      <c r="K118" s="695" t="str">
        <f>IFERROR(K109+(K27*'Saisie des données'!J$103),"")</f>
        <v/>
      </c>
      <c r="L118" s="696"/>
      <c r="M118" s="695" t="str">
        <f>IFERROR(N118+O118,"")</f>
        <v/>
      </c>
      <c r="N118" s="571" t="str">
        <f>IFERROR(N109+(N27*'Saisie des données'!K$103),"")</f>
        <v/>
      </c>
      <c r="O118" s="571" t="str">
        <f>IFERROR(O109+(O27*'Saisie des données'!L$103),"")</f>
        <v/>
      </c>
      <c r="P118" s="580"/>
      <c r="Q118" s="580"/>
      <c r="R118" s="568"/>
      <c r="U118" s="552"/>
      <c r="V118" s="567"/>
      <c r="X118" s="552"/>
      <c r="Y118" s="567"/>
    </row>
    <row r="119" spans="2:28">
      <c r="B119" s="583"/>
      <c r="C119" s="583"/>
      <c r="D119" s="555">
        <f>'Saisie des données'!$E$26+1</f>
        <v>2026</v>
      </c>
      <c r="E119" s="695">
        <f>IFERROR(E110+(E28*'Saisie des données'!E$103),"")</f>
        <v>228077.48888888888</v>
      </c>
      <c r="F119" s="695" t="str">
        <f>IFERROR(F110+(F28*'Saisie des données'!F$103),"")</f>
        <v/>
      </c>
      <c r="G119" s="695" t="str">
        <f>IFERROR(G110+(G28*'Saisie des données'!G$103),"")</f>
        <v/>
      </c>
      <c r="H119" s="696"/>
      <c r="I119" s="695">
        <f>IFERROR(I110+(I28*'Saisie des données'!H$103),"")</f>
        <v>193589.7</v>
      </c>
      <c r="J119" s="695" t="str">
        <f>IFERROR(J110+(J28*'Saisie des données'!I$103),"")</f>
        <v/>
      </c>
      <c r="K119" s="695" t="str">
        <f>IFERROR(K110+(K28*'Saisie des données'!J$103),"")</f>
        <v/>
      </c>
      <c r="L119" s="696"/>
      <c r="M119" s="695" t="str">
        <f t="shared" ref="M119:M121" si="41">IFERROR(N119+O119,"")</f>
        <v/>
      </c>
      <c r="N119" s="571" t="str">
        <f>IFERROR(N110+(N28*'Saisie des données'!K$103),"")</f>
        <v/>
      </c>
      <c r="O119" s="571" t="str">
        <f>IFERROR(O110+(O28*'Saisie des données'!L$103),"")</f>
        <v/>
      </c>
      <c r="P119" s="580"/>
      <c r="Q119" s="580"/>
      <c r="R119" s="552"/>
      <c r="S119" s="567"/>
      <c r="U119" s="552"/>
      <c r="V119" s="567"/>
      <c r="X119" s="552"/>
      <c r="Y119" s="567"/>
    </row>
    <row r="120" spans="2:28">
      <c r="B120" s="583"/>
      <c r="C120" s="583"/>
      <c r="D120" s="555">
        <f>'Saisie des données'!$E$26+2</f>
        <v>2027</v>
      </c>
      <c r="E120" s="695">
        <f>IFERROR(E111+(E29*'Saisie des données'!E$103),"")</f>
        <v>233787.40555555557</v>
      </c>
      <c r="F120" s="695" t="str">
        <f>IFERROR(F111+(F29*'Saisie des données'!F$103),"")</f>
        <v/>
      </c>
      <c r="G120" s="695" t="str">
        <f>IFERROR(G111+(G29*'Saisie des données'!G$103),"")</f>
        <v/>
      </c>
      <c r="H120" s="696"/>
      <c r="I120" s="695">
        <f>IFERROR(I111+(I29*'Saisie des données'!H$103),"")</f>
        <v>198377.73899999997</v>
      </c>
      <c r="J120" s="695" t="str">
        <f>IFERROR(J111+(J29*'Saisie des données'!I$103),"")</f>
        <v/>
      </c>
      <c r="K120" s="695" t="str">
        <f>IFERROR(K111+(K29*'Saisie des données'!J$103),"")</f>
        <v/>
      </c>
      <c r="L120" s="696"/>
      <c r="M120" s="695" t="str">
        <f t="shared" si="41"/>
        <v/>
      </c>
      <c r="N120" s="571" t="str">
        <f>IFERROR(N111+(N29*'Saisie des données'!K$103),"")</f>
        <v/>
      </c>
      <c r="O120" s="571" t="str">
        <f>IFERROR(O111+(O29*'Saisie des données'!L$103),"")</f>
        <v/>
      </c>
      <c r="P120" s="580"/>
      <c r="Q120" s="580"/>
      <c r="R120" s="552"/>
      <c r="S120" s="567"/>
      <c r="U120" s="552"/>
      <c r="V120" s="567"/>
      <c r="X120" s="552"/>
      <c r="Y120" s="567"/>
    </row>
    <row r="121" spans="2:28">
      <c r="B121" s="583"/>
      <c r="C121" s="583"/>
      <c r="D121" s="555">
        <f>'Saisie des données'!$E$26+3</f>
        <v>2028</v>
      </c>
      <c r="E121" s="695">
        <f>IFERROR(E112+(E30*'Saisie des données'!E$103),"")</f>
        <v>276367.97711111116</v>
      </c>
      <c r="F121" s="695" t="str">
        <f>IFERROR(F112+(F30*'Saisie des données'!F$103),"")</f>
        <v/>
      </c>
      <c r="G121" s="695" t="str">
        <f>IFERROR(G112+(G30*'Saisie des données'!G$103),"")</f>
        <v/>
      </c>
      <c r="H121" s="696"/>
      <c r="I121" s="695">
        <f>IFERROR(I112+(I30*'Saisie des données'!H$103),"")</f>
        <v>234569.35748000006</v>
      </c>
      <c r="J121" s="695" t="str">
        <f>IFERROR(J112+(J30*'Saisie des données'!I$103),"")</f>
        <v/>
      </c>
      <c r="K121" s="695" t="str">
        <f>IFERROR(K112+(K30*'Saisie des données'!J$103),"")</f>
        <v/>
      </c>
      <c r="L121" s="696"/>
      <c r="M121" s="695" t="str">
        <f t="shared" si="41"/>
        <v/>
      </c>
      <c r="N121" s="571" t="str">
        <f>IFERROR(N112+(N30*'Saisie des données'!K$103),"")</f>
        <v/>
      </c>
      <c r="O121" s="571" t="str">
        <f>IFERROR(O112+(O30*'Saisie des données'!L$103),"")</f>
        <v/>
      </c>
      <c r="P121" s="580"/>
      <c r="Q121" s="580"/>
      <c r="R121" s="552"/>
      <c r="S121" s="567"/>
      <c r="U121" s="552"/>
      <c r="V121" s="567"/>
      <c r="X121" s="552"/>
      <c r="Y121" s="567"/>
    </row>
    <row r="122" spans="2:28" s="576" customFormat="1">
      <c r="B122" s="583"/>
      <c r="C122" s="583"/>
      <c r="D122" s="570">
        <f>'Saisie des données'!$E$26+4</f>
        <v>2029</v>
      </c>
      <c r="E122" s="695">
        <f>IFERROR(E113+(E31*'Saisie des données'!E$103),"")</f>
        <v>320090.62051500002</v>
      </c>
      <c r="F122" s="695" t="str">
        <f>IFERROR(F113+(F31*'Saisie des données'!F$103),"")</f>
        <v/>
      </c>
      <c r="G122" s="695" t="str">
        <f>IFERROR(G113+(G31*'Saisie des données'!G$103),"")</f>
        <v/>
      </c>
      <c r="H122" s="696"/>
      <c r="I122" s="695">
        <f>IFERROR(I113+(I31*'Saisie des données'!H$103),"")</f>
        <v>271672.12001369998</v>
      </c>
      <c r="J122" s="695" t="str">
        <f>IFERROR(J113+(J31*'Saisie des données'!I$103),"")</f>
        <v/>
      </c>
      <c r="K122" s="695" t="str">
        <f>IFERROR(K113+(K31*'Saisie des données'!J$103),"")</f>
        <v/>
      </c>
      <c r="L122" s="696"/>
      <c r="M122" s="695" t="str">
        <f>IFERROR(N122+O122,"")</f>
        <v/>
      </c>
      <c r="N122" s="571" t="str">
        <f>IFERROR(N113+(N31*'Saisie des données'!K$103),"")</f>
        <v/>
      </c>
      <c r="O122" s="571" t="str">
        <f>IFERROR(O113+(O31*'Saisie des données'!L$103),"")</f>
        <v/>
      </c>
      <c r="P122" s="579"/>
      <c r="Q122" s="579"/>
      <c r="R122" s="552"/>
      <c r="S122" s="567"/>
      <c r="U122" s="552"/>
      <c r="V122" s="567"/>
      <c r="X122" s="552"/>
      <c r="Y122" s="567"/>
    </row>
    <row r="123" spans="2:28" s="576" customFormat="1" ht="12" customHeight="1">
      <c r="B123" s="583"/>
      <c r="C123" s="583"/>
      <c r="D123" s="631"/>
      <c r="E123" s="635"/>
      <c r="F123" s="635"/>
      <c r="G123" s="635"/>
      <c r="H123" s="638"/>
      <c r="I123" s="635"/>
      <c r="J123" s="635"/>
      <c r="K123" s="635"/>
      <c r="L123" s="638"/>
      <c r="M123" s="634"/>
      <c r="N123" s="635"/>
      <c r="O123" s="635"/>
      <c r="P123" s="579"/>
      <c r="Q123" s="579"/>
      <c r="R123" s="552"/>
      <c r="S123" s="567"/>
      <c r="U123" s="552"/>
      <c r="V123" s="567"/>
      <c r="X123" s="552"/>
      <c r="Y123" s="567"/>
    </row>
    <row r="124" spans="2:28" s="681" customFormat="1" ht="55" customHeight="1">
      <c r="B124" s="678"/>
      <c r="C124" s="678"/>
      <c r="D124" s="1083" t="s">
        <v>261</v>
      </c>
      <c r="E124" s="1083"/>
      <c r="F124" s="1083"/>
      <c r="G124" s="1083"/>
      <c r="H124" s="1083"/>
      <c r="I124" s="1083"/>
      <c r="J124" s="1083"/>
      <c r="K124" s="1083"/>
      <c r="L124" s="1083"/>
      <c r="M124" s="1083"/>
      <c r="N124" s="1083"/>
      <c r="O124" s="1083"/>
      <c r="P124" s="679"/>
      <c r="Q124" s="679"/>
      <c r="R124" s="1081"/>
      <c r="S124" s="1081"/>
      <c r="T124" s="680"/>
      <c r="U124" s="1081"/>
      <c r="V124" s="1081"/>
      <c r="W124" s="680"/>
      <c r="X124" s="1081"/>
      <c r="Y124" s="1081"/>
      <c r="Z124" s="680"/>
      <c r="AA124" s="680"/>
      <c r="AB124" s="680"/>
    </row>
    <row r="125" spans="2:28" ht="8.25" customHeight="1">
      <c r="B125" s="583"/>
      <c r="C125" s="583"/>
      <c r="D125" s="598"/>
      <c r="E125" s="598"/>
      <c r="F125" s="598"/>
      <c r="G125" s="598"/>
      <c r="H125" s="598"/>
      <c r="I125" s="598"/>
      <c r="J125" s="598"/>
      <c r="K125" s="598"/>
      <c r="L125" s="598"/>
      <c r="M125" s="598"/>
      <c r="N125" s="598"/>
      <c r="O125" s="598"/>
      <c r="P125" s="580"/>
      <c r="Q125" s="580"/>
      <c r="R125" s="732"/>
      <c r="S125" s="732"/>
      <c r="U125" s="732"/>
      <c r="V125" s="732"/>
      <c r="X125" s="732"/>
      <c r="Y125" s="732"/>
    </row>
    <row r="126" spans="2:28" ht="45" customHeight="1">
      <c r="B126" s="583"/>
      <c r="C126" s="583"/>
      <c r="D126" s="1077" t="s">
        <v>259</v>
      </c>
      <c r="E126" s="1077"/>
      <c r="F126" s="1077"/>
      <c r="G126" s="1077"/>
      <c r="H126" s="1077"/>
      <c r="I126" s="1077"/>
      <c r="J126" s="1077"/>
      <c r="K126" s="1077"/>
      <c r="L126" s="1077"/>
      <c r="M126" s="1077"/>
      <c r="N126" s="1077"/>
      <c r="O126" s="1077"/>
      <c r="P126" s="580"/>
      <c r="Q126" s="580"/>
      <c r="R126" s="1081"/>
      <c r="S126" s="1082"/>
      <c r="U126" s="1081"/>
      <c r="V126" s="1081"/>
      <c r="X126" s="1081"/>
      <c r="Y126" s="1081"/>
    </row>
    <row r="127" spans="2:28" ht="8.25" customHeight="1">
      <c r="B127" s="583"/>
      <c r="C127" s="583"/>
      <c r="D127" s="636"/>
      <c r="E127" s="636"/>
      <c r="F127" s="636"/>
      <c r="G127" s="636"/>
      <c r="H127" s="636"/>
      <c r="I127" s="636"/>
      <c r="J127" s="636"/>
      <c r="K127" s="636"/>
      <c r="L127" s="636"/>
      <c r="M127" s="636"/>
      <c r="N127" s="636"/>
      <c r="O127" s="636"/>
      <c r="P127" s="580"/>
      <c r="Q127" s="580"/>
      <c r="R127" s="731"/>
      <c r="S127" s="732"/>
      <c r="U127" s="731"/>
      <c r="V127" s="731"/>
      <c r="X127" s="731"/>
      <c r="Y127" s="731"/>
    </row>
    <row r="128" spans="2:28" ht="35.25" customHeight="1">
      <c r="B128" s="583"/>
      <c r="C128" s="583"/>
      <c r="D128" s="607" t="s">
        <v>244</v>
      </c>
      <c r="E128" s="693">
        <f>IF(E129="","N/A",SUM(E129:E133))</f>
        <v>3581419.6205880558</v>
      </c>
      <c r="F128" s="693" t="str">
        <f>IF(F129="","N/A",SUM(F129:F133))</f>
        <v>N/A</v>
      </c>
      <c r="G128" s="693" t="str">
        <f>IF(G129="","N/A",SUM(G129:G133))</f>
        <v>N/A</v>
      </c>
      <c r="H128" s="694"/>
      <c r="I128" s="693">
        <f>IF(I129="","N/A",SUM(I129:I133))</f>
        <v>18391904.677310001</v>
      </c>
      <c r="J128" s="693" t="str">
        <f>IF(J129="","N/A",SUM(J129:J133))</f>
        <v>N/A</v>
      </c>
      <c r="K128" s="693" t="str">
        <f>IF(K129="","N/A",SUM(K129:K133))</f>
        <v>N/A</v>
      </c>
      <c r="L128" s="694"/>
      <c r="M128" s="693" t="str">
        <f>IF(M129="","N/A",SUM(M129:M133))</f>
        <v>N/A</v>
      </c>
      <c r="N128" s="554" t="str">
        <f>IF(N129="","N/A",SUM(N129:N133))</f>
        <v>N/A</v>
      </c>
      <c r="O128" s="554" t="str">
        <f>IF(O129="","N/A",SUM(O129:O133))</f>
        <v>N/A</v>
      </c>
      <c r="P128" s="580"/>
      <c r="Q128" s="580"/>
      <c r="R128" s="572"/>
      <c r="S128" s="567"/>
      <c r="U128" s="552"/>
      <c r="V128" s="567"/>
      <c r="X128" s="552"/>
      <c r="Y128" s="567"/>
    </row>
    <row r="129" spans="2:25">
      <c r="B129" s="583"/>
      <c r="C129" s="583"/>
      <c r="D129" s="555">
        <f>'Saisie des données'!$E$26</f>
        <v>2025</v>
      </c>
      <c r="E129" s="695">
        <f>IFERROR(E63*('Saisie des données'!E$80+'Saisie des données'!E$80*'Saisie des données'!E$94+'Saisie des données'!E$80*'Saisie des données'!E$95)+((ROUNDUP(E27/'Saisie des données'!$E$97,0)*'Saisie des données'!$E$96)),"")</f>
        <v>629793.33333333337</v>
      </c>
      <c r="F129" s="695" t="str">
        <f>IFERROR(F63*('Saisie des données'!F$80+'Saisie des données'!F$80*'Saisie des données'!F$94+'Saisie des données'!F$80*'Saisie des données'!F$95)+((ROUNDUP(F27/'Saisie des données'!$E$97,0)*'Saisie des données'!$E$96)),"")</f>
        <v/>
      </c>
      <c r="G129" s="695" t="str">
        <f>IFERROR(G63*('Saisie des données'!G$80+'Saisie des données'!G$80*'Saisie des données'!G$94+'Saisie des données'!G$80*'Saisie des données'!G$95)+((ROUNDUP(G27/'Saisie des données'!$E$97,0)*'Saisie des données'!$E$96)),"")</f>
        <v/>
      </c>
      <c r="H129" s="696"/>
      <c r="I129" s="695">
        <f>IFERROR(I63*('Saisie des données'!H$80+'Saisie des données'!H$80*'Saisie des données'!H$94+'Saisie des données'!H$80*'Saisie des données'!H$95)+((ROUNDUP(I27/'Saisie des données'!$H$97,0)*'Saisie des données'!$H$96)),"")</f>
        <v>3234864</v>
      </c>
      <c r="J129" s="695" t="str">
        <f>IFERROR(J63*('Saisie des données'!I$80+'Saisie des données'!I$80*'Saisie des données'!I$94+'Saisie des données'!I$80*'Saisie des données'!I$95)+((ROUNDUP(J27/'Saisie des données'!$H$97,0)*'Saisie des données'!$H$96)),"")</f>
        <v/>
      </c>
      <c r="K129" s="695" t="str">
        <f>IFERROR(K63*('Saisie des données'!J$80+'Saisie des données'!J$80*'Saisie des données'!J$94+'Saisie des données'!J$80*'Saisie des données'!J$95)+((ROUNDUP(K27/'Saisie des données'!$H$97,0)*'Saisie des données'!$H$96)),"")</f>
        <v/>
      </c>
      <c r="L129" s="696"/>
      <c r="M129" s="695" t="str">
        <f>IFERROR(N129+O129,"")</f>
        <v/>
      </c>
      <c r="N129" s="571" t="str">
        <f>IFERROR(N63*('Saisie des données'!K$80+'Saisie des données'!K$80*'Saisie des données'!K$94+'Saisie des données'!K$80*'Saisie des données'!K$95)+((ROUNDUP(N27/'Saisie des données'!$K$97,0)*'Saisie des données'!$K$96)),"")</f>
        <v/>
      </c>
      <c r="O129" s="571" t="str">
        <f>IFERROR(O63*('Saisie des données'!L$80+'Saisie des données'!L$80*'Saisie des données'!L$94+'Saisie des données'!L$80*'Saisie des données'!L$95)+((ROUNDUP(O27/'Saisie des données'!$K$97,0)*'Saisie des données'!$K$96)),"")</f>
        <v/>
      </c>
      <c r="P129" s="580"/>
      <c r="Q129" s="580"/>
      <c r="R129" s="568"/>
      <c r="S129" s="575"/>
      <c r="U129" s="552"/>
      <c r="V129" s="567"/>
      <c r="X129" s="552"/>
      <c r="Y129" s="567"/>
    </row>
    <row r="130" spans="2:25">
      <c r="B130" s="583"/>
      <c r="C130" s="583"/>
      <c r="D130" s="555">
        <f>'Saisie des données'!$E$26+1</f>
        <v>2026</v>
      </c>
      <c r="E130" s="695">
        <f>IFERROR(E64*('Saisie des données'!E$80+'Saisie des données'!E$80*'Saisie des données'!E$94+'Saisie des données'!E$80*'Saisie des données'!E$95)+((ROUNDUP(E28/'Saisie des données'!$E$97,0)*'Saisie des données'!$E$96)),"")</f>
        <v>641301.65555555548</v>
      </c>
      <c r="F130" s="695" t="str">
        <f>IFERROR(F64*('Saisie des données'!F$80+'Saisie des données'!F$80*'Saisie des données'!F$94+'Saisie des données'!F$80*'Saisie des données'!F$95)+((ROUNDUP(F28/'Saisie des données'!$E$97,0)*'Saisie des données'!$E$96)),"")</f>
        <v/>
      </c>
      <c r="G130" s="695" t="str">
        <f>IFERROR(G64*('Saisie des données'!G$80+'Saisie des données'!G$80*'Saisie des données'!G$94+'Saisie des données'!G$80*'Saisie des données'!G$95)+((ROUNDUP(G28/'Saisie des données'!$E$97,0)*'Saisie des données'!$E$96)),"")</f>
        <v/>
      </c>
      <c r="H130" s="696"/>
      <c r="I130" s="695">
        <f>IFERROR(I64*('Saisie des données'!H$80+'Saisie des données'!H$80*'Saisie des données'!H$94+'Saisie des données'!H$80*'Saisie des données'!H$95)+((ROUNDUP(I28/'Saisie des données'!$H$97,0)*'Saisie des données'!$H$96)),"")</f>
        <v>3293228.4</v>
      </c>
      <c r="J130" s="695" t="str">
        <f>IFERROR(J64*('Saisie des données'!I$80+'Saisie des données'!I$80*'Saisie des données'!I$94+'Saisie des données'!I$80*'Saisie des données'!I$95)+((ROUNDUP(J28/'Saisie des données'!$H$97,0)*'Saisie des données'!$H$96)),"")</f>
        <v/>
      </c>
      <c r="K130" s="695" t="str">
        <f>IFERROR(K64*('Saisie des données'!J$80+'Saisie des données'!J$80*'Saisie des données'!J$94+'Saisie des données'!J$80*'Saisie des données'!J$95)+((ROUNDUP(K28/'Saisie des données'!$H$97,0)*'Saisie des données'!$H$96)),"")</f>
        <v/>
      </c>
      <c r="L130" s="696"/>
      <c r="M130" s="695" t="str">
        <f t="shared" ref="M130:M133" si="42">IFERROR(N130+O130,"")</f>
        <v/>
      </c>
      <c r="N130" s="571" t="str">
        <f>IFERROR(N64*('Saisie des données'!K$80+'Saisie des données'!K$80*'Saisie des données'!K$94+'Saisie des données'!K$80*'Saisie des données'!K$95)+((ROUNDUP(N28/'Saisie des données'!$K$97,0)*'Saisie des données'!$K$96)),"")</f>
        <v/>
      </c>
      <c r="O130" s="571" t="str">
        <f>IFERROR(O64*('Saisie des données'!L$80+'Saisie des données'!L$80*'Saisie des données'!L$94+'Saisie des données'!L$80*'Saisie des données'!L$95)+((ROUNDUP(O28/'Saisie des données'!$K$97,0)*'Saisie des données'!$K$96)),"")</f>
        <v/>
      </c>
      <c r="P130" s="580"/>
      <c r="Q130" s="580"/>
      <c r="R130" s="552"/>
      <c r="S130" s="567"/>
      <c r="U130" s="552"/>
      <c r="V130" s="567"/>
      <c r="X130" s="552"/>
      <c r="Y130" s="567"/>
    </row>
    <row r="131" spans="2:25">
      <c r="B131" s="583"/>
      <c r="C131" s="583"/>
      <c r="D131" s="555">
        <f>'Saisie des données'!$E$26+2</f>
        <v>2027</v>
      </c>
      <c r="E131" s="695">
        <f>IFERROR(E65*('Saisie des données'!E$80+'Saisie des données'!E$80*'Saisie des données'!E$94+'Saisie des données'!E$80*'Saisie des données'!E$95)+((ROUNDUP(E29/'Saisie des données'!$E$97,0)*'Saisie des données'!$E$96)),"")</f>
        <v>640713.79722222232</v>
      </c>
      <c r="F131" s="695" t="str">
        <f>IFERROR(F65*('Saisie des données'!F$80+'Saisie des données'!F$80*'Saisie des données'!F$94+'Saisie des données'!F$80*'Saisie des données'!F$95)+((ROUNDUP(F29/'Saisie des données'!$E$97,0)*'Saisie des données'!$E$96)),"")</f>
        <v/>
      </c>
      <c r="G131" s="695" t="str">
        <f>IFERROR(G65*('Saisie des données'!G$80+'Saisie des données'!G$80*'Saisie des données'!G$94+'Saisie des données'!G$80*'Saisie des données'!G$95)+((ROUNDUP(G29/'Saisie des données'!$E$97,0)*'Saisie des données'!$E$96)),"")</f>
        <v/>
      </c>
      <c r="H131" s="696"/>
      <c r="I131" s="695">
        <f>IFERROR(I65*('Saisie des données'!H$80+'Saisie des données'!H$80*'Saisie des données'!H$94+'Saisie des données'!H$80*'Saisie des données'!H$95)+((ROUNDUP(I29/'Saisie des données'!$H$97,0)*'Saisie des données'!$H$96)),"")</f>
        <v>3290055.3000000003</v>
      </c>
      <c r="J131" s="695" t="str">
        <f>IFERROR(J65*('Saisie des données'!I$80+'Saisie des données'!I$80*'Saisie des données'!I$94+'Saisie des données'!I$80*'Saisie des données'!I$95)+((ROUNDUP(J29/'Saisie des données'!$H$97,0)*'Saisie des données'!$H$96)),"")</f>
        <v/>
      </c>
      <c r="K131" s="695" t="str">
        <f>IFERROR(K65*('Saisie des données'!J$80+'Saisie des données'!J$80*'Saisie des données'!J$94+'Saisie des données'!J$80*'Saisie des données'!J$95)+((ROUNDUP(K29/'Saisie des données'!$H$97,0)*'Saisie des données'!$H$96)),"")</f>
        <v/>
      </c>
      <c r="L131" s="696"/>
      <c r="M131" s="695" t="str">
        <f t="shared" si="42"/>
        <v/>
      </c>
      <c r="N131" s="571" t="str">
        <f>IFERROR(N65*('Saisie des données'!K$80+'Saisie des données'!K$80*'Saisie des données'!K$94+'Saisie des données'!K$80*'Saisie des données'!K$95)+((ROUNDUP(N29/'Saisie des données'!$K$97,0)*'Saisie des données'!$K$96)),"")</f>
        <v/>
      </c>
      <c r="O131" s="571" t="str">
        <f>IFERROR(O65*('Saisie des données'!L$80+'Saisie des données'!L$80*'Saisie des données'!L$94+'Saisie des données'!L$80*'Saisie des données'!L$95)+((ROUNDUP(O29/'Saisie des données'!$K$97,0)*'Saisie des données'!$K$96)),"")</f>
        <v/>
      </c>
      <c r="P131" s="580"/>
      <c r="Q131" s="580"/>
      <c r="R131" s="552"/>
      <c r="S131" s="567"/>
      <c r="U131" s="552"/>
      <c r="V131" s="567"/>
      <c r="X131" s="552"/>
      <c r="Y131" s="567"/>
    </row>
    <row r="132" spans="2:25">
      <c r="B132" s="583"/>
      <c r="C132" s="583"/>
      <c r="D132" s="555">
        <f>'Saisie des données'!$E$26+3</f>
        <v>2028</v>
      </c>
      <c r="E132" s="695">
        <f>IFERROR(E66*('Saisie des données'!E$80+'Saisie des données'!E$80*'Saisie des données'!E$94+'Saisie des données'!E$80*'Saisie des données'!E$95)+((ROUNDUP(E30/'Saisie des données'!$E$97,0)*'Saisie des données'!$E$96)),"")</f>
        <v>774633.80744444451</v>
      </c>
      <c r="F132" s="695" t="str">
        <f>IFERROR(F66*('Saisie des données'!F$80+'Saisie des données'!F$80*'Saisie des données'!F$94+'Saisie des données'!F$80*'Saisie des données'!F$95)+((ROUNDUP(F30/'Saisie des données'!$E$97,0)*'Saisie des données'!$E$96)),"")</f>
        <v/>
      </c>
      <c r="G132" s="695" t="str">
        <f>IFERROR(G66*('Saisie des données'!G$80+'Saisie des données'!G$80*'Saisie des données'!G$94+'Saisie des données'!G$80*'Saisie des données'!G$95)+((ROUNDUP(G30/'Saisie des données'!$E$97,0)*'Saisie des données'!$E$96)),"")</f>
        <v/>
      </c>
      <c r="H132" s="696"/>
      <c r="I132" s="695">
        <f>IFERROR(I66*('Saisie des données'!H$80+'Saisie des données'!H$80*'Saisie des données'!H$94+'Saisie des données'!H$80*'Saisie des données'!H$95)+((ROUNDUP(I30/'Saisie des données'!$H$97,0)*'Saisie des données'!$H$96)),"")</f>
        <v>3977894.3240000014</v>
      </c>
      <c r="J132" s="695" t="str">
        <f>IFERROR(J66*('Saisie des données'!I$80+'Saisie des données'!I$80*'Saisie des données'!I$94+'Saisie des données'!I$80*'Saisie des données'!I$95)+((ROUNDUP(J30/'Saisie des données'!$H$97,0)*'Saisie des données'!$H$96)),"")</f>
        <v/>
      </c>
      <c r="K132" s="695" t="str">
        <f>IFERROR(K66*('Saisie des données'!J$80+'Saisie des données'!J$80*'Saisie des données'!J$94+'Saisie des données'!J$80*'Saisie des données'!J$95)+((ROUNDUP(K30/'Saisie des données'!$H$97,0)*'Saisie des données'!$H$96)),"")</f>
        <v/>
      </c>
      <c r="L132" s="696"/>
      <c r="M132" s="695" t="str">
        <f t="shared" si="42"/>
        <v/>
      </c>
      <c r="N132" s="571" t="str">
        <f>IFERROR(N66*('Saisie des données'!K$80+'Saisie des données'!K$80*'Saisie des données'!K$94+'Saisie des données'!K$80*'Saisie des données'!K$95)+((ROUNDUP(N30/'Saisie des données'!$K$97,0)*'Saisie des données'!$K$96)),"")</f>
        <v/>
      </c>
      <c r="O132" s="571" t="str">
        <f>IFERROR(O66*('Saisie des données'!L$80+'Saisie des données'!L$80*'Saisie des données'!L$94+'Saisie des données'!L$80*'Saisie des données'!L$95)+((ROUNDUP(O30/'Saisie des données'!$K$97,0)*'Saisie des données'!$K$96)),"")</f>
        <v/>
      </c>
      <c r="P132" s="580"/>
      <c r="Q132" s="580"/>
      <c r="R132" s="552"/>
      <c r="S132" s="567"/>
      <c r="U132" s="552"/>
      <c r="V132" s="567"/>
      <c r="X132" s="552"/>
      <c r="Y132" s="567"/>
    </row>
    <row r="133" spans="2:25" ht="16" customHeight="1">
      <c r="B133" s="583"/>
      <c r="C133" s="583"/>
      <c r="D133" s="555">
        <f>'Saisie des données'!$E$26+4</f>
        <v>2029</v>
      </c>
      <c r="E133" s="695">
        <f>IFERROR(E67*('Saisie des données'!E$80+'Saisie des données'!E$80*'Saisie des données'!E$94+'Saisie des données'!E$80*'Saisie des données'!E$95)+((ROUNDUP(E31/'Saisie des données'!$E$97,0)*'Saisie des données'!$E$96)),"")</f>
        <v>894977.02703250013</v>
      </c>
      <c r="F133" s="695" t="str">
        <f>IFERROR(F67*('Saisie des données'!F$80+'Saisie des données'!F$80*'Saisie des données'!F$94+'Saisie des données'!F$80*'Saisie des données'!F$95)+((ROUNDUP(F31/'Saisie des données'!$E$97,0)*'Saisie des données'!$E$96)),"")</f>
        <v/>
      </c>
      <c r="G133" s="695" t="str">
        <f>IFERROR(G67*('Saisie des données'!G$80+'Saisie des données'!G$80*'Saisie des données'!G$94+'Saisie des données'!G$80*'Saisie des données'!G$95)+((ROUNDUP(G31/'Saisie des données'!$E$97,0)*'Saisie des données'!$E$96)),"")</f>
        <v/>
      </c>
      <c r="H133" s="696"/>
      <c r="I133" s="695">
        <f>IFERROR(I67*('Saisie des données'!H$80+'Saisie des données'!H$80*'Saisie des données'!H$94+'Saisie des données'!H$80*'Saisie des données'!H$95)+((ROUNDUP(I31/'Saisie des données'!$H$97,0)*'Saisie des données'!$H$96)),"")</f>
        <v>4595862.65331</v>
      </c>
      <c r="J133" s="695" t="str">
        <f>IFERROR(J67*('Saisie des données'!I$80+'Saisie des données'!I$80*'Saisie des données'!I$94+'Saisie des données'!I$80*'Saisie des données'!I$95)+((ROUNDUP(J31/'Saisie des données'!$H$97,0)*'Saisie des données'!$H$96)),"")</f>
        <v/>
      </c>
      <c r="K133" s="695" t="str">
        <f>IFERROR(K67*('Saisie des données'!J$80+'Saisie des données'!J$80*'Saisie des données'!J$94+'Saisie des données'!J$80*'Saisie des données'!J$95)+((ROUNDUP(K31/'Saisie des données'!$H$97,0)*'Saisie des données'!$H$96)),"")</f>
        <v/>
      </c>
      <c r="L133" s="696"/>
      <c r="M133" s="695" t="str">
        <f t="shared" si="42"/>
        <v/>
      </c>
      <c r="N133" s="571" t="str">
        <f>IFERROR(N67*('Saisie des données'!K$80+'Saisie des données'!K$80*'Saisie des données'!K$94+'Saisie des données'!K$80*'Saisie des données'!K$95)+((ROUNDUP(N31/'Saisie des données'!$K$97,0)*'Saisie des données'!$K$96)),"")</f>
        <v/>
      </c>
      <c r="O133" s="571" t="str">
        <f>IFERROR(O67*('Saisie des données'!L$80+'Saisie des données'!L$80*'Saisie des données'!L$94+'Saisie des données'!L$80*'Saisie des données'!L$95)+((ROUNDUP(O31/'Saisie des données'!$K$97,0)*'Saisie des données'!$K$96)),"")</f>
        <v/>
      </c>
      <c r="P133" s="580"/>
      <c r="Q133" s="580"/>
      <c r="R133" s="552"/>
      <c r="S133" s="567"/>
      <c r="U133" s="552"/>
      <c r="V133" s="567"/>
      <c r="X133" s="552"/>
      <c r="Y133" s="567"/>
    </row>
    <row r="134" spans="2:25" ht="8.25" customHeight="1">
      <c r="B134" s="583"/>
      <c r="C134" s="583"/>
      <c r="D134" s="605"/>
      <c r="E134" s="638"/>
      <c r="F134" s="638"/>
      <c r="G134" s="638"/>
      <c r="H134" s="638"/>
      <c r="I134" s="638"/>
      <c r="J134" s="638"/>
      <c r="K134" s="638"/>
      <c r="L134" s="638"/>
      <c r="M134" s="638"/>
      <c r="N134" s="638"/>
      <c r="O134" s="638"/>
      <c r="P134" s="580"/>
      <c r="Q134" s="580"/>
      <c r="R134" s="552"/>
      <c r="S134" s="567"/>
      <c r="U134" s="552"/>
      <c r="V134" s="567"/>
      <c r="X134" s="552"/>
      <c r="Y134" s="567"/>
    </row>
    <row r="135" spans="2:25" ht="45" customHeight="1">
      <c r="B135" s="583"/>
      <c r="C135" s="583"/>
      <c r="D135" s="1077" t="s">
        <v>260</v>
      </c>
      <c r="E135" s="1077"/>
      <c r="F135" s="1077"/>
      <c r="G135" s="1077"/>
      <c r="H135" s="1077"/>
      <c r="I135" s="1077"/>
      <c r="J135" s="1077"/>
      <c r="K135" s="1077"/>
      <c r="L135" s="1077"/>
      <c r="M135" s="1077"/>
      <c r="N135" s="1077"/>
      <c r="O135" s="1077"/>
      <c r="P135" s="580"/>
      <c r="Q135" s="580"/>
      <c r="R135" s="1081"/>
      <c r="S135" s="1082"/>
      <c r="U135" s="1081"/>
      <c r="V135" s="1081"/>
      <c r="X135" s="1081"/>
      <c r="Y135" s="1081"/>
    </row>
    <row r="136" spans="2:25" ht="8.25" customHeight="1">
      <c r="B136" s="583"/>
      <c r="C136" s="583"/>
      <c r="D136" s="637"/>
      <c r="E136" s="637"/>
      <c r="F136" s="637"/>
      <c r="G136" s="637"/>
      <c r="H136" s="637"/>
      <c r="I136" s="637"/>
      <c r="J136" s="637"/>
      <c r="K136" s="637"/>
      <c r="L136" s="637"/>
      <c r="M136" s="637"/>
      <c r="N136" s="637"/>
      <c r="O136" s="637"/>
      <c r="P136" s="580"/>
      <c r="Q136" s="580"/>
      <c r="R136" s="731"/>
      <c r="S136" s="732"/>
      <c r="U136" s="731"/>
      <c r="V136" s="731"/>
      <c r="X136" s="731"/>
      <c r="Y136" s="731"/>
    </row>
    <row r="137" spans="2:25" ht="35.25" customHeight="1">
      <c r="B137" s="583"/>
      <c r="C137" s="583"/>
      <c r="D137" s="607" t="s">
        <v>244</v>
      </c>
      <c r="E137" s="693">
        <f>IF(E138="","N/A",SUM(E138:E142))</f>
        <v>4789422.7762440555</v>
      </c>
      <c r="F137" s="693" t="str">
        <f>IF(F138="","N/A",SUM(F138:F142))</f>
        <v>N/A</v>
      </c>
      <c r="G137" s="693" t="str">
        <f>IF(G138="","N/A",SUM(G138:G142))</f>
        <v>N/A</v>
      </c>
      <c r="H137" s="694"/>
      <c r="I137" s="693">
        <f>IF(I138="","N/A",SUM(I138:I142))</f>
        <v>19415605.051030599</v>
      </c>
      <c r="J137" s="693" t="str">
        <f>IF(J138="","N/A",SUM(J138:J142))</f>
        <v>N/A</v>
      </c>
      <c r="K137" s="693" t="str">
        <f>IF(K138="","N/A",SUM(K138:K142))</f>
        <v>N/A</v>
      </c>
      <c r="L137" s="694"/>
      <c r="M137" s="693" t="str">
        <f>IF(M138="","N/A",SUM(M138:M142))</f>
        <v>N/A</v>
      </c>
      <c r="N137" s="554" t="str">
        <f>IF(N138="","N/A",SUM(N138:N142))</f>
        <v>N/A</v>
      </c>
      <c r="O137" s="554" t="str">
        <f>IF(O138="","N/A",SUM(O138:O142))</f>
        <v>N/A</v>
      </c>
      <c r="P137" s="580"/>
      <c r="Q137" s="580"/>
      <c r="R137" s="550"/>
      <c r="S137" s="567"/>
      <c r="U137" s="552"/>
      <c r="V137" s="567"/>
      <c r="X137" s="552"/>
      <c r="Y137" s="567"/>
    </row>
    <row r="138" spans="2:25">
      <c r="B138" s="583"/>
      <c r="C138" s="583"/>
      <c r="D138" s="555">
        <f>'Saisie des données'!$E$26</f>
        <v>2025</v>
      </c>
      <c r="E138" s="697">
        <f>IFERROR(E129+(E27*'Saisie des données'!E$103)+'Saisie des données'!E$101+(E18*'Saisie des données'!E$102),"")</f>
        <v>953193.33333333337</v>
      </c>
      <c r="F138" s="697" t="str">
        <f>IFERROR(F129+(F27*'Saisie des données'!F$103)+'Saisie des données'!F$101+(F18*'Saisie des données'!F$102),"")</f>
        <v/>
      </c>
      <c r="G138" s="697" t="str">
        <f>IFERROR(G129+(G27*'Saisie des données'!G$103)+'Saisie des données'!G$101+(G18*'Saisie des données'!G$102),"")</f>
        <v/>
      </c>
      <c r="H138" s="696"/>
      <c r="I138" s="697">
        <f>IFERROR(I129+(I27*'Saisie des données'!H$103)+'Saisie des données'!H$101+(I18*'Saisie des données'!H$102),"")</f>
        <v>3516704</v>
      </c>
      <c r="J138" s="697" t="str">
        <f>IFERROR(J129+(J27*'Saisie des données'!I$103)+'Saisie des données'!I$101+(J18*'Saisie des données'!I$102),"")</f>
        <v/>
      </c>
      <c r="K138" s="697" t="str">
        <f>IFERROR(K129+(K27*'Saisie des données'!J$103)+'Saisie des données'!J$101+(K18*'Saisie des données'!J$102),"")</f>
        <v/>
      </c>
      <c r="L138" s="696"/>
      <c r="M138" s="695" t="str">
        <f>IFERROR(N138+O138,"")</f>
        <v/>
      </c>
      <c r="N138" s="573" t="str">
        <f>IFERROR(N129+(N27*'Saisie des données'!K$103)+'Saisie des données'!K$101+(N18*'Saisie des données'!K$102),"")</f>
        <v/>
      </c>
      <c r="O138" s="573" t="str">
        <f>IFERROR(O129+(O27*'Saisie des données'!L$103)+'Saisie des données'!L$101+(O18*'Saisie des données'!L$102),"")</f>
        <v/>
      </c>
      <c r="P138" s="580"/>
      <c r="Q138" s="580"/>
      <c r="R138" s="574"/>
      <c r="S138" s="575"/>
      <c r="U138" s="552"/>
      <c r="V138" s="567"/>
      <c r="X138" s="552"/>
      <c r="Y138" s="567"/>
    </row>
    <row r="139" spans="2:25">
      <c r="B139" s="583"/>
      <c r="C139" s="583"/>
      <c r="D139" s="555">
        <f>'Saisie des données'!$E$26+1</f>
        <v>2026</v>
      </c>
      <c r="E139" s="697">
        <f>IFERROR(E130+(E28*'Saisie des données'!E$103),"")</f>
        <v>831645.65555555548</v>
      </c>
      <c r="F139" s="697" t="str">
        <f>IFERROR(F130+(F28*'Saisie des données'!F$103),"")</f>
        <v/>
      </c>
      <c r="G139" s="697" t="str">
        <f>IFERROR(G130+(G28*'Saisie des données'!G$103),"")</f>
        <v/>
      </c>
      <c r="H139" s="696"/>
      <c r="I139" s="697">
        <f>IFERROR(I130+(I28*'Saisie des données'!H$103),"")</f>
        <v>3452857.8</v>
      </c>
      <c r="J139" s="697" t="str">
        <f>IFERROR(J130+(J28*'Saisie des données'!I$103),"")</f>
        <v/>
      </c>
      <c r="K139" s="697" t="str">
        <f>IFERROR(K130+(K28*'Saisie des données'!J$103),"")</f>
        <v/>
      </c>
      <c r="L139" s="696"/>
      <c r="M139" s="695" t="str">
        <f t="shared" ref="M139:M142" si="43">IFERROR(N139+O139,"")</f>
        <v/>
      </c>
      <c r="N139" s="573" t="str">
        <f>IFERROR(N130+(N28*'Saisie des données'!K$103),"")</f>
        <v/>
      </c>
      <c r="O139" s="573" t="str">
        <f>IFERROR(O130+(O28*'Saisie des données'!L$103),"")</f>
        <v/>
      </c>
      <c r="P139" s="580"/>
      <c r="Q139" s="580"/>
      <c r="R139" s="550"/>
      <c r="S139" s="550"/>
      <c r="U139" s="552"/>
      <c r="V139" s="567"/>
      <c r="X139" s="552"/>
      <c r="Y139" s="567"/>
    </row>
    <row r="140" spans="2:25">
      <c r="B140" s="583"/>
      <c r="C140" s="583"/>
      <c r="D140" s="555">
        <f>'Saisie des données'!$E$26+2</f>
        <v>2027</v>
      </c>
      <c r="E140" s="697">
        <f>IFERROR(E131+(E29*'Saisie des données'!E$103),"")</f>
        <v>836768.11722222227</v>
      </c>
      <c r="F140" s="697" t="str">
        <f>IFERROR(F131+(F29*'Saisie des données'!F$103),"")</f>
        <v/>
      </c>
      <c r="G140" s="697" t="str">
        <f>IFERROR(G131+(G29*'Saisie des données'!G$103),"")</f>
        <v/>
      </c>
      <c r="H140" s="696"/>
      <c r="I140" s="697">
        <f>IFERROR(I131+(I29*'Saisie des données'!H$103),"")</f>
        <v>3454473.5820000004</v>
      </c>
      <c r="J140" s="697" t="str">
        <f>IFERROR(J131+(J29*'Saisie des données'!I$103),"")</f>
        <v/>
      </c>
      <c r="K140" s="697" t="str">
        <f>IFERROR(K131+(K29*'Saisie des données'!J$103),"")</f>
        <v/>
      </c>
      <c r="L140" s="696"/>
      <c r="M140" s="695" t="str">
        <f t="shared" si="43"/>
        <v/>
      </c>
      <c r="N140" s="573" t="str">
        <f>IFERROR(N131+(N29*'Saisie des données'!K$103),"")</f>
        <v/>
      </c>
      <c r="O140" s="573" t="str">
        <f>IFERROR(O131+(O29*'Saisie des données'!L$103),"")</f>
        <v/>
      </c>
      <c r="P140" s="580"/>
      <c r="Q140" s="580"/>
      <c r="R140" s="552"/>
      <c r="S140" s="567"/>
      <c r="U140" s="552"/>
      <c r="V140" s="567"/>
      <c r="X140" s="552"/>
      <c r="Y140" s="567"/>
    </row>
    <row r="141" spans="2:25">
      <c r="B141" s="583"/>
      <c r="C141" s="583"/>
      <c r="D141" s="555">
        <f>'Saisie des données'!$E$26+3</f>
        <v>2028</v>
      </c>
      <c r="E141" s="697">
        <f>IFERROR(E132+(E30*'Saisie des données'!E$103),"")</f>
        <v>1005417.7498444446</v>
      </c>
      <c r="F141" s="697" t="str">
        <f>IFERROR(F132+(F30*'Saisie des données'!F$103),"")</f>
        <v/>
      </c>
      <c r="G141" s="697" t="str">
        <f>IFERROR(G132+(G30*'Saisie des données'!G$103),"")</f>
        <v/>
      </c>
      <c r="H141" s="696"/>
      <c r="I141" s="697">
        <f>IFERROR(I132+(I30*'Saisie des données'!H$103),"")</f>
        <v>4171438.1302400013</v>
      </c>
      <c r="J141" s="697" t="str">
        <f>IFERROR(J132+(J30*'Saisie des données'!I$103),"")</f>
        <v/>
      </c>
      <c r="K141" s="697" t="str">
        <f>IFERROR(K132+(K30*'Saisie des données'!J$103),"")</f>
        <v/>
      </c>
      <c r="L141" s="696"/>
      <c r="M141" s="695" t="str">
        <f t="shared" si="43"/>
        <v/>
      </c>
      <c r="N141" s="573" t="str">
        <f>IFERROR(N132+(N30*'Saisie des données'!K$103),"")</f>
        <v/>
      </c>
      <c r="O141" s="573" t="str">
        <f>IFERROR(O132+(O30*'Saisie des données'!L$103),"")</f>
        <v/>
      </c>
      <c r="P141" s="580"/>
      <c r="Q141" s="580"/>
      <c r="R141" s="552"/>
      <c r="S141" s="567"/>
      <c r="U141" s="552"/>
      <c r="V141" s="567"/>
      <c r="X141" s="552"/>
      <c r="Y141" s="567"/>
    </row>
    <row r="142" spans="2:25">
      <c r="B142" s="583"/>
      <c r="C142" s="583"/>
      <c r="D142" s="555">
        <f>'Saisie des données'!$E$26+4</f>
        <v>2029</v>
      </c>
      <c r="E142" s="697">
        <f>IFERROR(E133+(E31*'Saisie des données'!E$103),"")</f>
        <v>1162397.9202885001</v>
      </c>
      <c r="F142" s="697" t="str">
        <f>IFERROR(F133+(F31*'Saisie des données'!F$103),"")</f>
        <v/>
      </c>
      <c r="G142" s="697" t="str">
        <f>IFERROR(G133+(G31*'Saisie des données'!G$103),"")</f>
        <v/>
      </c>
      <c r="H142" s="696"/>
      <c r="I142" s="697">
        <f>IFERROR(I133+(I31*'Saisie des données'!H$103),"")</f>
        <v>4820131.5387906004</v>
      </c>
      <c r="J142" s="697" t="str">
        <f>IFERROR(J133+(J31*'Saisie des données'!I$103),"")</f>
        <v/>
      </c>
      <c r="K142" s="697" t="str">
        <f>IFERROR(K133+(K31*'Saisie des données'!J$103),"")</f>
        <v/>
      </c>
      <c r="L142" s="696"/>
      <c r="M142" s="695" t="str">
        <f t="shared" si="43"/>
        <v/>
      </c>
      <c r="N142" s="573" t="str">
        <f>IFERROR(N133+(N31*'Saisie des données'!K$103),"")</f>
        <v/>
      </c>
      <c r="O142" s="573" t="str">
        <f>IFERROR(O133+(O31*'Saisie des données'!L$103),"")</f>
        <v/>
      </c>
      <c r="P142" s="580"/>
      <c r="Q142" s="580"/>
      <c r="R142" s="552"/>
      <c r="S142" s="567"/>
      <c r="U142" s="552"/>
      <c r="V142" s="567"/>
      <c r="X142" s="552"/>
      <c r="Y142" s="567"/>
    </row>
    <row r="143" spans="2:25" ht="10.5" customHeight="1">
      <c r="B143" s="583"/>
      <c r="C143" s="583"/>
      <c r="D143" s="583"/>
      <c r="E143" s="583"/>
      <c r="F143" s="583"/>
      <c r="G143" s="583"/>
      <c r="H143" s="583"/>
      <c r="I143" s="583"/>
      <c r="J143" s="583"/>
      <c r="K143" s="583"/>
      <c r="L143" s="583"/>
      <c r="M143" s="579"/>
      <c r="N143" s="583"/>
      <c r="O143" s="583"/>
      <c r="P143" s="580"/>
      <c r="Q143" s="580"/>
    </row>
    <row r="150" spans="4:4">
      <c r="D150" s="578"/>
    </row>
  </sheetData>
  <sheetProtection algorithmName="SHA-512" hashValue="siJ0zQ2bRjuXl6uEfVvf7cQg5meAtuKpy2+1VKXAZ6p/d+ciSA7GUURwWBdE4WsoGdfb4rg3ZSjY6eeC9ryJiA==" saltValue="NiOeOUp8sAo6Fbds16qNZA==" spinCount="100000" sheet="1" formatCells="0" formatColumns="0" formatRows="0" insertColumns="0" insertRows="0" insertHyperlinks="0" deleteColumns="0" deleteRows="0" sort="0" autoFilter="0" pivotTables="0"/>
  <mergeCells count="58">
    <mergeCell ref="R20:S20"/>
    <mergeCell ref="E8:G8"/>
    <mergeCell ref="I8:K8"/>
    <mergeCell ref="M8:O8"/>
    <mergeCell ref="E7:G7"/>
    <mergeCell ref="I7:K7"/>
    <mergeCell ref="M7:O7"/>
    <mergeCell ref="X9:Y9"/>
    <mergeCell ref="U9:V9"/>
    <mergeCell ref="U13:V13"/>
    <mergeCell ref="X13:Y13"/>
    <mergeCell ref="U11:V11"/>
    <mergeCell ref="X11:Y11"/>
    <mergeCell ref="U24:V24"/>
    <mergeCell ref="X24:Y24"/>
    <mergeCell ref="R60:S60"/>
    <mergeCell ref="U60:V60"/>
    <mergeCell ref="X60:Y60"/>
    <mergeCell ref="R26:S26"/>
    <mergeCell ref="U96:V96"/>
    <mergeCell ref="X96:Y96"/>
    <mergeCell ref="R104:S104"/>
    <mergeCell ref="U104:V104"/>
    <mergeCell ref="X104:Y104"/>
    <mergeCell ref="U106:V106"/>
    <mergeCell ref="X106:Y106"/>
    <mergeCell ref="R115:S115"/>
    <mergeCell ref="U115:V115"/>
    <mergeCell ref="X115:Y115"/>
    <mergeCell ref="R106:S106"/>
    <mergeCell ref="U135:V135"/>
    <mergeCell ref="X135:Y135"/>
    <mergeCell ref="D126:O126"/>
    <mergeCell ref="D135:O135"/>
    <mergeCell ref="R124:S124"/>
    <mergeCell ref="U124:V124"/>
    <mergeCell ref="X124:Y124"/>
    <mergeCell ref="R126:S126"/>
    <mergeCell ref="U126:V126"/>
    <mergeCell ref="X126:Y126"/>
    <mergeCell ref="D124:O124"/>
    <mergeCell ref="R135:S135"/>
    <mergeCell ref="D106:O106"/>
    <mergeCell ref="D115:O115"/>
    <mergeCell ref="D69:O69"/>
    <mergeCell ref="D78:O78"/>
    <mergeCell ref="D87:O87"/>
    <mergeCell ref="D96:O96"/>
    <mergeCell ref="D104:O104"/>
    <mergeCell ref="B2:Q2"/>
    <mergeCell ref="D4:O4"/>
    <mergeCell ref="D13:O13"/>
    <mergeCell ref="D24:O24"/>
    <mergeCell ref="D60:O60"/>
    <mergeCell ref="D15:O15"/>
    <mergeCell ref="D33:O33"/>
    <mergeCell ref="D42:O42"/>
    <mergeCell ref="D51:O51"/>
  </mergeCells>
  <conditionalFormatting sqref="E17:M17">
    <cfRule type="colorScale" priority="11">
      <colorScale>
        <cfvo type="min"/>
        <cfvo type="percentile" val="50"/>
        <cfvo type="max"/>
        <color theme="6"/>
        <color rgb="FFE2E278"/>
        <color theme="3"/>
      </colorScale>
    </cfRule>
  </conditionalFormatting>
  <conditionalFormatting sqref="E26:M26">
    <cfRule type="colorScale" priority="10">
      <colorScale>
        <cfvo type="min"/>
        <cfvo type="percentile" val="50"/>
        <cfvo type="max"/>
        <color theme="6"/>
        <color rgb="FFE2E278"/>
        <color theme="3"/>
      </colorScale>
    </cfRule>
  </conditionalFormatting>
  <conditionalFormatting sqref="E108:M108">
    <cfRule type="colorScale" priority="6">
      <colorScale>
        <cfvo type="min"/>
        <cfvo type="percentile" val="50"/>
        <cfvo type="max"/>
        <color theme="6"/>
        <color rgb="FFE2E278"/>
        <color theme="3"/>
      </colorScale>
    </cfRule>
  </conditionalFormatting>
  <conditionalFormatting sqref="E117:M117">
    <cfRule type="colorScale" priority="3">
      <colorScale>
        <cfvo type="min"/>
        <cfvo type="percentile" val="50"/>
        <cfvo type="max"/>
        <color theme="6"/>
        <color rgb="FFE2E278"/>
        <color theme="3"/>
      </colorScale>
    </cfRule>
  </conditionalFormatting>
  <conditionalFormatting sqref="E128:M128">
    <cfRule type="colorScale" priority="2">
      <colorScale>
        <cfvo type="min"/>
        <cfvo type="percentile" val="50"/>
        <cfvo type="max"/>
        <color theme="6"/>
        <color rgb="FFE2E278"/>
        <color theme="3"/>
      </colorScale>
    </cfRule>
  </conditionalFormatting>
  <conditionalFormatting sqref="E137:M137">
    <cfRule type="colorScale" priority="1">
      <colorScale>
        <cfvo type="min"/>
        <cfvo type="percentile" val="50"/>
        <cfvo type="max"/>
        <color theme="6"/>
        <color rgb="FFE2E278"/>
        <color theme="3"/>
      </colorScale>
    </cfRule>
  </conditionalFormatting>
  <conditionalFormatting sqref="E62:O62">
    <cfRule type="colorScale" priority="4">
      <colorScale>
        <cfvo type="min"/>
        <cfvo type="percentile" val="50"/>
        <cfvo type="max"/>
        <color theme="6"/>
        <color rgb="FFE2E278"/>
        <color theme="3"/>
      </colorScale>
    </cfRule>
  </conditionalFormatting>
  <conditionalFormatting sqref="G62:H62">
    <cfRule type="colorScale" priority="5">
      <colorScale>
        <cfvo type="min"/>
        <cfvo type="percentile" val="50"/>
        <cfvo type="max"/>
        <color theme="6"/>
        <color rgb="FFE2E278"/>
        <color theme="3"/>
      </colorScale>
    </cfRule>
    <cfRule type="colorScale" priority="9">
      <colorScale>
        <cfvo type="min"/>
        <cfvo type="percentile" val="50"/>
        <cfvo type="max"/>
        <color theme="6"/>
        <color rgb="FFE2E278"/>
        <color theme="3"/>
      </colorScale>
    </cfRule>
  </conditionalFormatting>
  <conditionalFormatting sqref="J62">
    <cfRule type="colorScale" priority="8">
      <colorScale>
        <cfvo type="min"/>
        <cfvo type="percentile" val="50"/>
        <cfvo type="max"/>
        <color theme="6"/>
        <color rgb="FFE2E278"/>
        <color theme="3"/>
      </colorScale>
    </cfRule>
  </conditionalFormatting>
  <conditionalFormatting sqref="S117">
    <cfRule type="colorScale" priority="40">
      <colorScale>
        <cfvo type="min"/>
        <cfvo type="max"/>
        <color theme="6"/>
        <color rgb="FFE2E278"/>
      </colorScale>
    </cfRule>
    <cfRule type="colorScale" priority="41">
      <colorScale>
        <cfvo type="min"/>
        <cfvo type="max"/>
        <color theme="6"/>
        <color rgb="FFE2E278"/>
      </colorScale>
    </cfRule>
    <cfRule type="colorScale" priority="42">
      <colorScale>
        <cfvo type="min"/>
        <cfvo type="max"/>
        <color rgb="FFE2E278"/>
        <color rgb="FFFFC000"/>
      </colorScale>
    </cfRule>
    <cfRule type="colorScale" priority="43">
      <colorScale>
        <cfvo type="min"/>
        <cfvo type="percentile" val="50"/>
        <cfvo type="max"/>
        <color theme="6"/>
        <color theme="3"/>
        <color theme="3"/>
      </colorScale>
    </cfRule>
  </conditionalFormatting>
  <conditionalFormatting sqref="S137">
    <cfRule type="colorScale" priority="36">
      <colorScale>
        <cfvo type="min"/>
        <cfvo type="max"/>
        <color theme="6"/>
        <color rgb="FFE2E278"/>
      </colorScale>
    </cfRule>
    <cfRule type="colorScale" priority="37">
      <colorScale>
        <cfvo type="min"/>
        <cfvo type="percentile" val="50"/>
        <cfvo type="max"/>
        <color theme="6"/>
        <color theme="3"/>
        <color theme="3"/>
      </colorScale>
    </cfRule>
    <cfRule type="colorScale" priority="38">
      <colorScale>
        <cfvo type="min"/>
        <cfvo type="percentile" val="50"/>
        <cfvo type="max"/>
        <color theme="3"/>
        <color theme="3"/>
        <color theme="6"/>
      </colorScale>
    </cfRule>
    <cfRule type="colorScale" priority="39">
      <colorScale>
        <cfvo type="min"/>
        <cfvo type="percentile" val="50"/>
        <cfvo type="max"/>
        <color theme="6"/>
        <color rgb="FFE2E278"/>
        <color theme="3"/>
      </colorScale>
    </cfRule>
  </conditionalFormatting>
  <conditionalFormatting sqref="V117">
    <cfRule type="colorScale" priority="32">
      <colorScale>
        <cfvo type="min"/>
        <cfvo type="max"/>
        <color theme="6"/>
        <color rgb="FFE2E278"/>
      </colorScale>
    </cfRule>
    <cfRule type="colorScale" priority="33">
      <colorScale>
        <cfvo type="min"/>
        <cfvo type="max"/>
        <color theme="6"/>
        <color rgb="FFE2E278"/>
      </colorScale>
    </cfRule>
    <cfRule type="colorScale" priority="34">
      <colorScale>
        <cfvo type="min"/>
        <cfvo type="max"/>
        <color rgb="FFE2E278"/>
        <color rgb="FFFFC000"/>
      </colorScale>
    </cfRule>
    <cfRule type="colorScale" priority="35">
      <colorScale>
        <cfvo type="min"/>
        <cfvo type="percentile" val="50"/>
        <cfvo type="max"/>
        <color theme="6"/>
        <color theme="3"/>
        <color theme="3"/>
      </colorScale>
    </cfRule>
  </conditionalFormatting>
  <conditionalFormatting sqref="V137">
    <cfRule type="colorScale" priority="31">
      <colorScale>
        <cfvo type="min"/>
        <cfvo type="percentile" val="50"/>
        <cfvo type="max"/>
        <color theme="6"/>
        <color rgb="FFE2E278"/>
        <color theme="3"/>
      </colorScale>
    </cfRule>
    <cfRule type="colorScale" priority="28">
      <colorScale>
        <cfvo type="min"/>
        <cfvo type="max"/>
        <color theme="6"/>
        <color rgb="FFE2E278"/>
      </colorScale>
    </cfRule>
    <cfRule type="colorScale" priority="29">
      <colorScale>
        <cfvo type="min"/>
        <cfvo type="percentile" val="50"/>
        <cfvo type="max"/>
        <color theme="6"/>
        <color theme="3"/>
        <color theme="3"/>
      </colorScale>
    </cfRule>
    <cfRule type="colorScale" priority="30">
      <colorScale>
        <cfvo type="min"/>
        <cfvo type="percentile" val="50"/>
        <cfvo type="max"/>
        <color theme="3"/>
        <color theme="3"/>
        <color theme="6"/>
      </colorScale>
    </cfRule>
  </conditionalFormatting>
  <conditionalFormatting sqref="Y117">
    <cfRule type="colorScale" priority="24">
      <colorScale>
        <cfvo type="min"/>
        <cfvo type="max"/>
        <color theme="6"/>
        <color rgb="FFE2E278"/>
      </colorScale>
    </cfRule>
    <cfRule type="colorScale" priority="25">
      <colorScale>
        <cfvo type="min"/>
        <cfvo type="max"/>
        <color theme="6"/>
        <color rgb="FFE2E278"/>
      </colorScale>
    </cfRule>
    <cfRule type="colorScale" priority="26">
      <colorScale>
        <cfvo type="min"/>
        <cfvo type="max"/>
        <color rgb="FFE2E278"/>
        <color rgb="FFFFC000"/>
      </colorScale>
    </cfRule>
    <cfRule type="colorScale" priority="27">
      <colorScale>
        <cfvo type="min"/>
        <cfvo type="percentile" val="50"/>
        <cfvo type="max"/>
        <color theme="6"/>
        <color theme="3"/>
        <color theme="3"/>
      </colorScale>
    </cfRule>
  </conditionalFormatting>
  <conditionalFormatting sqref="Y137">
    <cfRule type="colorScale" priority="20">
      <colorScale>
        <cfvo type="min"/>
        <cfvo type="max"/>
        <color theme="6"/>
        <color rgb="FFE2E278"/>
      </colorScale>
    </cfRule>
    <cfRule type="colorScale" priority="21">
      <colorScale>
        <cfvo type="min"/>
        <cfvo type="percentile" val="50"/>
        <cfvo type="max"/>
        <color theme="6"/>
        <color theme="3"/>
        <color theme="3"/>
      </colorScale>
    </cfRule>
    <cfRule type="colorScale" priority="22">
      <colorScale>
        <cfvo type="min"/>
        <cfvo type="percentile" val="50"/>
        <cfvo type="max"/>
        <color theme="3"/>
        <color theme="3"/>
        <color theme="6"/>
      </colorScale>
    </cfRule>
    <cfRule type="colorScale" priority="23">
      <colorScale>
        <cfvo type="min"/>
        <cfvo type="percentile" val="50"/>
        <cfvo type="max"/>
        <color theme="6"/>
        <color rgb="FFE2E278"/>
        <color theme="3"/>
      </colorScale>
    </cfRule>
  </conditionalFormatting>
  <printOptions horizontalCentered="1" verticalCentered="1"/>
  <pageMargins left="0.25" right="0.25" top="0.5" bottom="0.5" header="0" footer="0"/>
  <pageSetup paperSize="9" scale="47" orientation="portrait" r:id="rId1"/>
  <headerFooter>
    <oddHeader>&amp;L&amp;&amp;"Calibri"&amp;10&amp;K000000Classé comme Interne&amp;K000000&amp;1#</oddHeader>
  </headerFooter>
  <rowBreaks count="1" manualBreakCount="1">
    <brk id="103" min="1"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C1EAC-B712-4313-B33A-9C7F1E235BCC}">
  <sheetPr codeName="Sheet4">
    <tabColor theme="9"/>
  </sheetPr>
  <dimension ref="B1:Z99"/>
  <sheetViews>
    <sheetView showGridLines="0" zoomScaleNormal="100" workbookViewId="0">
      <selection activeCell="I5" sqref="I5"/>
    </sheetView>
  </sheetViews>
  <sheetFormatPr defaultColWidth="8.81640625" defaultRowHeight="14"/>
  <cols>
    <col min="1" max="1" width="4.453125" style="586" customWidth="1"/>
    <col min="2" max="2" width="4.1796875" style="586" customWidth="1"/>
    <col min="3" max="16384" width="8.81640625" style="586"/>
  </cols>
  <sheetData>
    <row r="1" spans="2:26" ht="8.25" customHeight="1">
      <c r="B1" s="658"/>
      <c r="C1" s="658"/>
      <c r="D1" s="658"/>
      <c r="E1" s="658"/>
      <c r="F1" s="658"/>
      <c r="G1" s="658"/>
      <c r="H1" s="658"/>
      <c r="I1" s="658"/>
      <c r="J1" s="658"/>
      <c r="K1" s="658"/>
      <c r="L1" s="658"/>
      <c r="M1" s="658"/>
      <c r="N1" s="658"/>
      <c r="O1" s="658"/>
      <c r="P1" s="658"/>
      <c r="Q1" s="658"/>
      <c r="R1" s="658"/>
      <c r="S1" s="658"/>
      <c r="T1" s="658"/>
      <c r="U1" s="658"/>
      <c r="V1" s="658"/>
      <c r="W1" s="658"/>
      <c r="X1" s="658"/>
      <c r="Y1" s="658"/>
      <c r="Z1" s="658"/>
    </row>
    <row r="2" spans="2:26" ht="20.25" customHeight="1">
      <c r="B2" s="1094" t="s">
        <v>262</v>
      </c>
      <c r="C2" s="1059"/>
      <c r="D2" s="1059"/>
      <c r="E2" s="1059"/>
      <c r="F2" s="1059"/>
      <c r="G2" s="1059"/>
      <c r="H2" s="1059"/>
      <c r="I2" s="1059"/>
      <c r="J2" s="1059"/>
      <c r="K2" s="1059"/>
      <c r="L2" s="1059"/>
      <c r="M2" s="1059"/>
      <c r="N2" s="1059"/>
      <c r="O2" s="1059"/>
      <c r="P2" s="1059"/>
      <c r="Q2" s="1059"/>
      <c r="R2" s="1059"/>
      <c r="S2" s="1059"/>
      <c r="T2" s="1059"/>
      <c r="U2" s="1059"/>
      <c r="V2" s="1059"/>
      <c r="W2" s="1059"/>
      <c r="X2" s="1059"/>
      <c r="Y2" s="1059"/>
      <c r="Z2" s="1059"/>
    </row>
    <row r="3" spans="2:26">
      <c r="B3" s="587"/>
      <c r="C3" s="587"/>
      <c r="D3" s="587"/>
      <c r="E3" s="587"/>
      <c r="F3" s="587"/>
      <c r="G3" s="587"/>
      <c r="H3" s="587"/>
      <c r="I3" s="587"/>
      <c r="J3" s="587"/>
      <c r="K3" s="587"/>
      <c r="L3" s="587"/>
      <c r="M3" s="587"/>
      <c r="N3" s="587"/>
      <c r="O3" s="587"/>
      <c r="P3" s="587"/>
      <c r="Q3" s="587"/>
      <c r="R3" s="587"/>
      <c r="S3" s="587"/>
      <c r="T3" s="587"/>
      <c r="U3" s="587"/>
      <c r="V3" s="587"/>
      <c r="W3" s="587"/>
      <c r="X3" s="587"/>
      <c r="Y3" s="587"/>
      <c r="Z3" s="587"/>
    </row>
    <row r="4" spans="2:26" ht="45" customHeight="1">
      <c r="B4" s="587"/>
      <c r="C4" s="585"/>
      <c r="D4" s="584"/>
      <c r="E4" s="1093" t="s">
        <v>258</v>
      </c>
      <c r="F4" s="1093"/>
      <c r="G4" s="1093"/>
      <c r="H4" s="1093"/>
      <c r="I4" s="1093"/>
      <c r="J4" s="1093"/>
      <c r="K4" s="1093"/>
      <c r="L4" s="1093"/>
      <c r="M4" s="1093"/>
      <c r="N4" s="1093"/>
      <c r="O4" s="1093"/>
      <c r="P4" s="1093"/>
      <c r="Q4" s="1093"/>
      <c r="R4" s="1093"/>
      <c r="S4" s="1093"/>
      <c r="T4" s="1093"/>
      <c r="U4" s="1093"/>
      <c r="V4" s="1093"/>
      <c r="W4" s="584"/>
      <c r="X4" s="584"/>
      <c r="Y4" s="584"/>
      <c r="Z4" s="587"/>
    </row>
    <row r="5" spans="2:26" ht="35.25" customHeight="1">
      <c r="B5" s="587"/>
      <c r="C5" s="589" t="s">
        <v>263</v>
      </c>
      <c r="D5" s="587"/>
      <c r="E5" s="587"/>
      <c r="F5" s="587"/>
      <c r="G5" s="587"/>
      <c r="H5" s="587"/>
      <c r="I5" s="587"/>
      <c r="J5" s="587"/>
      <c r="K5" s="587"/>
      <c r="L5" s="587"/>
      <c r="M5" s="587"/>
      <c r="N5" s="587"/>
      <c r="O5" s="587"/>
      <c r="P5" s="587"/>
      <c r="Q5" s="587"/>
      <c r="R5" s="587"/>
      <c r="S5" s="587"/>
      <c r="T5" s="587"/>
      <c r="U5" s="587"/>
      <c r="V5" s="587"/>
      <c r="W5" s="587"/>
      <c r="X5" s="587"/>
      <c r="Y5" s="587"/>
      <c r="Z5" s="587"/>
    </row>
    <row r="6" spans="2:26" ht="14.5">
      <c r="B6" s="587"/>
      <c r="C6" s="590" t="s">
        <v>264</v>
      </c>
      <c r="D6" s="587"/>
      <c r="E6" s="587"/>
      <c r="F6" s="587"/>
      <c r="G6" s="587"/>
      <c r="H6" s="587"/>
      <c r="I6" s="587"/>
      <c r="J6" s="587"/>
      <c r="K6" s="587"/>
      <c r="L6" s="587"/>
      <c r="M6" s="587"/>
      <c r="N6" s="587"/>
      <c r="O6" s="587"/>
      <c r="P6" s="587"/>
      <c r="Q6" s="587"/>
      <c r="R6" s="587"/>
      <c r="S6" s="587"/>
      <c r="T6" s="587"/>
      <c r="U6" s="587"/>
      <c r="V6" s="587"/>
      <c r="W6" s="587"/>
      <c r="X6" s="587"/>
      <c r="Y6" s="587"/>
      <c r="Z6" s="587"/>
    </row>
    <row r="7" spans="2:26">
      <c r="B7" s="587"/>
      <c r="C7" s="587"/>
      <c r="D7" s="587"/>
      <c r="E7" s="587"/>
      <c r="F7" s="587"/>
      <c r="G7" s="587"/>
      <c r="H7" s="587"/>
      <c r="I7" s="587"/>
      <c r="J7" s="587"/>
      <c r="K7" s="587"/>
      <c r="L7" s="587"/>
      <c r="M7" s="587"/>
      <c r="N7" s="587"/>
      <c r="O7" s="587"/>
      <c r="P7" s="587"/>
      <c r="Q7" s="587"/>
      <c r="R7" s="587"/>
      <c r="S7" s="587"/>
      <c r="T7" s="587"/>
      <c r="U7" s="587"/>
      <c r="V7" s="587"/>
      <c r="W7" s="587"/>
      <c r="X7" s="587"/>
      <c r="Y7" s="587"/>
      <c r="Z7" s="587"/>
    </row>
    <row r="8" spans="2:26">
      <c r="B8" s="587"/>
      <c r="C8" s="587"/>
      <c r="D8" s="587"/>
      <c r="E8" s="587"/>
      <c r="F8" s="587"/>
      <c r="G8" s="587"/>
      <c r="H8" s="587"/>
      <c r="I8" s="587"/>
      <c r="J8" s="587"/>
      <c r="K8" s="587"/>
      <c r="L8" s="587"/>
      <c r="M8" s="587"/>
      <c r="N8" s="587"/>
      <c r="O8" s="587"/>
      <c r="P8" s="587"/>
      <c r="Q8" s="587"/>
      <c r="R8" s="587"/>
      <c r="S8" s="587"/>
      <c r="T8" s="587"/>
      <c r="U8" s="587"/>
      <c r="V8" s="587"/>
      <c r="W8" s="587"/>
      <c r="X8" s="587"/>
      <c r="Y8" s="587"/>
      <c r="Z8" s="587"/>
    </row>
    <row r="9" spans="2:26">
      <c r="B9" s="587"/>
      <c r="C9" s="587"/>
      <c r="D9" s="587"/>
      <c r="E9" s="587"/>
      <c r="F9" s="587"/>
      <c r="G9" s="587"/>
      <c r="H9" s="587"/>
      <c r="I9" s="587"/>
      <c r="J9" s="587"/>
      <c r="K9" s="587"/>
      <c r="L9" s="587"/>
      <c r="M9" s="587"/>
      <c r="N9" s="587"/>
      <c r="O9" s="587"/>
      <c r="P9" s="587"/>
      <c r="Q9" s="587"/>
      <c r="R9" s="587"/>
      <c r="S9" s="587"/>
      <c r="T9" s="587"/>
      <c r="U9" s="587"/>
      <c r="V9" s="587"/>
      <c r="W9" s="587"/>
      <c r="X9" s="587"/>
      <c r="Y9" s="587"/>
      <c r="Z9" s="587"/>
    </row>
    <row r="10" spans="2:26">
      <c r="B10" s="587"/>
      <c r="C10" s="587"/>
      <c r="D10" s="587"/>
      <c r="E10" s="587"/>
      <c r="F10" s="587"/>
      <c r="G10" s="587"/>
      <c r="H10" s="587"/>
      <c r="I10" s="587"/>
      <c r="J10" s="587"/>
      <c r="K10" s="587"/>
      <c r="L10" s="587"/>
      <c r="M10" s="587"/>
      <c r="N10" s="587"/>
      <c r="O10" s="587"/>
      <c r="P10" s="587"/>
      <c r="Q10" s="587"/>
      <c r="R10" s="587"/>
      <c r="S10" s="587"/>
      <c r="T10" s="587"/>
      <c r="U10" s="587"/>
      <c r="V10" s="587"/>
      <c r="W10" s="587"/>
      <c r="X10" s="587"/>
      <c r="Y10" s="587"/>
      <c r="Z10" s="587"/>
    </row>
    <row r="11" spans="2:26">
      <c r="B11" s="587"/>
      <c r="C11" s="587"/>
      <c r="D11" s="587"/>
      <c r="E11" s="587"/>
      <c r="F11" s="587"/>
      <c r="G11" s="587"/>
      <c r="H11" s="587"/>
      <c r="I11" s="587"/>
      <c r="J11" s="587"/>
      <c r="K11" s="587"/>
      <c r="L11" s="587"/>
      <c r="M11" s="587"/>
      <c r="N11" s="587"/>
      <c r="O11" s="587"/>
      <c r="P11" s="587"/>
      <c r="Q11" s="587"/>
      <c r="R11" s="587"/>
      <c r="S11" s="587"/>
      <c r="T11" s="587"/>
      <c r="U11" s="587"/>
      <c r="V11" s="587"/>
      <c r="W11" s="587"/>
      <c r="X11" s="587"/>
      <c r="Y11" s="587"/>
      <c r="Z11" s="587"/>
    </row>
    <row r="12" spans="2:26">
      <c r="B12" s="587"/>
      <c r="C12" s="587"/>
      <c r="D12" s="587"/>
      <c r="E12" s="587"/>
      <c r="F12" s="587"/>
      <c r="G12" s="587"/>
      <c r="H12" s="587"/>
      <c r="I12" s="587"/>
      <c r="J12" s="587"/>
      <c r="K12" s="587"/>
      <c r="L12" s="587"/>
      <c r="M12" s="587"/>
      <c r="N12" s="587"/>
      <c r="O12" s="587"/>
      <c r="P12" s="587"/>
      <c r="Q12" s="587"/>
      <c r="R12" s="587"/>
      <c r="S12" s="587"/>
      <c r="T12" s="587"/>
      <c r="U12" s="587"/>
      <c r="V12" s="587"/>
      <c r="W12" s="587"/>
      <c r="X12" s="587"/>
      <c r="Y12" s="587"/>
      <c r="Z12" s="587"/>
    </row>
    <row r="13" spans="2:26">
      <c r="B13" s="587"/>
      <c r="C13" s="587"/>
      <c r="D13" s="587"/>
      <c r="E13" s="587"/>
      <c r="F13" s="587"/>
      <c r="G13" s="587"/>
      <c r="H13" s="587"/>
      <c r="I13" s="587"/>
      <c r="J13" s="587"/>
      <c r="K13" s="587"/>
      <c r="L13" s="587"/>
      <c r="M13" s="587"/>
      <c r="N13" s="587"/>
      <c r="O13" s="587"/>
      <c r="P13" s="587"/>
      <c r="Q13" s="587"/>
      <c r="R13" s="587"/>
      <c r="S13" s="587"/>
      <c r="T13" s="587"/>
      <c r="U13" s="587"/>
      <c r="V13" s="587"/>
      <c r="W13" s="587"/>
      <c r="X13" s="587"/>
      <c r="Y13" s="587"/>
      <c r="Z13" s="587"/>
    </row>
    <row r="14" spans="2:26">
      <c r="B14" s="587"/>
      <c r="C14" s="587"/>
      <c r="D14" s="587"/>
      <c r="E14" s="587"/>
      <c r="F14" s="587"/>
      <c r="G14" s="587"/>
      <c r="H14" s="587"/>
      <c r="I14" s="587"/>
      <c r="J14" s="587"/>
      <c r="K14" s="587"/>
      <c r="L14" s="587"/>
      <c r="M14" s="587"/>
      <c r="N14" s="587"/>
      <c r="O14" s="587"/>
      <c r="P14" s="587"/>
      <c r="Q14" s="587"/>
      <c r="R14" s="587"/>
      <c r="S14" s="587"/>
      <c r="T14" s="587"/>
      <c r="U14" s="587"/>
      <c r="V14" s="587"/>
      <c r="W14" s="587"/>
      <c r="X14" s="587"/>
      <c r="Y14" s="587"/>
      <c r="Z14" s="587"/>
    </row>
    <row r="15" spans="2:26">
      <c r="B15" s="587"/>
      <c r="C15" s="587"/>
      <c r="D15" s="587"/>
      <c r="E15" s="587"/>
      <c r="F15" s="587"/>
      <c r="G15" s="587"/>
      <c r="H15" s="587"/>
      <c r="I15" s="587"/>
      <c r="J15" s="587"/>
      <c r="K15" s="587"/>
      <c r="L15" s="587"/>
      <c r="M15" s="587"/>
      <c r="N15" s="587"/>
      <c r="O15" s="587"/>
      <c r="P15" s="587"/>
      <c r="Q15" s="587"/>
      <c r="R15" s="587"/>
      <c r="S15" s="587"/>
      <c r="T15" s="587"/>
      <c r="U15" s="587"/>
      <c r="V15" s="587"/>
      <c r="W15" s="587"/>
      <c r="X15" s="587"/>
      <c r="Y15" s="587"/>
      <c r="Z15" s="587"/>
    </row>
    <row r="16" spans="2:26">
      <c r="B16" s="587"/>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row>
    <row r="17" spans="2:26">
      <c r="B17" s="587"/>
      <c r="C17" s="587"/>
      <c r="D17" s="587"/>
      <c r="E17" s="587"/>
      <c r="F17" s="587"/>
      <c r="G17" s="587"/>
      <c r="H17" s="587"/>
      <c r="I17" s="587"/>
      <c r="J17" s="587"/>
      <c r="K17" s="587"/>
      <c r="L17" s="587"/>
      <c r="M17" s="587"/>
      <c r="N17" s="587"/>
      <c r="O17" s="587"/>
      <c r="P17" s="587"/>
      <c r="Q17" s="587"/>
      <c r="R17" s="587"/>
      <c r="S17" s="587"/>
      <c r="T17" s="587"/>
      <c r="U17" s="587"/>
      <c r="V17" s="587"/>
      <c r="W17" s="587"/>
      <c r="X17" s="587"/>
      <c r="Y17" s="587"/>
      <c r="Z17" s="587"/>
    </row>
    <row r="18" spans="2:26">
      <c r="B18" s="587"/>
      <c r="C18" s="587"/>
      <c r="D18" s="587"/>
      <c r="E18" s="587"/>
      <c r="F18" s="587"/>
      <c r="G18" s="587"/>
      <c r="H18" s="587"/>
      <c r="I18" s="587"/>
      <c r="J18" s="587"/>
      <c r="K18" s="587"/>
      <c r="L18" s="587"/>
      <c r="M18" s="587"/>
      <c r="N18" s="587"/>
      <c r="O18" s="587"/>
      <c r="P18" s="587"/>
      <c r="Q18" s="587"/>
      <c r="R18" s="587"/>
      <c r="S18" s="587"/>
      <c r="T18" s="587"/>
      <c r="U18" s="587"/>
      <c r="V18" s="587"/>
      <c r="W18" s="587"/>
      <c r="X18" s="587"/>
      <c r="Y18" s="587"/>
      <c r="Z18" s="587"/>
    </row>
    <row r="19" spans="2:26">
      <c r="B19" s="587"/>
      <c r="C19" s="587"/>
      <c r="D19" s="587"/>
      <c r="E19" s="587"/>
      <c r="F19" s="587"/>
      <c r="G19" s="587"/>
      <c r="H19" s="587"/>
      <c r="I19" s="587"/>
      <c r="J19" s="587"/>
      <c r="K19" s="587"/>
      <c r="L19" s="587"/>
      <c r="M19" s="587"/>
      <c r="N19" s="587"/>
      <c r="O19" s="587"/>
      <c r="P19" s="587"/>
      <c r="Q19" s="587"/>
      <c r="R19" s="587"/>
      <c r="S19" s="587"/>
      <c r="T19" s="587"/>
      <c r="U19" s="587"/>
      <c r="V19" s="587"/>
      <c r="W19" s="587"/>
      <c r="X19" s="587"/>
      <c r="Y19" s="587"/>
      <c r="Z19" s="587"/>
    </row>
    <row r="20" spans="2:26">
      <c r="B20" s="587"/>
      <c r="C20" s="587"/>
      <c r="D20" s="587"/>
      <c r="E20" s="587"/>
      <c r="F20" s="587"/>
      <c r="G20" s="587"/>
      <c r="H20" s="587"/>
      <c r="I20" s="587"/>
      <c r="J20" s="587"/>
      <c r="K20" s="587"/>
      <c r="L20" s="587"/>
      <c r="M20" s="587"/>
      <c r="N20" s="587"/>
      <c r="O20" s="587"/>
      <c r="P20" s="587"/>
      <c r="Q20" s="587"/>
      <c r="R20" s="587"/>
      <c r="S20" s="587"/>
      <c r="T20" s="587"/>
      <c r="U20" s="587"/>
      <c r="V20" s="587"/>
      <c r="W20" s="587"/>
      <c r="X20" s="587"/>
      <c r="Y20" s="587"/>
      <c r="Z20" s="587"/>
    </row>
    <row r="21" spans="2:26">
      <c r="B21" s="587"/>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row>
    <row r="22" spans="2:26">
      <c r="B22" s="587"/>
      <c r="C22" s="587"/>
      <c r="D22" s="587"/>
      <c r="E22" s="587"/>
      <c r="F22" s="587"/>
      <c r="G22" s="587"/>
      <c r="H22" s="587"/>
      <c r="I22" s="587"/>
      <c r="J22" s="587"/>
      <c r="K22" s="587"/>
      <c r="L22" s="587"/>
      <c r="M22" s="587"/>
      <c r="N22" s="587"/>
      <c r="O22" s="587"/>
      <c r="P22" s="587"/>
      <c r="Q22" s="587"/>
      <c r="R22" s="587"/>
      <c r="S22" s="587"/>
      <c r="T22" s="587"/>
      <c r="U22" s="587"/>
      <c r="V22" s="587"/>
      <c r="W22" s="587"/>
      <c r="X22" s="587"/>
      <c r="Y22" s="587"/>
      <c r="Z22" s="587"/>
    </row>
    <row r="23" spans="2:26">
      <c r="B23" s="587"/>
      <c r="C23" s="587"/>
      <c r="D23" s="587"/>
      <c r="E23" s="587"/>
      <c r="F23" s="587"/>
      <c r="G23" s="587"/>
      <c r="H23" s="587"/>
      <c r="I23" s="587"/>
      <c r="J23" s="587"/>
      <c r="K23" s="587"/>
      <c r="L23" s="587"/>
      <c r="M23" s="587"/>
      <c r="N23" s="587"/>
      <c r="O23" s="587"/>
      <c r="P23" s="587"/>
      <c r="Q23" s="587"/>
      <c r="R23" s="587"/>
      <c r="S23" s="587"/>
      <c r="T23" s="587"/>
      <c r="U23" s="587"/>
      <c r="V23" s="587"/>
      <c r="W23" s="587"/>
      <c r="X23" s="587"/>
      <c r="Y23" s="587"/>
      <c r="Z23" s="587"/>
    </row>
    <row r="24" spans="2:26">
      <c r="B24" s="587"/>
      <c r="C24" s="587"/>
      <c r="D24" s="587"/>
      <c r="E24" s="587"/>
      <c r="F24" s="587"/>
      <c r="G24" s="587"/>
      <c r="H24" s="587"/>
      <c r="I24" s="587"/>
      <c r="J24" s="587"/>
      <c r="K24" s="587"/>
      <c r="L24" s="587"/>
      <c r="M24" s="587"/>
      <c r="N24" s="587"/>
      <c r="O24" s="587"/>
      <c r="P24" s="587"/>
      <c r="Q24" s="587"/>
      <c r="R24" s="587"/>
      <c r="S24" s="587"/>
      <c r="T24" s="587"/>
      <c r="U24" s="587"/>
      <c r="V24" s="587"/>
      <c r="W24" s="587"/>
      <c r="X24" s="587"/>
      <c r="Y24" s="587"/>
      <c r="Z24" s="587"/>
    </row>
    <row r="25" spans="2:26" ht="35.25" customHeight="1">
      <c r="B25" s="587"/>
      <c r="C25" s="589" t="s">
        <v>265</v>
      </c>
      <c r="D25" s="587"/>
      <c r="E25" s="587"/>
      <c r="F25" s="587"/>
      <c r="G25" s="587"/>
      <c r="H25" s="587"/>
      <c r="I25" s="587"/>
      <c r="J25" s="587"/>
      <c r="K25" s="587"/>
      <c r="L25" s="587"/>
      <c r="M25" s="587"/>
      <c r="N25" s="587"/>
      <c r="O25" s="587"/>
      <c r="P25" s="587"/>
      <c r="Q25" s="587"/>
      <c r="R25" s="587"/>
      <c r="S25" s="587"/>
      <c r="T25" s="587"/>
      <c r="U25" s="587"/>
      <c r="V25" s="587"/>
      <c r="W25" s="587"/>
      <c r="X25" s="587"/>
      <c r="Y25" s="587"/>
      <c r="Z25" s="587"/>
    </row>
    <row r="26" spans="2:26" ht="14.5">
      <c r="B26" s="587"/>
      <c r="C26" s="590" t="s">
        <v>264</v>
      </c>
      <c r="D26" s="587"/>
      <c r="E26" s="587"/>
      <c r="F26" s="587"/>
      <c r="G26" s="587"/>
      <c r="H26" s="587"/>
      <c r="I26" s="587"/>
      <c r="J26" s="587"/>
      <c r="K26" s="587"/>
      <c r="L26" s="587"/>
      <c r="M26" s="587"/>
      <c r="N26" s="587"/>
      <c r="O26" s="587"/>
      <c r="P26" s="587"/>
      <c r="Q26" s="587"/>
      <c r="R26" s="587"/>
      <c r="S26" s="587"/>
      <c r="T26" s="587"/>
      <c r="U26" s="587"/>
      <c r="V26" s="587"/>
      <c r="W26" s="587"/>
      <c r="X26" s="587"/>
      <c r="Y26" s="587"/>
      <c r="Z26" s="587"/>
    </row>
    <row r="27" spans="2:26">
      <c r="B27" s="587"/>
      <c r="C27" s="587"/>
      <c r="D27" s="587"/>
      <c r="E27" s="587"/>
      <c r="F27" s="587"/>
      <c r="G27" s="587"/>
      <c r="H27" s="587"/>
      <c r="I27" s="587"/>
      <c r="J27" s="587"/>
      <c r="K27" s="587"/>
      <c r="L27" s="587"/>
      <c r="M27" s="587"/>
      <c r="N27" s="587"/>
      <c r="O27" s="587"/>
      <c r="P27" s="587"/>
      <c r="Q27" s="587"/>
      <c r="R27" s="587"/>
      <c r="S27" s="587"/>
      <c r="T27" s="587"/>
      <c r="U27" s="587"/>
      <c r="V27" s="587"/>
      <c r="W27" s="587"/>
      <c r="X27" s="587"/>
      <c r="Y27" s="587"/>
      <c r="Z27" s="587"/>
    </row>
    <row r="28" spans="2:26">
      <c r="B28" s="587"/>
      <c r="C28" s="587"/>
      <c r="D28" s="587"/>
      <c r="E28" s="587"/>
      <c r="F28" s="587"/>
      <c r="G28" s="587"/>
      <c r="H28" s="587"/>
      <c r="I28" s="587"/>
      <c r="J28" s="587"/>
      <c r="K28" s="587"/>
      <c r="L28" s="587"/>
      <c r="M28" s="587"/>
      <c r="N28" s="587"/>
      <c r="O28" s="587"/>
      <c r="P28" s="587"/>
      <c r="Q28" s="587"/>
      <c r="R28" s="587"/>
      <c r="S28" s="587"/>
      <c r="T28" s="587"/>
      <c r="U28" s="587"/>
      <c r="V28" s="587"/>
      <c r="W28" s="587"/>
      <c r="X28" s="587"/>
      <c r="Y28" s="587"/>
      <c r="Z28" s="587"/>
    </row>
    <row r="29" spans="2:26">
      <c r="B29" s="587"/>
      <c r="C29" s="587"/>
      <c r="D29" s="587"/>
      <c r="E29" s="587"/>
      <c r="F29" s="587"/>
      <c r="G29" s="587"/>
      <c r="H29" s="587"/>
      <c r="I29" s="587"/>
      <c r="J29" s="587"/>
      <c r="K29" s="587"/>
      <c r="L29" s="587"/>
      <c r="M29" s="587"/>
      <c r="N29" s="587"/>
      <c r="O29" s="587"/>
      <c r="P29" s="587"/>
      <c r="Q29" s="587"/>
      <c r="R29" s="587"/>
      <c r="S29" s="587"/>
      <c r="T29" s="587"/>
      <c r="U29" s="587"/>
      <c r="V29" s="587"/>
      <c r="W29" s="587"/>
      <c r="X29" s="587"/>
      <c r="Y29" s="587"/>
      <c r="Z29" s="587"/>
    </row>
    <row r="30" spans="2:26">
      <c r="B30" s="587"/>
      <c r="C30" s="587"/>
      <c r="D30" s="587"/>
      <c r="E30" s="587"/>
      <c r="F30" s="587"/>
      <c r="G30" s="587"/>
      <c r="H30" s="587"/>
      <c r="I30" s="587"/>
      <c r="J30" s="587"/>
      <c r="K30" s="587"/>
      <c r="L30" s="587"/>
      <c r="M30" s="587"/>
      <c r="N30" s="587"/>
      <c r="O30" s="587"/>
      <c r="P30" s="587"/>
      <c r="Q30" s="587"/>
      <c r="R30" s="587"/>
      <c r="S30" s="587"/>
      <c r="T30" s="587"/>
      <c r="U30" s="587"/>
      <c r="V30" s="587"/>
      <c r="W30" s="587"/>
      <c r="X30" s="587"/>
      <c r="Y30" s="587"/>
      <c r="Z30" s="587"/>
    </row>
    <row r="31" spans="2:26">
      <c r="B31" s="587"/>
      <c r="C31" s="587"/>
      <c r="D31" s="587"/>
      <c r="E31" s="587"/>
      <c r="F31" s="587"/>
      <c r="G31" s="587"/>
      <c r="H31" s="587"/>
      <c r="I31" s="587"/>
      <c r="J31" s="587"/>
      <c r="K31" s="587"/>
      <c r="L31" s="587"/>
      <c r="M31" s="587"/>
      <c r="N31" s="587"/>
      <c r="O31" s="587"/>
      <c r="P31" s="587"/>
      <c r="Q31" s="587"/>
      <c r="R31" s="587"/>
      <c r="S31" s="587"/>
      <c r="T31" s="587"/>
      <c r="U31" s="587"/>
      <c r="V31" s="587"/>
      <c r="W31" s="587"/>
      <c r="X31" s="587"/>
      <c r="Y31" s="587"/>
      <c r="Z31" s="587"/>
    </row>
    <row r="32" spans="2:26">
      <c r="B32" s="587"/>
      <c r="C32" s="587"/>
      <c r="D32" s="587"/>
      <c r="E32" s="587"/>
      <c r="F32" s="587"/>
      <c r="G32" s="587"/>
      <c r="H32" s="587"/>
      <c r="I32" s="587"/>
      <c r="J32" s="587"/>
      <c r="K32" s="587"/>
      <c r="L32" s="587"/>
      <c r="M32" s="587"/>
      <c r="N32" s="587"/>
      <c r="O32" s="587"/>
      <c r="P32" s="587"/>
      <c r="Q32" s="587"/>
      <c r="R32" s="587"/>
      <c r="S32" s="587"/>
      <c r="T32" s="587"/>
      <c r="U32" s="587"/>
      <c r="V32" s="587"/>
      <c r="W32" s="587"/>
      <c r="X32" s="587"/>
      <c r="Y32" s="587"/>
      <c r="Z32" s="587"/>
    </row>
    <row r="33" spans="2:26">
      <c r="B33" s="587"/>
      <c r="C33" s="587"/>
      <c r="D33" s="587"/>
      <c r="E33" s="587"/>
      <c r="F33" s="587"/>
      <c r="G33" s="587"/>
      <c r="H33" s="587"/>
      <c r="I33" s="587"/>
      <c r="J33" s="587"/>
      <c r="K33" s="587"/>
      <c r="L33" s="587"/>
      <c r="M33" s="587"/>
      <c r="N33" s="587"/>
      <c r="O33" s="587"/>
      <c r="P33" s="587"/>
      <c r="Q33" s="587"/>
      <c r="R33" s="587"/>
      <c r="S33" s="587"/>
      <c r="T33" s="587"/>
      <c r="U33" s="587"/>
      <c r="V33" s="587"/>
      <c r="W33" s="587"/>
      <c r="X33" s="587"/>
      <c r="Y33" s="587"/>
      <c r="Z33" s="587"/>
    </row>
    <row r="34" spans="2:26">
      <c r="B34" s="587"/>
      <c r="C34" s="587"/>
      <c r="D34" s="587"/>
      <c r="E34" s="587"/>
      <c r="F34" s="587"/>
      <c r="G34" s="587"/>
      <c r="H34" s="587"/>
      <c r="I34" s="587"/>
      <c r="J34" s="587"/>
      <c r="K34" s="587"/>
      <c r="L34" s="587"/>
      <c r="M34" s="587"/>
      <c r="N34" s="587"/>
      <c r="O34" s="587"/>
      <c r="P34" s="587"/>
      <c r="Q34" s="587"/>
      <c r="R34" s="587"/>
      <c r="S34" s="587"/>
      <c r="T34" s="587"/>
      <c r="U34" s="587"/>
      <c r="V34" s="587"/>
      <c r="W34" s="587"/>
      <c r="X34" s="587"/>
      <c r="Y34" s="587"/>
      <c r="Z34" s="587"/>
    </row>
    <row r="35" spans="2:26">
      <c r="B35" s="587"/>
      <c r="C35" s="587"/>
      <c r="D35" s="587"/>
      <c r="E35" s="587"/>
      <c r="F35" s="587"/>
      <c r="G35" s="587"/>
      <c r="H35" s="587"/>
      <c r="I35" s="587"/>
      <c r="J35" s="587"/>
      <c r="K35" s="587"/>
      <c r="L35" s="587"/>
      <c r="M35" s="587"/>
      <c r="N35" s="587"/>
      <c r="O35" s="587"/>
      <c r="P35" s="587"/>
      <c r="Q35" s="587"/>
      <c r="R35" s="587"/>
      <c r="S35" s="587"/>
      <c r="T35" s="587"/>
      <c r="U35" s="587"/>
      <c r="V35" s="587"/>
      <c r="W35" s="587"/>
      <c r="X35" s="587"/>
      <c r="Y35" s="587"/>
      <c r="Z35" s="587"/>
    </row>
    <row r="36" spans="2:26">
      <c r="B36" s="587"/>
      <c r="C36" s="587"/>
      <c r="D36" s="587"/>
      <c r="E36" s="587"/>
      <c r="F36" s="587"/>
      <c r="G36" s="587"/>
      <c r="H36" s="587"/>
      <c r="I36" s="587"/>
      <c r="J36" s="587"/>
      <c r="K36" s="587"/>
      <c r="L36" s="587"/>
      <c r="M36" s="587"/>
      <c r="N36" s="587"/>
      <c r="O36" s="587"/>
      <c r="P36" s="587"/>
      <c r="Q36" s="587"/>
      <c r="R36" s="587"/>
      <c r="S36" s="587"/>
      <c r="T36" s="587"/>
      <c r="U36" s="587"/>
      <c r="V36" s="587"/>
      <c r="W36" s="587"/>
      <c r="X36" s="587"/>
      <c r="Y36" s="587"/>
      <c r="Z36" s="587"/>
    </row>
    <row r="37" spans="2:26">
      <c r="B37" s="587"/>
      <c r="C37" s="587"/>
      <c r="D37" s="587"/>
      <c r="E37" s="587"/>
      <c r="F37" s="587"/>
      <c r="G37" s="587"/>
      <c r="H37" s="587"/>
      <c r="I37" s="587"/>
      <c r="J37" s="587"/>
      <c r="K37" s="587"/>
      <c r="L37" s="587"/>
      <c r="M37" s="587"/>
      <c r="N37" s="587"/>
      <c r="O37" s="587"/>
      <c r="P37" s="587"/>
      <c r="Q37" s="587"/>
      <c r="R37" s="587"/>
      <c r="S37" s="587"/>
      <c r="T37" s="587"/>
      <c r="U37" s="587"/>
      <c r="V37" s="587"/>
      <c r="W37" s="587"/>
      <c r="X37" s="587"/>
      <c r="Y37" s="587"/>
      <c r="Z37" s="587"/>
    </row>
    <row r="38" spans="2:26">
      <c r="B38" s="587"/>
      <c r="C38" s="587"/>
      <c r="D38" s="587"/>
      <c r="E38" s="587"/>
      <c r="F38" s="587"/>
      <c r="G38" s="587"/>
      <c r="H38" s="587"/>
      <c r="I38" s="587"/>
      <c r="J38" s="587"/>
      <c r="K38" s="587"/>
      <c r="L38" s="587"/>
      <c r="M38" s="587"/>
      <c r="N38" s="587"/>
      <c r="O38" s="587"/>
      <c r="P38" s="587"/>
      <c r="Q38" s="587"/>
      <c r="R38" s="587"/>
      <c r="S38" s="587"/>
      <c r="T38" s="587"/>
      <c r="U38" s="587"/>
      <c r="V38" s="587"/>
      <c r="W38" s="587"/>
      <c r="X38" s="587"/>
      <c r="Y38" s="587"/>
      <c r="Z38" s="587"/>
    </row>
    <row r="39" spans="2:26">
      <c r="B39" s="587"/>
      <c r="C39" s="587"/>
      <c r="D39" s="587"/>
      <c r="E39" s="587"/>
      <c r="F39" s="587"/>
      <c r="G39" s="587"/>
      <c r="H39" s="587"/>
      <c r="I39" s="587"/>
      <c r="J39" s="587"/>
      <c r="K39" s="587"/>
      <c r="L39" s="587"/>
      <c r="M39" s="587"/>
      <c r="N39" s="587"/>
      <c r="O39" s="587"/>
      <c r="P39" s="587"/>
      <c r="Q39" s="587"/>
      <c r="R39" s="587"/>
      <c r="S39" s="587"/>
      <c r="T39" s="587"/>
      <c r="U39" s="587"/>
      <c r="V39" s="587"/>
      <c r="W39" s="587"/>
      <c r="X39" s="587"/>
      <c r="Y39" s="587"/>
      <c r="Z39" s="587"/>
    </row>
    <row r="40" spans="2:26">
      <c r="B40" s="587"/>
      <c r="C40" s="587"/>
      <c r="D40" s="587"/>
      <c r="E40" s="587"/>
      <c r="F40" s="587"/>
      <c r="G40" s="587"/>
      <c r="H40" s="587"/>
      <c r="I40" s="587"/>
      <c r="J40" s="587"/>
      <c r="K40" s="587"/>
      <c r="L40" s="587"/>
      <c r="M40" s="587"/>
      <c r="N40" s="587"/>
      <c r="O40" s="587"/>
      <c r="P40" s="587"/>
      <c r="Q40" s="587"/>
      <c r="R40" s="587"/>
      <c r="S40" s="587"/>
      <c r="T40" s="587"/>
      <c r="U40" s="587"/>
      <c r="V40" s="587"/>
      <c r="W40" s="587"/>
      <c r="X40" s="587"/>
      <c r="Y40" s="587"/>
      <c r="Z40" s="587"/>
    </row>
    <row r="41" spans="2:26">
      <c r="B41" s="587"/>
      <c r="C41" s="587"/>
      <c r="D41" s="587"/>
      <c r="E41" s="587"/>
      <c r="F41" s="587"/>
      <c r="G41" s="587"/>
      <c r="H41" s="587"/>
      <c r="I41" s="587"/>
      <c r="J41" s="587"/>
      <c r="K41" s="587"/>
      <c r="L41" s="587"/>
      <c r="M41" s="587"/>
      <c r="N41" s="587"/>
      <c r="O41" s="587"/>
      <c r="P41" s="587"/>
      <c r="Q41" s="587"/>
      <c r="R41" s="587"/>
      <c r="S41" s="587"/>
      <c r="T41" s="587"/>
      <c r="U41" s="587"/>
      <c r="V41" s="587"/>
      <c r="W41" s="587"/>
      <c r="X41" s="587"/>
      <c r="Y41" s="587"/>
      <c r="Z41" s="587"/>
    </row>
    <row r="42" spans="2:26">
      <c r="B42" s="587"/>
      <c r="C42" s="587"/>
      <c r="D42" s="587"/>
      <c r="E42" s="587"/>
      <c r="F42" s="587"/>
      <c r="G42" s="587"/>
      <c r="H42" s="587"/>
      <c r="I42" s="587"/>
      <c r="J42" s="587"/>
      <c r="K42" s="587"/>
      <c r="L42" s="587"/>
      <c r="M42" s="587"/>
      <c r="N42" s="587"/>
      <c r="O42" s="587"/>
      <c r="P42" s="587"/>
      <c r="Q42" s="587"/>
      <c r="R42" s="587"/>
      <c r="S42" s="587"/>
      <c r="T42" s="587"/>
      <c r="U42" s="587"/>
      <c r="V42" s="587"/>
      <c r="W42" s="587"/>
      <c r="X42" s="587"/>
      <c r="Y42" s="587"/>
      <c r="Z42" s="587"/>
    </row>
    <row r="43" spans="2:26">
      <c r="B43" s="587"/>
      <c r="C43" s="587"/>
      <c r="D43" s="587"/>
      <c r="E43" s="587"/>
      <c r="F43" s="587"/>
      <c r="G43" s="587"/>
      <c r="H43" s="587"/>
      <c r="I43" s="587"/>
      <c r="J43" s="587"/>
      <c r="K43" s="587"/>
      <c r="L43" s="587"/>
      <c r="M43" s="587"/>
      <c r="N43" s="587"/>
      <c r="O43" s="587"/>
      <c r="P43" s="587"/>
      <c r="Q43" s="587"/>
      <c r="R43" s="587"/>
      <c r="S43" s="587"/>
      <c r="T43" s="587"/>
      <c r="U43" s="587"/>
      <c r="V43" s="587"/>
      <c r="W43" s="587"/>
      <c r="X43" s="587"/>
      <c r="Y43" s="587"/>
      <c r="Z43" s="587"/>
    </row>
    <row r="44" spans="2:26">
      <c r="B44" s="587"/>
      <c r="C44" s="587"/>
      <c r="D44" s="587"/>
      <c r="E44" s="587"/>
      <c r="F44" s="587"/>
      <c r="G44" s="587"/>
      <c r="H44" s="587"/>
      <c r="I44" s="587"/>
      <c r="J44" s="587"/>
      <c r="K44" s="587"/>
      <c r="L44" s="587"/>
      <c r="M44" s="587"/>
      <c r="N44" s="587"/>
      <c r="O44" s="587"/>
      <c r="P44" s="587"/>
      <c r="Q44" s="587"/>
      <c r="R44" s="587"/>
      <c r="S44" s="587"/>
      <c r="T44" s="587"/>
      <c r="U44" s="587"/>
      <c r="V44" s="587"/>
      <c r="W44" s="587"/>
      <c r="X44" s="587"/>
      <c r="Y44" s="587"/>
      <c r="Z44" s="587"/>
    </row>
    <row r="45" spans="2:26">
      <c r="B45" s="587"/>
      <c r="C45" s="587"/>
      <c r="D45" s="587"/>
      <c r="E45" s="587"/>
      <c r="F45" s="587"/>
      <c r="G45" s="587"/>
      <c r="H45" s="587"/>
      <c r="I45" s="587"/>
      <c r="J45" s="587"/>
      <c r="K45" s="587"/>
      <c r="L45" s="587"/>
      <c r="M45" s="587"/>
      <c r="N45" s="587"/>
      <c r="O45" s="587"/>
      <c r="P45" s="587"/>
      <c r="Q45" s="587"/>
      <c r="R45" s="587"/>
      <c r="S45" s="587"/>
      <c r="T45" s="587"/>
      <c r="U45" s="587"/>
      <c r="V45" s="587"/>
      <c r="W45" s="587"/>
      <c r="X45" s="587"/>
      <c r="Y45" s="587"/>
      <c r="Z45" s="587"/>
    </row>
    <row r="46" spans="2:26">
      <c r="B46" s="587"/>
      <c r="C46" s="587"/>
      <c r="D46" s="587"/>
      <c r="E46" s="587"/>
      <c r="F46" s="587"/>
      <c r="G46" s="587"/>
      <c r="H46" s="587"/>
      <c r="I46" s="587"/>
      <c r="J46" s="587"/>
      <c r="K46" s="587"/>
      <c r="L46" s="587"/>
      <c r="M46" s="587"/>
      <c r="N46" s="587"/>
      <c r="O46" s="587"/>
      <c r="P46" s="587"/>
      <c r="Q46" s="587"/>
      <c r="R46" s="587"/>
      <c r="S46" s="587"/>
      <c r="T46" s="587"/>
      <c r="U46" s="587"/>
      <c r="V46" s="587"/>
      <c r="W46" s="587"/>
      <c r="X46" s="587"/>
      <c r="Y46" s="587"/>
      <c r="Z46" s="587"/>
    </row>
    <row r="47" spans="2:26">
      <c r="B47" s="587"/>
      <c r="C47" s="587"/>
      <c r="D47" s="587"/>
      <c r="E47" s="587"/>
      <c r="F47" s="587"/>
      <c r="G47" s="587"/>
      <c r="H47" s="587"/>
      <c r="I47" s="587"/>
      <c r="J47" s="587"/>
      <c r="K47" s="587"/>
      <c r="L47" s="587"/>
      <c r="M47" s="587"/>
      <c r="N47" s="587"/>
      <c r="O47" s="587"/>
      <c r="P47" s="587"/>
      <c r="Q47" s="587"/>
      <c r="R47" s="587"/>
      <c r="S47" s="587"/>
      <c r="T47" s="587"/>
      <c r="U47" s="587"/>
      <c r="V47" s="587"/>
      <c r="W47" s="587"/>
      <c r="X47" s="587"/>
      <c r="Y47" s="587"/>
      <c r="Z47" s="587"/>
    </row>
    <row r="48" spans="2:26">
      <c r="B48" s="587"/>
      <c r="C48" s="587"/>
      <c r="D48" s="587"/>
      <c r="E48" s="587"/>
      <c r="F48" s="587"/>
      <c r="G48" s="587"/>
      <c r="H48" s="587"/>
      <c r="I48" s="587"/>
      <c r="J48" s="587"/>
      <c r="K48" s="587"/>
      <c r="L48" s="587"/>
      <c r="M48" s="587"/>
      <c r="N48" s="587"/>
      <c r="O48" s="587"/>
      <c r="P48" s="587"/>
      <c r="Q48" s="587"/>
      <c r="R48" s="587"/>
      <c r="S48" s="587"/>
      <c r="T48" s="587"/>
      <c r="U48" s="587"/>
      <c r="V48" s="587"/>
      <c r="W48" s="587"/>
      <c r="X48" s="587"/>
      <c r="Y48" s="587"/>
      <c r="Z48" s="587"/>
    </row>
    <row r="49" spans="2:26" ht="41.25" customHeight="1">
      <c r="B49" s="587"/>
      <c r="C49" s="587"/>
      <c r="D49" s="587"/>
      <c r="E49" s="587"/>
      <c r="F49" s="587"/>
      <c r="G49" s="587"/>
      <c r="H49" s="587"/>
      <c r="I49" s="587"/>
      <c r="J49" s="587"/>
      <c r="K49" s="587"/>
      <c r="L49" s="587"/>
      <c r="M49" s="587"/>
      <c r="N49" s="587"/>
      <c r="O49" s="587"/>
      <c r="P49" s="587"/>
      <c r="Q49" s="587"/>
      <c r="R49" s="587"/>
      <c r="S49" s="587"/>
      <c r="T49" s="587"/>
      <c r="U49" s="587"/>
      <c r="V49" s="587"/>
      <c r="W49" s="587"/>
      <c r="X49" s="587"/>
      <c r="Y49" s="587"/>
      <c r="Z49" s="587"/>
    </row>
    <row r="50" spans="2:26" ht="45" customHeight="1">
      <c r="B50" s="587"/>
      <c r="C50" s="584"/>
      <c r="D50" s="584"/>
      <c r="E50" s="1093" t="s">
        <v>266</v>
      </c>
      <c r="F50" s="1093"/>
      <c r="G50" s="1093"/>
      <c r="H50" s="1093"/>
      <c r="I50" s="1093"/>
      <c r="J50" s="1093"/>
      <c r="K50" s="1093"/>
      <c r="L50" s="1093"/>
      <c r="M50" s="1093"/>
      <c r="N50" s="1093"/>
      <c r="O50" s="1093"/>
      <c r="P50" s="1093"/>
      <c r="Q50" s="1093"/>
      <c r="R50" s="1093"/>
      <c r="S50" s="1093"/>
      <c r="T50" s="1093"/>
      <c r="U50" s="1093"/>
      <c r="V50" s="1093"/>
      <c r="W50" s="584"/>
      <c r="X50" s="584"/>
      <c r="Y50" s="584"/>
      <c r="Z50" s="587"/>
    </row>
    <row r="51" spans="2:26" ht="35.25" customHeight="1">
      <c r="B51" s="587"/>
      <c r="C51" s="589" t="s">
        <v>263</v>
      </c>
      <c r="D51" s="587"/>
      <c r="E51" s="587"/>
      <c r="F51" s="587"/>
      <c r="G51" s="587"/>
      <c r="H51" s="587"/>
      <c r="I51" s="587"/>
      <c r="J51" s="587"/>
      <c r="K51" s="587"/>
      <c r="L51" s="587"/>
      <c r="M51" s="587"/>
      <c r="N51" s="587"/>
      <c r="O51" s="587"/>
      <c r="P51" s="587"/>
      <c r="Q51" s="587"/>
      <c r="R51" s="587"/>
      <c r="S51" s="587"/>
      <c r="T51" s="587"/>
      <c r="U51" s="587"/>
      <c r="V51" s="587"/>
      <c r="W51" s="587"/>
      <c r="X51" s="587"/>
      <c r="Y51" s="587"/>
      <c r="Z51" s="587"/>
    </row>
    <row r="52" spans="2:26" ht="14.5">
      <c r="B52" s="587"/>
      <c r="C52" s="588" t="s">
        <v>264</v>
      </c>
      <c r="D52" s="587"/>
      <c r="E52" s="587"/>
      <c r="F52" s="587"/>
      <c r="G52" s="587"/>
      <c r="H52" s="587"/>
      <c r="I52" s="587"/>
      <c r="J52" s="587"/>
      <c r="K52" s="587"/>
      <c r="L52" s="587"/>
      <c r="M52" s="587"/>
      <c r="N52" s="587"/>
      <c r="O52" s="587"/>
      <c r="P52" s="587"/>
      <c r="Q52" s="587"/>
      <c r="R52" s="587"/>
      <c r="S52" s="587"/>
      <c r="T52" s="587"/>
      <c r="U52" s="587"/>
      <c r="V52" s="587"/>
      <c r="W52" s="587"/>
      <c r="X52" s="587"/>
      <c r="Y52" s="587"/>
      <c r="Z52" s="587"/>
    </row>
    <row r="53" spans="2:26" ht="9" customHeight="1">
      <c r="B53" s="587"/>
      <c r="C53" s="587"/>
      <c r="D53" s="587"/>
      <c r="E53" s="587"/>
      <c r="F53" s="587"/>
      <c r="G53" s="587"/>
      <c r="H53" s="587"/>
      <c r="I53" s="587"/>
      <c r="J53" s="587"/>
      <c r="K53" s="587"/>
      <c r="L53" s="587"/>
      <c r="M53" s="587"/>
      <c r="N53" s="587"/>
      <c r="O53" s="587"/>
      <c r="P53" s="587"/>
      <c r="Q53" s="587"/>
      <c r="R53" s="587"/>
      <c r="S53" s="587"/>
      <c r="T53" s="587"/>
      <c r="U53" s="587"/>
      <c r="V53" s="587"/>
      <c r="W53" s="587"/>
      <c r="X53" s="587"/>
      <c r="Y53" s="587"/>
      <c r="Z53" s="587"/>
    </row>
    <row r="54" spans="2:26">
      <c r="B54" s="587"/>
      <c r="C54" s="587"/>
      <c r="D54" s="587"/>
      <c r="E54" s="587"/>
      <c r="F54" s="587"/>
      <c r="G54" s="587"/>
      <c r="H54" s="587"/>
      <c r="I54" s="587"/>
      <c r="J54" s="587"/>
      <c r="K54" s="587"/>
      <c r="L54" s="587"/>
      <c r="M54" s="587"/>
      <c r="N54" s="587"/>
      <c r="O54" s="587"/>
      <c r="P54" s="587"/>
      <c r="Q54" s="587"/>
      <c r="R54" s="587"/>
      <c r="S54" s="587"/>
      <c r="T54" s="587"/>
      <c r="U54" s="587"/>
      <c r="V54" s="587"/>
      <c r="W54" s="587"/>
      <c r="X54" s="587"/>
      <c r="Y54" s="587"/>
      <c r="Z54" s="587"/>
    </row>
    <row r="55" spans="2:26">
      <c r="B55" s="587"/>
      <c r="C55" s="587"/>
      <c r="D55" s="587"/>
      <c r="E55" s="587"/>
      <c r="F55" s="587"/>
      <c r="G55" s="587"/>
      <c r="H55" s="587"/>
      <c r="I55" s="587"/>
      <c r="J55" s="587"/>
      <c r="K55" s="587"/>
      <c r="L55" s="587"/>
      <c r="M55" s="587"/>
      <c r="N55" s="587"/>
      <c r="O55" s="587"/>
      <c r="P55" s="587"/>
      <c r="Q55" s="587"/>
      <c r="R55" s="587"/>
      <c r="S55" s="587"/>
      <c r="T55" s="587"/>
      <c r="U55" s="587"/>
      <c r="V55" s="587"/>
      <c r="W55" s="587"/>
      <c r="X55" s="587"/>
      <c r="Y55" s="587"/>
      <c r="Z55" s="587"/>
    </row>
    <row r="56" spans="2:26">
      <c r="B56" s="587"/>
      <c r="C56" s="587"/>
      <c r="D56" s="587"/>
      <c r="E56" s="587"/>
      <c r="F56" s="587"/>
      <c r="G56" s="587"/>
      <c r="H56" s="587"/>
      <c r="I56" s="587"/>
      <c r="J56" s="587"/>
      <c r="K56" s="587"/>
      <c r="L56" s="587"/>
      <c r="M56" s="587"/>
      <c r="N56" s="587"/>
      <c r="O56" s="587"/>
      <c r="P56" s="587"/>
      <c r="Q56" s="587"/>
      <c r="R56" s="587"/>
      <c r="S56" s="587"/>
      <c r="T56" s="587"/>
      <c r="U56" s="587"/>
      <c r="V56" s="587"/>
      <c r="W56" s="587"/>
      <c r="X56" s="587"/>
      <c r="Y56" s="587"/>
      <c r="Z56" s="587"/>
    </row>
    <row r="57" spans="2:26">
      <c r="B57" s="587"/>
      <c r="C57" s="587"/>
      <c r="D57" s="587"/>
      <c r="E57" s="587"/>
      <c r="F57" s="587"/>
      <c r="G57" s="587"/>
      <c r="H57" s="587"/>
      <c r="I57" s="587"/>
      <c r="J57" s="587"/>
      <c r="K57" s="587"/>
      <c r="L57" s="587"/>
      <c r="M57" s="587"/>
      <c r="N57" s="587"/>
      <c r="O57" s="587"/>
      <c r="P57" s="587"/>
      <c r="Q57" s="587"/>
      <c r="R57" s="587"/>
      <c r="S57" s="587"/>
      <c r="T57" s="587"/>
      <c r="U57" s="587"/>
      <c r="V57" s="587"/>
      <c r="W57" s="587"/>
      <c r="X57" s="587"/>
      <c r="Y57" s="587"/>
      <c r="Z57" s="587"/>
    </row>
    <row r="58" spans="2:26">
      <c r="B58" s="587"/>
      <c r="C58" s="587"/>
      <c r="D58" s="587"/>
      <c r="E58" s="587"/>
      <c r="F58" s="587"/>
      <c r="G58" s="587"/>
      <c r="H58" s="587"/>
      <c r="I58" s="587"/>
      <c r="J58" s="587"/>
      <c r="K58" s="587"/>
      <c r="L58" s="587"/>
      <c r="M58" s="587"/>
      <c r="N58" s="587"/>
      <c r="O58" s="587"/>
      <c r="P58" s="587"/>
      <c r="Q58" s="587"/>
      <c r="R58" s="587"/>
      <c r="S58" s="587"/>
      <c r="T58" s="587"/>
      <c r="U58" s="587"/>
      <c r="V58" s="587"/>
      <c r="W58" s="587"/>
      <c r="X58" s="587"/>
      <c r="Y58" s="587"/>
      <c r="Z58" s="587"/>
    </row>
    <row r="59" spans="2:26">
      <c r="B59" s="587"/>
      <c r="C59" s="587"/>
      <c r="D59" s="587"/>
      <c r="E59" s="587"/>
      <c r="F59" s="587"/>
      <c r="G59" s="587"/>
      <c r="H59" s="587"/>
      <c r="I59" s="587"/>
      <c r="J59" s="587"/>
      <c r="K59" s="587"/>
      <c r="L59" s="587"/>
      <c r="M59" s="587"/>
      <c r="N59" s="587"/>
      <c r="O59" s="587"/>
      <c r="P59" s="587"/>
      <c r="Q59" s="587"/>
      <c r="R59" s="587"/>
      <c r="S59" s="587"/>
      <c r="T59" s="587"/>
      <c r="U59" s="587"/>
      <c r="V59" s="587"/>
      <c r="W59" s="587"/>
      <c r="X59" s="587"/>
      <c r="Y59" s="587"/>
      <c r="Z59" s="587"/>
    </row>
    <row r="60" spans="2:26">
      <c r="B60" s="587"/>
      <c r="C60" s="587"/>
      <c r="D60" s="587"/>
      <c r="E60" s="587"/>
      <c r="F60" s="587"/>
      <c r="G60" s="587"/>
      <c r="H60" s="587"/>
      <c r="I60" s="587"/>
      <c r="J60" s="587"/>
      <c r="K60" s="587"/>
      <c r="L60" s="587"/>
      <c r="M60" s="587"/>
      <c r="N60" s="587"/>
      <c r="O60" s="587"/>
      <c r="P60" s="587"/>
      <c r="Q60" s="587"/>
      <c r="R60" s="587"/>
      <c r="S60" s="587"/>
      <c r="T60" s="587"/>
      <c r="U60" s="587"/>
      <c r="V60" s="587"/>
      <c r="W60" s="587"/>
      <c r="X60" s="587"/>
      <c r="Y60" s="587"/>
      <c r="Z60" s="587"/>
    </row>
    <row r="61" spans="2:26">
      <c r="B61" s="587"/>
      <c r="C61" s="587"/>
      <c r="D61" s="587"/>
      <c r="E61" s="587"/>
      <c r="F61" s="587"/>
      <c r="G61" s="587"/>
      <c r="H61" s="587"/>
      <c r="I61" s="587"/>
      <c r="J61" s="587"/>
      <c r="K61" s="587"/>
      <c r="L61" s="587"/>
      <c r="M61" s="587"/>
      <c r="N61" s="587"/>
      <c r="O61" s="587"/>
      <c r="P61" s="587"/>
      <c r="Q61" s="587"/>
      <c r="R61" s="587"/>
      <c r="S61" s="587"/>
      <c r="T61" s="587"/>
      <c r="U61" s="587"/>
      <c r="V61" s="587"/>
      <c r="W61" s="587"/>
      <c r="X61" s="587"/>
      <c r="Y61" s="587"/>
      <c r="Z61" s="587"/>
    </row>
    <row r="62" spans="2:26">
      <c r="B62" s="587"/>
      <c r="C62" s="587"/>
      <c r="D62" s="587"/>
      <c r="E62" s="587"/>
      <c r="F62" s="587"/>
      <c r="G62" s="587"/>
      <c r="H62" s="587"/>
      <c r="I62" s="587"/>
      <c r="J62" s="587"/>
      <c r="K62" s="587"/>
      <c r="L62" s="587"/>
      <c r="M62" s="587"/>
      <c r="N62" s="587"/>
      <c r="O62" s="587"/>
      <c r="P62" s="587"/>
      <c r="Q62" s="587"/>
      <c r="R62" s="587"/>
      <c r="S62" s="587"/>
      <c r="T62" s="587"/>
      <c r="U62" s="587"/>
      <c r="V62" s="587"/>
      <c r="W62" s="587"/>
      <c r="X62" s="587"/>
      <c r="Y62" s="587"/>
      <c r="Z62" s="587"/>
    </row>
    <row r="63" spans="2:26">
      <c r="B63" s="587"/>
      <c r="C63" s="587"/>
      <c r="D63" s="587"/>
      <c r="E63" s="587"/>
      <c r="F63" s="587"/>
      <c r="G63" s="587"/>
      <c r="H63" s="587"/>
      <c r="I63" s="587"/>
      <c r="J63" s="587"/>
      <c r="K63" s="587"/>
      <c r="L63" s="587"/>
      <c r="M63" s="587"/>
      <c r="N63" s="587"/>
      <c r="O63" s="587"/>
      <c r="P63" s="587"/>
      <c r="Q63" s="587"/>
      <c r="R63" s="587"/>
      <c r="S63" s="587"/>
      <c r="T63" s="587"/>
      <c r="U63" s="587"/>
      <c r="V63" s="587"/>
      <c r="W63" s="587"/>
      <c r="X63" s="587"/>
      <c r="Y63" s="587"/>
      <c r="Z63" s="587"/>
    </row>
    <row r="64" spans="2:26">
      <c r="B64" s="587"/>
      <c r="C64" s="587"/>
      <c r="D64" s="587"/>
      <c r="E64" s="587"/>
      <c r="F64" s="587"/>
      <c r="G64" s="587"/>
      <c r="H64" s="587"/>
      <c r="I64" s="587"/>
      <c r="J64" s="587"/>
      <c r="K64" s="587"/>
      <c r="L64" s="587"/>
      <c r="M64" s="587"/>
      <c r="N64" s="587"/>
      <c r="O64" s="587"/>
      <c r="P64" s="587"/>
      <c r="Q64" s="587"/>
      <c r="R64" s="587"/>
      <c r="S64" s="587"/>
      <c r="T64" s="587"/>
      <c r="U64" s="587"/>
      <c r="V64" s="587"/>
      <c r="W64" s="587"/>
      <c r="X64" s="587"/>
      <c r="Y64" s="587"/>
      <c r="Z64" s="587"/>
    </row>
    <row r="65" spans="2:26">
      <c r="B65" s="587"/>
      <c r="C65" s="587"/>
      <c r="D65" s="587"/>
      <c r="E65" s="587"/>
      <c r="F65" s="587"/>
      <c r="G65" s="587"/>
      <c r="H65" s="587"/>
      <c r="I65" s="587"/>
      <c r="J65" s="587"/>
      <c r="K65" s="587"/>
      <c r="L65" s="587"/>
      <c r="M65" s="587"/>
      <c r="N65" s="587"/>
      <c r="O65" s="587"/>
      <c r="P65" s="587"/>
      <c r="Q65" s="587"/>
      <c r="R65" s="587"/>
      <c r="S65" s="587"/>
      <c r="T65" s="587"/>
      <c r="U65" s="587"/>
      <c r="V65" s="587"/>
      <c r="W65" s="587"/>
      <c r="X65" s="587"/>
      <c r="Y65" s="587"/>
      <c r="Z65" s="587"/>
    </row>
    <row r="66" spans="2:26">
      <c r="B66" s="587"/>
      <c r="C66" s="587"/>
      <c r="D66" s="587"/>
      <c r="E66" s="587"/>
      <c r="F66" s="587"/>
      <c r="G66" s="587"/>
      <c r="H66" s="587"/>
      <c r="I66" s="587"/>
      <c r="J66" s="587"/>
      <c r="K66" s="587"/>
      <c r="L66" s="587"/>
      <c r="M66" s="587"/>
      <c r="N66" s="587"/>
      <c r="O66" s="587"/>
      <c r="P66" s="587"/>
      <c r="Q66" s="587"/>
      <c r="R66" s="587"/>
      <c r="S66" s="587"/>
      <c r="T66" s="587"/>
      <c r="U66" s="587"/>
      <c r="V66" s="587"/>
      <c r="W66" s="587"/>
      <c r="X66" s="587"/>
      <c r="Y66" s="587"/>
      <c r="Z66" s="587"/>
    </row>
    <row r="67" spans="2:26">
      <c r="B67" s="587"/>
      <c r="C67" s="587"/>
      <c r="D67" s="587"/>
      <c r="E67" s="587"/>
      <c r="F67" s="587"/>
      <c r="G67" s="587"/>
      <c r="H67" s="587"/>
      <c r="I67" s="587"/>
      <c r="J67" s="587"/>
      <c r="K67" s="587"/>
      <c r="L67" s="587"/>
      <c r="M67" s="587"/>
      <c r="N67" s="587"/>
      <c r="O67" s="587"/>
      <c r="P67" s="587"/>
      <c r="Q67" s="587"/>
      <c r="R67" s="587"/>
      <c r="S67" s="587"/>
      <c r="T67" s="587"/>
      <c r="U67" s="587"/>
      <c r="V67" s="587"/>
      <c r="W67" s="587"/>
      <c r="X67" s="587"/>
      <c r="Y67" s="587"/>
      <c r="Z67" s="587"/>
    </row>
    <row r="68" spans="2:26">
      <c r="B68" s="587"/>
      <c r="C68" s="587"/>
      <c r="D68" s="587"/>
      <c r="E68" s="587"/>
      <c r="F68" s="587"/>
      <c r="G68" s="587"/>
      <c r="H68" s="587"/>
      <c r="I68" s="587"/>
      <c r="J68" s="587"/>
      <c r="K68" s="587"/>
      <c r="L68" s="587"/>
      <c r="M68" s="587"/>
      <c r="N68" s="587"/>
      <c r="O68" s="587"/>
      <c r="P68" s="587"/>
      <c r="Q68" s="587"/>
      <c r="R68" s="587"/>
      <c r="S68" s="587"/>
      <c r="T68" s="587"/>
      <c r="U68" s="587"/>
      <c r="V68" s="587"/>
      <c r="W68" s="587"/>
      <c r="X68" s="587"/>
      <c r="Y68" s="587"/>
      <c r="Z68" s="587"/>
    </row>
    <row r="69" spans="2:26">
      <c r="B69" s="587"/>
      <c r="C69" s="587"/>
      <c r="D69" s="587"/>
      <c r="E69" s="587"/>
      <c r="F69" s="587"/>
      <c r="G69" s="587"/>
      <c r="H69" s="587"/>
      <c r="I69" s="587"/>
      <c r="J69" s="587"/>
      <c r="K69" s="587"/>
      <c r="L69" s="587"/>
      <c r="M69" s="587"/>
      <c r="N69" s="587"/>
      <c r="O69" s="587"/>
      <c r="P69" s="587"/>
      <c r="Q69" s="587"/>
      <c r="R69" s="587"/>
      <c r="S69" s="587"/>
      <c r="T69" s="587"/>
      <c r="U69" s="587"/>
      <c r="V69" s="587"/>
      <c r="W69" s="587"/>
      <c r="X69" s="587"/>
      <c r="Y69" s="587"/>
      <c r="Z69" s="587"/>
    </row>
    <row r="70" spans="2:26">
      <c r="B70" s="587"/>
      <c r="C70" s="587"/>
      <c r="D70" s="587"/>
      <c r="E70" s="587"/>
      <c r="F70" s="587"/>
      <c r="G70" s="587"/>
      <c r="H70" s="587"/>
      <c r="I70" s="587"/>
      <c r="J70" s="587"/>
      <c r="K70" s="587"/>
      <c r="L70" s="587"/>
      <c r="M70" s="587"/>
      <c r="N70" s="587"/>
      <c r="O70" s="587"/>
      <c r="P70" s="587"/>
      <c r="Q70" s="587"/>
      <c r="R70" s="587"/>
      <c r="S70" s="587"/>
      <c r="T70" s="587"/>
      <c r="U70" s="587"/>
      <c r="V70" s="587"/>
      <c r="W70" s="587"/>
      <c r="X70" s="587"/>
      <c r="Y70" s="587"/>
      <c r="Z70" s="587"/>
    </row>
    <row r="71" spans="2:26">
      <c r="B71" s="587"/>
      <c r="C71" s="587"/>
      <c r="D71" s="587"/>
      <c r="E71" s="587"/>
      <c r="F71" s="587"/>
      <c r="G71" s="587"/>
      <c r="H71" s="587"/>
      <c r="I71" s="587"/>
      <c r="J71" s="587"/>
      <c r="K71" s="587"/>
      <c r="L71" s="587"/>
      <c r="M71" s="587"/>
      <c r="N71" s="587"/>
      <c r="O71" s="587"/>
      <c r="P71" s="587"/>
      <c r="Q71" s="587"/>
      <c r="R71" s="587"/>
      <c r="S71" s="587"/>
      <c r="T71" s="587"/>
      <c r="U71" s="587"/>
      <c r="V71" s="587"/>
      <c r="W71" s="587"/>
      <c r="X71" s="587"/>
      <c r="Y71" s="587"/>
      <c r="Z71" s="587"/>
    </row>
    <row r="72" spans="2:26" ht="35.25" customHeight="1">
      <c r="B72" s="587"/>
      <c r="C72" s="589" t="s">
        <v>265</v>
      </c>
      <c r="D72" s="587"/>
      <c r="E72" s="587"/>
      <c r="F72" s="587"/>
      <c r="G72" s="587"/>
      <c r="H72" s="587"/>
      <c r="I72" s="587"/>
      <c r="J72" s="587"/>
      <c r="K72" s="587"/>
      <c r="L72" s="587"/>
      <c r="M72" s="587"/>
      <c r="N72" s="587"/>
      <c r="O72" s="587"/>
      <c r="P72" s="587"/>
      <c r="Q72" s="587"/>
      <c r="R72" s="587"/>
      <c r="S72" s="587"/>
      <c r="T72" s="587"/>
      <c r="U72" s="587"/>
      <c r="V72" s="587"/>
      <c r="W72" s="587"/>
      <c r="X72" s="587"/>
      <c r="Y72" s="587"/>
      <c r="Z72" s="587"/>
    </row>
    <row r="73" spans="2:26" ht="14.5">
      <c r="B73" s="587"/>
      <c r="C73" s="590" t="s">
        <v>264</v>
      </c>
      <c r="D73" s="587"/>
      <c r="E73" s="587"/>
      <c r="F73" s="587"/>
      <c r="G73" s="587"/>
      <c r="H73" s="587"/>
      <c r="I73" s="587"/>
      <c r="J73" s="587"/>
      <c r="K73" s="587"/>
      <c r="L73" s="587"/>
      <c r="M73" s="587"/>
      <c r="N73" s="587"/>
      <c r="O73" s="587"/>
      <c r="P73" s="587"/>
      <c r="Q73" s="587"/>
      <c r="R73" s="587"/>
      <c r="S73" s="587"/>
      <c r="T73" s="587"/>
      <c r="U73" s="587"/>
      <c r="V73" s="587"/>
      <c r="W73" s="587"/>
      <c r="X73" s="587"/>
      <c r="Y73" s="587"/>
      <c r="Z73" s="587"/>
    </row>
    <row r="74" spans="2:26">
      <c r="B74" s="587"/>
      <c r="C74" s="587"/>
      <c r="D74" s="587"/>
      <c r="E74" s="587"/>
      <c r="F74" s="587"/>
      <c r="G74" s="587"/>
      <c r="H74" s="587"/>
      <c r="I74" s="587"/>
      <c r="J74" s="587"/>
      <c r="K74" s="587"/>
      <c r="L74" s="587"/>
      <c r="M74" s="587"/>
      <c r="N74" s="587"/>
      <c r="O74" s="587"/>
      <c r="P74" s="587"/>
      <c r="Q74" s="587"/>
      <c r="R74" s="587"/>
      <c r="S74" s="587"/>
      <c r="T74" s="587"/>
      <c r="U74" s="587"/>
      <c r="V74" s="587"/>
      <c r="W74" s="587"/>
      <c r="X74" s="587"/>
      <c r="Y74" s="587"/>
      <c r="Z74" s="587"/>
    </row>
    <row r="75" spans="2:26">
      <c r="B75" s="587"/>
      <c r="C75" s="587"/>
      <c r="D75" s="587"/>
      <c r="E75" s="587"/>
      <c r="F75" s="587"/>
      <c r="G75" s="587"/>
      <c r="H75" s="587"/>
      <c r="I75" s="587"/>
      <c r="J75" s="587"/>
      <c r="K75" s="587"/>
      <c r="L75" s="587"/>
      <c r="M75" s="587"/>
      <c r="N75" s="587"/>
      <c r="O75" s="587"/>
      <c r="P75" s="587"/>
      <c r="Q75" s="587"/>
      <c r="R75" s="587"/>
      <c r="S75" s="587"/>
      <c r="T75" s="587"/>
      <c r="U75" s="587"/>
      <c r="V75" s="587"/>
      <c r="W75" s="587"/>
      <c r="X75" s="587"/>
      <c r="Y75" s="587"/>
      <c r="Z75" s="587"/>
    </row>
    <row r="76" spans="2:26">
      <c r="B76" s="587"/>
      <c r="C76" s="587"/>
      <c r="D76" s="587"/>
      <c r="E76" s="587"/>
      <c r="F76" s="587"/>
      <c r="G76" s="587"/>
      <c r="H76" s="587"/>
      <c r="I76" s="587"/>
      <c r="J76" s="587"/>
      <c r="K76" s="587"/>
      <c r="L76" s="587"/>
      <c r="M76" s="587"/>
      <c r="N76" s="587"/>
      <c r="O76" s="587"/>
      <c r="P76" s="587"/>
      <c r="Q76" s="587"/>
      <c r="R76" s="587"/>
      <c r="S76" s="587"/>
      <c r="T76" s="587"/>
      <c r="U76" s="587"/>
      <c r="V76" s="587"/>
      <c r="W76" s="587"/>
      <c r="X76" s="587"/>
      <c r="Y76" s="587"/>
      <c r="Z76" s="587"/>
    </row>
    <row r="77" spans="2:26">
      <c r="B77" s="587"/>
      <c r="C77" s="587"/>
      <c r="D77" s="587"/>
      <c r="E77" s="587"/>
      <c r="F77" s="587"/>
      <c r="G77" s="587"/>
      <c r="H77" s="587"/>
      <c r="I77" s="587"/>
      <c r="J77" s="587"/>
      <c r="K77" s="587"/>
      <c r="L77" s="587"/>
      <c r="M77" s="587"/>
      <c r="N77" s="587"/>
      <c r="O77" s="587"/>
      <c r="P77" s="587"/>
      <c r="Q77" s="587"/>
      <c r="R77" s="587"/>
      <c r="S77" s="587"/>
      <c r="T77" s="587"/>
      <c r="U77" s="587"/>
      <c r="V77" s="587"/>
      <c r="W77" s="587"/>
      <c r="X77" s="587"/>
      <c r="Y77" s="587"/>
      <c r="Z77" s="587"/>
    </row>
    <row r="78" spans="2:26">
      <c r="B78" s="587"/>
      <c r="C78" s="587"/>
      <c r="D78" s="587"/>
      <c r="E78" s="587"/>
      <c r="F78" s="587"/>
      <c r="G78" s="587"/>
      <c r="H78" s="587"/>
      <c r="I78" s="587"/>
      <c r="J78" s="587"/>
      <c r="K78" s="587"/>
      <c r="L78" s="587"/>
      <c r="M78" s="587"/>
      <c r="N78" s="587"/>
      <c r="O78" s="587"/>
      <c r="P78" s="587"/>
      <c r="Q78" s="587"/>
      <c r="R78" s="587"/>
      <c r="S78" s="587"/>
      <c r="T78" s="587"/>
      <c r="U78" s="587"/>
      <c r="V78" s="587"/>
      <c r="W78" s="587"/>
      <c r="X78" s="587"/>
      <c r="Y78" s="587"/>
      <c r="Z78" s="587"/>
    </row>
    <row r="79" spans="2:26">
      <c r="B79" s="587"/>
      <c r="C79" s="587"/>
      <c r="D79" s="587"/>
      <c r="E79" s="587"/>
      <c r="F79" s="587"/>
      <c r="G79" s="587"/>
      <c r="H79" s="587"/>
      <c r="I79" s="587"/>
      <c r="J79" s="587"/>
      <c r="K79" s="587"/>
      <c r="L79" s="587"/>
      <c r="M79" s="587"/>
      <c r="N79" s="587"/>
      <c r="O79" s="587"/>
      <c r="P79" s="587"/>
      <c r="Q79" s="587"/>
      <c r="R79" s="587"/>
      <c r="S79" s="587"/>
      <c r="T79" s="587"/>
      <c r="U79" s="587"/>
      <c r="V79" s="587"/>
      <c r="W79" s="587"/>
      <c r="X79" s="587"/>
      <c r="Y79" s="587"/>
      <c r="Z79" s="587"/>
    </row>
    <row r="80" spans="2:26">
      <c r="B80" s="587"/>
      <c r="C80" s="587"/>
      <c r="D80" s="587"/>
      <c r="E80" s="587"/>
      <c r="F80" s="587"/>
      <c r="G80" s="587"/>
      <c r="H80" s="587"/>
      <c r="I80" s="587"/>
      <c r="J80" s="587"/>
      <c r="K80" s="587"/>
      <c r="L80" s="587"/>
      <c r="M80" s="587"/>
      <c r="N80" s="587"/>
      <c r="O80" s="587"/>
      <c r="P80" s="587"/>
      <c r="Q80" s="587"/>
      <c r="R80" s="587"/>
      <c r="S80" s="587"/>
      <c r="T80" s="587"/>
      <c r="U80" s="587"/>
      <c r="V80" s="587"/>
      <c r="W80" s="587"/>
      <c r="X80" s="587"/>
      <c r="Y80" s="587"/>
      <c r="Z80" s="587"/>
    </row>
    <row r="81" spans="2:26">
      <c r="B81" s="587"/>
      <c r="C81" s="587"/>
      <c r="D81" s="587"/>
      <c r="E81" s="587"/>
      <c r="F81" s="587"/>
      <c r="G81" s="587"/>
      <c r="H81" s="587"/>
      <c r="I81" s="587"/>
      <c r="J81" s="587"/>
      <c r="K81" s="587"/>
      <c r="L81" s="587"/>
      <c r="M81" s="587"/>
      <c r="N81" s="587"/>
      <c r="O81" s="587"/>
      <c r="P81" s="587"/>
      <c r="Q81" s="587"/>
      <c r="R81" s="587"/>
      <c r="S81" s="587"/>
      <c r="T81" s="587"/>
      <c r="U81" s="587"/>
      <c r="V81" s="587"/>
      <c r="W81" s="587"/>
      <c r="X81" s="587"/>
      <c r="Y81" s="587"/>
      <c r="Z81" s="587"/>
    </row>
    <row r="82" spans="2:26">
      <c r="B82" s="587"/>
      <c r="C82" s="587"/>
      <c r="D82" s="587"/>
      <c r="E82" s="587"/>
      <c r="F82" s="587"/>
      <c r="G82" s="587"/>
      <c r="H82" s="587"/>
      <c r="I82" s="587"/>
      <c r="J82" s="587"/>
      <c r="K82" s="587"/>
      <c r="L82" s="587"/>
      <c r="M82" s="587"/>
      <c r="N82" s="587"/>
      <c r="O82" s="587"/>
      <c r="P82" s="587"/>
      <c r="Q82" s="587"/>
      <c r="R82" s="587"/>
      <c r="S82" s="587"/>
      <c r="T82" s="587"/>
      <c r="U82" s="587"/>
      <c r="V82" s="587"/>
      <c r="W82" s="587"/>
      <c r="X82" s="587"/>
      <c r="Y82" s="587"/>
      <c r="Z82" s="587"/>
    </row>
    <row r="83" spans="2:26">
      <c r="B83" s="587"/>
      <c r="C83" s="587"/>
      <c r="D83" s="587"/>
      <c r="E83" s="587"/>
      <c r="F83" s="587"/>
      <c r="G83" s="587"/>
      <c r="H83" s="587"/>
      <c r="I83" s="587"/>
      <c r="J83" s="587"/>
      <c r="K83" s="587"/>
      <c r="L83" s="587"/>
      <c r="M83" s="587"/>
      <c r="N83" s="587"/>
      <c r="O83" s="587"/>
      <c r="P83" s="587"/>
      <c r="Q83" s="587"/>
      <c r="R83" s="587"/>
      <c r="S83" s="587"/>
      <c r="T83" s="587"/>
      <c r="U83" s="587"/>
      <c r="V83" s="587"/>
      <c r="W83" s="587"/>
      <c r="X83" s="587"/>
      <c r="Y83" s="587"/>
      <c r="Z83" s="587"/>
    </row>
    <row r="84" spans="2:26">
      <c r="B84" s="587"/>
      <c r="C84" s="587"/>
      <c r="D84" s="587"/>
      <c r="E84" s="587"/>
      <c r="F84" s="587"/>
      <c r="G84" s="587"/>
      <c r="H84" s="587"/>
      <c r="I84" s="587"/>
      <c r="J84" s="587"/>
      <c r="K84" s="587"/>
      <c r="L84" s="587"/>
      <c r="M84" s="587"/>
      <c r="N84" s="587"/>
      <c r="O84" s="587"/>
      <c r="P84" s="587"/>
      <c r="Q84" s="587"/>
      <c r="R84" s="587"/>
      <c r="S84" s="587"/>
      <c r="T84" s="587"/>
      <c r="U84" s="587"/>
      <c r="V84" s="587"/>
      <c r="W84" s="587"/>
      <c r="X84" s="587"/>
      <c r="Y84" s="587"/>
      <c r="Z84" s="587"/>
    </row>
    <row r="85" spans="2:26">
      <c r="B85" s="587"/>
      <c r="C85" s="587"/>
      <c r="D85" s="587"/>
      <c r="E85" s="587"/>
      <c r="F85" s="587"/>
      <c r="G85" s="587"/>
      <c r="H85" s="587"/>
      <c r="I85" s="587"/>
      <c r="J85" s="587"/>
      <c r="K85" s="587"/>
      <c r="L85" s="587"/>
      <c r="M85" s="587"/>
      <c r="N85" s="587"/>
      <c r="O85" s="587"/>
      <c r="P85" s="587"/>
      <c r="Q85" s="587"/>
      <c r="R85" s="587"/>
      <c r="S85" s="587"/>
      <c r="T85" s="587"/>
      <c r="U85" s="587"/>
      <c r="V85" s="587"/>
      <c r="W85" s="587"/>
      <c r="X85" s="587"/>
      <c r="Y85" s="587"/>
      <c r="Z85" s="587"/>
    </row>
    <row r="86" spans="2:26">
      <c r="B86" s="587"/>
      <c r="C86" s="587"/>
      <c r="D86" s="587"/>
      <c r="E86" s="587"/>
      <c r="F86" s="587"/>
      <c r="G86" s="587"/>
      <c r="H86" s="587"/>
      <c r="I86" s="587"/>
      <c r="J86" s="587"/>
      <c r="K86" s="587"/>
      <c r="L86" s="587"/>
      <c r="M86" s="587"/>
      <c r="N86" s="587"/>
      <c r="O86" s="587"/>
      <c r="P86" s="587"/>
      <c r="Q86" s="587"/>
      <c r="R86" s="587"/>
      <c r="S86" s="587"/>
      <c r="T86" s="587"/>
      <c r="U86" s="587"/>
      <c r="V86" s="587"/>
      <c r="W86" s="587"/>
      <c r="X86" s="587"/>
      <c r="Y86" s="587"/>
      <c r="Z86" s="587"/>
    </row>
    <row r="87" spans="2:26">
      <c r="B87" s="587"/>
      <c r="C87" s="587"/>
      <c r="D87" s="587"/>
      <c r="E87" s="587"/>
      <c r="F87" s="587"/>
      <c r="G87" s="587"/>
      <c r="H87" s="587"/>
      <c r="I87" s="587"/>
      <c r="J87" s="587"/>
      <c r="K87" s="587"/>
      <c r="L87" s="587"/>
      <c r="M87" s="587"/>
      <c r="N87" s="587"/>
      <c r="O87" s="587"/>
      <c r="P87" s="587"/>
      <c r="Q87" s="587"/>
      <c r="R87" s="587"/>
      <c r="S87" s="587"/>
      <c r="T87" s="587"/>
      <c r="U87" s="587"/>
      <c r="V87" s="587"/>
      <c r="W87" s="587"/>
      <c r="X87" s="587"/>
      <c r="Y87" s="587"/>
      <c r="Z87" s="587"/>
    </row>
    <row r="88" spans="2:26">
      <c r="B88" s="587"/>
      <c r="C88" s="587"/>
      <c r="D88" s="587"/>
      <c r="E88" s="587"/>
      <c r="F88" s="587"/>
      <c r="G88" s="587"/>
      <c r="H88" s="587"/>
      <c r="I88" s="587"/>
      <c r="J88" s="587"/>
      <c r="K88" s="587"/>
      <c r="L88" s="587"/>
      <c r="M88" s="587"/>
      <c r="N88" s="587"/>
      <c r="O88" s="587"/>
      <c r="P88" s="587"/>
      <c r="Q88" s="587"/>
      <c r="R88" s="587"/>
      <c r="S88" s="587"/>
      <c r="T88" s="587"/>
      <c r="U88" s="587"/>
      <c r="V88" s="587"/>
      <c r="W88" s="587"/>
      <c r="X88" s="587"/>
      <c r="Y88" s="587"/>
      <c r="Z88" s="587"/>
    </row>
    <row r="89" spans="2:26">
      <c r="B89" s="587"/>
      <c r="C89" s="587"/>
      <c r="D89" s="587"/>
      <c r="E89" s="587"/>
      <c r="F89" s="587"/>
      <c r="G89" s="587"/>
      <c r="H89" s="587"/>
      <c r="I89" s="587"/>
      <c r="J89" s="587"/>
      <c r="K89" s="587"/>
      <c r="L89" s="587"/>
      <c r="M89" s="587"/>
      <c r="N89" s="587"/>
      <c r="O89" s="587"/>
      <c r="P89" s="587"/>
      <c r="Q89" s="587"/>
      <c r="R89" s="587"/>
      <c r="S89" s="587"/>
      <c r="T89" s="587"/>
      <c r="U89" s="587"/>
      <c r="V89" s="587"/>
      <c r="W89" s="587"/>
      <c r="X89" s="587"/>
      <c r="Y89" s="587"/>
      <c r="Z89" s="587"/>
    </row>
    <row r="90" spans="2:26">
      <c r="B90" s="587"/>
      <c r="C90" s="587"/>
      <c r="D90" s="587"/>
      <c r="E90" s="587"/>
      <c r="F90" s="587"/>
      <c r="G90" s="587"/>
      <c r="H90" s="587"/>
      <c r="I90" s="587"/>
      <c r="J90" s="587"/>
      <c r="K90" s="587"/>
      <c r="L90" s="587"/>
      <c r="M90" s="587"/>
      <c r="N90" s="587"/>
      <c r="O90" s="587"/>
      <c r="P90" s="587"/>
      <c r="Q90" s="587"/>
      <c r="R90" s="587"/>
      <c r="S90" s="587"/>
      <c r="T90" s="587"/>
      <c r="U90" s="587"/>
      <c r="V90" s="587"/>
      <c r="W90" s="587"/>
      <c r="X90" s="587"/>
      <c r="Y90" s="587"/>
      <c r="Z90" s="587"/>
    </row>
    <row r="91" spans="2:26">
      <c r="B91" s="587"/>
      <c r="C91" s="587"/>
      <c r="D91" s="587"/>
      <c r="E91" s="587"/>
      <c r="F91" s="587"/>
      <c r="G91" s="587"/>
      <c r="H91" s="587"/>
      <c r="I91" s="587"/>
      <c r="J91" s="587"/>
      <c r="K91" s="587"/>
      <c r="L91" s="587"/>
      <c r="M91" s="587"/>
      <c r="N91" s="587"/>
      <c r="O91" s="587"/>
      <c r="P91" s="587"/>
      <c r="Q91" s="587"/>
      <c r="R91" s="587"/>
      <c r="S91" s="587"/>
      <c r="T91" s="587"/>
      <c r="U91" s="587"/>
      <c r="V91" s="587"/>
      <c r="W91" s="587"/>
      <c r="X91" s="587"/>
      <c r="Y91" s="587"/>
      <c r="Z91" s="587"/>
    </row>
    <row r="92" spans="2:26">
      <c r="B92" s="587"/>
      <c r="C92" s="587"/>
      <c r="D92" s="587"/>
      <c r="E92" s="587"/>
      <c r="F92" s="587"/>
      <c r="G92" s="587"/>
      <c r="H92" s="587"/>
      <c r="I92" s="587"/>
      <c r="J92" s="587"/>
      <c r="K92" s="587"/>
      <c r="L92" s="587"/>
      <c r="M92" s="587"/>
      <c r="N92" s="587"/>
      <c r="O92" s="587"/>
      <c r="P92" s="587"/>
      <c r="Q92" s="587"/>
      <c r="R92" s="587"/>
      <c r="S92" s="587"/>
      <c r="T92" s="587"/>
      <c r="U92" s="587"/>
      <c r="V92" s="587"/>
      <c r="W92" s="587"/>
      <c r="X92" s="587"/>
      <c r="Y92" s="587"/>
      <c r="Z92" s="587"/>
    </row>
    <row r="93" spans="2:26">
      <c r="B93" s="587"/>
      <c r="C93" s="587"/>
      <c r="D93" s="587"/>
      <c r="E93" s="587"/>
      <c r="F93" s="587"/>
      <c r="G93" s="587"/>
      <c r="H93" s="587"/>
      <c r="I93" s="587"/>
      <c r="J93" s="587"/>
      <c r="K93" s="587"/>
      <c r="L93" s="587"/>
      <c r="M93" s="587"/>
      <c r="N93" s="587"/>
      <c r="O93" s="587"/>
      <c r="P93" s="587"/>
      <c r="Q93" s="587"/>
      <c r="R93" s="587"/>
      <c r="S93" s="587"/>
      <c r="T93" s="587"/>
      <c r="U93" s="587"/>
      <c r="V93" s="587"/>
      <c r="W93" s="587"/>
      <c r="X93" s="587"/>
      <c r="Y93" s="587"/>
      <c r="Z93" s="587"/>
    </row>
    <row r="94" spans="2:26">
      <c r="B94" s="587"/>
      <c r="C94" s="587"/>
      <c r="D94" s="587"/>
      <c r="E94" s="587"/>
      <c r="F94" s="587"/>
      <c r="G94" s="587"/>
      <c r="H94" s="587"/>
      <c r="I94" s="587"/>
      <c r="J94" s="587"/>
      <c r="K94" s="587"/>
      <c r="L94" s="587"/>
      <c r="M94" s="587"/>
      <c r="N94" s="587"/>
      <c r="O94" s="587"/>
      <c r="P94" s="587"/>
      <c r="Q94" s="587"/>
      <c r="R94" s="587"/>
      <c r="S94" s="587"/>
      <c r="T94" s="587"/>
      <c r="U94" s="587"/>
      <c r="V94" s="587"/>
      <c r="W94" s="587"/>
      <c r="X94" s="587"/>
      <c r="Y94" s="587"/>
      <c r="Z94" s="587"/>
    </row>
    <row r="95" spans="2:26">
      <c r="B95" s="587"/>
      <c r="C95" s="587"/>
      <c r="D95" s="587"/>
      <c r="E95" s="587"/>
      <c r="F95" s="587"/>
      <c r="G95" s="587"/>
      <c r="H95" s="587"/>
      <c r="I95" s="587"/>
      <c r="J95" s="587"/>
      <c r="K95" s="587"/>
      <c r="L95" s="587"/>
      <c r="M95" s="587"/>
      <c r="N95" s="587"/>
      <c r="O95" s="587"/>
      <c r="P95" s="587"/>
      <c r="Q95" s="587"/>
      <c r="R95" s="587"/>
      <c r="S95" s="587"/>
      <c r="T95" s="587"/>
      <c r="U95" s="587"/>
      <c r="V95" s="587"/>
      <c r="W95" s="587"/>
      <c r="X95" s="587"/>
      <c r="Y95" s="587"/>
      <c r="Z95" s="587"/>
    </row>
    <row r="96" spans="2:26">
      <c r="B96" s="587"/>
      <c r="C96" s="587"/>
      <c r="D96" s="587"/>
      <c r="E96" s="587"/>
      <c r="F96" s="587"/>
      <c r="G96" s="587"/>
      <c r="H96" s="587"/>
      <c r="I96" s="587"/>
      <c r="J96" s="587"/>
      <c r="K96" s="587"/>
      <c r="L96" s="587"/>
      <c r="M96" s="587"/>
      <c r="N96" s="587"/>
      <c r="O96" s="587"/>
      <c r="P96" s="587"/>
      <c r="Q96" s="587"/>
      <c r="R96" s="587"/>
      <c r="S96" s="587"/>
      <c r="T96" s="587"/>
      <c r="U96" s="587"/>
      <c r="V96" s="587"/>
      <c r="W96" s="587"/>
      <c r="X96" s="587"/>
      <c r="Y96" s="587"/>
      <c r="Z96" s="587"/>
    </row>
    <row r="97" spans="2:26">
      <c r="B97" s="587"/>
      <c r="C97" s="587"/>
      <c r="D97" s="587"/>
      <c r="E97" s="587"/>
      <c r="F97" s="587"/>
      <c r="G97" s="587"/>
      <c r="H97" s="587"/>
      <c r="I97" s="587"/>
      <c r="J97" s="587"/>
      <c r="K97" s="587"/>
      <c r="L97" s="587"/>
      <c r="M97" s="587"/>
      <c r="N97" s="587"/>
      <c r="O97" s="587"/>
      <c r="P97" s="587"/>
      <c r="Q97" s="587"/>
      <c r="R97" s="587"/>
      <c r="S97" s="587"/>
      <c r="T97" s="587"/>
      <c r="U97" s="587"/>
      <c r="V97" s="587"/>
      <c r="W97" s="587"/>
      <c r="X97" s="587"/>
      <c r="Y97" s="587"/>
      <c r="Z97" s="587"/>
    </row>
    <row r="98" spans="2:26">
      <c r="B98" s="587"/>
      <c r="C98" s="587"/>
      <c r="D98" s="587"/>
      <c r="E98" s="587"/>
      <c r="F98" s="587"/>
      <c r="G98" s="587"/>
      <c r="H98" s="587"/>
      <c r="I98" s="587"/>
      <c r="J98" s="587"/>
      <c r="K98" s="587"/>
      <c r="L98" s="587"/>
      <c r="M98" s="587"/>
      <c r="N98" s="587"/>
      <c r="O98" s="587"/>
      <c r="P98" s="587"/>
      <c r="Q98" s="587"/>
      <c r="R98" s="587"/>
      <c r="S98" s="587"/>
      <c r="T98" s="587"/>
      <c r="U98" s="587"/>
      <c r="V98" s="587"/>
      <c r="W98" s="587"/>
      <c r="X98" s="587"/>
      <c r="Y98" s="587"/>
      <c r="Z98" s="587"/>
    </row>
    <row r="99" spans="2:26">
      <c r="B99" s="587"/>
      <c r="C99" s="587"/>
      <c r="D99" s="587"/>
      <c r="E99" s="587"/>
      <c r="F99" s="587"/>
      <c r="G99" s="587"/>
      <c r="H99" s="587"/>
      <c r="I99" s="587"/>
      <c r="J99" s="587"/>
      <c r="K99" s="587"/>
      <c r="L99" s="587"/>
      <c r="M99" s="587"/>
      <c r="N99" s="587"/>
      <c r="O99" s="587"/>
      <c r="P99" s="587"/>
      <c r="Q99" s="587"/>
      <c r="R99" s="587"/>
      <c r="S99" s="587"/>
      <c r="T99" s="587"/>
      <c r="U99" s="587"/>
      <c r="V99" s="587"/>
      <c r="W99" s="587"/>
      <c r="X99" s="587"/>
      <c r="Y99" s="587"/>
      <c r="Z99" s="587"/>
    </row>
  </sheetData>
  <sheetProtection algorithmName="SHA-512" hashValue="LFy5nFsgvZnyOmaNnUUqqxsTUO9FPAwhnOp8nltOpKCSRiBG4Hh73u5+4FW5TQJebb8Km2yMLXX/VH1c0ePe9Q==" saltValue="1jbxOAcY0DypiRoN1ZI9NQ==" spinCount="100000" sheet="1" formatCells="0" formatColumns="0" formatRows="0" insertColumns="0" insertRows="0" insertHyperlinks="0" deleteColumns="0" deleteRows="0" sort="0" autoFilter="0" pivotTables="0"/>
  <mergeCells count="3">
    <mergeCell ref="E4:V4"/>
    <mergeCell ref="E50:V50"/>
    <mergeCell ref="B2:Z2"/>
  </mergeCells>
  <pageMargins left="0.7" right="0.7" top="0.75" bottom="0.75" header="0.3" footer="0.3"/>
  <pageSetup paperSize="9" scale="66" orientation="portrait" r:id="rId1"/>
  <headerFooter>
    <oddHeader>&amp;L&amp;&amp;"Calibri"&amp;10&amp;K000000Classé comme Interne&amp;K000000&amp;1#</oddHeader>
  </headerFooter>
  <rowBreaks count="1" manualBreakCount="1">
    <brk id="49" max="16383" man="1"/>
  </rowBreaks>
  <colBreaks count="1" manualBreakCount="1">
    <brk id="13"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E2C16-4797-4DBC-9DDF-21E3230C6226}">
  <sheetPr codeName="Sheet6"/>
  <dimension ref="B1:U69"/>
  <sheetViews>
    <sheetView workbookViewId="0"/>
  </sheetViews>
  <sheetFormatPr defaultColWidth="8.81640625" defaultRowHeight="14.5"/>
  <cols>
    <col min="1" max="1" width="4.1796875" style="81" customWidth="1"/>
    <col min="2" max="16384" width="8.81640625" style="81"/>
  </cols>
  <sheetData>
    <row r="1" spans="2:21" ht="15" thickBot="1"/>
    <row r="2" spans="2:21" ht="24" thickBot="1">
      <c r="B2" s="80"/>
      <c r="D2" s="1095" t="s">
        <v>267</v>
      </c>
      <c r="E2" s="1096"/>
      <c r="F2" s="1096"/>
      <c r="G2" s="1096"/>
      <c r="H2" s="1096"/>
      <c r="I2" s="1096"/>
      <c r="J2" s="1096"/>
      <c r="K2" s="1096"/>
      <c r="L2" s="1096"/>
      <c r="M2" s="1096"/>
      <c r="N2" s="1096"/>
      <c r="O2" s="1096"/>
      <c r="P2" s="1096"/>
      <c r="Q2" s="1096"/>
      <c r="R2" s="1096"/>
      <c r="S2" s="1096"/>
      <c r="T2" s="1096"/>
      <c r="U2" s="1097"/>
    </row>
    <row r="3" spans="2:21" ht="18.5">
      <c r="B3" s="83" t="s">
        <v>268</v>
      </c>
    </row>
    <row r="22" spans="2:2" ht="18.5">
      <c r="B22" s="83" t="s">
        <v>269</v>
      </c>
    </row>
    <row r="23" spans="2:2">
      <c r="B23" s="82" t="s">
        <v>270</v>
      </c>
    </row>
    <row r="46" spans="2:21" ht="15" thickBot="1"/>
    <row r="47" spans="2:21" ht="19" thickBot="1">
      <c r="D47" s="1095" t="s">
        <v>271</v>
      </c>
      <c r="E47" s="1096"/>
      <c r="F47" s="1096"/>
      <c r="G47" s="1096"/>
      <c r="H47" s="1096"/>
      <c r="I47" s="1096"/>
      <c r="J47" s="1096"/>
      <c r="K47" s="1096"/>
      <c r="L47" s="1096"/>
      <c r="M47" s="1096"/>
      <c r="N47" s="1096"/>
      <c r="O47" s="1096"/>
      <c r="P47" s="1096"/>
      <c r="Q47" s="1096"/>
      <c r="R47" s="1096"/>
      <c r="S47" s="1096"/>
      <c r="T47" s="1096"/>
      <c r="U47" s="1097"/>
    </row>
    <row r="48" spans="2:21" ht="18.5">
      <c r="B48" s="83" t="s">
        <v>268</v>
      </c>
    </row>
    <row r="68" spans="2:2" ht="18.5">
      <c r="B68" s="83" t="s">
        <v>269</v>
      </c>
    </row>
    <row r="69" spans="2:2">
      <c r="B69" s="82" t="s">
        <v>272</v>
      </c>
    </row>
  </sheetData>
  <sheetProtection formatCells="0" formatColumns="0" formatRows="0" insertColumns="0" insertRows="0" insertHyperlinks="0" deleteColumns="0" deleteRows="0" sort="0" autoFilter="0" pivotTables="0"/>
  <mergeCells count="2">
    <mergeCell ref="D2:U2"/>
    <mergeCell ref="D47:U47"/>
  </mergeCells>
  <pageMargins left="0.7" right="0.7" top="0.75" bottom="0.75" header="0.3" footer="0.3"/>
  <pageSetup paperSize="9" orientation="portrait" r:id="rId1"/>
  <headerFooter>
    <oddHeader>&amp;L&amp;"Calibri"&amp;10&amp;K000000Classified as Internal&amp;1#</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6672A-89CE-4CBA-A3B2-AED7D981ACA5}">
  <sheetPr codeName="Sheet11">
    <tabColor theme="4" tint="-0.249977111117893"/>
  </sheetPr>
  <dimension ref="B1:J22"/>
  <sheetViews>
    <sheetView zoomScaleNormal="100" workbookViewId="0"/>
  </sheetViews>
  <sheetFormatPr defaultColWidth="8.81640625" defaultRowHeight="15.5"/>
  <cols>
    <col min="1" max="1" width="2.453125" style="491" customWidth="1"/>
    <col min="2" max="2" width="5" style="491" customWidth="1"/>
    <col min="3" max="3" width="9" style="491" bestFit="1" customWidth="1"/>
    <col min="4" max="4" width="1.453125" style="491" customWidth="1"/>
    <col min="5" max="5" width="11.453125" style="491" customWidth="1"/>
    <col min="6" max="6" width="8.81640625" style="491"/>
    <col min="7" max="7" width="57.81640625" style="491" customWidth="1"/>
    <col min="8" max="8" width="12.1796875" style="491" bestFit="1" customWidth="1"/>
    <col min="9" max="9" width="11.453125" style="491" bestFit="1" customWidth="1"/>
    <col min="10" max="10" width="5.81640625" style="491" customWidth="1"/>
    <col min="11" max="16384" width="8.81640625" style="491"/>
  </cols>
  <sheetData>
    <row r="1" spans="2:10" ht="8.25" customHeight="1">
      <c r="B1" s="545"/>
      <c r="C1" s="545"/>
      <c r="D1" s="545"/>
      <c r="E1" s="545"/>
      <c r="F1" s="545"/>
      <c r="G1" s="545"/>
      <c r="H1" s="545"/>
      <c r="I1" s="545"/>
      <c r="J1" s="545"/>
    </row>
    <row r="2" spans="2:10" ht="30.75" customHeight="1">
      <c r="B2" s="1101" t="s">
        <v>233</v>
      </c>
      <c r="C2" s="1102"/>
      <c r="D2" s="1102"/>
      <c r="E2" s="1102"/>
      <c r="F2" s="1102"/>
      <c r="G2" s="1102"/>
      <c r="H2" s="1102"/>
      <c r="I2" s="1102"/>
      <c r="J2" s="1102"/>
    </row>
    <row r="3" spans="2:10">
      <c r="B3" s="659"/>
      <c r="C3" s="659"/>
      <c r="D3" s="659"/>
      <c r="E3" s="659"/>
      <c r="F3" s="659"/>
      <c r="G3" s="659"/>
      <c r="H3" s="659"/>
      <c r="I3" s="659"/>
      <c r="J3" s="659"/>
    </row>
    <row r="4" spans="2:10" ht="45" customHeight="1">
      <c r="B4" s="659"/>
      <c r="C4" s="1103" t="s">
        <v>273</v>
      </c>
      <c r="D4" s="1103"/>
      <c r="E4" s="1103"/>
      <c r="F4" s="1103"/>
      <c r="G4" s="1103"/>
      <c r="H4" s="1103"/>
      <c r="I4" s="1103"/>
      <c r="J4" s="659"/>
    </row>
    <row r="5" spans="2:10" ht="8.25" customHeight="1">
      <c r="B5" s="659"/>
      <c r="C5" s="659"/>
      <c r="D5" s="659"/>
      <c r="E5" s="660"/>
      <c r="F5" s="659"/>
      <c r="G5" s="659"/>
      <c r="H5" s="659"/>
      <c r="I5" s="659"/>
      <c r="J5" s="659"/>
    </row>
    <row r="6" spans="2:10" ht="43" customHeight="1">
      <c r="B6" s="659"/>
      <c r="C6" s="833" t="s">
        <v>274</v>
      </c>
      <c r="D6" s="833"/>
      <c r="E6" s="833"/>
      <c r="F6" s="833"/>
      <c r="G6" s="833"/>
      <c r="H6" s="833"/>
      <c r="I6" s="833"/>
      <c r="J6" s="659"/>
    </row>
    <row r="7" spans="2:10">
      <c r="B7" s="659"/>
      <c r="C7" s="659"/>
      <c r="D7" s="659"/>
      <c r="E7" s="659"/>
      <c r="F7" s="659"/>
      <c r="G7" s="659"/>
      <c r="H7" s="659"/>
      <c r="I7" s="659"/>
      <c r="J7" s="659"/>
    </row>
    <row r="8" spans="2:10" ht="37.5" customHeight="1">
      <c r="B8" s="659"/>
      <c r="C8" s="664">
        <v>1</v>
      </c>
      <c r="D8" s="664"/>
      <c r="E8" s="1104" t="s">
        <v>275</v>
      </c>
      <c r="F8" s="1104"/>
      <c r="G8" s="1104"/>
      <c r="H8" s="1104"/>
      <c r="I8" s="1104"/>
      <c r="J8" s="659"/>
    </row>
    <row r="9" spans="2:10" ht="54" customHeight="1">
      <c r="B9" s="659"/>
      <c r="C9" s="659"/>
      <c r="D9" s="659"/>
      <c r="E9" s="833" t="s">
        <v>276</v>
      </c>
      <c r="F9" s="833"/>
      <c r="G9" s="833"/>
      <c r="H9" s="833"/>
      <c r="I9" s="659"/>
      <c r="J9" s="659"/>
    </row>
    <row r="10" spans="2:10" ht="10" customHeight="1">
      <c r="B10" s="659"/>
      <c r="C10" s="659"/>
      <c r="D10" s="659"/>
      <c r="E10" s="659"/>
      <c r="F10" s="659"/>
      <c r="G10" s="659"/>
      <c r="H10" s="659"/>
      <c r="I10" s="659"/>
      <c r="J10" s="659"/>
    </row>
    <row r="11" spans="2:10" ht="40" customHeight="1">
      <c r="B11" s="659"/>
      <c r="C11" s="659"/>
      <c r="D11" s="659"/>
      <c r="E11" s="659"/>
      <c r="F11" s="665" t="s">
        <v>277</v>
      </c>
      <c r="G11" s="666" t="s">
        <v>278</v>
      </c>
      <c r="H11" s="665" t="s">
        <v>279</v>
      </c>
      <c r="I11" s="780">
        <v>100000</v>
      </c>
      <c r="J11" s="659"/>
    </row>
    <row r="12" spans="2:10" ht="40" customHeight="1" thickBot="1">
      <c r="B12" s="659"/>
      <c r="C12" s="659"/>
      <c r="D12" s="659"/>
      <c r="E12" s="659"/>
      <c r="F12" s="665" t="s">
        <v>280</v>
      </c>
      <c r="G12" s="666" t="s">
        <v>281</v>
      </c>
      <c r="H12" s="665" t="s">
        <v>279</v>
      </c>
      <c r="I12" s="781">
        <v>6</v>
      </c>
      <c r="J12" s="659"/>
    </row>
    <row r="13" spans="2:10" ht="40" customHeight="1" thickBot="1">
      <c r="B13" s="659"/>
      <c r="C13" s="659"/>
      <c r="D13" s="659"/>
      <c r="E13" s="659"/>
      <c r="F13" s="665" t="s">
        <v>282</v>
      </c>
      <c r="G13" s="666" t="s">
        <v>283</v>
      </c>
      <c r="H13" s="672" t="s">
        <v>279</v>
      </c>
      <c r="I13" s="779">
        <f>$I$11*($I$12/12)</f>
        <v>50000</v>
      </c>
      <c r="J13" s="659"/>
    </row>
    <row r="14" spans="2:10" ht="27.75" customHeight="1">
      <c r="B14" s="659"/>
      <c r="C14" s="659"/>
      <c r="D14" s="659"/>
      <c r="E14" s="659"/>
      <c r="F14" s="661"/>
      <c r="G14" s="663"/>
      <c r="H14" s="661"/>
      <c r="I14" s="662"/>
      <c r="J14" s="659"/>
    </row>
    <row r="15" spans="2:10" s="668" customFormat="1" ht="45" customHeight="1">
      <c r="B15" s="669"/>
      <c r="C15" s="664">
        <v>2</v>
      </c>
      <c r="D15" s="664"/>
      <c r="E15" s="1104" t="s">
        <v>284</v>
      </c>
      <c r="F15" s="1104"/>
      <c r="G15" s="1104"/>
      <c r="H15" s="1104"/>
      <c r="I15" s="1104"/>
      <c r="J15" s="669"/>
    </row>
    <row r="16" spans="2:10" ht="53.25" customHeight="1">
      <c r="B16" s="659"/>
      <c r="C16" s="667"/>
      <c r="D16" s="667"/>
      <c r="E16" s="833" t="s">
        <v>285</v>
      </c>
      <c r="F16" s="833"/>
      <c r="G16" s="833"/>
      <c r="H16" s="833"/>
      <c r="I16" s="667"/>
      <c r="J16" s="659"/>
    </row>
    <row r="17" spans="2:10" s="668" customFormat="1" ht="40" customHeight="1" thickBot="1">
      <c r="B17" s="669"/>
      <c r="C17" s="669"/>
      <c r="D17" s="669"/>
      <c r="E17" s="669"/>
      <c r="F17" s="665" t="s">
        <v>277</v>
      </c>
      <c r="G17" s="666" t="s">
        <v>286</v>
      </c>
      <c r="H17" s="665" t="s">
        <v>279</v>
      </c>
      <c r="I17" s="782">
        <v>0.75</v>
      </c>
      <c r="J17" s="669"/>
    </row>
    <row r="18" spans="2:10" s="668" customFormat="1" ht="40" customHeight="1" thickBot="1">
      <c r="B18" s="669"/>
      <c r="C18" s="669"/>
      <c r="D18" s="669"/>
      <c r="E18" s="669"/>
      <c r="F18" s="665" t="s">
        <v>282</v>
      </c>
      <c r="G18" s="666" t="s">
        <v>287</v>
      </c>
      <c r="H18" s="672" t="s">
        <v>279</v>
      </c>
      <c r="I18" s="779">
        <f>$I$13*$I$17</f>
        <v>37500</v>
      </c>
      <c r="J18" s="669"/>
    </row>
    <row r="19" spans="2:10" s="668" customFormat="1" ht="40" customHeight="1" thickBot="1">
      <c r="B19" s="669"/>
      <c r="C19" s="669"/>
      <c r="D19" s="669"/>
      <c r="E19" s="669"/>
      <c r="F19" s="661"/>
      <c r="G19" s="670"/>
      <c r="H19" s="661"/>
      <c r="I19" s="671"/>
      <c r="J19" s="669"/>
    </row>
    <row r="20" spans="2:10" ht="46.5" customHeight="1" thickBot="1">
      <c r="B20" s="659"/>
      <c r="C20" s="1098" t="s">
        <v>288</v>
      </c>
      <c r="D20" s="1099"/>
      <c r="E20" s="1099"/>
      <c r="F20" s="1099"/>
      <c r="G20" s="1099"/>
      <c r="H20" s="1099"/>
      <c r="I20" s="1100"/>
      <c r="J20" s="659"/>
    </row>
    <row r="21" spans="2:10">
      <c r="B21" s="659"/>
      <c r="C21" s="659"/>
      <c r="D21" s="659"/>
      <c r="E21" s="659"/>
      <c r="F21" s="659"/>
      <c r="G21" s="659"/>
      <c r="H21" s="659"/>
      <c r="I21" s="659"/>
      <c r="J21" s="659"/>
    </row>
    <row r="22" spans="2:10">
      <c r="B22" s="659"/>
      <c r="C22" s="659"/>
      <c r="D22" s="659"/>
      <c r="E22" s="659"/>
      <c r="F22" s="659"/>
      <c r="G22" s="659"/>
      <c r="H22" s="659"/>
      <c r="I22" s="659"/>
      <c r="J22" s="659"/>
    </row>
  </sheetData>
  <sheetProtection algorithmName="SHA-512" hashValue="8Bojkt7YS6v7n3MhO47MP0TDZOAj/5qfHlxveaYymZEQXGt8uyQLcpdlgTciAp5X3dC6IVkSXz5fmN5gRTIk0w==" saltValue="Q37O08PaRw9yGR6sOM6KNg==" spinCount="100000" sheet="1" objects="1" scenarios="1"/>
  <mergeCells count="8">
    <mergeCell ref="E16:H16"/>
    <mergeCell ref="C20:I20"/>
    <mergeCell ref="B2:J2"/>
    <mergeCell ref="C4:I4"/>
    <mergeCell ref="C6:I6"/>
    <mergeCell ref="E9:H9"/>
    <mergeCell ref="E8:I8"/>
    <mergeCell ref="E15:I15"/>
  </mergeCells>
  <pageMargins left="0.7" right="0.7" top="0.75" bottom="0.75" header="0.3" footer="0.3"/>
  <pageSetup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89426CD6990C48B571977008B5B929" ma:contentTypeVersion="13" ma:contentTypeDescription="Create a new document." ma:contentTypeScope="" ma:versionID="0e01c7bc96b6eed3db98ed54fdc55eb5">
  <xsd:schema xmlns:xsd="http://www.w3.org/2001/XMLSchema" xmlns:xs="http://www.w3.org/2001/XMLSchema" xmlns:p="http://schemas.microsoft.com/office/2006/metadata/properties" xmlns:ns3="6825cbcc-075a-4232-9296-e9bac03f9e0c" xmlns:ns4="6f211968-1ce9-4ce8-bc32-9c87e03ae60e" targetNamespace="http://schemas.microsoft.com/office/2006/metadata/properties" ma:root="true" ma:fieldsID="3d38f0102057625f23cc481bc4af9216" ns3:_="" ns4:_="">
    <xsd:import namespace="6825cbcc-075a-4232-9296-e9bac03f9e0c"/>
    <xsd:import namespace="6f211968-1ce9-4ce8-bc32-9c87e03ae60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5cbcc-075a-4232-9296-e9bac03f9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f211968-1ce9-4ce8-bc32-9c87e03ae60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C1983F-F266-4005-8EC6-D5065FD7537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69E5AC5-64B2-4B7B-9D75-A7C00E9C1AC0}">
  <ds:schemaRefs>
    <ds:schemaRef ds:uri="http://schemas.microsoft.com/sharepoint/v3/contenttype/forms"/>
  </ds:schemaRefs>
</ds:datastoreItem>
</file>

<file path=customXml/itemProps3.xml><?xml version="1.0" encoding="utf-8"?>
<ds:datastoreItem xmlns:ds="http://schemas.openxmlformats.org/officeDocument/2006/customXml" ds:itemID="{6A564C82-A93A-469E-A667-E6054C7D7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5cbcc-075a-4232-9296-e9bac03f9e0c"/>
    <ds:schemaRef ds:uri="6f211968-1ce9-4ce8-bc32-9c87e03ae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Model inputs (2)</vt:lpstr>
      <vt:lpstr>Model inputs (3)</vt:lpstr>
      <vt:lpstr>INSTRUCTIONS</vt:lpstr>
      <vt:lpstr>Saisie des données</vt:lpstr>
      <vt:lpstr>Tableau de bord</vt:lpstr>
      <vt:lpstr>Résultats</vt:lpstr>
      <vt:lpstr>Graphiques</vt:lpstr>
      <vt:lpstr>Charts_full options</vt:lpstr>
      <vt:lpstr>Caclul de la pop cible (ex.)</vt:lpstr>
      <vt:lpstr>Data</vt:lpstr>
      <vt:lpstr>Charts (2)</vt:lpstr>
      <vt:lpstr>DPP</vt:lpstr>
      <vt:lpstr>'Model inputs (2)'!Print_Area</vt:lpstr>
      <vt:lpstr>'Model inputs (3)'!Print_Area</vt:lpstr>
      <vt:lpstr>Résultats!Print_Area</vt:lpstr>
      <vt:lpstr>'Saisie des données'!Print_Area</vt:lpstr>
    </vt:vector>
  </TitlesOfParts>
  <Manager/>
  <Company>PATH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Tara Petronio</cp:lastModifiedBy>
  <cp:revision/>
  <dcterms:created xsi:type="dcterms:W3CDTF">2018-05-24T13:25:57Z</dcterms:created>
  <dcterms:modified xsi:type="dcterms:W3CDTF">2026-07-23T14:46:12Z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5e72d3-b6ef-4c9c-b371-eb3c79f627ee_Enabled">
    <vt:lpwstr>true</vt:lpwstr>
  </property>
  <property fmtid="{D5CDD505-2E9C-101B-9397-08002B2CF9AE}" pid="3" name="MSIP_Label_8f5e72d3-b6ef-4c9c-b371-eb3c79f627ee_SetDate">
    <vt:lpwstr>2019-12-04T11:02:07Z</vt:lpwstr>
  </property>
  <property fmtid="{D5CDD505-2E9C-101B-9397-08002B2CF9AE}" pid="4" name="MSIP_Label_8f5e72d3-b6ef-4c9c-b371-eb3c79f627ee_Method">
    <vt:lpwstr>Privileged</vt:lpwstr>
  </property>
  <property fmtid="{D5CDD505-2E9C-101B-9397-08002B2CF9AE}" pid="5" name="MSIP_Label_8f5e72d3-b6ef-4c9c-b371-eb3c79f627ee_Name">
    <vt:lpwstr>8f5e72d3-b6ef-4c9c-b371-eb3c79f627ee</vt:lpwstr>
  </property>
  <property fmtid="{D5CDD505-2E9C-101B-9397-08002B2CF9AE}" pid="6" name="MSIP_Label_8f5e72d3-b6ef-4c9c-b371-eb3c79f627ee_SiteId">
    <vt:lpwstr>1de6d9f3-0daf-4df6-b9d6-5959f16f6118</vt:lpwstr>
  </property>
  <property fmtid="{D5CDD505-2E9C-101B-9397-08002B2CF9AE}" pid="7" name="MSIP_Label_8f5e72d3-b6ef-4c9c-b371-eb3c79f627ee_ActionId">
    <vt:lpwstr>b8e400df-7c36-45f2-9454-000070304384</vt:lpwstr>
  </property>
  <property fmtid="{D5CDD505-2E9C-101B-9397-08002B2CF9AE}" pid="8" name="MSIP_Label_8f5e72d3-b6ef-4c9c-b371-eb3c79f627ee_ContentBits">
    <vt:lpwstr>1</vt:lpwstr>
  </property>
  <property fmtid="{D5CDD505-2E9C-101B-9397-08002B2CF9AE}" pid="9" name="ContentTypeId">
    <vt:lpwstr>0x010100AC89426CD6990C48B571977008B5B929</vt:lpwstr>
  </property>
</Properties>
</file>